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1"/>
  </bookViews>
  <sheets>
    <sheet name="文档说明" sheetId="10" r:id="rId1"/>
    <sheet name="属性表" sheetId="46" r:id="rId2"/>
    <sheet name="新属性投放" sheetId="53" r:id="rId3"/>
    <sheet name="属性投放" sheetId="66" r:id="rId4"/>
    <sheet name="职业属性倾向" sheetId="58" r:id="rId5"/>
    <sheet name="卡牌属性" sheetId="54" r:id="rId6"/>
    <sheet name="新神器" sheetId="63" r:id="rId7"/>
    <sheet name="专属武器" sheetId="57" r:id="rId8"/>
    <sheet name="洗练技能" sheetId="61" r:id="rId9"/>
    <sheet name="属性汇总" sheetId="64" state="hidden" r:id="rId10"/>
    <sheet name="装备" sheetId="65" r:id="rId11"/>
    <sheet name="新属性汇总" sheetId="67" r:id="rId12"/>
  </sheets>
  <definedNames>
    <definedName name="卡牌类型名" localSheetId="6">#REF!</definedName>
    <definedName name="卡牌类型名" localSheetId="2">#REF!</definedName>
    <definedName name="卡牌类型名">#REF!</definedName>
    <definedName name="品质名称" localSheetId="6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2" i="65" l="1"/>
  <c r="AQ13" i="65"/>
  <c r="AQ14" i="65"/>
  <c r="AQ15" i="65"/>
  <c r="AQ16" i="65"/>
  <c r="AQ11" i="65"/>
  <c r="AQ6" i="65"/>
  <c r="AQ7" i="65"/>
  <c r="AQ8" i="65"/>
  <c r="AQ9" i="65"/>
  <c r="AQ10" i="65"/>
  <c r="AQ5" i="65"/>
  <c r="BG5" i="67" l="1"/>
  <c r="BH5" i="67"/>
  <c r="BI5" i="67"/>
  <c r="BK5" i="67"/>
  <c r="BG6" i="67"/>
  <c r="BH6" i="67"/>
  <c r="BI6" i="67"/>
  <c r="BK6" i="67"/>
  <c r="BG7" i="67"/>
  <c r="BH7" i="67"/>
  <c r="BI7" i="67"/>
  <c r="BK7" i="67"/>
  <c r="BG8" i="67"/>
  <c r="BH8" i="67"/>
  <c r="BI8" i="67"/>
  <c r="BK8" i="67"/>
  <c r="BG9" i="67"/>
  <c r="BH9" i="67"/>
  <c r="BI9" i="67"/>
  <c r="BJ9" i="67"/>
  <c r="BK9" i="67"/>
  <c r="BG10" i="67"/>
  <c r="BH10" i="67"/>
  <c r="BI10" i="67"/>
  <c r="BK10" i="67"/>
  <c r="BG11" i="67"/>
  <c r="BH11" i="67"/>
  <c r="BI11" i="67"/>
  <c r="BK11" i="67"/>
  <c r="BG12" i="67"/>
  <c r="BH12" i="67"/>
  <c r="BI12" i="67"/>
  <c r="BK12" i="67"/>
  <c r="BG13" i="67"/>
  <c r="BH13" i="67"/>
  <c r="BI13" i="67"/>
  <c r="BK13" i="67"/>
  <c r="BG14" i="67"/>
  <c r="BH14" i="67"/>
  <c r="BI14" i="67"/>
  <c r="BK14" i="67"/>
  <c r="BG15" i="67"/>
  <c r="BH15" i="67"/>
  <c r="BI15" i="67"/>
  <c r="BK15" i="67"/>
  <c r="BG16" i="67"/>
  <c r="BH16" i="67"/>
  <c r="BI16" i="67"/>
  <c r="BK16" i="67"/>
  <c r="BG17" i="67"/>
  <c r="BH17" i="67"/>
  <c r="BI17" i="67"/>
  <c r="BK17" i="67"/>
  <c r="BG18" i="67"/>
  <c r="BH18" i="67"/>
  <c r="BI18" i="67"/>
  <c r="BK18" i="67"/>
  <c r="BG19" i="67"/>
  <c r="BH19" i="67"/>
  <c r="BI19" i="67"/>
  <c r="BK19" i="67"/>
  <c r="BG20" i="67"/>
  <c r="BH20" i="67"/>
  <c r="BI20" i="67"/>
  <c r="BK20" i="67"/>
  <c r="BG21" i="67"/>
  <c r="BH21" i="67"/>
  <c r="BI21" i="67"/>
  <c r="BK21" i="67"/>
  <c r="BG22" i="67"/>
  <c r="BH22" i="67"/>
  <c r="BI22" i="67"/>
  <c r="BK22" i="67"/>
  <c r="BG23" i="67"/>
  <c r="BH23" i="67"/>
  <c r="BI23" i="67"/>
  <c r="BK23" i="67"/>
  <c r="BG24" i="67"/>
  <c r="BH24" i="67"/>
  <c r="BI24" i="67"/>
  <c r="BK24" i="67"/>
  <c r="BG25" i="67"/>
  <c r="BH25" i="67"/>
  <c r="BI25" i="67"/>
  <c r="BK25" i="67"/>
  <c r="BG26" i="67"/>
  <c r="BH26" i="67"/>
  <c r="BI26" i="67"/>
  <c r="BK26" i="67"/>
  <c r="BG27" i="67"/>
  <c r="BH27" i="67"/>
  <c r="BI27" i="67"/>
  <c r="BK27" i="67"/>
  <c r="BG28" i="67"/>
  <c r="BH28" i="67"/>
  <c r="BI28" i="67"/>
  <c r="BK28" i="67"/>
  <c r="BG29" i="67"/>
  <c r="BH29" i="67"/>
  <c r="BI29" i="67"/>
  <c r="BK29" i="67"/>
  <c r="BG30" i="67"/>
  <c r="BH30" i="67"/>
  <c r="BI30" i="67"/>
  <c r="BK30" i="67"/>
  <c r="BG31" i="67"/>
  <c r="BH31" i="67"/>
  <c r="BI31" i="67"/>
  <c r="BK31" i="67"/>
  <c r="BG32" i="67"/>
  <c r="BH32" i="67"/>
  <c r="BI32" i="67"/>
  <c r="BK32" i="67"/>
  <c r="BG33" i="67"/>
  <c r="BH33" i="67"/>
  <c r="BI33" i="67"/>
  <c r="BK33" i="67"/>
  <c r="BG34" i="67"/>
  <c r="BH34" i="67"/>
  <c r="BI34" i="67"/>
  <c r="BK34" i="67"/>
  <c r="BG35" i="67"/>
  <c r="BH35" i="67"/>
  <c r="BI35" i="67"/>
  <c r="BK35" i="67"/>
  <c r="BG36" i="67"/>
  <c r="BH36" i="67"/>
  <c r="BI36" i="67"/>
  <c r="BK36" i="67"/>
  <c r="BG37" i="67"/>
  <c r="BH37" i="67"/>
  <c r="BI37" i="67"/>
  <c r="BK37" i="67"/>
  <c r="BG38" i="67"/>
  <c r="BH38" i="67"/>
  <c r="BI38" i="67"/>
  <c r="BK38" i="67"/>
  <c r="BG39" i="67"/>
  <c r="BH39" i="67"/>
  <c r="BI39" i="67"/>
  <c r="BK39" i="67"/>
  <c r="BG40" i="67"/>
  <c r="BH40" i="67"/>
  <c r="BI40" i="67"/>
  <c r="BK40" i="67"/>
  <c r="BG41" i="67"/>
  <c r="BH41" i="67"/>
  <c r="BI41" i="67"/>
  <c r="BK41" i="67"/>
  <c r="BG42" i="67"/>
  <c r="BH42" i="67"/>
  <c r="BI42" i="67"/>
  <c r="BK42" i="67"/>
  <c r="BG43" i="67"/>
  <c r="BH43" i="67"/>
  <c r="BI43" i="67"/>
  <c r="BK43" i="67"/>
  <c r="BG44" i="67"/>
  <c r="BH44" i="67"/>
  <c r="BI44" i="67"/>
  <c r="BK44" i="67"/>
  <c r="BG45" i="67"/>
  <c r="BH45" i="67"/>
  <c r="BI45" i="67"/>
  <c r="BK45" i="67"/>
  <c r="BG46" i="67"/>
  <c r="BH46" i="67"/>
  <c r="BI46" i="67"/>
  <c r="BK46" i="67"/>
  <c r="BG47" i="67"/>
  <c r="BH47" i="67"/>
  <c r="BI47" i="67"/>
  <c r="BK47" i="67"/>
  <c r="BG48" i="67"/>
  <c r="BH48" i="67"/>
  <c r="BI48" i="67"/>
  <c r="BK48" i="67"/>
  <c r="BG49" i="67"/>
  <c r="BH49" i="67"/>
  <c r="BI49" i="67"/>
  <c r="BK49" i="67"/>
  <c r="BG50" i="67"/>
  <c r="BH50" i="67"/>
  <c r="BI50" i="67"/>
  <c r="BK50" i="67"/>
  <c r="BG51" i="67"/>
  <c r="BH51" i="67"/>
  <c r="BI51" i="67"/>
  <c r="BK51" i="67"/>
  <c r="BG52" i="67"/>
  <c r="BH52" i="67"/>
  <c r="BI52" i="67"/>
  <c r="BK52" i="67"/>
  <c r="BG53" i="67"/>
  <c r="BH53" i="67"/>
  <c r="BI53" i="67"/>
  <c r="BK53" i="67"/>
  <c r="BG54" i="67"/>
  <c r="BH54" i="67"/>
  <c r="BI54" i="67"/>
  <c r="BK54" i="67"/>
  <c r="BG55" i="67"/>
  <c r="BH55" i="67"/>
  <c r="BI55" i="67"/>
  <c r="BK55" i="67"/>
  <c r="BG56" i="67"/>
  <c r="BH56" i="67"/>
  <c r="BI56" i="67"/>
  <c r="BK56" i="67"/>
  <c r="BG57" i="67"/>
  <c r="BH57" i="67"/>
  <c r="BI57" i="67"/>
  <c r="BK57" i="67"/>
  <c r="BG58" i="67"/>
  <c r="BH58" i="67"/>
  <c r="BI58" i="67"/>
  <c r="BK58" i="67"/>
  <c r="BG59" i="67"/>
  <c r="BH59" i="67"/>
  <c r="BI59" i="67"/>
  <c r="BK59" i="67"/>
  <c r="BG60" i="67"/>
  <c r="BH60" i="67"/>
  <c r="BI60" i="67"/>
  <c r="BK60" i="67"/>
  <c r="BG61" i="67"/>
  <c r="BH61" i="67"/>
  <c r="BI61" i="67"/>
  <c r="BK61" i="67"/>
  <c r="BG62" i="67"/>
  <c r="BH62" i="67"/>
  <c r="BI62" i="67"/>
  <c r="BK62" i="67"/>
  <c r="BG63" i="67"/>
  <c r="BH63" i="67"/>
  <c r="BI63" i="67"/>
  <c r="BK63" i="67"/>
  <c r="BG64" i="67"/>
  <c r="BH64" i="67"/>
  <c r="BI64" i="67"/>
  <c r="BK64" i="67"/>
  <c r="BG65" i="67"/>
  <c r="BH65" i="67"/>
  <c r="BI65" i="67"/>
  <c r="BK65" i="67"/>
  <c r="BG66" i="67"/>
  <c r="BH66" i="67"/>
  <c r="BI66" i="67"/>
  <c r="BK66" i="67"/>
  <c r="BG67" i="67"/>
  <c r="BH67" i="67"/>
  <c r="BI67" i="67"/>
  <c r="BK67" i="67"/>
  <c r="BG68" i="67"/>
  <c r="BH68" i="67"/>
  <c r="BI68" i="67"/>
  <c r="BK68" i="67"/>
  <c r="BG69" i="67"/>
  <c r="BH69" i="67"/>
  <c r="BI69" i="67"/>
  <c r="BK69" i="67"/>
  <c r="BG70" i="67"/>
  <c r="BH70" i="67"/>
  <c r="BI70" i="67"/>
  <c r="BK70" i="67"/>
  <c r="BG71" i="67"/>
  <c r="BH71" i="67"/>
  <c r="BI71" i="67"/>
  <c r="BK71" i="67"/>
  <c r="BG72" i="67"/>
  <c r="BH72" i="67"/>
  <c r="BI72" i="67"/>
  <c r="BK72" i="67"/>
  <c r="BG73" i="67"/>
  <c r="BH73" i="67"/>
  <c r="BI73" i="67"/>
  <c r="BK73" i="67"/>
  <c r="BG74" i="67"/>
  <c r="BH74" i="67"/>
  <c r="BI74" i="67"/>
  <c r="BK74" i="67"/>
  <c r="BG75" i="67"/>
  <c r="BH75" i="67"/>
  <c r="BI75" i="67"/>
  <c r="BK75" i="67"/>
  <c r="BG76" i="67"/>
  <c r="BH76" i="67"/>
  <c r="BI76" i="67"/>
  <c r="BK76" i="67"/>
  <c r="BG77" i="67"/>
  <c r="BH77" i="67"/>
  <c r="BI77" i="67"/>
  <c r="BK77" i="67"/>
  <c r="BG78" i="67"/>
  <c r="BH78" i="67"/>
  <c r="BI78" i="67"/>
  <c r="BK78" i="67"/>
  <c r="BG79" i="67"/>
  <c r="BH79" i="67"/>
  <c r="BI79" i="67"/>
  <c r="BK79" i="67"/>
  <c r="BG80" i="67"/>
  <c r="BH80" i="67"/>
  <c r="BI80" i="67"/>
  <c r="BK80" i="67"/>
  <c r="BG81" i="67"/>
  <c r="BH81" i="67"/>
  <c r="BI81" i="67"/>
  <c r="BK81" i="67"/>
  <c r="BG82" i="67"/>
  <c r="BH82" i="67"/>
  <c r="BI82" i="67"/>
  <c r="BK82" i="67"/>
  <c r="BG83" i="67"/>
  <c r="BH83" i="67"/>
  <c r="BI83" i="67"/>
  <c r="BK83" i="67"/>
  <c r="BG84" i="67"/>
  <c r="BH84" i="67"/>
  <c r="BI84" i="67"/>
  <c r="BK84" i="67"/>
  <c r="BG85" i="67"/>
  <c r="BH85" i="67"/>
  <c r="BI85" i="67"/>
  <c r="BK85" i="67"/>
  <c r="BG86" i="67"/>
  <c r="BH86" i="67"/>
  <c r="BI86" i="67"/>
  <c r="BK86" i="67"/>
  <c r="BG87" i="67"/>
  <c r="BH87" i="67"/>
  <c r="BI87" i="67"/>
  <c r="BK87" i="67"/>
  <c r="BG88" i="67"/>
  <c r="BH88" i="67"/>
  <c r="BI88" i="67"/>
  <c r="BK88" i="67"/>
  <c r="BG89" i="67"/>
  <c r="BH89" i="67"/>
  <c r="BI89" i="67"/>
  <c r="BK89" i="67"/>
  <c r="BG90" i="67"/>
  <c r="BH90" i="67"/>
  <c r="BI90" i="67"/>
  <c r="BK90" i="67"/>
  <c r="BG91" i="67"/>
  <c r="BH91" i="67"/>
  <c r="BI91" i="67"/>
  <c r="BK91" i="67"/>
  <c r="BG92" i="67"/>
  <c r="BH92" i="67"/>
  <c r="BI92" i="67"/>
  <c r="BK92" i="67"/>
  <c r="BG93" i="67"/>
  <c r="BH93" i="67"/>
  <c r="BI93" i="67"/>
  <c r="BK93" i="67"/>
  <c r="BG94" i="67"/>
  <c r="BH94" i="67"/>
  <c r="BI94" i="67"/>
  <c r="BK94" i="67"/>
  <c r="BG95" i="67"/>
  <c r="BH95" i="67"/>
  <c r="BI95" i="67"/>
  <c r="BK95" i="67"/>
  <c r="BG96" i="67"/>
  <c r="BH96" i="67"/>
  <c r="BI96" i="67"/>
  <c r="BK96" i="67"/>
  <c r="BG97" i="67"/>
  <c r="BH97" i="67"/>
  <c r="BI97" i="67"/>
  <c r="BK97" i="67"/>
  <c r="BG98" i="67"/>
  <c r="BH98" i="67"/>
  <c r="BI98" i="67"/>
  <c r="BK98" i="67"/>
  <c r="BG99" i="67"/>
  <c r="BH99" i="67"/>
  <c r="BI99" i="67"/>
  <c r="BK99" i="67"/>
  <c r="BG100" i="67"/>
  <c r="BH100" i="67"/>
  <c r="BI100" i="67"/>
  <c r="BK100" i="67"/>
  <c r="BG101" i="67"/>
  <c r="BH101" i="67"/>
  <c r="BI101" i="67"/>
  <c r="BK101" i="67"/>
  <c r="BG102" i="67"/>
  <c r="BH102" i="67"/>
  <c r="BI102" i="67"/>
  <c r="BK102" i="67"/>
  <c r="BG103" i="67"/>
  <c r="BH103" i="67"/>
  <c r="BI103" i="67"/>
  <c r="BK103" i="67"/>
  <c r="BG104" i="67"/>
  <c r="BH104" i="67"/>
  <c r="BI104" i="67"/>
  <c r="BK104" i="67"/>
  <c r="BG105" i="67"/>
  <c r="BH105" i="67"/>
  <c r="BI105" i="67"/>
  <c r="BK105" i="67"/>
  <c r="BG106" i="67"/>
  <c r="BH106" i="67"/>
  <c r="BI106" i="67"/>
  <c r="BK106" i="67"/>
  <c r="BG107" i="67"/>
  <c r="BH107" i="67"/>
  <c r="BI107" i="67"/>
  <c r="BK107" i="67"/>
  <c r="BG108" i="67"/>
  <c r="BH108" i="67"/>
  <c r="BI108" i="67"/>
  <c r="BK108" i="67"/>
  <c r="BG109" i="67"/>
  <c r="BH109" i="67"/>
  <c r="BI109" i="67"/>
  <c r="BK109" i="67"/>
  <c r="BG110" i="67"/>
  <c r="BH110" i="67"/>
  <c r="BI110" i="67"/>
  <c r="BK110" i="67"/>
  <c r="BG111" i="67"/>
  <c r="BH111" i="67"/>
  <c r="BI111" i="67"/>
  <c r="BK111" i="67"/>
  <c r="BG112" i="67"/>
  <c r="BH112" i="67"/>
  <c r="BI112" i="67"/>
  <c r="BK112" i="67"/>
  <c r="BG113" i="67"/>
  <c r="BH113" i="67"/>
  <c r="BI113" i="67"/>
  <c r="BK113" i="67"/>
  <c r="BG114" i="67"/>
  <c r="BH114" i="67"/>
  <c r="BI114" i="67"/>
  <c r="BK114" i="67"/>
  <c r="BG115" i="67"/>
  <c r="BH115" i="67"/>
  <c r="BI115" i="67"/>
  <c r="BK115" i="67"/>
  <c r="BG116" i="67"/>
  <c r="BH116" i="67"/>
  <c r="BI116" i="67"/>
  <c r="BK116" i="67"/>
  <c r="BG117" i="67"/>
  <c r="BH117" i="67"/>
  <c r="BI117" i="67"/>
  <c r="BK117" i="67"/>
  <c r="BG118" i="67"/>
  <c r="BH118" i="67"/>
  <c r="BI118" i="67"/>
  <c r="BK118" i="67"/>
  <c r="BG119" i="67"/>
  <c r="BH119" i="67"/>
  <c r="BI119" i="67"/>
  <c r="BK119" i="67"/>
  <c r="BG120" i="67"/>
  <c r="BH120" i="67"/>
  <c r="BI120" i="67"/>
  <c r="BK120" i="67"/>
  <c r="BG121" i="67"/>
  <c r="BH121" i="67"/>
  <c r="BI121" i="67"/>
  <c r="BK121" i="67"/>
  <c r="BG122" i="67"/>
  <c r="BH122" i="67"/>
  <c r="BI122" i="67"/>
  <c r="BK122" i="67"/>
  <c r="BG123" i="67"/>
  <c r="BH123" i="67"/>
  <c r="BI123" i="67"/>
  <c r="BK123" i="67"/>
  <c r="BG124" i="67"/>
  <c r="BH124" i="67"/>
  <c r="BI124" i="67"/>
  <c r="BK124" i="67"/>
  <c r="BG125" i="67"/>
  <c r="BH125" i="67"/>
  <c r="BI125" i="67"/>
  <c r="BK125" i="67"/>
  <c r="BG126" i="67"/>
  <c r="BH126" i="67"/>
  <c r="BI126" i="67"/>
  <c r="BK126" i="67"/>
  <c r="BG127" i="67"/>
  <c r="BH127" i="67"/>
  <c r="BI127" i="67"/>
  <c r="BK127" i="67"/>
  <c r="BG128" i="67"/>
  <c r="BH128" i="67"/>
  <c r="BI128" i="67"/>
  <c r="BK128" i="67"/>
  <c r="BG129" i="67"/>
  <c r="BH129" i="67"/>
  <c r="BI129" i="67"/>
  <c r="BK129" i="67"/>
  <c r="BG130" i="67"/>
  <c r="BH130" i="67"/>
  <c r="BI130" i="67"/>
  <c r="BK130" i="67"/>
  <c r="BG131" i="67"/>
  <c r="BH131" i="67"/>
  <c r="BI131" i="67"/>
  <c r="BK131" i="67"/>
  <c r="BG132" i="67"/>
  <c r="BH132" i="67"/>
  <c r="BI132" i="67"/>
  <c r="BK132" i="67"/>
  <c r="BG133" i="67"/>
  <c r="BH133" i="67"/>
  <c r="BI133" i="67"/>
  <c r="BK133" i="67"/>
  <c r="BG134" i="67"/>
  <c r="BH134" i="67"/>
  <c r="BI134" i="67"/>
  <c r="BK134" i="67"/>
  <c r="BG135" i="67"/>
  <c r="BH135" i="67"/>
  <c r="BI135" i="67"/>
  <c r="BK135" i="67"/>
  <c r="BG136" i="67"/>
  <c r="BH136" i="67"/>
  <c r="BI136" i="67"/>
  <c r="BK136" i="67"/>
  <c r="BG137" i="67"/>
  <c r="BH137" i="67"/>
  <c r="BI137" i="67"/>
  <c r="BK137" i="67"/>
  <c r="BG138" i="67"/>
  <c r="BH138" i="67"/>
  <c r="BI138" i="67"/>
  <c r="BK138" i="67"/>
  <c r="BG139" i="67"/>
  <c r="BH139" i="67"/>
  <c r="BI139" i="67"/>
  <c r="BK139" i="67"/>
  <c r="BG140" i="67"/>
  <c r="BH140" i="67"/>
  <c r="BI140" i="67"/>
  <c r="BK140" i="67"/>
  <c r="BG141" i="67"/>
  <c r="BH141" i="67"/>
  <c r="BI141" i="67"/>
  <c r="BK141" i="67"/>
  <c r="BG142" i="67"/>
  <c r="BH142" i="67"/>
  <c r="BI142" i="67"/>
  <c r="BK142" i="67"/>
  <c r="BG143" i="67"/>
  <c r="BH143" i="67"/>
  <c r="BI143" i="67"/>
  <c r="BK143" i="67"/>
  <c r="BG144" i="67"/>
  <c r="BH144" i="67"/>
  <c r="BI144" i="67"/>
  <c r="BK144" i="67"/>
  <c r="BG145" i="67"/>
  <c r="BH145" i="67"/>
  <c r="BI145" i="67"/>
  <c r="BK145" i="67"/>
  <c r="BG146" i="67"/>
  <c r="BH146" i="67"/>
  <c r="BI146" i="67"/>
  <c r="BK146" i="67"/>
  <c r="BG147" i="67"/>
  <c r="BH147" i="67"/>
  <c r="BI147" i="67"/>
  <c r="BK147" i="67"/>
  <c r="BG148" i="67"/>
  <c r="BH148" i="67"/>
  <c r="BI148" i="67"/>
  <c r="BK148" i="67"/>
  <c r="BG149" i="67"/>
  <c r="BH149" i="67"/>
  <c r="BI149" i="67"/>
  <c r="BK149" i="67"/>
  <c r="BG150" i="67"/>
  <c r="BH150" i="67"/>
  <c r="BI150" i="67"/>
  <c r="BK150" i="67"/>
  <c r="BG151" i="67"/>
  <c r="BH151" i="67"/>
  <c r="BI151" i="67"/>
  <c r="BK151" i="67"/>
  <c r="BG152" i="67"/>
  <c r="BH152" i="67"/>
  <c r="BI152" i="67"/>
  <c r="BK152" i="67"/>
  <c r="BG153" i="67"/>
  <c r="BH153" i="67"/>
  <c r="BI153" i="67"/>
  <c r="BK153" i="67"/>
  <c r="BG154" i="67"/>
  <c r="BH154" i="67"/>
  <c r="BI154" i="67"/>
  <c r="BK154" i="67"/>
  <c r="BG155" i="67"/>
  <c r="BH155" i="67"/>
  <c r="BI155" i="67"/>
  <c r="BK155" i="67"/>
  <c r="BG156" i="67"/>
  <c r="BH156" i="67"/>
  <c r="BI156" i="67"/>
  <c r="BK156" i="67"/>
  <c r="BG157" i="67"/>
  <c r="BH157" i="67"/>
  <c r="BI157" i="67"/>
  <c r="BK157" i="67"/>
  <c r="BG158" i="67"/>
  <c r="BH158" i="67"/>
  <c r="BI158" i="67"/>
  <c r="BK158" i="67"/>
  <c r="BG159" i="67"/>
  <c r="BH159" i="67"/>
  <c r="BI159" i="67"/>
  <c r="BK159" i="67"/>
  <c r="BG160" i="67"/>
  <c r="BH160" i="67"/>
  <c r="BI160" i="67"/>
  <c r="BK160" i="67"/>
  <c r="BG161" i="67"/>
  <c r="BH161" i="67"/>
  <c r="BI161" i="67"/>
  <c r="BK161" i="67"/>
  <c r="BG162" i="67"/>
  <c r="BH162" i="67"/>
  <c r="BI162" i="67"/>
  <c r="BK162" i="67"/>
  <c r="BG163" i="67"/>
  <c r="BH163" i="67"/>
  <c r="BI163" i="67"/>
  <c r="BK163" i="67"/>
  <c r="BG164" i="67"/>
  <c r="BH164" i="67"/>
  <c r="BI164" i="67"/>
  <c r="BK164" i="67"/>
  <c r="BG165" i="67"/>
  <c r="BH165" i="67"/>
  <c r="BI165" i="67"/>
  <c r="BK165" i="67"/>
  <c r="BG166" i="67"/>
  <c r="BH166" i="67"/>
  <c r="BI166" i="67"/>
  <c r="BK166" i="67"/>
  <c r="BG167" i="67"/>
  <c r="BH167" i="67"/>
  <c r="BI167" i="67"/>
  <c r="BK167" i="67"/>
  <c r="BG168" i="67"/>
  <c r="BH168" i="67"/>
  <c r="BI168" i="67"/>
  <c r="BK168" i="67"/>
  <c r="BG169" i="67"/>
  <c r="BH169" i="67"/>
  <c r="BI169" i="67"/>
  <c r="BK169" i="67"/>
  <c r="BG170" i="67"/>
  <c r="BH170" i="67"/>
  <c r="BI170" i="67"/>
  <c r="BK170" i="67"/>
  <c r="BG171" i="67"/>
  <c r="BH171" i="67"/>
  <c r="BI171" i="67"/>
  <c r="BK171" i="67"/>
  <c r="BG172" i="67"/>
  <c r="BH172" i="67"/>
  <c r="BI172" i="67"/>
  <c r="BK172" i="67"/>
  <c r="BG173" i="67"/>
  <c r="BH173" i="67"/>
  <c r="BI173" i="67"/>
  <c r="BK173" i="67"/>
  <c r="BG174" i="67"/>
  <c r="BH174" i="67"/>
  <c r="BI174" i="67"/>
  <c r="BK174" i="67"/>
  <c r="BG175" i="67"/>
  <c r="BH175" i="67"/>
  <c r="BI175" i="67"/>
  <c r="BK175" i="67"/>
  <c r="BG176" i="67"/>
  <c r="BH176" i="67"/>
  <c r="BI176" i="67"/>
  <c r="BK176" i="67"/>
  <c r="BG177" i="67"/>
  <c r="BH177" i="67"/>
  <c r="BI177" i="67"/>
  <c r="BK177" i="67"/>
  <c r="BG178" i="67"/>
  <c r="BH178" i="67"/>
  <c r="BI178" i="67"/>
  <c r="BK178" i="67"/>
  <c r="BG179" i="67"/>
  <c r="BH179" i="67"/>
  <c r="BI179" i="67"/>
  <c r="BK179" i="67"/>
  <c r="BG180" i="67"/>
  <c r="BH180" i="67"/>
  <c r="BI180" i="67"/>
  <c r="BK180" i="67"/>
  <c r="BG181" i="67"/>
  <c r="BH181" i="67"/>
  <c r="BI181" i="67"/>
  <c r="BK181" i="67"/>
  <c r="BG182" i="67"/>
  <c r="BH182" i="67"/>
  <c r="BI182" i="67"/>
  <c r="BK182" i="67"/>
  <c r="BG183" i="67"/>
  <c r="BH183" i="67"/>
  <c r="BI183" i="67"/>
  <c r="BK183" i="67"/>
  <c r="BG184" i="67"/>
  <c r="BH184" i="67"/>
  <c r="BI184" i="67"/>
  <c r="BK184" i="67"/>
  <c r="BG185" i="67"/>
  <c r="BH185" i="67"/>
  <c r="BI185" i="67"/>
  <c r="BK185" i="67"/>
  <c r="BG186" i="67"/>
  <c r="BH186" i="67"/>
  <c r="BI186" i="67"/>
  <c r="BK186" i="67"/>
  <c r="BG187" i="67"/>
  <c r="BH187" i="67"/>
  <c r="BI187" i="67"/>
  <c r="BK187" i="67"/>
  <c r="BG188" i="67"/>
  <c r="BH188" i="67"/>
  <c r="BI188" i="67"/>
  <c r="BK188" i="67"/>
  <c r="BG189" i="67"/>
  <c r="BH189" i="67"/>
  <c r="BI189" i="67"/>
  <c r="BK189" i="67"/>
  <c r="BG190" i="67"/>
  <c r="BH190" i="67"/>
  <c r="BI190" i="67"/>
  <c r="BK190" i="67"/>
  <c r="BG191" i="67"/>
  <c r="BH191" i="67"/>
  <c r="BI191" i="67"/>
  <c r="BK191" i="67"/>
  <c r="BG192" i="67"/>
  <c r="BH192" i="67"/>
  <c r="BI192" i="67"/>
  <c r="BK192" i="67"/>
  <c r="BG193" i="67"/>
  <c r="BH193" i="67"/>
  <c r="BI193" i="67"/>
  <c r="BK193" i="67"/>
  <c r="BG194" i="67"/>
  <c r="BH194" i="67"/>
  <c r="BI194" i="67"/>
  <c r="BK194" i="67"/>
  <c r="BG195" i="67"/>
  <c r="BH195" i="67"/>
  <c r="BI195" i="67"/>
  <c r="BK195" i="67"/>
  <c r="BG196" i="67"/>
  <c r="BH196" i="67"/>
  <c r="BI196" i="67"/>
  <c r="BK196" i="67"/>
  <c r="BG197" i="67"/>
  <c r="BH197" i="67"/>
  <c r="BI197" i="67"/>
  <c r="BK197" i="67"/>
  <c r="BG198" i="67"/>
  <c r="BH198" i="67"/>
  <c r="BI198" i="67"/>
  <c r="BK198" i="67"/>
  <c r="BG199" i="67"/>
  <c r="BH199" i="67"/>
  <c r="BI199" i="67"/>
  <c r="BK199" i="67"/>
  <c r="BG200" i="67"/>
  <c r="BH200" i="67"/>
  <c r="BI200" i="67"/>
  <c r="BK200" i="67"/>
  <c r="BG201" i="67"/>
  <c r="BH201" i="67"/>
  <c r="BI201" i="67"/>
  <c r="BK201" i="67"/>
  <c r="BG202" i="67"/>
  <c r="BH202" i="67"/>
  <c r="BI202" i="67"/>
  <c r="BK202" i="67"/>
  <c r="BG203" i="67"/>
  <c r="BH203" i="67"/>
  <c r="BI203" i="67"/>
  <c r="BK203" i="67"/>
  <c r="BG204" i="67"/>
  <c r="BH204" i="67"/>
  <c r="BI204" i="67"/>
  <c r="BK204" i="67"/>
  <c r="BK4" i="67"/>
  <c r="BI4" i="67"/>
  <c r="BH4" i="67"/>
  <c r="BG4" i="67"/>
  <c r="AR5" i="67"/>
  <c r="AS5" i="67"/>
  <c r="AT5" i="67"/>
  <c r="AU5" i="67"/>
  <c r="AV5" i="67"/>
  <c r="AW5" i="67"/>
  <c r="AX5" i="67"/>
  <c r="AY5" i="67"/>
  <c r="AZ5" i="67"/>
  <c r="BB5" i="67"/>
  <c r="BD5" i="67"/>
  <c r="BE5" i="67"/>
  <c r="BF5" i="67"/>
  <c r="AR6" i="67"/>
  <c r="AS6" i="67"/>
  <c r="AT6" i="67"/>
  <c r="AU6" i="67"/>
  <c r="AV6" i="67"/>
  <c r="AW6" i="67"/>
  <c r="AX6" i="67"/>
  <c r="AY6" i="67"/>
  <c r="AZ6" i="67"/>
  <c r="BB6" i="67"/>
  <c r="BD6" i="67"/>
  <c r="BE6" i="67"/>
  <c r="BF6" i="67"/>
  <c r="AR7" i="67"/>
  <c r="AS7" i="67"/>
  <c r="AT7" i="67"/>
  <c r="AU7" i="67"/>
  <c r="AV7" i="67"/>
  <c r="AW7" i="67"/>
  <c r="AX7" i="67"/>
  <c r="AY7" i="67"/>
  <c r="AZ7" i="67"/>
  <c r="BB7" i="67"/>
  <c r="BD7" i="67"/>
  <c r="BE7" i="67"/>
  <c r="BF7" i="67"/>
  <c r="AR8" i="67"/>
  <c r="AS8" i="67"/>
  <c r="AT8" i="67"/>
  <c r="AU8" i="67"/>
  <c r="AV8" i="67"/>
  <c r="AW8" i="67"/>
  <c r="AX8" i="67"/>
  <c r="AY8" i="67"/>
  <c r="AZ8" i="67"/>
  <c r="BB8" i="67"/>
  <c r="BD8" i="67"/>
  <c r="BE8" i="67"/>
  <c r="BF8" i="67"/>
  <c r="AR9" i="67"/>
  <c r="AS9" i="67"/>
  <c r="AT9" i="67"/>
  <c r="AU9" i="67"/>
  <c r="AV9" i="67"/>
  <c r="AW9" i="67"/>
  <c r="AX9" i="67"/>
  <c r="AY9" i="67"/>
  <c r="AZ9" i="67"/>
  <c r="BB9" i="67"/>
  <c r="BD9" i="67"/>
  <c r="BE9" i="67"/>
  <c r="BF9" i="67"/>
  <c r="AR10" i="67"/>
  <c r="AS10" i="67"/>
  <c r="AT10" i="67"/>
  <c r="AU10" i="67"/>
  <c r="AV10" i="67"/>
  <c r="AW10" i="67"/>
  <c r="AX10" i="67"/>
  <c r="AY10" i="67"/>
  <c r="AZ10" i="67"/>
  <c r="BB10" i="67"/>
  <c r="BD10" i="67"/>
  <c r="BE10" i="67"/>
  <c r="BF10" i="67"/>
  <c r="AR11" i="67"/>
  <c r="AS11" i="67"/>
  <c r="AT11" i="67"/>
  <c r="AU11" i="67"/>
  <c r="AV11" i="67"/>
  <c r="AW11" i="67"/>
  <c r="AX11" i="67"/>
  <c r="AY11" i="67"/>
  <c r="AZ11" i="67"/>
  <c r="BB11" i="67"/>
  <c r="BD11" i="67"/>
  <c r="BE11" i="67"/>
  <c r="BF11" i="67"/>
  <c r="AR12" i="67"/>
  <c r="AS12" i="67"/>
  <c r="AT12" i="67"/>
  <c r="AU12" i="67"/>
  <c r="AV12" i="67"/>
  <c r="AW12" i="67"/>
  <c r="AX12" i="67"/>
  <c r="AY12" i="67"/>
  <c r="AZ12" i="67"/>
  <c r="BB12" i="67"/>
  <c r="BD12" i="67"/>
  <c r="BE12" i="67"/>
  <c r="BF12" i="67"/>
  <c r="AR13" i="67"/>
  <c r="AS13" i="67"/>
  <c r="AT13" i="67"/>
  <c r="AU13" i="67"/>
  <c r="AV13" i="67"/>
  <c r="AW13" i="67"/>
  <c r="AX13" i="67"/>
  <c r="AY13" i="67"/>
  <c r="AZ13" i="67"/>
  <c r="BB13" i="67"/>
  <c r="BD13" i="67"/>
  <c r="BE13" i="67"/>
  <c r="BF13" i="67"/>
  <c r="AR14" i="67"/>
  <c r="AS14" i="67"/>
  <c r="AT14" i="67"/>
  <c r="AU14" i="67"/>
  <c r="AV14" i="67"/>
  <c r="AW14" i="67"/>
  <c r="AX14" i="67"/>
  <c r="AY14" i="67"/>
  <c r="AZ14" i="67"/>
  <c r="BB14" i="67"/>
  <c r="BD14" i="67"/>
  <c r="BE14" i="67"/>
  <c r="BF14" i="67"/>
  <c r="AR15" i="67"/>
  <c r="AS15" i="67"/>
  <c r="AT15" i="67"/>
  <c r="AU15" i="67"/>
  <c r="AV15" i="67"/>
  <c r="AW15" i="67"/>
  <c r="AX15" i="67"/>
  <c r="AY15" i="67"/>
  <c r="AZ15" i="67"/>
  <c r="BB15" i="67"/>
  <c r="BD15" i="67"/>
  <c r="BE15" i="67"/>
  <c r="BF15" i="67"/>
  <c r="AR16" i="67"/>
  <c r="AS16" i="67"/>
  <c r="AT16" i="67"/>
  <c r="AU16" i="67"/>
  <c r="AV16" i="67"/>
  <c r="AW16" i="67"/>
  <c r="AX16" i="67"/>
  <c r="AY16" i="67"/>
  <c r="AZ16" i="67"/>
  <c r="BB16" i="67"/>
  <c r="BD16" i="67"/>
  <c r="BE16" i="67"/>
  <c r="BF16" i="67"/>
  <c r="AR17" i="67"/>
  <c r="AS17" i="67"/>
  <c r="AT17" i="67"/>
  <c r="AU17" i="67"/>
  <c r="AV17" i="67"/>
  <c r="AW17" i="67"/>
  <c r="AX17" i="67"/>
  <c r="AY17" i="67"/>
  <c r="AZ17" i="67"/>
  <c r="BB17" i="67"/>
  <c r="BD17" i="67"/>
  <c r="BE17" i="67"/>
  <c r="BF17" i="67"/>
  <c r="AR18" i="67"/>
  <c r="AS18" i="67"/>
  <c r="AT18" i="67"/>
  <c r="AU18" i="67"/>
  <c r="AV18" i="67"/>
  <c r="AW18" i="67"/>
  <c r="AX18" i="67"/>
  <c r="AY18" i="67"/>
  <c r="AZ18" i="67"/>
  <c r="BB18" i="67"/>
  <c r="BD18" i="67"/>
  <c r="BE18" i="67"/>
  <c r="BF18" i="67"/>
  <c r="AR19" i="67"/>
  <c r="AS19" i="67"/>
  <c r="AT19" i="67"/>
  <c r="AU19" i="67"/>
  <c r="AV19" i="67"/>
  <c r="AW19" i="67"/>
  <c r="AX19" i="67"/>
  <c r="AY19" i="67"/>
  <c r="AZ19" i="67"/>
  <c r="BB19" i="67"/>
  <c r="BD19" i="67"/>
  <c r="BE19" i="67"/>
  <c r="BF19" i="67"/>
  <c r="AR20" i="67"/>
  <c r="AS20" i="67"/>
  <c r="AT20" i="67"/>
  <c r="AU20" i="67"/>
  <c r="AV20" i="67"/>
  <c r="AW20" i="67"/>
  <c r="AX20" i="67"/>
  <c r="AY20" i="67"/>
  <c r="AZ20" i="67"/>
  <c r="BB20" i="67"/>
  <c r="BD20" i="67"/>
  <c r="BE20" i="67"/>
  <c r="BF20" i="67"/>
  <c r="AR21" i="67"/>
  <c r="AS21" i="67"/>
  <c r="AT21" i="67"/>
  <c r="AU21" i="67"/>
  <c r="AV21" i="67"/>
  <c r="AW21" i="67"/>
  <c r="AX21" i="67"/>
  <c r="AY21" i="67"/>
  <c r="AZ21" i="67"/>
  <c r="BB21" i="67"/>
  <c r="BD21" i="67"/>
  <c r="BE21" i="67"/>
  <c r="BF21" i="67"/>
  <c r="AR22" i="67"/>
  <c r="AS22" i="67"/>
  <c r="AT22" i="67"/>
  <c r="AU22" i="67"/>
  <c r="AV22" i="67"/>
  <c r="AW22" i="67"/>
  <c r="AX22" i="67"/>
  <c r="AY22" i="67"/>
  <c r="AZ22" i="67"/>
  <c r="BB22" i="67"/>
  <c r="BD22" i="67"/>
  <c r="BE22" i="67"/>
  <c r="BF22" i="67"/>
  <c r="AR23" i="67"/>
  <c r="AS23" i="67"/>
  <c r="AT23" i="67"/>
  <c r="AU23" i="67"/>
  <c r="AV23" i="67"/>
  <c r="AW23" i="67"/>
  <c r="AX23" i="67"/>
  <c r="AY23" i="67"/>
  <c r="AZ23" i="67"/>
  <c r="BB23" i="67"/>
  <c r="BD23" i="67"/>
  <c r="BE23" i="67"/>
  <c r="BF23" i="67"/>
  <c r="AR24" i="67"/>
  <c r="AS24" i="67"/>
  <c r="AT24" i="67"/>
  <c r="AU24" i="67"/>
  <c r="AV24" i="67"/>
  <c r="AW24" i="67"/>
  <c r="AX24" i="67"/>
  <c r="AY24" i="67"/>
  <c r="AZ24" i="67"/>
  <c r="BB24" i="67"/>
  <c r="BD24" i="67"/>
  <c r="BE24" i="67"/>
  <c r="BF24" i="67"/>
  <c r="AR25" i="67"/>
  <c r="AS25" i="67"/>
  <c r="AT25" i="67"/>
  <c r="AU25" i="67"/>
  <c r="AV25" i="67"/>
  <c r="AW25" i="67"/>
  <c r="AX25" i="67"/>
  <c r="AY25" i="67"/>
  <c r="AZ25" i="67"/>
  <c r="BB25" i="67"/>
  <c r="BD25" i="67"/>
  <c r="BE25" i="67"/>
  <c r="BF25" i="67"/>
  <c r="AR26" i="67"/>
  <c r="AS26" i="67"/>
  <c r="AT26" i="67"/>
  <c r="AU26" i="67"/>
  <c r="AV26" i="67"/>
  <c r="AW26" i="67"/>
  <c r="AX26" i="67"/>
  <c r="AY26" i="67"/>
  <c r="AZ26" i="67"/>
  <c r="BB26" i="67"/>
  <c r="BD26" i="67"/>
  <c r="BE26" i="67"/>
  <c r="BF26" i="67"/>
  <c r="AR27" i="67"/>
  <c r="AS27" i="67"/>
  <c r="AT27" i="67"/>
  <c r="AU27" i="67"/>
  <c r="AV27" i="67"/>
  <c r="AW27" i="67"/>
  <c r="AX27" i="67"/>
  <c r="AY27" i="67"/>
  <c r="AZ27" i="67"/>
  <c r="BB27" i="67"/>
  <c r="BD27" i="67"/>
  <c r="BE27" i="67"/>
  <c r="BF27" i="67"/>
  <c r="AR28" i="67"/>
  <c r="AS28" i="67"/>
  <c r="AT28" i="67"/>
  <c r="AU28" i="67"/>
  <c r="AV28" i="67"/>
  <c r="AW28" i="67"/>
  <c r="AX28" i="67"/>
  <c r="AY28" i="67"/>
  <c r="AZ28" i="67"/>
  <c r="BB28" i="67"/>
  <c r="BD28" i="67"/>
  <c r="BE28" i="67"/>
  <c r="BF28" i="67"/>
  <c r="AR29" i="67"/>
  <c r="AS29" i="67"/>
  <c r="AT29" i="67"/>
  <c r="AU29" i="67"/>
  <c r="AV29" i="67"/>
  <c r="AW29" i="67"/>
  <c r="AX29" i="67"/>
  <c r="AY29" i="67"/>
  <c r="AZ29" i="67"/>
  <c r="BB29" i="67"/>
  <c r="BD29" i="67"/>
  <c r="BE29" i="67"/>
  <c r="BF29" i="67"/>
  <c r="AR30" i="67"/>
  <c r="AS30" i="67"/>
  <c r="AT30" i="67"/>
  <c r="AU30" i="67"/>
  <c r="AV30" i="67"/>
  <c r="AW30" i="67"/>
  <c r="AX30" i="67"/>
  <c r="AY30" i="67"/>
  <c r="AZ30" i="67"/>
  <c r="BB30" i="67"/>
  <c r="BD30" i="67"/>
  <c r="BE30" i="67"/>
  <c r="BF30" i="67"/>
  <c r="AR31" i="67"/>
  <c r="AS31" i="67"/>
  <c r="AT31" i="67"/>
  <c r="AU31" i="67"/>
  <c r="AV31" i="67"/>
  <c r="AW31" i="67"/>
  <c r="AX31" i="67"/>
  <c r="AY31" i="67"/>
  <c r="AZ31" i="67"/>
  <c r="BB31" i="67"/>
  <c r="BD31" i="67"/>
  <c r="BE31" i="67"/>
  <c r="BF31" i="67"/>
  <c r="AR32" i="67"/>
  <c r="AS32" i="67"/>
  <c r="AT32" i="67"/>
  <c r="AU32" i="67"/>
  <c r="AV32" i="67"/>
  <c r="AW32" i="67"/>
  <c r="AX32" i="67"/>
  <c r="AY32" i="67"/>
  <c r="AZ32" i="67"/>
  <c r="BB32" i="67"/>
  <c r="BD32" i="67"/>
  <c r="BE32" i="67"/>
  <c r="BF32" i="67"/>
  <c r="AR33" i="67"/>
  <c r="AS33" i="67"/>
  <c r="AT33" i="67"/>
  <c r="AU33" i="67"/>
  <c r="AV33" i="67"/>
  <c r="AW33" i="67"/>
  <c r="AX33" i="67"/>
  <c r="AY33" i="67"/>
  <c r="AZ33" i="67"/>
  <c r="BB33" i="67"/>
  <c r="BD33" i="67"/>
  <c r="BE33" i="67"/>
  <c r="BF33" i="67"/>
  <c r="AR34" i="67"/>
  <c r="AS34" i="67"/>
  <c r="AT34" i="67"/>
  <c r="AU34" i="67"/>
  <c r="AV34" i="67"/>
  <c r="AW34" i="67"/>
  <c r="AX34" i="67"/>
  <c r="AY34" i="67"/>
  <c r="AZ34" i="67"/>
  <c r="BB34" i="67"/>
  <c r="BD34" i="67"/>
  <c r="BE34" i="67"/>
  <c r="BF34" i="67"/>
  <c r="AR35" i="67"/>
  <c r="AS35" i="67"/>
  <c r="AT35" i="67"/>
  <c r="AU35" i="67"/>
  <c r="AV35" i="67"/>
  <c r="AW35" i="67"/>
  <c r="AX35" i="67"/>
  <c r="AY35" i="67"/>
  <c r="AZ35" i="67"/>
  <c r="BB35" i="67"/>
  <c r="BD35" i="67"/>
  <c r="BE35" i="67"/>
  <c r="BF35" i="67"/>
  <c r="AR36" i="67"/>
  <c r="AS36" i="67"/>
  <c r="AT36" i="67"/>
  <c r="AU36" i="67"/>
  <c r="AV36" i="67"/>
  <c r="AW36" i="67"/>
  <c r="AX36" i="67"/>
  <c r="AY36" i="67"/>
  <c r="AZ36" i="67"/>
  <c r="BB36" i="67"/>
  <c r="BD36" i="67"/>
  <c r="BE36" i="67"/>
  <c r="BF36" i="67"/>
  <c r="AR37" i="67"/>
  <c r="AS37" i="67"/>
  <c r="AT37" i="67"/>
  <c r="AU37" i="67"/>
  <c r="AV37" i="67"/>
  <c r="AW37" i="67"/>
  <c r="AX37" i="67"/>
  <c r="AY37" i="67"/>
  <c r="AZ37" i="67"/>
  <c r="BB37" i="67"/>
  <c r="BD37" i="67"/>
  <c r="BE37" i="67"/>
  <c r="BF37" i="67"/>
  <c r="AR38" i="67"/>
  <c r="AS38" i="67"/>
  <c r="AT38" i="67"/>
  <c r="AU38" i="67"/>
  <c r="AV38" i="67"/>
  <c r="AW38" i="67"/>
  <c r="AX38" i="67"/>
  <c r="AY38" i="67"/>
  <c r="AZ38" i="67"/>
  <c r="BB38" i="67"/>
  <c r="BD38" i="67"/>
  <c r="BE38" i="67"/>
  <c r="BF38" i="67"/>
  <c r="AR39" i="67"/>
  <c r="AS39" i="67"/>
  <c r="AT39" i="67"/>
  <c r="AU39" i="67"/>
  <c r="AV39" i="67"/>
  <c r="AW39" i="67"/>
  <c r="AX39" i="67"/>
  <c r="AY39" i="67"/>
  <c r="AZ39" i="67"/>
  <c r="BB39" i="67"/>
  <c r="BD39" i="67"/>
  <c r="BE39" i="67"/>
  <c r="BF39" i="67"/>
  <c r="AR40" i="67"/>
  <c r="AS40" i="67"/>
  <c r="AT40" i="67"/>
  <c r="AU40" i="67"/>
  <c r="AV40" i="67"/>
  <c r="AW40" i="67"/>
  <c r="AX40" i="67"/>
  <c r="AY40" i="67"/>
  <c r="AZ40" i="67"/>
  <c r="BB40" i="67"/>
  <c r="BD40" i="67"/>
  <c r="BE40" i="67"/>
  <c r="BF40" i="67"/>
  <c r="AR41" i="67"/>
  <c r="AS41" i="67"/>
  <c r="AT41" i="67"/>
  <c r="AU41" i="67"/>
  <c r="AV41" i="67"/>
  <c r="AW41" i="67"/>
  <c r="AX41" i="67"/>
  <c r="AY41" i="67"/>
  <c r="AZ41" i="67"/>
  <c r="BB41" i="67"/>
  <c r="BD41" i="67"/>
  <c r="BE41" i="67"/>
  <c r="BF41" i="67"/>
  <c r="AR42" i="67"/>
  <c r="AS42" i="67"/>
  <c r="AT42" i="67"/>
  <c r="AU42" i="67"/>
  <c r="AV42" i="67"/>
  <c r="AW42" i="67"/>
  <c r="AX42" i="67"/>
  <c r="AY42" i="67"/>
  <c r="AZ42" i="67"/>
  <c r="BB42" i="67"/>
  <c r="BD42" i="67"/>
  <c r="BE42" i="67"/>
  <c r="BF42" i="67"/>
  <c r="AR43" i="67"/>
  <c r="AS43" i="67"/>
  <c r="AT43" i="67"/>
  <c r="AU43" i="67"/>
  <c r="AV43" i="67"/>
  <c r="AW43" i="67"/>
  <c r="AX43" i="67"/>
  <c r="AY43" i="67"/>
  <c r="AZ43" i="67"/>
  <c r="BB43" i="67"/>
  <c r="BD43" i="67"/>
  <c r="BE43" i="67"/>
  <c r="BF43" i="67"/>
  <c r="AR44" i="67"/>
  <c r="AS44" i="67"/>
  <c r="AT44" i="67"/>
  <c r="AU44" i="67"/>
  <c r="AV44" i="67"/>
  <c r="AW44" i="67"/>
  <c r="AX44" i="67"/>
  <c r="AY44" i="67"/>
  <c r="AZ44" i="67"/>
  <c r="BB44" i="67"/>
  <c r="BD44" i="67"/>
  <c r="BE44" i="67"/>
  <c r="BF44" i="67"/>
  <c r="AR45" i="67"/>
  <c r="AS45" i="67"/>
  <c r="AT45" i="67"/>
  <c r="AU45" i="67"/>
  <c r="AV45" i="67"/>
  <c r="AW45" i="67"/>
  <c r="AX45" i="67"/>
  <c r="AY45" i="67"/>
  <c r="AZ45" i="67"/>
  <c r="BB45" i="67"/>
  <c r="BD45" i="67"/>
  <c r="BE45" i="67"/>
  <c r="BF45" i="67"/>
  <c r="AR46" i="67"/>
  <c r="AS46" i="67"/>
  <c r="AT46" i="67"/>
  <c r="AU46" i="67"/>
  <c r="AV46" i="67"/>
  <c r="AW46" i="67"/>
  <c r="AX46" i="67"/>
  <c r="AY46" i="67"/>
  <c r="AZ46" i="67"/>
  <c r="BB46" i="67"/>
  <c r="BD46" i="67"/>
  <c r="BE46" i="67"/>
  <c r="BF46" i="67"/>
  <c r="AR47" i="67"/>
  <c r="AS47" i="67"/>
  <c r="AT47" i="67"/>
  <c r="AU47" i="67"/>
  <c r="AV47" i="67"/>
  <c r="AW47" i="67"/>
  <c r="AX47" i="67"/>
  <c r="AY47" i="67"/>
  <c r="AZ47" i="67"/>
  <c r="BB47" i="67"/>
  <c r="BD47" i="67"/>
  <c r="BE47" i="67"/>
  <c r="BF47" i="67"/>
  <c r="AR48" i="67"/>
  <c r="AS48" i="67"/>
  <c r="AT48" i="67"/>
  <c r="AU48" i="67"/>
  <c r="AV48" i="67"/>
  <c r="AW48" i="67"/>
  <c r="AX48" i="67"/>
  <c r="AY48" i="67"/>
  <c r="AZ48" i="67"/>
  <c r="BB48" i="67"/>
  <c r="BD48" i="67"/>
  <c r="BE48" i="67"/>
  <c r="BF48" i="67"/>
  <c r="AR49" i="67"/>
  <c r="AS49" i="67"/>
  <c r="AT49" i="67"/>
  <c r="AU49" i="67"/>
  <c r="AV49" i="67"/>
  <c r="AW49" i="67"/>
  <c r="AX49" i="67"/>
  <c r="AY49" i="67"/>
  <c r="AZ49" i="67"/>
  <c r="BB49" i="67"/>
  <c r="BD49" i="67"/>
  <c r="BE49" i="67"/>
  <c r="BF49" i="67"/>
  <c r="AR50" i="67"/>
  <c r="AS50" i="67"/>
  <c r="AT50" i="67"/>
  <c r="AU50" i="67"/>
  <c r="AV50" i="67"/>
  <c r="AW50" i="67"/>
  <c r="AX50" i="67"/>
  <c r="AY50" i="67"/>
  <c r="AZ50" i="67"/>
  <c r="BB50" i="67"/>
  <c r="BD50" i="67"/>
  <c r="BE50" i="67"/>
  <c r="BF50" i="67"/>
  <c r="AR51" i="67"/>
  <c r="AS51" i="67"/>
  <c r="AT51" i="67"/>
  <c r="AU51" i="67"/>
  <c r="AV51" i="67"/>
  <c r="AW51" i="67"/>
  <c r="AX51" i="67"/>
  <c r="AY51" i="67"/>
  <c r="AZ51" i="67"/>
  <c r="BB51" i="67"/>
  <c r="BD51" i="67"/>
  <c r="BE51" i="67"/>
  <c r="BF51" i="67"/>
  <c r="AR52" i="67"/>
  <c r="AS52" i="67"/>
  <c r="AT52" i="67"/>
  <c r="AU52" i="67"/>
  <c r="AV52" i="67"/>
  <c r="AW52" i="67"/>
  <c r="AX52" i="67"/>
  <c r="AY52" i="67"/>
  <c r="AZ52" i="67"/>
  <c r="BB52" i="67"/>
  <c r="BD52" i="67"/>
  <c r="BE52" i="67"/>
  <c r="BF52" i="67"/>
  <c r="AR53" i="67"/>
  <c r="AS53" i="67"/>
  <c r="AT53" i="67"/>
  <c r="AU53" i="67"/>
  <c r="AV53" i="67"/>
  <c r="AW53" i="67"/>
  <c r="AX53" i="67"/>
  <c r="AY53" i="67"/>
  <c r="AZ53" i="67"/>
  <c r="BB53" i="67"/>
  <c r="BD53" i="67"/>
  <c r="BE53" i="67"/>
  <c r="BF53" i="67"/>
  <c r="AR54" i="67"/>
  <c r="AS54" i="67"/>
  <c r="AT54" i="67"/>
  <c r="AU54" i="67"/>
  <c r="AV54" i="67"/>
  <c r="AW54" i="67"/>
  <c r="AX54" i="67"/>
  <c r="AY54" i="67"/>
  <c r="AZ54" i="67"/>
  <c r="BB54" i="67"/>
  <c r="BD54" i="67"/>
  <c r="BE54" i="67"/>
  <c r="BF54" i="67"/>
  <c r="AR55" i="67"/>
  <c r="AS55" i="67"/>
  <c r="AT55" i="67"/>
  <c r="AU55" i="67"/>
  <c r="AV55" i="67"/>
  <c r="AW55" i="67"/>
  <c r="AX55" i="67"/>
  <c r="AY55" i="67"/>
  <c r="AZ55" i="67"/>
  <c r="BB55" i="67"/>
  <c r="BD55" i="67"/>
  <c r="BE55" i="67"/>
  <c r="BF55" i="67"/>
  <c r="AR56" i="67"/>
  <c r="AS56" i="67"/>
  <c r="AT56" i="67"/>
  <c r="AU56" i="67"/>
  <c r="AV56" i="67"/>
  <c r="AW56" i="67"/>
  <c r="AX56" i="67"/>
  <c r="AY56" i="67"/>
  <c r="AZ56" i="67"/>
  <c r="BB56" i="67"/>
  <c r="BD56" i="67"/>
  <c r="BE56" i="67"/>
  <c r="BF56" i="67"/>
  <c r="AR57" i="67"/>
  <c r="AS57" i="67"/>
  <c r="AT57" i="67"/>
  <c r="AU57" i="67"/>
  <c r="AV57" i="67"/>
  <c r="AW57" i="67"/>
  <c r="AX57" i="67"/>
  <c r="AY57" i="67"/>
  <c r="AZ57" i="67"/>
  <c r="BB57" i="67"/>
  <c r="BD57" i="67"/>
  <c r="BE57" i="67"/>
  <c r="BF57" i="67"/>
  <c r="AR58" i="67"/>
  <c r="AS58" i="67"/>
  <c r="AT58" i="67"/>
  <c r="AU58" i="67"/>
  <c r="AV58" i="67"/>
  <c r="AW58" i="67"/>
  <c r="AX58" i="67"/>
  <c r="AY58" i="67"/>
  <c r="AZ58" i="67"/>
  <c r="BB58" i="67"/>
  <c r="BD58" i="67"/>
  <c r="BE58" i="67"/>
  <c r="BF58" i="67"/>
  <c r="AR59" i="67"/>
  <c r="AS59" i="67"/>
  <c r="AT59" i="67"/>
  <c r="AU59" i="67"/>
  <c r="AV59" i="67"/>
  <c r="AW59" i="67"/>
  <c r="AX59" i="67"/>
  <c r="AY59" i="67"/>
  <c r="AZ59" i="67"/>
  <c r="BB59" i="67"/>
  <c r="BD59" i="67"/>
  <c r="BE59" i="67"/>
  <c r="BF59" i="67"/>
  <c r="AR60" i="67"/>
  <c r="AS60" i="67"/>
  <c r="AT60" i="67"/>
  <c r="AU60" i="67"/>
  <c r="AV60" i="67"/>
  <c r="AW60" i="67"/>
  <c r="AX60" i="67"/>
  <c r="AY60" i="67"/>
  <c r="AZ60" i="67"/>
  <c r="BB60" i="67"/>
  <c r="BD60" i="67"/>
  <c r="BE60" i="67"/>
  <c r="BF60" i="67"/>
  <c r="AR61" i="67"/>
  <c r="AS61" i="67"/>
  <c r="AT61" i="67"/>
  <c r="AU61" i="67"/>
  <c r="AV61" i="67"/>
  <c r="AW61" i="67"/>
  <c r="AX61" i="67"/>
  <c r="AY61" i="67"/>
  <c r="AZ61" i="67"/>
  <c r="BB61" i="67"/>
  <c r="BD61" i="67"/>
  <c r="BE61" i="67"/>
  <c r="BF61" i="67"/>
  <c r="AR62" i="67"/>
  <c r="AS62" i="67"/>
  <c r="AT62" i="67"/>
  <c r="AU62" i="67"/>
  <c r="AV62" i="67"/>
  <c r="AW62" i="67"/>
  <c r="AX62" i="67"/>
  <c r="AY62" i="67"/>
  <c r="AZ62" i="67"/>
  <c r="BB62" i="67"/>
  <c r="BD62" i="67"/>
  <c r="BE62" i="67"/>
  <c r="BF62" i="67"/>
  <c r="AR63" i="67"/>
  <c r="AS63" i="67"/>
  <c r="AT63" i="67"/>
  <c r="AU63" i="67"/>
  <c r="AV63" i="67"/>
  <c r="AW63" i="67"/>
  <c r="AX63" i="67"/>
  <c r="AY63" i="67"/>
  <c r="AZ63" i="67"/>
  <c r="BB63" i="67"/>
  <c r="BD63" i="67"/>
  <c r="BE63" i="67"/>
  <c r="BF63" i="67"/>
  <c r="AR64" i="67"/>
  <c r="AS64" i="67"/>
  <c r="AT64" i="67"/>
  <c r="AU64" i="67"/>
  <c r="AV64" i="67"/>
  <c r="AW64" i="67"/>
  <c r="AX64" i="67"/>
  <c r="AY64" i="67"/>
  <c r="AZ64" i="67"/>
  <c r="BB64" i="67"/>
  <c r="BD64" i="67"/>
  <c r="BE64" i="67"/>
  <c r="BF64" i="67"/>
  <c r="AR65" i="67"/>
  <c r="AS65" i="67"/>
  <c r="AT65" i="67"/>
  <c r="AU65" i="67"/>
  <c r="AV65" i="67"/>
  <c r="AW65" i="67"/>
  <c r="AX65" i="67"/>
  <c r="AY65" i="67"/>
  <c r="AZ65" i="67"/>
  <c r="BB65" i="67"/>
  <c r="BD65" i="67"/>
  <c r="BE65" i="67"/>
  <c r="BF65" i="67"/>
  <c r="AR66" i="67"/>
  <c r="AS66" i="67"/>
  <c r="AT66" i="67"/>
  <c r="AU66" i="67"/>
  <c r="AV66" i="67"/>
  <c r="AW66" i="67"/>
  <c r="AX66" i="67"/>
  <c r="AY66" i="67"/>
  <c r="AZ66" i="67"/>
  <c r="BB66" i="67"/>
  <c r="BD66" i="67"/>
  <c r="BE66" i="67"/>
  <c r="BF66" i="67"/>
  <c r="AR67" i="67"/>
  <c r="AS67" i="67"/>
  <c r="AT67" i="67"/>
  <c r="AU67" i="67"/>
  <c r="AV67" i="67"/>
  <c r="AW67" i="67"/>
  <c r="AX67" i="67"/>
  <c r="AY67" i="67"/>
  <c r="AZ67" i="67"/>
  <c r="BB67" i="67"/>
  <c r="BD67" i="67"/>
  <c r="BE67" i="67"/>
  <c r="BF67" i="67"/>
  <c r="AR68" i="67"/>
  <c r="AS68" i="67"/>
  <c r="AT68" i="67"/>
  <c r="AU68" i="67"/>
  <c r="AV68" i="67"/>
  <c r="AW68" i="67"/>
  <c r="AX68" i="67"/>
  <c r="AY68" i="67"/>
  <c r="AZ68" i="67"/>
  <c r="BB68" i="67"/>
  <c r="BD68" i="67"/>
  <c r="BE68" i="67"/>
  <c r="BF68" i="67"/>
  <c r="AR69" i="67"/>
  <c r="AS69" i="67"/>
  <c r="AT69" i="67"/>
  <c r="AU69" i="67"/>
  <c r="AV69" i="67"/>
  <c r="AW69" i="67"/>
  <c r="AX69" i="67"/>
  <c r="AY69" i="67"/>
  <c r="AZ69" i="67"/>
  <c r="BB69" i="67"/>
  <c r="BD69" i="67"/>
  <c r="BE69" i="67"/>
  <c r="BF69" i="67"/>
  <c r="AR70" i="67"/>
  <c r="AS70" i="67"/>
  <c r="AT70" i="67"/>
  <c r="AU70" i="67"/>
  <c r="AV70" i="67"/>
  <c r="AW70" i="67"/>
  <c r="AX70" i="67"/>
  <c r="AY70" i="67"/>
  <c r="AZ70" i="67"/>
  <c r="BB70" i="67"/>
  <c r="BD70" i="67"/>
  <c r="BE70" i="67"/>
  <c r="BF70" i="67"/>
  <c r="AR71" i="67"/>
  <c r="AS71" i="67"/>
  <c r="AT71" i="67"/>
  <c r="AU71" i="67"/>
  <c r="AV71" i="67"/>
  <c r="AW71" i="67"/>
  <c r="AX71" i="67"/>
  <c r="AY71" i="67"/>
  <c r="AZ71" i="67"/>
  <c r="BB71" i="67"/>
  <c r="BD71" i="67"/>
  <c r="BE71" i="67"/>
  <c r="BF71" i="67"/>
  <c r="AR72" i="67"/>
  <c r="AS72" i="67"/>
  <c r="AT72" i="67"/>
  <c r="AU72" i="67"/>
  <c r="AV72" i="67"/>
  <c r="AW72" i="67"/>
  <c r="AX72" i="67"/>
  <c r="AY72" i="67"/>
  <c r="AZ72" i="67"/>
  <c r="BB72" i="67"/>
  <c r="BD72" i="67"/>
  <c r="BE72" i="67"/>
  <c r="BF72" i="67"/>
  <c r="AR73" i="67"/>
  <c r="AS73" i="67"/>
  <c r="AT73" i="67"/>
  <c r="AU73" i="67"/>
  <c r="AV73" i="67"/>
  <c r="AW73" i="67"/>
  <c r="AX73" i="67"/>
  <c r="AY73" i="67"/>
  <c r="AZ73" i="67"/>
  <c r="BB73" i="67"/>
  <c r="BD73" i="67"/>
  <c r="BE73" i="67"/>
  <c r="BF73" i="67"/>
  <c r="AR74" i="67"/>
  <c r="AS74" i="67"/>
  <c r="AT74" i="67"/>
  <c r="AU74" i="67"/>
  <c r="AV74" i="67"/>
  <c r="AW74" i="67"/>
  <c r="AX74" i="67"/>
  <c r="AY74" i="67"/>
  <c r="AZ74" i="67"/>
  <c r="BB74" i="67"/>
  <c r="BD74" i="67"/>
  <c r="BE74" i="67"/>
  <c r="BF74" i="67"/>
  <c r="AR75" i="67"/>
  <c r="AS75" i="67"/>
  <c r="AT75" i="67"/>
  <c r="AU75" i="67"/>
  <c r="AV75" i="67"/>
  <c r="AW75" i="67"/>
  <c r="AX75" i="67"/>
  <c r="AY75" i="67"/>
  <c r="AZ75" i="67"/>
  <c r="BB75" i="67"/>
  <c r="BD75" i="67"/>
  <c r="BE75" i="67"/>
  <c r="BF75" i="67"/>
  <c r="AR76" i="67"/>
  <c r="AS76" i="67"/>
  <c r="AT76" i="67"/>
  <c r="AU76" i="67"/>
  <c r="AV76" i="67"/>
  <c r="AW76" i="67"/>
  <c r="AX76" i="67"/>
  <c r="AY76" i="67"/>
  <c r="AZ76" i="67"/>
  <c r="BB76" i="67"/>
  <c r="BD76" i="67"/>
  <c r="BE76" i="67"/>
  <c r="BF76" i="67"/>
  <c r="AR77" i="67"/>
  <c r="AS77" i="67"/>
  <c r="AT77" i="67"/>
  <c r="AU77" i="67"/>
  <c r="AV77" i="67"/>
  <c r="AW77" i="67"/>
  <c r="AX77" i="67"/>
  <c r="AY77" i="67"/>
  <c r="AZ77" i="67"/>
  <c r="BB77" i="67"/>
  <c r="BD77" i="67"/>
  <c r="BE77" i="67"/>
  <c r="BF77" i="67"/>
  <c r="AR78" i="67"/>
  <c r="AS78" i="67"/>
  <c r="AT78" i="67"/>
  <c r="AU78" i="67"/>
  <c r="AV78" i="67"/>
  <c r="AW78" i="67"/>
  <c r="AX78" i="67"/>
  <c r="AY78" i="67"/>
  <c r="AZ78" i="67"/>
  <c r="BB78" i="67"/>
  <c r="BD78" i="67"/>
  <c r="BE78" i="67"/>
  <c r="BF78" i="67"/>
  <c r="AR79" i="67"/>
  <c r="AS79" i="67"/>
  <c r="AT79" i="67"/>
  <c r="AU79" i="67"/>
  <c r="AV79" i="67"/>
  <c r="AW79" i="67"/>
  <c r="AX79" i="67"/>
  <c r="AY79" i="67"/>
  <c r="AZ79" i="67"/>
  <c r="BB79" i="67"/>
  <c r="BD79" i="67"/>
  <c r="BE79" i="67"/>
  <c r="BF79" i="67"/>
  <c r="AR80" i="67"/>
  <c r="AS80" i="67"/>
  <c r="AT80" i="67"/>
  <c r="AU80" i="67"/>
  <c r="AV80" i="67"/>
  <c r="AW80" i="67"/>
  <c r="AX80" i="67"/>
  <c r="AY80" i="67"/>
  <c r="AZ80" i="67"/>
  <c r="BB80" i="67"/>
  <c r="BD80" i="67"/>
  <c r="BE80" i="67"/>
  <c r="BF80" i="67"/>
  <c r="AR81" i="67"/>
  <c r="AS81" i="67"/>
  <c r="AT81" i="67"/>
  <c r="AU81" i="67"/>
  <c r="AV81" i="67"/>
  <c r="AW81" i="67"/>
  <c r="AX81" i="67"/>
  <c r="AY81" i="67"/>
  <c r="AZ81" i="67"/>
  <c r="BB81" i="67"/>
  <c r="BD81" i="67"/>
  <c r="BE81" i="67"/>
  <c r="BF81" i="67"/>
  <c r="AR82" i="67"/>
  <c r="AS82" i="67"/>
  <c r="AT82" i="67"/>
  <c r="AU82" i="67"/>
  <c r="AV82" i="67"/>
  <c r="AW82" i="67"/>
  <c r="AX82" i="67"/>
  <c r="AY82" i="67"/>
  <c r="AZ82" i="67"/>
  <c r="BB82" i="67"/>
  <c r="BD82" i="67"/>
  <c r="BE82" i="67"/>
  <c r="BF82" i="67"/>
  <c r="AR83" i="67"/>
  <c r="AS83" i="67"/>
  <c r="AT83" i="67"/>
  <c r="AU83" i="67"/>
  <c r="AV83" i="67"/>
  <c r="AW83" i="67"/>
  <c r="AX83" i="67"/>
  <c r="AY83" i="67"/>
  <c r="AZ83" i="67"/>
  <c r="BB83" i="67"/>
  <c r="BD83" i="67"/>
  <c r="BE83" i="67"/>
  <c r="BF83" i="67"/>
  <c r="AR84" i="67"/>
  <c r="AS84" i="67"/>
  <c r="AT84" i="67"/>
  <c r="AU84" i="67"/>
  <c r="AV84" i="67"/>
  <c r="AW84" i="67"/>
  <c r="AX84" i="67"/>
  <c r="AY84" i="67"/>
  <c r="AZ84" i="67"/>
  <c r="BB84" i="67"/>
  <c r="BD84" i="67"/>
  <c r="BE84" i="67"/>
  <c r="BF84" i="67"/>
  <c r="AR85" i="67"/>
  <c r="AS85" i="67"/>
  <c r="AT85" i="67"/>
  <c r="AU85" i="67"/>
  <c r="AV85" i="67"/>
  <c r="AW85" i="67"/>
  <c r="AX85" i="67"/>
  <c r="AY85" i="67"/>
  <c r="AZ85" i="67"/>
  <c r="BB85" i="67"/>
  <c r="BD85" i="67"/>
  <c r="BE85" i="67"/>
  <c r="BF85" i="67"/>
  <c r="AR86" i="67"/>
  <c r="AS86" i="67"/>
  <c r="AT86" i="67"/>
  <c r="AU86" i="67"/>
  <c r="AV86" i="67"/>
  <c r="AW86" i="67"/>
  <c r="AX86" i="67"/>
  <c r="AY86" i="67"/>
  <c r="AZ86" i="67"/>
  <c r="BB86" i="67"/>
  <c r="BD86" i="67"/>
  <c r="BE86" i="67"/>
  <c r="BF86" i="67"/>
  <c r="AR87" i="67"/>
  <c r="AS87" i="67"/>
  <c r="AT87" i="67"/>
  <c r="AU87" i="67"/>
  <c r="AV87" i="67"/>
  <c r="AW87" i="67"/>
  <c r="AX87" i="67"/>
  <c r="AY87" i="67"/>
  <c r="AZ87" i="67"/>
  <c r="BB87" i="67"/>
  <c r="BD87" i="67"/>
  <c r="BE87" i="67"/>
  <c r="BF87" i="67"/>
  <c r="AR88" i="67"/>
  <c r="AS88" i="67"/>
  <c r="AT88" i="67"/>
  <c r="AU88" i="67"/>
  <c r="AV88" i="67"/>
  <c r="AW88" i="67"/>
  <c r="AX88" i="67"/>
  <c r="AY88" i="67"/>
  <c r="AZ88" i="67"/>
  <c r="BB88" i="67"/>
  <c r="BD88" i="67"/>
  <c r="BE88" i="67"/>
  <c r="BF88" i="67"/>
  <c r="AR89" i="67"/>
  <c r="AS89" i="67"/>
  <c r="AT89" i="67"/>
  <c r="AU89" i="67"/>
  <c r="AV89" i="67"/>
  <c r="AW89" i="67"/>
  <c r="AX89" i="67"/>
  <c r="AY89" i="67"/>
  <c r="AZ89" i="67"/>
  <c r="BB89" i="67"/>
  <c r="BD89" i="67"/>
  <c r="BE89" i="67"/>
  <c r="BF89" i="67"/>
  <c r="AR90" i="67"/>
  <c r="AS90" i="67"/>
  <c r="AT90" i="67"/>
  <c r="AU90" i="67"/>
  <c r="AV90" i="67"/>
  <c r="AW90" i="67"/>
  <c r="AX90" i="67"/>
  <c r="AY90" i="67"/>
  <c r="AZ90" i="67"/>
  <c r="BB90" i="67"/>
  <c r="BD90" i="67"/>
  <c r="BE90" i="67"/>
  <c r="BF90" i="67"/>
  <c r="AR91" i="67"/>
  <c r="AS91" i="67"/>
  <c r="AT91" i="67"/>
  <c r="AU91" i="67"/>
  <c r="AV91" i="67"/>
  <c r="AW91" i="67"/>
  <c r="AX91" i="67"/>
  <c r="AY91" i="67"/>
  <c r="AZ91" i="67"/>
  <c r="BB91" i="67"/>
  <c r="BD91" i="67"/>
  <c r="BE91" i="67"/>
  <c r="BF91" i="67"/>
  <c r="AR92" i="67"/>
  <c r="AS92" i="67"/>
  <c r="AT92" i="67"/>
  <c r="AU92" i="67"/>
  <c r="AV92" i="67"/>
  <c r="AW92" i="67"/>
  <c r="AX92" i="67"/>
  <c r="AY92" i="67"/>
  <c r="AZ92" i="67"/>
  <c r="BB92" i="67"/>
  <c r="BD92" i="67"/>
  <c r="BE92" i="67"/>
  <c r="BF92" i="67"/>
  <c r="AR93" i="67"/>
  <c r="AS93" i="67"/>
  <c r="AT93" i="67"/>
  <c r="AU93" i="67"/>
  <c r="AV93" i="67"/>
  <c r="AW93" i="67"/>
  <c r="AX93" i="67"/>
  <c r="AY93" i="67"/>
  <c r="AZ93" i="67"/>
  <c r="BB93" i="67"/>
  <c r="BD93" i="67"/>
  <c r="BE93" i="67"/>
  <c r="BF93" i="67"/>
  <c r="AR94" i="67"/>
  <c r="AS94" i="67"/>
  <c r="AT94" i="67"/>
  <c r="AU94" i="67"/>
  <c r="AV94" i="67"/>
  <c r="AW94" i="67"/>
  <c r="AX94" i="67"/>
  <c r="AY94" i="67"/>
  <c r="AZ94" i="67"/>
  <c r="BB94" i="67"/>
  <c r="BD94" i="67"/>
  <c r="BE94" i="67"/>
  <c r="BF94" i="67"/>
  <c r="AR95" i="67"/>
  <c r="AS95" i="67"/>
  <c r="AT95" i="67"/>
  <c r="AU95" i="67"/>
  <c r="AV95" i="67"/>
  <c r="AW95" i="67"/>
  <c r="AX95" i="67"/>
  <c r="AY95" i="67"/>
  <c r="AZ95" i="67"/>
  <c r="BB95" i="67"/>
  <c r="BD95" i="67"/>
  <c r="BE95" i="67"/>
  <c r="BF95" i="67"/>
  <c r="AR96" i="67"/>
  <c r="AS96" i="67"/>
  <c r="AT96" i="67"/>
  <c r="AU96" i="67"/>
  <c r="AV96" i="67"/>
  <c r="AW96" i="67"/>
  <c r="AX96" i="67"/>
  <c r="AY96" i="67"/>
  <c r="AZ96" i="67"/>
  <c r="BB96" i="67"/>
  <c r="BD96" i="67"/>
  <c r="BE96" i="67"/>
  <c r="BF96" i="67"/>
  <c r="AR97" i="67"/>
  <c r="AS97" i="67"/>
  <c r="AT97" i="67"/>
  <c r="AU97" i="67"/>
  <c r="AV97" i="67"/>
  <c r="AW97" i="67"/>
  <c r="AX97" i="67"/>
  <c r="AY97" i="67"/>
  <c r="AZ97" i="67"/>
  <c r="BB97" i="67"/>
  <c r="BD97" i="67"/>
  <c r="BE97" i="67"/>
  <c r="BF97" i="67"/>
  <c r="AR98" i="67"/>
  <c r="AS98" i="67"/>
  <c r="AT98" i="67"/>
  <c r="AU98" i="67"/>
  <c r="AV98" i="67"/>
  <c r="AW98" i="67"/>
  <c r="AX98" i="67"/>
  <c r="AY98" i="67"/>
  <c r="AZ98" i="67"/>
  <c r="BB98" i="67"/>
  <c r="BD98" i="67"/>
  <c r="BE98" i="67"/>
  <c r="BF98" i="67"/>
  <c r="AR99" i="67"/>
  <c r="AS99" i="67"/>
  <c r="AT99" i="67"/>
  <c r="AU99" i="67"/>
  <c r="AV99" i="67"/>
  <c r="AW99" i="67"/>
  <c r="AX99" i="67"/>
  <c r="AY99" i="67"/>
  <c r="AZ99" i="67"/>
  <c r="BB99" i="67"/>
  <c r="BD99" i="67"/>
  <c r="BE99" i="67"/>
  <c r="BF99" i="67"/>
  <c r="AR100" i="67"/>
  <c r="AS100" i="67"/>
  <c r="AT100" i="67"/>
  <c r="AU100" i="67"/>
  <c r="AV100" i="67"/>
  <c r="AW100" i="67"/>
  <c r="AX100" i="67"/>
  <c r="AY100" i="67"/>
  <c r="AZ100" i="67"/>
  <c r="BB100" i="67"/>
  <c r="BD100" i="67"/>
  <c r="BE100" i="67"/>
  <c r="BF100" i="67"/>
  <c r="AR101" i="67"/>
  <c r="AS101" i="67"/>
  <c r="AT101" i="67"/>
  <c r="AU101" i="67"/>
  <c r="AV101" i="67"/>
  <c r="AW101" i="67"/>
  <c r="AX101" i="67"/>
  <c r="AY101" i="67"/>
  <c r="AZ101" i="67"/>
  <c r="BB101" i="67"/>
  <c r="BD101" i="67"/>
  <c r="BE101" i="67"/>
  <c r="BF101" i="67"/>
  <c r="AR102" i="67"/>
  <c r="AS102" i="67"/>
  <c r="AT102" i="67"/>
  <c r="AU102" i="67"/>
  <c r="AV102" i="67"/>
  <c r="AW102" i="67"/>
  <c r="AX102" i="67"/>
  <c r="AY102" i="67"/>
  <c r="AZ102" i="67"/>
  <c r="BB102" i="67"/>
  <c r="BD102" i="67"/>
  <c r="BE102" i="67"/>
  <c r="BF102" i="67"/>
  <c r="AR103" i="67"/>
  <c r="AS103" i="67"/>
  <c r="AT103" i="67"/>
  <c r="AU103" i="67"/>
  <c r="AV103" i="67"/>
  <c r="AW103" i="67"/>
  <c r="AX103" i="67"/>
  <c r="AY103" i="67"/>
  <c r="AZ103" i="67"/>
  <c r="BB103" i="67"/>
  <c r="BD103" i="67"/>
  <c r="BE103" i="67"/>
  <c r="BF103" i="67"/>
  <c r="AR104" i="67"/>
  <c r="AS104" i="67"/>
  <c r="AT104" i="67"/>
  <c r="AU104" i="67"/>
  <c r="AV104" i="67"/>
  <c r="AW104" i="67"/>
  <c r="AX104" i="67"/>
  <c r="AY104" i="67"/>
  <c r="AZ104" i="67"/>
  <c r="BB104" i="67"/>
  <c r="BD104" i="67"/>
  <c r="BE104" i="67"/>
  <c r="BF104" i="67"/>
  <c r="AR105" i="67"/>
  <c r="AS105" i="67"/>
  <c r="AT105" i="67"/>
  <c r="AU105" i="67"/>
  <c r="AV105" i="67"/>
  <c r="AW105" i="67"/>
  <c r="AX105" i="67"/>
  <c r="AY105" i="67"/>
  <c r="AZ105" i="67"/>
  <c r="BB105" i="67"/>
  <c r="BD105" i="67"/>
  <c r="BE105" i="67"/>
  <c r="BF105" i="67"/>
  <c r="AR106" i="67"/>
  <c r="AS106" i="67"/>
  <c r="AT106" i="67"/>
  <c r="AU106" i="67"/>
  <c r="AV106" i="67"/>
  <c r="AW106" i="67"/>
  <c r="AX106" i="67"/>
  <c r="AY106" i="67"/>
  <c r="AZ106" i="67"/>
  <c r="BB106" i="67"/>
  <c r="BD106" i="67"/>
  <c r="BE106" i="67"/>
  <c r="BF106" i="67"/>
  <c r="AR107" i="67"/>
  <c r="AS107" i="67"/>
  <c r="AT107" i="67"/>
  <c r="AU107" i="67"/>
  <c r="AV107" i="67"/>
  <c r="AW107" i="67"/>
  <c r="AX107" i="67"/>
  <c r="AY107" i="67"/>
  <c r="AZ107" i="67"/>
  <c r="BB107" i="67"/>
  <c r="BD107" i="67"/>
  <c r="BE107" i="67"/>
  <c r="BF107" i="67"/>
  <c r="AR108" i="67"/>
  <c r="AS108" i="67"/>
  <c r="AT108" i="67"/>
  <c r="AU108" i="67"/>
  <c r="AV108" i="67"/>
  <c r="AW108" i="67"/>
  <c r="AX108" i="67"/>
  <c r="AY108" i="67"/>
  <c r="AZ108" i="67"/>
  <c r="BB108" i="67"/>
  <c r="BD108" i="67"/>
  <c r="BE108" i="67"/>
  <c r="BF108" i="67"/>
  <c r="AR109" i="67"/>
  <c r="AS109" i="67"/>
  <c r="AT109" i="67"/>
  <c r="AU109" i="67"/>
  <c r="AV109" i="67"/>
  <c r="AW109" i="67"/>
  <c r="AX109" i="67"/>
  <c r="AY109" i="67"/>
  <c r="AZ109" i="67"/>
  <c r="BB109" i="67"/>
  <c r="BD109" i="67"/>
  <c r="BE109" i="67"/>
  <c r="BF109" i="67"/>
  <c r="AR110" i="67"/>
  <c r="AS110" i="67"/>
  <c r="AT110" i="67"/>
  <c r="AU110" i="67"/>
  <c r="AV110" i="67"/>
  <c r="AW110" i="67"/>
  <c r="AX110" i="67"/>
  <c r="AY110" i="67"/>
  <c r="AZ110" i="67"/>
  <c r="BB110" i="67"/>
  <c r="BD110" i="67"/>
  <c r="BE110" i="67"/>
  <c r="BF110" i="67"/>
  <c r="AR111" i="67"/>
  <c r="AS111" i="67"/>
  <c r="AT111" i="67"/>
  <c r="AU111" i="67"/>
  <c r="AV111" i="67"/>
  <c r="AW111" i="67"/>
  <c r="AX111" i="67"/>
  <c r="AY111" i="67"/>
  <c r="AZ111" i="67"/>
  <c r="BB111" i="67"/>
  <c r="BD111" i="67"/>
  <c r="BE111" i="67"/>
  <c r="BF111" i="67"/>
  <c r="AR112" i="67"/>
  <c r="AS112" i="67"/>
  <c r="AT112" i="67"/>
  <c r="AU112" i="67"/>
  <c r="AV112" i="67"/>
  <c r="AW112" i="67"/>
  <c r="AX112" i="67"/>
  <c r="AY112" i="67"/>
  <c r="AZ112" i="67"/>
  <c r="BB112" i="67"/>
  <c r="BD112" i="67"/>
  <c r="BE112" i="67"/>
  <c r="BF112" i="67"/>
  <c r="AR113" i="67"/>
  <c r="AS113" i="67"/>
  <c r="AT113" i="67"/>
  <c r="AU113" i="67"/>
  <c r="AV113" i="67"/>
  <c r="AW113" i="67"/>
  <c r="AX113" i="67"/>
  <c r="AY113" i="67"/>
  <c r="AZ113" i="67"/>
  <c r="BB113" i="67"/>
  <c r="BD113" i="67"/>
  <c r="BE113" i="67"/>
  <c r="BF113" i="67"/>
  <c r="AR114" i="67"/>
  <c r="AS114" i="67"/>
  <c r="AT114" i="67"/>
  <c r="AU114" i="67"/>
  <c r="AV114" i="67"/>
  <c r="AW114" i="67"/>
  <c r="AX114" i="67"/>
  <c r="AY114" i="67"/>
  <c r="AZ114" i="67"/>
  <c r="BB114" i="67"/>
  <c r="BD114" i="67"/>
  <c r="BE114" i="67"/>
  <c r="BF114" i="67"/>
  <c r="AR115" i="67"/>
  <c r="AS115" i="67"/>
  <c r="AT115" i="67"/>
  <c r="AU115" i="67"/>
  <c r="AV115" i="67"/>
  <c r="AW115" i="67"/>
  <c r="AX115" i="67"/>
  <c r="AY115" i="67"/>
  <c r="AZ115" i="67"/>
  <c r="BB115" i="67"/>
  <c r="BD115" i="67"/>
  <c r="BE115" i="67"/>
  <c r="BF115" i="67"/>
  <c r="AR116" i="67"/>
  <c r="AS116" i="67"/>
  <c r="AT116" i="67"/>
  <c r="AU116" i="67"/>
  <c r="AV116" i="67"/>
  <c r="AW116" i="67"/>
  <c r="AX116" i="67"/>
  <c r="AY116" i="67"/>
  <c r="AZ116" i="67"/>
  <c r="BB116" i="67"/>
  <c r="BD116" i="67"/>
  <c r="BE116" i="67"/>
  <c r="BF116" i="67"/>
  <c r="AR117" i="67"/>
  <c r="AS117" i="67"/>
  <c r="AT117" i="67"/>
  <c r="AU117" i="67"/>
  <c r="AV117" i="67"/>
  <c r="AW117" i="67"/>
  <c r="AX117" i="67"/>
  <c r="AY117" i="67"/>
  <c r="AZ117" i="67"/>
  <c r="BB117" i="67"/>
  <c r="BD117" i="67"/>
  <c r="BE117" i="67"/>
  <c r="BF117" i="67"/>
  <c r="AR118" i="67"/>
  <c r="AS118" i="67"/>
  <c r="AT118" i="67"/>
  <c r="AU118" i="67"/>
  <c r="AV118" i="67"/>
  <c r="AW118" i="67"/>
  <c r="AX118" i="67"/>
  <c r="AY118" i="67"/>
  <c r="AZ118" i="67"/>
  <c r="BB118" i="67"/>
  <c r="BD118" i="67"/>
  <c r="BE118" i="67"/>
  <c r="BF118" i="67"/>
  <c r="AR119" i="67"/>
  <c r="AS119" i="67"/>
  <c r="AT119" i="67"/>
  <c r="AU119" i="67"/>
  <c r="AV119" i="67"/>
  <c r="AW119" i="67"/>
  <c r="AX119" i="67"/>
  <c r="AY119" i="67"/>
  <c r="AZ119" i="67"/>
  <c r="BB119" i="67"/>
  <c r="BD119" i="67"/>
  <c r="BE119" i="67"/>
  <c r="BF119" i="67"/>
  <c r="AR120" i="67"/>
  <c r="AS120" i="67"/>
  <c r="AT120" i="67"/>
  <c r="AU120" i="67"/>
  <c r="AV120" i="67"/>
  <c r="AW120" i="67"/>
  <c r="AX120" i="67"/>
  <c r="AY120" i="67"/>
  <c r="AZ120" i="67"/>
  <c r="BB120" i="67"/>
  <c r="BD120" i="67"/>
  <c r="BE120" i="67"/>
  <c r="BF120" i="67"/>
  <c r="AR121" i="67"/>
  <c r="AS121" i="67"/>
  <c r="AT121" i="67"/>
  <c r="AU121" i="67"/>
  <c r="AV121" i="67"/>
  <c r="AW121" i="67"/>
  <c r="AX121" i="67"/>
  <c r="AY121" i="67"/>
  <c r="AZ121" i="67"/>
  <c r="BB121" i="67"/>
  <c r="BD121" i="67"/>
  <c r="BE121" i="67"/>
  <c r="BF121" i="67"/>
  <c r="AR122" i="67"/>
  <c r="AS122" i="67"/>
  <c r="AT122" i="67"/>
  <c r="AU122" i="67"/>
  <c r="AV122" i="67"/>
  <c r="AW122" i="67"/>
  <c r="AX122" i="67"/>
  <c r="AY122" i="67"/>
  <c r="AZ122" i="67"/>
  <c r="BB122" i="67"/>
  <c r="BD122" i="67"/>
  <c r="BE122" i="67"/>
  <c r="BF122" i="67"/>
  <c r="AR123" i="67"/>
  <c r="AS123" i="67"/>
  <c r="AT123" i="67"/>
  <c r="AU123" i="67"/>
  <c r="AV123" i="67"/>
  <c r="AW123" i="67"/>
  <c r="AX123" i="67"/>
  <c r="AY123" i="67"/>
  <c r="AZ123" i="67"/>
  <c r="BB123" i="67"/>
  <c r="BD123" i="67"/>
  <c r="BE123" i="67"/>
  <c r="BF123" i="67"/>
  <c r="AR124" i="67"/>
  <c r="AS124" i="67"/>
  <c r="AT124" i="67"/>
  <c r="AU124" i="67"/>
  <c r="AV124" i="67"/>
  <c r="AW124" i="67"/>
  <c r="AX124" i="67"/>
  <c r="AY124" i="67"/>
  <c r="AZ124" i="67"/>
  <c r="BB124" i="67"/>
  <c r="BD124" i="67"/>
  <c r="BE124" i="67"/>
  <c r="BF124" i="67"/>
  <c r="AR125" i="67"/>
  <c r="AS125" i="67"/>
  <c r="AT125" i="67"/>
  <c r="AU125" i="67"/>
  <c r="AV125" i="67"/>
  <c r="AW125" i="67"/>
  <c r="AX125" i="67"/>
  <c r="AY125" i="67"/>
  <c r="AZ125" i="67"/>
  <c r="BB125" i="67"/>
  <c r="BD125" i="67"/>
  <c r="BE125" i="67"/>
  <c r="BF125" i="67"/>
  <c r="AR126" i="67"/>
  <c r="AS126" i="67"/>
  <c r="AT126" i="67"/>
  <c r="AU126" i="67"/>
  <c r="AV126" i="67"/>
  <c r="AW126" i="67"/>
  <c r="AX126" i="67"/>
  <c r="AY126" i="67"/>
  <c r="AZ126" i="67"/>
  <c r="BB126" i="67"/>
  <c r="BD126" i="67"/>
  <c r="BE126" i="67"/>
  <c r="BF126" i="67"/>
  <c r="AR127" i="67"/>
  <c r="AS127" i="67"/>
  <c r="AT127" i="67"/>
  <c r="AU127" i="67"/>
  <c r="AV127" i="67"/>
  <c r="AW127" i="67"/>
  <c r="AX127" i="67"/>
  <c r="AY127" i="67"/>
  <c r="AZ127" i="67"/>
  <c r="BB127" i="67"/>
  <c r="BD127" i="67"/>
  <c r="BE127" i="67"/>
  <c r="BF127" i="67"/>
  <c r="AR128" i="67"/>
  <c r="AS128" i="67"/>
  <c r="AT128" i="67"/>
  <c r="AU128" i="67"/>
  <c r="AV128" i="67"/>
  <c r="AW128" i="67"/>
  <c r="AX128" i="67"/>
  <c r="AY128" i="67"/>
  <c r="AZ128" i="67"/>
  <c r="BB128" i="67"/>
  <c r="BD128" i="67"/>
  <c r="BE128" i="67"/>
  <c r="BF128" i="67"/>
  <c r="AR129" i="67"/>
  <c r="AS129" i="67"/>
  <c r="AT129" i="67"/>
  <c r="AU129" i="67"/>
  <c r="AV129" i="67"/>
  <c r="AW129" i="67"/>
  <c r="AX129" i="67"/>
  <c r="AY129" i="67"/>
  <c r="AZ129" i="67"/>
  <c r="BB129" i="67"/>
  <c r="BD129" i="67"/>
  <c r="BE129" i="67"/>
  <c r="BF129" i="67"/>
  <c r="AR130" i="67"/>
  <c r="AS130" i="67"/>
  <c r="AT130" i="67"/>
  <c r="AU130" i="67"/>
  <c r="AV130" i="67"/>
  <c r="AW130" i="67"/>
  <c r="AX130" i="67"/>
  <c r="AY130" i="67"/>
  <c r="AZ130" i="67"/>
  <c r="BB130" i="67"/>
  <c r="BD130" i="67"/>
  <c r="BE130" i="67"/>
  <c r="BF130" i="67"/>
  <c r="AR131" i="67"/>
  <c r="AS131" i="67"/>
  <c r="AT131" i="67"/>
  <c r="AU131" i="67"/>
  <c r="AV131" i="67"/>
  <c r="AW131" i="67"/>
  <c r="AX131" i="67"/>
  <c r="AY131" i="67"/>
  <c r="AZ131" i="67"/>
  <c r="BB131" i="67"/>
  <c r="BD131" i="67"/>
  <c r="BE131" i="67"/>
  <c r="BF131" i="67"/>
  <c r="AR132" i="67"/>
  <c r="AS132" i="67"/>
  <c r="AT132" i="67"/>
  <c r="AU132" i="67"/>
  <c r="AV132" i="67"/>
  <c r="AW132" i="67"/>
  <c r="AX132" i="67"/>
  <c r="AY132" i="67"/>
  <c r="AZ132" i="67"/>
  <c r="BB132" i="67"/>
  <c r="BD132" i="67"/>
  <c r="BE132" i="67"/>
  <c r="BF132" i="67"/>
  <c r="AR133" i="67"/>
  <c r="AS133" i="67"/>
  <c r="AT133" i="67"/>
  <c r="AU133" i="67"/>
  <c r="AV133" i="67"/>
  <c r="AW133" i="67"/>
  <c r="AX133" i="67"/>
  <c r="AY133" i="67"/>
  <c r="AZ133" i="67"/>
  <c r="BB133" i="67"/>
  <c r="BD133" i="67"/>
  <c r="BE133" i="67"/>
  <c r="BF133" i="67"/>
  <c r="AR134" i="67"/>
  <c r="AS134" i="67"/>
  <c r="AT134" i="67"/>
  <c r="AU134" i="67"/>
  <c r="AV134" i="67"/>
  <c r="AW134" i="67"/>
  <c r="AX134" i="67"/>
  <c r="AY134" i="67"/>
  <c r="AZ134" i="67"/>
  <c r="BB134" i="67"/>
  <c r="BD134" i="67"/>
  <c r="BE134" i="67"/>
  <c r="BF134" i="67"/>
  <c r="AR135" i="67"/>
  <c r="AS135" i="67"/>
  <c r="AT135" i="67"/>
  <c r="AU135" i="67"/>
  <c r="AV135" i="67"/>
  <c r="AW135" i="67"/>
  <c r="AX135" i="67"/>
  <c r="AY135" i="67"/>
  <c r="AZ135" i="67"/>
  <c r="BB135" i="67"/>
  <c r="BD135" i="67"/>
  <c r="BE135" i="67"/>
  <c r="BF135" i="67"/>
  <c r="AR136" i="67"/>
  <c r="AS136" i="67"/>
  <c r="AT136" i="67"/>
  <c r="AU136" i="67"/>
  <c r="AV136" i="67"/>
  <c r="AW136" i="67"/>
  <c r="AX136" i="67"/>
  <c r="AY136" i="67"/>
  <c r="AZ136" i="67"/>
  <c r="BB136" i="67"/>
  <c r="BD136" i="67"/>
  <c r="BE136" i="67"/>
  <c r="BF136" i="67"/>
  <c r="AR137" i="67"/>
  <c r="AS137" i="67"/>
  <c r="AT137" i="67"/>
  <c r="AU137" i="67"/>
  <c r="AV137" i="67"/>
  <c r="AW137" i="67"/>
  <c r="AX137" i="67"/>
  <c r="AY137" i="67"/>
  <c r="AZ137" i="67"/>
  <c r="BB137" i="67"/>
  <c r="BD137" i="67"/>
  <c r="BE137" i="67"/>
  <c r="BF137" i="67"/>
  <c r="AR138" i="67"/>
  <c r="AS138" i="67"/>
  <c r="AT138" i="67"/>
  <c r="AU138" i="67"/>
  <c r="AV138" i="67"/>
  <c r="AW138" i="67"/>
  <c r="AX138" i="67"/>
  <c r="AY138" i="67"/>
  <c r="AZ138" i="67"/>
  <c r="BB138" i="67"/>
  <c r="BD138" i="67"/>
  <c r="BE138" i="67"/>
  <c r="BF138" i="67"/>
  <c r="AR139" i="67"/>
  <c r="AS139" i="67"/>
  <c r="AT139" i="67"/>
  <c r="AU139" i="67"/>
  <c r="AV139" i="67"/>
  <c r="AW139" i="67"/>
  <c r="AX139" i="67"/>
  <c r="AY139" i="67"/>
  <c r="AZ139" i="67"/>
  <c r="BB139" i="67"/>
  <c r="BD139" i="67"/>
  <c r="BE139" i="67"/>
  <c r="BF139" i="67"/>
  <c r="AR140" i="67"/>
  <c r="AS140" i="67"/>
  <c r="AT140" i="67"/>
  <c r="AU140" i="67"/>
  <c r="AV140" i="67"/>
  <c r="AW140" i="67"/>
  <c r="AX140" i="67"/>
  <c r="AY140" i="67"/>
  <c r="AZ140" i="67"/>
  <c r="BB140" i="67"/>
  <c r="BD140" i="67"/>
  <c r="BE140" i="67"/>
  <c r="BF140" i="67"/>
  <c r="AR141" i="67"/>
  <c r="AS141" i="67"/>
  <c r="AT141" i="67"/>
  <c r="AU141" i="67"/>
  <c r="AV141" i="67"/>
  <c r="AW141" i="67"/>
  <c r="AX141" i="67"/>
  <c r="AY141" i="67"/>
  <c r="AZ141" i="67"/>
  <c r="BB141" i="67"/>
  <c r="BD141" i="67"/>
  <c r="BE141" i="67"/>
  <c r="BF141" i="67"/>
  <c r="AR142" i="67"/>
  <c r="AS142" i="67"/>
  <c r="AT142" i="67"/>
  <c r="AU142" i="67"/>
  <c r="AV142" i="67"/>
  <c r="AW142" i="67"/>
  <c r="AX142" i="67"/>
  <c r="AY142" i="67"/>
  <c r="AZ142" i="67"/>
  <c r="BB142" i="67"/>
  <c r="BD142" i="67"/>
  <c r="BE142" i="67"/>
  <c r="BF142" i="67"/>
  <c r="AR143" i="67"/>
  <c r="AS143" i="67"/>
  <c r="AT143" i="67"/>
  <c r="AU143" i="67"/>
  <c r="AV143" i="67"/>
  <c r="AW143" i="67"/>
  <c r="AX143" i="67"/>
  <c r="AY143" i="67"/>
  <c r="AZ143" i="67"/>
  <c r="BB143" i="67"/>
  <c r="BD143" i="67"/>
  <c r="BE143" i="67"/>
  <c r="BF143" i="67"/>
  <c r="AR144" i="67"/>
  <c r="AS144" i="67"/>
  <c r="AT144" i="67"/>
  <c r="AU144" i="67"/>
  <c r="AV144" i="67"/>
  <c r="AW144" i="67"/>
  <c r="AX144" i="67"/>
  <c r="AY144" i="67"/>
  <c r="AZ144" i="67"/>
  <c r="BB144" i="67"/>
  <c r="BD144" i="67"/>
  <c r="BE144" i="67"/>
  <c r="BF144" i="67"/>
  <c r="AR145" i="67"/>
  <c r="AS145" i="67"/>
  <c r="AT145" i="67"/>
  <c r="AU145" i="67"/>
  <c r="AV145" i="67"/>
  <c r="AW145" i="67"/>
  <c r="AX145" i="67"/>
  <c r="AY145" i="67"/>
  <c r="AZ145" i="67"/>
  <c r="BB145" i="67"/>
  <c r="BD145" i="67"/>
  <c r="BE145" i="67"/>
  <c r="BF145" i="67"/>
  <c r="AR146" i="67"/>
  <c r="AS146" i="67"/>
  <c r="AT146" i="67"/>
  <c r="AU146" i="67"/>
  <c r="AV146" i="67"/>
  <c r="AW146" i="67"/>
  <c r="AX146" i="67"/>
  <c r="AY146" i="67"/>
  <c r="AZ146" i="67"/>
  <c r="BB146" i="67"/>
  <c r="BD146" i="67"/>
  <c r="BE146" i="67"/>
  <c r="BF146" i="67"/>
  <c r="AR147" i="67"/>
  <c r="AS147" i="67"/>
  <c r="AT147" i="67"/>
  <c r="AU147" i="67"/>
  <c r="AV147" i="67"/>
  <c r="AW147" i="67"/>
  <c r="AX147" i="67"/>
  <c r="AY147" i="67"/>
  <c r="AZ147" i="67"/>
  <c r="BB147" i="67"/>
  <c r="BD147" i="67"/>
  <c r="BE147" i="67"/>
  <c r="BF147" i="67"/>
  <c r="AR148" i="67"/>
  <c r="AS148" i="67"/>
  <c r="AT148" i="67"/>
  <c r="AU148" i="67"/>
  <c r="AV148" i="67"/>
  <c r="AW148" i="67"/>
  <c r="AX148" i="67"/>
  <c r="AY148" i="67"/>
  <c r="AZ148" i="67"/>
  <c r="BB148" i="67"/>
  <c r="BD148" i="67"/>
  <c r="BE148" i="67"/>
  <c r="BF148" i="67"/>
  <c r="AR149" i="67"/>
  <c r="AS149" i="67"/>
  <c r="AT149" i="67"/>
  <c r="AU149" i="67"/>
  <c r="AV149" i="67"/>
  <c r="AW149" i="67"/>
  <c r="AX149" i="67"/>
  <c r="AY149" i="67"/>
  <c r="AZ149" i="67"/>
  <c r="BB149" i="67"/>
  <c r="BD149" i="67"/>
  <c r="BE149" i="67"/>
  <c r="BF149" i="67"/>
  <c r="AR150" i="67"/>
  <c r="AS150" i="67"/>
  <c r="AT150" i="67"/>
  <c r="AU150" i="67"/>
  <c r="AV150" i="67"/>
  <c r="AW150" i="67"/>
  <c r="AX150" i="67"/>
  <c r="AY150" i="67"/>
  <c r="AZ150" i="67"/>
  <c r="BB150" i="67"/>
  <c r="BD150" i="67"/>
  <c r="BE150" i="67"/>
  <c r="BF150" i="67"/>
  <c r="AR151" i="67"/>
  <c r="AS151" i="67"/>
  <c r="AT151" i="67"/>
  <c r="AU151" i="67"/>
  <c r="AV151" i="67"/>
  <c r="AW151" i="67"/>
  <c r="AX151" i="67"/>
  <c r="AY151" i="67"/>
  <c r="AZ151" i="67"/>
  <c r="BB151" i="67"/>
  <c r="BD151" i="67"/>
  <c r="BE151" i="67"/>
  <c r="BF151" i="67"/>
  <c r="AR152" i="67"/>
  <c r="AS152" i="67"/>
  <c r="AT152" i="67"/>
  <c r="AU152" i="67"/>
  <c r="AV152" i="67"/>
  <c r="AW152" i="67"/>
  <c r="AX152" i="67"/>
  <c r="AY152" i="67"/>
  <c r="AZ152" i="67"/>
  <c r="BB152" i="67"/>
  <c r="BD152" i="67"/>
  <c r="BE152" i="67"/>
  <c r="BF152" i="67"/>
  <c r="AR153" i="67"/>
  <c r="AS153" i="67"/>
  <c r="AT153" i="67"/>
  <c r="AU153" i="67"/>
  <c r="AV153" i="67"/>
  <c r="AW153" i="67"/>
  <c r="AX153" i="67"/>
  <c r="AY153" i="67"/>
  <c r="AZ153" i="67"/>
  <c r="BB153" i="67"/>
  <c r="BD153" i="67"/>
  <c r="BE153" i="67"/>
  <c r="BF153" i="67"/>
  <c r="AR154" i="67"/>
  <c r="AS154" i="67"/>
  <c r="AT154" i="67"/>
  <c r="AU154" i="67"/>
  <c r="AV154" i="67"/>
  <c r="AW154" i="67"/>
  <c r="AX154" i="67"/>
  <c r="AY154" i="67"/>
  <c r="AZ154" i="67"/>
  <c r="BB154" i="67"/>
  <c r="BD154" i="67"/>
  <c r="BE154" i="67"/>
  <c r="BF154" i="67"/>
  <c r="AR155" i="67"/>
  <c r="AS155" i="67"/>
  <c r="AT155" i="67"/>
  <c r="AU155" i="67"/>
  <c r="AV155" i="67"/>
  <c r="AW155" i="67"/>
  <c r="AX155" i="67"/>
  <c r="AY155" i="67"/>
  <c r="AZ155" i="67"/>
  <c r="BB155" i="67"/>
  <c r="BD155" i="67"/>
  <c r="BE155" i="67"/>
  <c r="BF155" i="67"/>
  <c r="AR156" i="67"/>
  <c r="AS156" i="67"/>
  <c r="AT156" i="67"/>
  <c r="AU156" i="67"/>
  <c r="AV156" i="67"/>
  <c r="AW156" i="67"/>
  <c r="AX156" i="67"/>
  <c r="AY156" i="67"/>
  <c r="AZ156" i="67"/>
  <c r="BB156" i="67"/>
  <c r="BD156" i="67"/>
  <c r="BE156" i="67"/>
  <c r="BF156" i="67"/>
  <c r="AR157" i="67"/>
  <c r="AS157" i="67"/>
  <c r="AT157" i="67"/>
  <c r="AU157" i="67"/>
  <c r="AV157" i="67"/>
  <c r="AW157" i="67"/>
  <c r="AX157" i="67"/>
  <c r="AY157" i="67"/>
  <c r="AZ157" i="67"/>
  <c r="BB157" i="67"/>
  <c r="BD157" i="67"/>
  <c r="BE157" i="67"/>
  <c r="BF157" i="67"/>
  <c r="AR158" i="67"/>
  <c r="AS158" i="67"/>
  <c r="AT158" i="67"/>
  <c r="AU158" i="67"/>
  <c r="AV158" i="67"/>
  <c r="AW158" i="67"/>
  <c r="AX158" i="67"/>
  <c r="AY158" i="67"/>
  <c r="AZ158" i="67"/>
  <c r="BB158" i="67"/>
  <c r="BD158" i="67"/>
  <c r="BE158" i="67"/>
  <c r="BF158" i="67"/>
  <c r="AR159" i="67"/>
  <c r="AS159" i="67"/>
  <c r="AT159" i="67"/>
  <c r="AU159" i="67"/>
  <c r="AV159" i="67"/>
  <c r="AW159" i="67"/>
  <c r="AX159" i="67"/>
  <c r="AY159" i="67"/>
  <c r="AZ159" i="67"/>
  <c r="BB159" i="67"/>
  <c r="BD159" i="67"/>
  <c r="BE159" i="67"/>
  <c r="BF159" i="67"/>
  <c r="AR160" i="67"/>
  <c r="AS160" i="67"/>
  <c r="AT160" i="67"/>
  <c r="AU160" i="67"/>
  <c r="AV160" i="67"/>
  <c r="AW160" i="67"/>
  <c r="AX160" i="67"/>
  <c r="AY160" i="67"/>
  <c r="AZ160" i="67"/>
  <c r="BB160" i="67"/>
  <c r="BD160" i="67"/>
  <c r="BE160" i="67"/>
  <c r="BF160" i="67"/>
  <c r="AR161" i="67"/>
  <c r="AS161" i="67"/>
  <c r="AT161" i="67"/>
  <c r="AU161" i="67"/>
  <c r="AV161" i="67"/>
  <c r="AW161" i="67"/>
  <c r="AX161" i="67"/>
  <c r="AY161" i="67"/>
  <c r="AZ161" i="67"/>
  <c r="BB161" i="67"/>
  <c r="BD161" i="67"/>
  <c r="BE161" i="67"/>
  <c r="BF161" i="67"/>
  <c r="AR162" i="67"/>
  <c r="AS162" i="67"/>
  <c r="AT162" i="67"/>
  <c r="AU162" i="67"/>
  <c r="AV162" i="67"/>
  <c r="AW162" i="67"/>
  <c r="AX162" i="67"/>
  <c r="AY162" i="67"/>
  <c r="AZ162" i="67"/>
  <c r="BB162" i="67"/>
  <c r="BD162" i="67"/>
  <c r="BE162" i="67"/>
  <c r="BF162" i="67"/>
  <c r="AR163" i="67"/>
  <c r="AS163" i="67"/>
  <c r="AT163" i="67"/>
  <c r="AU163" i="67"/>
  <c r="AV163" i="67"/>
  <c r="AW163" i="67"/>
  <c r="AX163" i="67"/>
  <c r="AY163" i="67"/>
  <c r="AZ163" i="67"/>
  <c r="BB163" i="67"/>
  <c r="BD163" i="67"/>
  <c r="BE163" i="67"/>
  <c r="BF163" i="67"/>
  <c r="AR164" i="67"/>
  <c r="AS164" i="67"/>
  <c r="AT164" i="67"/>
  <c r="AU164" i="67"/>
  <c r="AV164" i="67"/>
  <c r="AW164" i="67"/>
  <c r="AX164" i="67"/>
  <c r="AY164" i="67"/>
  <c r="AZ164" i="67"/>
  <c r="BB164" i="67"/>
  <c r="BD164" i="67"/>
  <c r="BE164" i="67"/>
  <c r="BF164" i="67"/>
  <c r="AR165" i="67"/>
  <c r="AS165" i="67"/>
  <c r="AT165" i="67"/>
  <c r="AU165" i="67"/>
  <c r="AV165" i="67"/>
  <c r="AW165" i="67"/>
  <c r="AX165" i="67"/>
  <c r="AY165" i="67"/>
  <c r="AZ165" i="67"/>
  <c r="BB165" i="67"/>
  <c r="BD165" i="67"/>
  <c r="BE165" i="67"/>
  <c r="BF165" i="67"/>
  <c r="AR166" i="67"/>
  <c r="AS166" i="67"/>
  <c r="AT166" i="67"/>
  <c r="AU166" i="67"/>
  <c r="AV166" i="67"/>
  <c r="AW166" i="67"/>
  <c r="AX166" i="67"/>
  <c r="AY166" i="67"/>
  <c r="AZ166" i="67"/>
  <c r="BB166" i="67"/>
  <c r="BD166" i="67"/>
  <c r="BE166" i="67"/>
  <c r="BF166" i="67"/>
  <c r="AR167" i="67"/>
  <c r="AS167" i="67"/>
  <c r="AT167" i="67"/>
  <c r="AU167" i="67"/>
  <c r="AV167" i="67"/>
  <c r="AW167" i="67"/>
  <c r="AX167" i="67"/>
  <c r="AY167" i="67"/>
  <c r="AZ167" i="67"/>
  <c r="BB167" i="67"/>
  <c r="BD167" i="67"/>
  <c r="BE167" i="67"/>
  <c r="BF167" i="67"/>
  <c r="AR168" i="67"/>
  <c r="AS168" i="67"/>
  <c r="AT168" i="67"/>
  <c r="AU168" i="67"/>
  <c r="AV168" i="67"/>
  <c r="AW168" i="67"/>
  <c r="AX168" i="67"/>
  <c r="AY168" i="67"/>
  <c r="AZ168" i="67"/>
  <c r="BB168" i="67"/>
  <c r="BD168" i="67"/>
  <c r="BE168" i="67"/>
  <c r="BF168" i="67"/>
  <c r="AR169" i="67"/>
  <c r="AS169" i="67"/>
  <c r="AT169" i="67"/>
  <c r="AU169" i="67"/>
  <c r="AV169" i="67"/>
  <c r="AW169" i="67"/>
  <c r="AX169" i="67"/>
  <c r="AY169" i="67"/>
  <c r="AZ169" i="67"/>
  <c r="BB169" i="67"/>
  <c r="BD169" i="67"/>
  <c r="BE169" i="67"/>
  <c r="BF169" i="67"/>
  <c r="AR170" i="67"/>
  <c r="AS170" i="67"/>
  <c r="AT170" i="67"/>
  <c r="AU170" i="67"/>
  <c r="AV170" i="67"/>
  <c r="AW170" i="67"/>
  <c r="AX170" i="67"/>
  <c r="AY170" i="67"/>
  <c r="AZ170" i="67"/>
  <c r="BB170" i="67"/>
  <c r="BD170" i="67"/>
  <c r="BE170" i="67"/>
  <c r="BF170" i="67"/>
  <c r="AR171" i="67"/>
  <c r="AS171" i="67"/>
  <c r="AT171" i="67"/>
  <c r="AU171" i="67"/>
  <c r="AV171" i="67"/>
  <c r="AW171" i="67"/>
  <c r="AX171" i="67"/>
  <c r="AY171" i="67"/>
  <c r="AZ171" i="67"/>
  <c r="BB171" i="67"/>
  <c r="BD171" i="67"/>
  <c r="BE171" i="67"/>
  <c r="BF171" i="67"/>
  <c r="AR172" i="67"/>
  <c r="AS172" i="67"/>
  <c r="AT172" i="67"/>
  <c r="AU172" i="67"/>
  <c r="AV172" i="67"/>
  <c r="AW172" i="67"/>
  <c r="AX172" i="67"/>
  <c r="AY172" i="67"/>
  <c r="AZ172" i="67"/>
  <c r="BB172" i="67"/>
  <c r="BD172" i="67"/>
  <c r="BE172" i="67"/>
  <c r="BF172" i="67"/>
  <c r="AR173" i="67"/>
  <c r="AS173" i="67"/>
  <c r="AT173" i="67"/>
  <c r="AU173" i="67"/>
  <c r="AV173" i="67"/>
  <c r="AW173" i="67"/>
  <c r="AX173" i="67"/>
  <c r="AY173" i="67"/>
  <c r="AZ173" i="67"/>
  <c r="BB173" i="67"/>
  <c r="BD173" i="67"/>
  <c r="BE173" i="67"/>
  <c r="BF173" i="67"/>
  <c r="AR174" i="67"/>
  <c r="AS174" i="67"/>
  <c r="AT174" i="67"/>
  <c r="AU174" i="67"/>
  <c r="AV174" i="67"/>
  <c r="AW174" i="67"/>
  <c r="AX174" i="67"/>
  <c r="AY174" i="67"/>
  <c r="AZ174" i="67"/>
  <c r="BB174" i="67"/>
  <c r="BD174" i="67"/>
  <c r="BE174" i="67"/>
  <c r="BF174" i="67"/>
  <c r="AR175" i="67"/>
  <c r="AS175" i="67"/>
  <c r="AT175" i="67"/>
  <c r="AU175" i="67"/>
  <c r="AV175" i="67"/>
  <c r="AW175" i="67"/>
  <c r="AX175" i="67"/>
  <c r="AY175" i="67"/>
  <c r="AZ175" i="67"/>
  <c r="BB175" i="67"/>
  <c r="BD175" i="67"/>
  <c r="BE175" i="67"/>
  <c r="BF175" i="67"/>
  <c r="AR176" i="67"/>
  <c r="AS176" i="67"/>
  <c r="AT176" i="67"/>
  <c r="AU176" i="67"/>
  <c r="AV176" i="67"/>
  <c r="AW176" i="67"/>
  <c r="AX176" i="67"/>
  <c r="AY176" i="67"/>
  <c r="AZ176" i="67"/>
  <c r="BB176" i="67"/>
  <c r="BD176" i="67"/>
  <c r="BE176" i="67"/>
  <c r="BF176" i="67"/>
  <c r="AR177" i="67"/>
  <c r="AS177" i="67"/>
  <c r="AT177" i="67"/>
  <c r="AU177" i="67"/>
  <c r="AV177" i="67"/>
  <c r="AW177" i="67"/>
  <c r="AX177" i="67"/>
  <c r="AY177" i="67"/>
  <c r="AZ177" i="67"/>
  <c r="BB177" i="67"/>
  <c r="BD177" i="67"/>
  <c r="BE177" i="67"/>
  <c r="BF177" i="67"/>
  <c r="AR178" i="67"/>
  <c r="AS178" i="67"/>
  <c r="AT178" i="67"/>
  <c r="AU178" i="67"/>
  <c r="AV178" i="67"/>
  <c r="AW178" i="67"/>
  <c r="AX178" i="67"/>
  <c r="AY178" i="67"/>
  <c r="AZ178" i="67"/>
  <c r="BB178" i="67"/>
  <c r="BD178" i="67"/>
  <c r="BE178" i="67"/>
  <c r="BF178" i="67"/>
  <c r="AR179" i="67"/>
  <c r="AS179" i="67"/>
  <c r="AT179" i="67"/>
  <c r="AU179" i="67"/>
  <c r="AV179" i="67"/>
  <c r="AW179" i="67"/>
  <c r="AX179" i="67"/>
  <c r="AY179" i="67"/>
  <c r="AZ179" i="67"/>
  <c r="BB179" i="67"/>
  <c r="BD179" i="67"/>
  <c r="BE179" i="67"/>
  <c r="BF179" i="67"/>
  <c r="AR180" i="67"/>
  <c r="AS180" i="67"/>
  <c r="AT180" i="67"/>
  <c r="AU180" i="67"/>
  <c r="AV180" i="67"/>
  <c r="AW180" i="67"/>
  <c r="AX180" i="67"/>
  <c r="AY180" i="67"/>
  <c r="AZ180" i="67"/>
  <c r="BB180" i="67"/>
  <c r="BD180" i="67"/>
  <c r="BE180" i="67"/>
  <c r="BF180" i="67"/>
  <c r="AR181" i="67"/>
  <c r="AS181" i="67"/>
  <c r="AT181" i="67"/>
  <c r="AU181" i="67"/>
  <c r="AV181" i="67"/>
  <c r="AW181" i="67"/>
  <c r="AX181" i="67"/>
  <c r="AY181" i="67"/>
  <c r="AZ181" i="67"/>
  <c r="BB181" i="67"/>
  <c r="BD181" i="67"/>
  <c r="BE181" i="67"/>
  <c r="BF181" i="67"/>
  <c r="AR182" i="67"/>
  <c r="AS182" i="67"/>
  <c r="AT182" i="67"/>
  <c r="AU182" i="67"/>
  <c r="AV182" i="67"/>
  <c r="AW182" i="67"/>
  <c r="AX182" i="67"/>
  <c r="AY182" i="67"/>
  <c r="AZ182" i="67"/>
  <c r="BB182" i="67"/>
  <c r="BD182" i="67"/>
  <c r="BE182" i="67"/>
  <c r="BF182" i="67"/>
  <c r="AR183" i="67"/>
  <c r="AS183" i="67"/>
  <c r="AT183" i="67"/>
  <c r="AU183" i="67"/>
  <c r="AV183" i="67"/>
  <c r="AW183" i="67"/>
  <c r="AX183" i="67"/>
  <c r="AY183" i="67"/>
  <c r="AZ183" i="67"/>
  <c r="BB183" i="67"/>
  <c r="BD183" i="67"/>
  <c r="BE183" i="67"/>
  <c r="BF183" i="67"/>
  <c r="AR184" i="67"/>
  <c r="AS184" i="67"/>
  <c r="AT184" i="67"/>
  <c r="AU184" i="67"/>
  <c r="AV184" i="67"/>
  <c r="AW184" i="67"/>
  <c r="AX184" i="67"/>
  <c r="AY184" i="67"/>
  <c r="AZ184" i="67"/>
  <c r="BB184" i="67"/>
  <c r="BD184" i="67"/>
  <c r="BE184" i="67"/>
  <c r="BF184" i="67"/>
  <c r="AR185" i="67"/>
  <c r="AS185" i="67"/>
  <c r="AT185" i="67"/>
  <c r="AU185" i="67"/>
  <c r="AV185" i="67"/>
  <c r="AW185" i="67"/>
  <c r="AX185" i="67"/>
  <c r="AY185" i="67"/>
  <c r="AZ185" i="67"/>
  <c r="BB185" i="67"/>
  <c r="BD185" i="67"/>
  <c r="BE185" i="67"/>
  <c r="BF185" i="67"/>
  <c r="AR186" i="67"/>
  <c r="AS186" i="67"/>
  <c r="AT186" i="67"/>
  <c r="AU186" i="67"/>
  <c r="AV186" i="67"/>
  <c r="AW186" i="67"/>
  <c r="AX186" i="67"/>
  <c r="AY186" i="67"/>
  <c r="AZ186" i="67"/>
  <c r="BB186" i="67"/>
  <c r="BD186" i="67"/>
  <c r="BE186" i="67"/>
  <c r="BF186" i="67"/>
  <c r="AR187" i="67"/>
  <c r="AS187" i="67"/>
  <c r="AT187" i="67"/>
  <c r="AU187" i="67"/>
  <c r="AV187" i="67"/>
  <c r="AW187" i="67"/>
  <c r="AX187" i="67"/>
  <c r="AY187" i="67"/>
  <c r="AZ187" i="67"/>
  <c r="BB187" i="67"/>
  <c r="BD187" i="67"/>
  <c r="BE187" i="67"/>
  <c r="BF187" i="67"/>
  <c r="AR188" i="67"/>
  <c r="AS188" i="67"/>
  <c r="AT188" i="67"/>
  <c r="AU188" i="67"/>
  <c r="AV188" i="67"/>
  <c r="AW188" i="67"/>
  <c r="AX188" i="67"/>
  <c r="AY188" i="67"/>
  <c r="AZ188" i="67"/>
  <c r="BB188" i="67"/>
  <c r="BD188" i="67"/>
  <c r="BE188" i="67"/>
  <c r="BF188" i="67"/>
  <c r="AR189" i="67"/>
  <c r="AS189" i="67"/>
  <c r="AT189" i="67"/>
  <c r="AU189" i="67"/>
  <c r="AV189" i="67"/>
  <c r="AW189" i="67"/>
  <c r="AX189" i="67"/>
  <c r="AY189" i="67"/>
  <c r="AZ189" i="67"/>
  <c r="BB189" i="67"/>
  <c r="BD189" i="67"/>
  <c r="BE189" i="67"/>
  <c r="BF189" i="67"/>
  <c r="AR190" i="67"/>
  <c r="AS190" i="67"/>
  <c r="AT190" i="67"/>
  <c r="AU190" i="67"/>
  <c r="AV190" i="67"/>
  <c r="AW190" i="67"/>
  <c r="AX190" i="67"/>
  <c r="AY190" i="67"/>
  <c r="AZ190" i="67"/>
  <c r="BB190" i="67"/>
  <c r="BD190" i="67"/>
  <c r="BE190" i="67"/>
  <c r="BF190" i="67"/>
  <c r="AR191" i="67"/>
  <c r="AS191" i="67"/>
  <c r="AT191" i="67"/>
  <c r="AU191" i="67"/>
  <c r="AV191" i="67"/>
  <c r="AW191" i="67"/>
  <c r="AX191" i="67"/>
  <c r="AY191" i="67"/>
  <c r="AZ191" i="67"/>
  <c r="BB191" i="67"/>
  <c r="BD191" i="67"/>
  <c r="BE191" i="67"/>
  <c r="BF191" i="67"/>
  <c r="AR192" i="67"/>
  <c r="AS192" i="67"/>
  <c r="AT192" i="67"/>
  <c r="AU192" i="67"/>
  <c r="AV192" i="67"/>
  <c r="AW192" i="67"/>
  <c r="AX192" i="67"/>
  <c r="AY192" i="67"/>
  <c r="AZ192" i="67"/>
  <c r="BB192" i="67"/>
  <c r="BD192" i="67"/>
  <c r="BE192" i="67"/>
  <c r="BF192" i="67"/>
  <c r="AR193" i="67"/>
  <c r="AS193" i="67"/>
  <c r="AT193" i="67"/>
  <c r="AU193" i="67"/>
  <c r="AV193" i="67"/>
  <c r="AW193" i="67"/>
  <c r="AX193" i="67"/>
  <c r="AY193" i="67"/>
  <c r="AZ193" i="67"/>
  <c r="BB193" i="67"/>
  <c r="BD193" i="67"/>
  <c r="BE193" i="67"/>
  <c r="BF193" i="67"/>
  <c r="AR194" i="67"/>
  <c r="AS194" i="67"/>
  <c r="AT194" i="67"/>
  <c r="AU194" i="67"/>
  <c r="AV194" i="67"/>
  <c r="AW194" i="67"/>
  <c r="AX194" i="67"/>
  <c r="AY194" i="67"/>
  <c r="AZ194" i="67"/>
  <c r="BB194" i="67"/>
  <c r="BD194" i="67"/>
  <c r="BE194" i="67"/>
  <c r="BF194" i="67"/>
  <c r="AR195" i="67"/>
  <c r="AS195" i="67"/>
  <c r="AT195" i="67"/>
  <c r="AU195" i="67"/>
  <c r="AV195" i="67"/>
  <c r="AW195" i="67"/>
  <c r="AX195" i="67"/>
  <c r="AY195" i="67"/>
  <c r="AZ195" i="67"/>
  <c r="BB195" i="67"/>
  <c r="BD195" i="67"/>
  <c r="BE195" i="67"/>
  <c r="BF195" i="67"/>
  <c r="AR196" i="67"/>
  <c r="AS196" i="67"/>
  <c r="AT196" i="67"/>
  <c r="AU196" i="67"/>
  <c r="AV196" i="67"/>
  <c r="AW196" i="67"/>
  <c r="AX196" i="67"/>
  <c r="AY196" i="67"/>
  <c r="AZ196" i="67"/>
  <c r="BB196" i="67"/>
  <c r="BD196" i="67"/>
  <c r="BE196" i="67"/>
  <c r="BF196" i="67"/>
  <c r="AR197" i="67"/>
  <c r="AS197" i="67"/>
  <c r="AT197" i="67"/>
  <c r="AU197" i="67"/>
  <c r="AV197" i="67"/>
  <c r="AW197" i="67"/>
  <c r="AX197" i="67"/>
  <c r="AY197" i="67"/>
  <c r="AZ197" i="67"/>
  <c r="BB197" i="67"/>
  <c r="BD197" i="67"/>
  <c r="BE197" i="67"/>
  <c r="BF197" i="67"/>
  <c r="AR198" i="67"/>
  <c r="AS198" i="67"/>
  <c r="AT198" i="67"/>
  <c r="AU198" i="67"/>
  <c r="AV198" i="67"/>
  <c r="AW198" i="67"/>
  <c r="AX198" i="67"/>
  <c r="AY198" i="67"/>
  <c r="AZ198" i="67"/>
  <c r="BB198" i="67"/>
  <c r="BD198" i="67"/>
  <c r="BE198" i="67"/>
  <c r="BF198" i="67"/>
  <c r="AR199" i="67"/>
  <c r="AS199" i="67"/>
  <c r="AT199" i="67"/>
  <c r="AU199" i="67"/>
  <c r="AV199" i="67"/>
  <c r="AW199" i="67"/>
  <c r="AX199" i="67"/>
  <c r="AY199" i="67"/>
  <c r="AZ199" i="67"/>
  <c r="BB199" i="67"/>
  <c r="BD199" i="67"/>
  <c r="BE199" i="67"/>
  <c r="BF199" i="67"/>
  <c r="AR200" i="67"/>
  <c r="AS200" i="67"/>
  <c r="AT200" i="67"/>
  <c r="AU200" i="67"/>
  <c r="AV200" i="67"/>
  <c r="AW200" i="67"/>
  <c r="AX200" i="67"/>
  <c r="AY200" i="67"/>
  <c r="AZ200" i="67"/>
  <c r="BB200" i="67"/>
  <c r="BD200" i="67"/>
  <c r="BE200" i="67"/>
  <c r="BF200" i="67"/>
  <c r="AR201" i="67"/>
  <c r="AS201" i="67"/>
  <c r="AT201" i="67"/>
  <c r="AU201" i="67"/>
  <c r="AV201" i="67"/>
  <c r="AW201" i="67"/>
  <c r="AX201" i="67"/>
  <c r="AY201" i="67"/>
  <c r="AZ201" i="67"/>
  <c r="BB201" i="67"/>
  <c r="BD201" i="67"/>
  <c r="BE201" i="67"/>
  <c r="BF201" i="67"/>
  <c r="AR202" i="67"/>
  <c r="AS202" i="67"/>
  <c r="AT202" i="67"/>
  <c r="AU202" i="67"/>
  <c r="AV202" i="67"/>
  <c r="AW202" i="67"/>
  <c r="AX202" i="67"/>
  <c r="AY202" i="67"/>
  <c r="AZ202" i="67"/>
  <c r="BB202" i="67"/>
  <c r="BD202" i="67"/>
  <c r="BE202" i="67"/>
  <c r="BF202" i="67"/>
  <c r="AR203" i="67"/>
  <c r="AS203" i="67"/>
  <c r="AT203" i="67"/>
  <c r="AU203" i="67"/>
  <c r="AV203" i="67"/>
  <c r="AW203" i="67"/>
  <c r="AX203" i="67"/>
  <c r="AY203" i="67"/>
  <c r="AZ203" i="67"/>
  <c r="BB203" i="67"/>
  <c r="BD203" i="67"/>
  <c r="BE203" i="67"/>
  <c r="BF203" i="67"/>
  <c r="AR204" i="67"/>
  <c r="AS204" i="67"/>
  <c r="AT204" i="67"/>
  <c r="AU204" i="67"/>
  <c r="AV204" i="67"/>
  <c r="AW204" i="67"/>
  <c r="AX204" i="67"/>
  <c r="AY204" i="67"/>
  <c r="AZ204" i="67"/>
  <c r="BB204" i="67"/>
  <c r="BD204" i="67"/>
  <c r="BE204" i="67"/>
  <c r="BF204" i="67"/>
  <c r="BE4" i="67"/>
  <c r="BF4" i="67"/>
  <c r="BD4" i="67"/>
  <c r="BB4" i="67"/>
  <c r="AY4" i="67"/>
  <c r="AZ4" i="67"/>
  <c r="AX4" i="67"/>
  <c r="AD5" i="67"/>
  <c r="AE5" i="67"/>
  <c r="AF5" i="67"/>
  <c r="AD6" i="67"/>
  <c r="AE6" i="67"/>
  <c r="AF6" i="67"/>
  <c r="AD7" i="67"/>
  <c r="AE7" i="67"/>
  <c r="AF7" i="67"/>
  <c r="AD8" i="67"/>
  <c r="AE8" i="67"/>
  <c r="AF8" i="67"/>
  <c r="AD9" i="67"/>
  <c r="AE9" i="67"/>
  <c r="AF9" i="67"/>
  <c r="AD10" i="67"/>
  <c r="AE10" i="67"/>
  <c r="AF10" i="67"/>
  <c r="AD11" i="67"/>
  <c r="AE11" i="67"/>
  <c r="AF11" i="67"/>
  <c r="AD12" i="67"/>
  <c r="AE12" i="67"/>
  <c r="AF12" i="67"/>
  <c r="AD13" i="67"/>
  <c r="AE13" i="67"/>
  <c r="AF13" i="67"/>
  <c r="AD14" i="67"/>
  <c r="AE14" i="67"/>
  <c r="AF14" i="67"/>
  <c r="AD15" i="67"/>
  <c r="AE15" i="67"/>
  <c r="AF15" i="67"/>
  <c r="AD16" i="67"/>
  <c r="AE16" i="67"/>
  <c r="AF16" i="67"/>
  <c r="AD17" i="67"/>
  <c r="AE17" i="67"/>
  <c r="AF17" i="67"/>
  <c r="AD18" i="67"/>
  <c r="AE18" i="67"/>
  <c r="AF18" i="67"/>
  <c r="AD19" i="67"/>
  <c r="AE19" i="67"/>
  <c r="AF19" i="67"/>
  <c r="AD20" i="67"/>
  <c r="AE20" i="67"/>
  <c r="AF20" i="67"/>
  <c r="AD21" i="67"/>
  <c r="AE21" i="67"/>
  <c r="AF21" i="67"/>
  <c r="AD22" i="67"/>
  <c r="AE22" i="67"/>
  <c r="AF22" i="67"/>
  <c r="AD23" i="67"/>
  <c r="AE23" i="67"/>
  <c r="AF23" i="67"/>
  <c r="AD24" i="67"/>
  <c r="AE24" i="67"/>
  <c r="AF24" i="67"/>
  <c r="AD25" i="67"/>
  <c r="AE25" i="67"/>
  <c r="AF25" i="67"/>
  <c r="AD26" i="67"/>
  <c r="AE26" i="67"/>
  <c r="AF26" i="67"/>
  <c r="AD27" i="67"/>
  <c r="AE27" i="67"/>
  <c r="AF27" i="67"/>
  <c r="AD28" i="67"/>
  <c r="AE28" i="67"/>
  <c r="AF28" i="67"/>
  <c r="AD29" i="67"/>
  <c r="AE29" i="67"/>
  <c r="AF29" i="67"/>
  <c r="AD30" i="67"/>
  <c r="AE30" i="67"/>
  <c r="AF30" i="67"/>
  <c r="AD31" i="67"/>
  <c r="AE31" i="67"/>
  <c r="AF31" i="67"/>
  <c r="AD32" i="67"/>
  <c r="AE32" i="67"/>
  <c r="AF32" i="67"/>
  <c r="AD33" i="67"/>
  <c r="AE33" i="67"/>
  <c r="AF33" i="67"/>
  <c r="AD34" i="67"/>
  <c r="AE34" i="67"/>
  <c r="AF34" i="67"/>
  <c r="AD35" i="67"/>
  <c r="AE35" i="67"/>
  <c r="AF35" i="67"/>
  <c r="AD36" i="67"/>
  <c r="AE36" i="67"/>
  <c r="AF36" i="67"/>
  <c r="AD37" i="67"/>
  <c r="AE37" i="67"/>
  <c r="AF37" i="67"/>
  <c r="AD38" i="67"/>
  <c r="AE38" i="67"/>
  <c r="AF38" i="67"/>
  <c r="AD39" i="67"/>
  <c r="AE39" i="67"/>
  <c r="AF39" i="67"/>
  <c r="AD40" i="67"/>
  <c r="AE40" i="67"/>
  <c r="AF40" i="67"/>
  <c r="AD41" i="67"/>
  <c r="AE41" i="67"/>
  <c r="AF41" i="67"/>
  <c r="AD42" i="67"/>
  <c r="AE42" i="67"/>
  <c r="AF42" i="67"/>
  <c r="AD43" i="67"/>
  <c r="AE43" i="67"/>
  <c r="AF43" i="67"/>
  <c r="AD44" i="67"/>
  <c r="AE44" i="67"/>
  <c r="AF44" i="67"/>
  <c r="AD45" i="67"/>
  <c r="AE45" i="67"/>
  <c r="AF45" i="67"/>
  <c r="AD46" i="67"/>
  <c r="AE46" i="67"/>
  <c r="AF46" i="67"/>
  <c r="AD47" i="67"/>
  <c r="AE47" i="67"/>
  <c r="AF47" i="67"/>
  <c r="AD48" i="67"/>
  <c r="AE48" i="67"/>
  <c r="AF48" i="67"/>
  <c r="AD49" i="67"/>
  <c r="AE49" i="67"/>
  <c r="AF49" i="67"/>
  <c r="AD50" i="67"/>
  <c r="AE50" i="67"/>
  <c r="AF50" i="67"/>
  <c r="AD51" i="67"/>
  <c r="AE51" i="67"/>
  <c r="AF51" i="67"/>
  <c r="AD52" i="67"/>
  <c r="AE52" i="67"/>
  <c r="AF52" i="67"/>
  <c r="AD53" i="67"/>
  <c r="AE53" i="67"/>
  <c r="AF53" i="67"/>
  <c r="AD54" i="67"/>
  <c r="AE54" i="67"/>
  <c r="AF54" i="67"/>
  <c r="AD55" i="67"/>
  <c r="AE55" i="67"/>
  <c r="AF55" i="67"/>
  <c r="AD56" i="67"/>
  <c r="AE56" i="67"/>
  <c r="AF56" i="67"/>
  <c r="AD57" i="67"/>
  <c r="AE57" i="67"/>
  <c r="AF57" i="67"/>
  <c r="AD58" i="67"/>
  <c r="AE58" i="67"/>
  <c r="AF58" i="67"/>
  <c r="AD59" i="67"/>
  <c r="AE59" i="67"/>
  <c r="AF59" i="67"/>
  <c r="AD60" i="67"/>
  <c r="AE60" i="67"/>
  <c r="AF60" i="67"/>
  <c r="AD61" i="67"/>
  <c r="AE61" i="67"/>
  <c r="AF61" i="67"/>
  <c r="AD62" i="67"/>
  <c r="AE62" i="67"/>
  <c r="AF62" i="67"/>
  <c r="AD63" i="67"/>
  <c r="AE63" i="67"/>
  <c r="AF63" i="67"/>
  <c r="AD64" i="67"/>
  <c r="AE64" i="67"/>
  <c r="AF64" i="67"/>
  <c r="AD65" i="67"/>
  <c r="AE65" i="67"/>
  <c r="AF65" i="67"/>
  <c r="AD66" i="67"/>
  <c r="AE66" i="67"/>
  <c r="AF66" i="67"/>
  <c r="AD67" i="67"/>
  <c r="AE67" i="67"/>
  <c r="AF67" i="67"/>
  <c r="AD68" i="67"/>
  <c r="AE68" i="67"/>
  <c r="AF68" i="67"/>
  <c r="AD69" i="67"/>
  <c r="AE69" i="67"/>
  <c r="AF69" i="67"/>
  <c r="AD70" i="67"/>
  <c r="AE70" i="67"/>
  <c r="AF70" i="67"/>
  <c r="AD71" i="67"/>
  <c r="AE71" i="67"/>
  <c r="AF71" i="67"/>
  <c r="AD72" i="67"/>
  <c r="AE72" i="67"/>
  <c r="AF72" i="67"/>
  <c r="AD73" i="67"/>
  <c r="AE73" i="67"/>
  <c r="AF73" i="67"/>
  <c r="AD74" i="67"/>
  <c r="AE74" i="67"/>
  <c r="AF74" i="67"/>
  <c r="AD75" i="67"/>
  <c r="AE75" i="67"/>
  <c r="AF75" i="67"/>
  <c r="AD76" i="67"/>
  <c r="AE76" i="67"/>
  <c r="AF76" i="67"/>
  <c r="AD77" i="67"/>
  <c r="AE77" i="67"/>
  <c r="AF77" i="67"/>
  <c r="AD78" i="67"/>
  <c r="AE78" i="67"/>
  <c r="AF78" i="67"/>
  <c r="AD79" i="67"/>
  <c r="AE79" i="67"/>
  <c r="AF79" i="67"/>
  <c r="AD80" i="67"/>
  <c r="AE80" i="67"/>
  <c r="AF80" i="67"/>
  <c r="AD81" i="67"/>
  <c r="AE81" i="67"/>
  <c r="AF81" i="67"/>
  <c r="AD82" i="67"/>
  <c r="AE82" i="67"/>
  <c r="AF82" i="67"/>
  <c r="AD83" i="67"/>
  <c r="AE83" i="67"/>
  <c r="AF83" i="67"/>
  <c r="AD84" i="67"/>
  <c r="AE84" i="67"/>
  <c r="AF84" i="67"/>
  <c r="AD85" i="67"/>
  <c r="AE85" i="67"/>
  <c r="AF85" i="67"/>
  <c r="AD86" i="67"/>
  <c r="AE86" i="67"/>
  <c r="AF86" i="67"/>
  <c r="AD87" i="67"/>
  <c r="AE87" i="67"/>
  <c r="AF87" i="67"/>
  <c r="AD88" i="67"/>
  <c r="AE88" i="67"/>
  <c r="AF88" i="67"/>
  <c r="AD89" i="67"/>
  <c r="AE89" i="67"/>
  <c r="AF89" i="67"/>
  <c r="AD90" i="67"/>
  <c r="AE90" i="67"/>
  <c r="AF90" i="67"/>
  <c r="AD91" i="67"/>
  <c r="AE91" i="67"/>
  <c r="AF91" i="67"/>
  <c r="AD92" i="67"/>
  <c r="AE92" i="67"/>
  <c r="AF92" i="67"/>
  <c r="AD93" i="67"/>
  <c r="AE93" i="67"/>
  <c r="AF93" i="67"/>
  <c r="AD94" i="67"/>
  <c r="AE94" i="67"/>
  <c r="AF94" i="67"/>
  <c r="AD95" i="67"/>
  <c r="AE95" i="67"/>
  <c r="AF95" i="67"/>
  <c r="AD96" i="67"/>
  <c r="AE96" i="67"/>
  <c r="AF96" i="67"/>
  <c r="AD97" i="67"/>
  <c r="AE97" i="67"/>
  <c r="AF97" i="67"/>
  <c r="AD98" i="67"/>
  <c r="AE98" i="67"/>
  <c r="AF98" i="67"/>
  <c r="AD99" i="67"/>
  <c r="AE99" i="67"/>
  <c r="AF99" i="67"/>
  <c r="AD100" i="67"/>
  <c r="AE100" i="67"/>
  <c r="AF100" i="67"/>
  <c r="AD101" i="67"/>
  <c r="AE101" i="67"/>
  <c r="AF101" i="67"/>
  <c r="AD102" i="67"/>
  <c r="AE102" i="67"/>
  <c r="AF102" i="67"/>
  <c r="AD103" i="67"/>
  <c r="AE103" i="67"/>
  <c r="AF103" i="67"/>
  <c r="AD104" i="67"/>
  <c r="AE104" i="67"/>
  <c r="AF104" i="67"/>
  <c r="AD105" i="67"/>
  <c r="AE105" i="67"/>
  <c r="AF105" i="67"/>
  <c r="AD106" i="67"/>
  <c r="AE106" i="67"/>
  <c r="AF106" i="67"/>
  <c r="AD107" i="67"/>
  <c r="AE107" i="67"/>
  <c r="AF107" i="67"/>
  <c r="AD108" i="67"/>
  <c r="AE108" i="67"/>
  <c r="AF108" i="67"/>
  <c r="AD109" i="67"/>
  <c r="AE109" i="67"/>
  <c r="AF109" i="67"/>
  <c r="AD110" i="67"/>
  <c r="AE110" i="67"/>
  <c r="AF110" i="67"/>
  <c r="AD111" i="67"/>
  <c r="AE111" i="67"/>
  <c r="AF111" i="67"/>
  <c r="AD112" i="67"/>
  <c r="AE112" i="67"/>
  <c r="AF112" i="67"/>
  <c r="AD113" i="67"/>
  <c r="AE113" i="67"/>
  <c r="AF113" i="67"/>
  <c r="AD114" i="67"/>
  <c r="AE114" i="67"/>
  <c r="AF114" i="67"/>
  <c r="AD115" i="67"/>
  <c r="AE115" i="67"/>
  <c r="AF115" i="67"/>
  <c r="AD116" i="67"/>
  <c r="AE116" i="67"/>
  <c r="AF116" i="67"/>
  <c r="AD117" i="67"/>
  <c r="AE117" i="67"/>
  <c r="AF117" i="67"/>
  <c r="AD118" i="67"/>
  <c r="AE118" i="67"/>
  <c r="AF118" i="67"/>
  <c r="AD119" i="67"/>
  <c r="AE119" i="67"/>
  <c r="AF119" i="67"/>
  <c r="AD120" i="67"/>
  <c r="AE120" i="67"/>
  <c r="AF120" i="67"/>
  <c r="AD121" i="67"/>
  <c r="AE121" i="67"/>
  <c r="AF121" i="67"/>
  <c r="AD122" i="67"/>
  <c r="AE122" i="67"/>
  <c r="AF122" i="67"/>
  <c r="AD123" i="67"/>
  <c r="AE123" i="67"/>
  <c r="AF123" i="67"/>
  <c r="AD124" i="67"/>
  <c r="AE124" i="67"/>
  <c r="AF124" i="67"/>
  <c r="AD125" i="67"/>
  <c r="AE125" i="67"/>
  <c r="AF125" i="67"/>
  <c r="AD126" i="67"/>
  <c r="AE126" i="67"/>
  <c r="AF126" i="67"/>
  <c r="AD127" i="67"/>
  <c r="AE127" i="67"/>
  <c r="AF127" i="67"/>
  <c r="AD128" i="67"/>
  <c r="AE128" i="67"/>
  <c r="AF128" i="67"/>
  <c r="AD129" i="67"/>
  <c r="AE129" i="67"/>
  <c r="AF129" i="67"/>
  <c r="AD130" i="67"/>
  <c r="AE130" i="67"/>
  <c r="AF130" i="67"/>
  <c r="AD131" i="67"/>
  <c r="AE131" i="67"/>
  <c r="AF131" i="67"/>
  <c r="AD132" i="67"/>
  <c r="AE132" i="67"/>
  <c r="AF132" i="67"/>
  <c r="AD133" i="67"/>
  <c r="AE133" i="67"/>
  <c r="AF133" i="67"/>
  <c r="AD134" i="67"/>
  <c r="AE134" i="67"/>
  <c r="AF134" i="67"/>
  <c r="AD135" i="67"/>
  <c r="AE135" i="67"/>
  <c r="AF135" i="67"/>
  <c r="AD136" i="67"/>
  <c r="AE136" i="67"/>
  <c r="AF136" i="67"/>
  <c r="AD137" i="67"/>
  <c r="AE137" i="67"/>
  <c r="AF137" i="67"/>
  <c r="AD138" i="67"/>
  <c r="AE138" i="67"/>
  <c r="AF138" i="67"/>
  <c r="AD139" i="67"/>
  <c r="AE139" i="67"/>
  <c r="AF139" i="67"/>
  <c r="AD140" i="67"/>
  <c r="AE140" i="67"/>
  <c r="AF140" i="67"/>
  <c r="AD141" i="67"/>
  <c r="AE141" i="67"/>
  <c r="AF141" i="67"/>
  <c r="AD142" i="67"/>
  <c r="AE142" i="67"/>
  <c r="AF142" i="67"/>
  <c r="AD143" i="67"/>
  <c r="AE143" i="67"/>
  <c r="AF143" i="67"/>
  <c r="AD144" i="67"/>
  <c r="AE144" i="67"/>
  <c r="AF144" i="67"/>
  <c r="AD145" i="67"/>
  <c r="AE145" i="67"/>
  <c r="AF145" i="67"/>
  <c r="AD146" i="67"/>
  <c r="AE146" i="67"/>
  <c r="AF146" i="67"/>
  <c r="AD147" i="67"/>
  <c r="AE147" i="67"/>
  <c r="AF147" i="67"/>
  <c r="AD148" i="67"/>
  <c r="AE148" i="67"/>
  <c r="AF148" i="67"/>
  <c r="AD149" i="67"/>
  <c r="AE149" i="67"/>
  <c r="AF149" i="67"/>
  <c r="AD150" i="67"/>
  <c r="AE150" i="67"/>
  <c r="AF150" i="67"/>
  <c r="AD151" i="67"/>
  <c r="AE151" i="67"/>
  <c r="AF151" i="67"/>
  <c r="AD152" i="67"/>
  <c r="AE152" i="67"/>
  <c r="AF152" i="67"/>
  <c r="AD153" i="67"/>
  <c r="AE153" i="67"/>
  <c r="AF153" i="67"/>
  <c r="AD154" i="67"/>
  <c r="AE154" i="67"/>
  <c r="AF154" i="67"/>
  <c r="AD155" i="67"/>
  <c r="AE155" i="67"/>
  <c r="AF155" i="67"/>
  <c r="AD156" i="67"/>
  <c r="AE156" i="67"/>
  <c r="AF156" i="67"/>
  <c r="AD157" i="67"/>
  <c r="AE157" i="67"/>
  <c r="AF157" i="67"/>
  <c r="AD158" i="67"/>
  <c r="AE158" i="67"/>
  <c r="AF158" i="67"/>
  <c r="AD159" i="67"/>
  <c r="AE159" i="67"/>
  <c r="AF159" i="67"/>
  <c r="AD160" i="67"/>
  <c r="AE160" i="67"/>
  <c r="AF160" i="67"/>
  <c r="AD161" i="67"/>
  <c r="AE161" i="67"/>
  <c r="AF161" i="67"/>
  <c r="AD162" i="67"/>
  <c r="AE162" i="67"/>
  <c r="AF162" i="67"/>
  <c r="AD163" i="67"/>
  <c r="AE163" i="67"/>
  <c r="AF163" i="67"/>
  <c r="AD164" i="67"/>
  <c r="AE164" i="67"/>
  <c r="AF164" i="67"/>
  <c r="AD165" i="67"/>
  <c r="AE165" i="67"/>
  <c r="AF165" i="67"/>
  <c r="AD166" i="67"/>
  <c r="AE166" i="67"/>
  <c r="AF166" i="67"/>
  <c r="AD167" i="67"/>
  <c r="AE167" i="67"/>
  <c r="AF167" i="67"/>
  <c r="AD168" i="67"/>
  <c r="AE168" i="67"/>
  <c r="AF168" i="67"/>
  <c r="AD169" i="67"/>
  <c r="AE169" i="67"/>
  <c r="AF169" i="67"/>
  <c r="AD170" i="67"/>
  <c r="AE170" i="67"/>
  <c r="AF170" i="67"/>
  <c r="AD171" i="67"/>
  <c r="AE171" i="67"/>
  <c r="AF171" i="67"/>
  <c r="AD172" i="67"/>
  <c r="AE172" i="67"/>
  <c r="AF172" i="67"/>
  <c r="AD173" i="67"/>
  <c r="AE173" i="67"/>
  <c r="AF173" i="67"/>
  <c r="AD174" i="67"/>
  <c r="AE174" i="67"/>
  <c r="AF174" i="67"/>
  <c r="AD175" i="67"/>
  <c r="AE175" i="67"/>
  <c r="AF175" i="67"/>
  <c r="AD176" i="67"/>
  <c r="AE176" i="67"/>
  <c r="AF176" i="67"/>
  <c r="AD177" i="67"/>
  <c r="AE177" i="67"/>
  <c r="AF177" i="67"/>
  <c r="AD178" i="67"/>
  <c r="AE178" i="67"/>
  <c r="AF178" i="67"/>
  <c r="AD179" i="67"/>
  <c r="AE179" i="67"/>
  <c r="AF179" i="67"/>
  <c r="AD180" i="67"/>
  <c r="AE180" i="67"/>
  <c r="AF180" i="67"/>
  <c r="AD181" i="67"/>
  <c r="AE181" i="67"/>
  <c r="AF181" i="67"/>
  <c r="AD182" i="67"/>
  <c r="AE182" i="67"/>
  <c r="AF182" i="67"/>
  <c r="AD183" i="67"/>
  <c r="AE183" i="67"/>
  <c r="AF183" i="67"/>
  <c r="AD184" i="67"/>
  <c r="AE184" i="67"/>
  <c r="AF184" i="67"/>
  <c r="AD185" i="67"/>
  <c r="AE185" i="67"/>
  <c r="AF185" i="67"/>
  <c r="AD186" i="67"/>
  <c r="AE186" i="67"/>
  <c r="AF186" i="67"/>
  <c r="AD187" i="67"/>
  <c r="AE187" i="67"/>
  <c r="AF187" i="67"/>
  <c r="AD188" i="67"/>
  <c r="AE188" i="67"/>
  <c r="AF188" i="67"/>
  <c r="AD189" i="67"/>
  <c r="AE189" i="67"/>
  <c r="AF189" i="67"/>
  <c r="AD190" i="67"/>
  <c r="AE190" i="67"/>
  <c r="AF190" i="67"/>
  <c r="AD191" i="67"/>
  <c r="AE191" i="67"/>
  <c r="AF191" i="67"/>
  <c r="AD192" i="67"/>
  <c r="AE192" i="67"/>
  <c r="AF192" i="67"/>
  <c r="AD193" i="67"/>
  <c r="AE193" i="67"/>
  <c r="AF193" i="67"/>
  <c r="AD194" i="67"/>
  <c r="AE194" i="67"/>
  <c r="AF194" i="67"/>
  <c r="AD195" i="67"/>
  <c r="AE195" i="67"/>
  <c r="AF195" i="67"/>
  <c r="AD196" i="67"/>
  <c r="AE196" i="67"/>
  <c r="AF196" i="67"/>
  <c r="AD197" i="67"/>
  <c r="AE197" i="67"/>
  <c r="AF197" i="67"/>
  <c r="AD198" i="67"/>
  <c r="AE198" i="67"/>
  <c r="AF198" i="67"/>
  <c r="AD199" i="67"/>
  <c r="AE199" i="67"/>
  <c r="AF199" i="67"/>
  <c r="AD200" i="67"/>
  <c r="AE200" i="67"/>
  <c r="AF200" i="67"/>
  <c r="AD201" i="67"/>
  <c r="AE201" i="67"/>
  <c r="AF201" i="67"/>
  <c r="AD202" i="67"/>
  <c r="AE202" i="67"/>
  <c r="AF202" i="67"/>
  <c r="AD203" i="67"/>
  <c r="AE203" i="67"/>
  <c r="AF203" i="67"/>
  <c r="AD4" i="67"/>
  <c r="AF4" i="67"/>
  <c r="AE4" i="67"/>
  <c r="AC5" i="67"/>
  <c r="AC6" i="67"/>
  <c r="AC7" i="67"/>
  <c r="AC8" i="67"/>
  <c r="AC9" i="67"/>
  <c r="AC10" i="67"/>
  <c r="AC11" i="67"/>
  <c r="AC12" i="67"/>
  <c r="AC13" i="67"/>
  <c r="AC14" i="67"/>
  <c r="AC15" i="67"/>
  <c r="AC16" i="67"/>
  <c r="AC17" i="67"/>
  <c r="AC18" i="67"/>
  <c r="AC19" i="67"/>
  <c r="AC20" i="67"/>
  <c r="AC21" i="67"/>
  <c r="AC22" i="67"/>
  <c r="AC23" i="67"/>
  <c r="AC24" i="67"/>
  <c r="AC25" i="67"/>
  <c r="AC26" i="67"/>
  <c r="AC27" i="67"/>
  <c r="AC28" i="67"/>
  <c r="AC29" i="67"/>
  <c r="AC30" i="67"/>
  <c r="AC31" i="67"/>
  <c r="AC32" i="67"/>
  <c r="AC33" i="67"/>
  <c r="AC34" i="67"/>
  <c r="AC35" i="67"/>
  <c r="AC36" i="67"/>
  <c r="AC37" i="67"/>
  <c r="AC38" i="67"/>
  <c r="AC39" i="67"/>
  <c r="AC40" i="67"/>
  <c r="AC41" i="67"/>
  <c r="AC42" i="67"/>
  <c r="AC43" i="67"/>
  <c r="AC44" i="67"/>
  <c r="AC45" i="67"/>
  <c r="AC46" i="67"/>
  <c r="AC47" i="67"/>
  <c r="AC48" i="67"/>
  <c r="AC49" i="67"/>
  <c r="AC50" i="67"/>
  <c r="AC51" i="67"/>
  <c r="AC52" i="67"/>
  <c r="AC53" i="67"/>
  <c r="AC54" i="67"/>
  <c r="AC55" i="67"/>
  <c r="AC56" i="67"/>
  <c r="AC57" i="67"/>
  <c r="AC58" i="67"/>
  <c r="AC59" i="67"/>
  <c r="AC60" i="67"/>
  <c r="AC61" i="67"/>
  <c r="AC62" i="67"/>
  <c r="AC63" i="67"/>
  <c r="AC64" i="67"/>
  <c r="AC65" i="67"/>
  <c r="AC66" i="67"/>
  <c r="AC67" i="67"/>
  <c r="AC68" i="67"/>
  <c r="AC69" i="67"/>
  <c r="AC70" i="67"/>
  <c r="AC71" i="67"/>
  <c r="AC72" i="67"/>
  <c r="AC73" i="67"/>
  <c r="AC74" i="67"/>
  <c r="AC75" i="67"/>
  <c r="AC76" i="67"/>
  <c r="AC77" i="67"/>
  <c r="AC78" i="67"/>
  <c r="AC79" i="67"/>
  <c r="AC80" i="67"/>
  <c r="AC81" i="67"/>
  <c r="AC82" i="67"/>
  <c r="AC83" i="67"/>
  <c r="AC84" i="67"/>
  <c r="AC85" i="67"/>
  <c r="AC86" i="67"/>
  <c r="AC87" i="67"/>
  <c r="AC88" i="67"/>
  <c r="AC89" i="67"/>
  <c r="AC90" i="67"/>
  <c r="AC91" i="67"/>
  <c r="AC92" i="67"/>
  <c r="AC93" i="67"/>
  <c r="AC94" i="67"/>
  <c r="AC95" i="67"/>
  <c r="AC96" i="67"/>
  <c r="AC97" i="67"/>
  <c r="AC98" i="67"/>
  <c r="AC99" i="67"/>
  <c r="AC100" i="67"/>
  <c r="AC101" i="67"/>
  <c r="AC102" i="67"/>
  <c r="AC103" i="67"/>
  <c r="AC104" i="67"/>
  <c r="AC105" i="67"/>
  <c r="AC106" i="67"/>
  <c r="AC107" i="67"/>
  <c r="AC108" i="67"/>
  <c r="AC109" i="67"/>
  <c r="AC110" i="67"/>
  <c r="AC111" i="67"/>
  <c r="AC112" i="67"/>
  <c r="AC113" i="67"/>
  <c r="AC114" i="67"/>
  <c r="AC115" i="67"/>
  <c r="AC116" i="67"/>
  <c r="AC117" i="67"/>
  <c r="AC118" i="67"/>
  <c r="AC119" i="67"/>
  <c r="AC120" i="67"/>
  <c r="AC121" i="67"/>
  <c r="AC122" i="67"/>
  <c r="AC123" i="67"/>
  <c r="AC124" i="67"/>
  <c r="AC125" i="67"/>
  <c r="AC126" i="67"/>
  <c r="AC127" i="67"/>
  <c r="AC128" i="67"/>
  <c r="AC129" i="67"/>
  <c r="AC130" i="67"/>
  <c r="AC131" i="67"/>
  <c r="AC132" i="67"/>
  <c r="AC133" i="67"/>
  <c r="AC134" i="67"/>
  <c r="AC135" i="67"/>
  <c r="AC136" i="67"/>
  <c r="AC137" i="67"/>
  <c r="AC138" i="67"/>
  <c r="AC139" i="67"/>
  <c r="AC140" i="67"/>
  <c r="AC141" i="67"/>
  <c r="AC142" i="67"/>
  <c r="AC143" i="67"/>
  <c r="AC144" i="67"/>
  <c r="AC145" i="67"/>
  <c r="AC146" i="67"/>
  <c r="AC147" i="67"/>
  <c r="AC148" i="67"/>
  <c r="AC149" i="67"/>
  <c r="AC150" i="67"/>
  <c r="AC151" i="67"/>
  <c r="AC152" i="67"/>
  <c r="AC153" i="67"/>
  <c r="AC154" i="67"/>
  <c r="AC155" i="67"/>
  <c r="AC156" i="67"/>
  <c r="AC157" i="67"/>
  <c r="AC158" i="67"/>
  <c r="AC159" i="67"/>
  <c r="AC160" i="67"/>
  <c r="AC161" i="67"/>
  <c r="AC162" i="67"/>
  <c r="AC163" i="67"/>
  <c r="AC164" i="67"/>
  <c r="AC165" i="67"/>
  <c r="AC166" i="67"/>
  <c r="AC167" i="67"/>
  <c r="AC168" i="67"/>
  <c r="AC169" i="67"/>
  <c r="AC170" i="67"/>
  <c r="AC171" i="67"/>
  <c r="AC172" i="67"/>
  <c r="AC173" i="67"/>
  <c r="AC174" i="67"/>
  <c r="AC175" i="67"/>
  <c r="AC176" i="67"/>
  <c r="AC177" i="67"/>
  <c r="AC178" i="67"/>
  <c r="AC179" i="67"/>
  <c r="AC180" i="67"/>
  <c r="AC181" i="67"/>
  <c r="AC182" i="67"/>
  <c r="AC183" i="67"/>
  <c r="AC184" i="67"/>
  <c r="AC185" i="67"/>
  <c r="AC186" i="67"/>
  <c r="AC187" i="67"/>
  <c r="AC188" i="67"/>
  <c r="AC189" i="67"/>
  <c r="AC190" i="67"/>
  <c r="AC191" i="67"/>
  <c r="AC192" i="67"/>
  <c r="AC193" i="67"/>
  <c r="AC194" i="67"/>
  <c r="AC195" i="67"/>
  <c r="AC196" i="67"/>
  <c r="AC197" i="67"/>
  <c r="AC198" i="67"/>
  <c r="AC199" i="67"/>
  <c r="AC200" i="67"/>
  <c r="AC201" i="67"/>
  <c r="AC202" i="67"/>
  <c r="AC203" i="67"/>
  <c r="AC4" i="67"/>
  <c r="AS4" i="67"/>
  <c r="AT4" i="67"/>
  <c r="AR4" i="67"/>
  <c r="AP12" i="65"/>
  <c r="AP13" i="65"/>
  <c r="AP14" i="65"/>
  <c r="AP15" i="65"/>
  <c r="AP16" i="65"/>
  <c r="AP11" i="65"/>
  <c r="AP6" i="65"/>
  <c r="AP7" i="65"/>
  <c r="AP8" i="65"/>
  <c r="AP9" i="65"/>
  <c r="AP10" i="65"/>
  <c r="AP5" i="65"/>
  <c r="AI5" i="67"/>
  <c r="BC6" i="67" s="1"/>
  <c r="AI6" i="67"/>
  <c r="BC7" i="67" s="1"/>
  <c r="AI7" i="67"/>
  <c r="BC8" i="67" s="1"/>
  <c r="AI8" i="67"/>
  <c r="BC9" i="67" s="1"/>
  <c r="AI9" i="67"/>
  <c r="BC10" i="67" s="1"/>
  <c r="AI10" i="67"/>
  <c r="BC11" i="67" s="1"/>
  <c r="AI11" i="67"/>
  <c r="BC12" i="67" s="1"/>
  <c r="AI12" i="67"/>
  <c r="BC13" i="67" s="1"/>
  <c r="AI13" i="67"/>
  <c r="BC14" i="67" s="1"/>
  <c r="AI14" i="67"/>
  <c r="BC15" i="67" s="1"/>
  <c r="AI15" i="67"/>
  <c r="BC16" i="67" s="1"/>
  <c r="AI16" i="67"/>
  <c r="BC17" i="67" s="1"/>
  <c r="AI17" i="67"/>
  <c r="BC18" i="67" s="1"/>
  <c r="AI18" i="67"/>
  <c r="BC19" i="67" s="1"/>
  <c r="AI19" i="67"/>
  <c r="BC20" i="67" s="1"/>
  <c r="AI20" i="67"/>
  <c r="BC21" i="67" s="1"/>
  <c r="AI21" i="67"/>
  <c r="BC22" i="67" s="1"/>
  <c r="AI22" i="67"/>
  <c r="BC23" i="67" s="1"/>
  <c r="AI23" i="67"/>
  <c r="BC24" i="67" s="1"/>
  <c r="AG5" i="67"/>
  <c r="BA6" i="67" s="1"/>
  <c r="AG6" i="67"/>
  <c r="BA7" i="67" s="1"/>
  <c r="AG7" i="67"/>
  <c r="BA8" i="67" s="1"/>
  <c r="BJ8" i="67" s="1"/>
  <c r="AG8" i="67"/>
  <c r="BA9" i="67" s="1"/>
  <c r="AG9" i="67"/>
  <c r="BA10" i="67" s="1"/>
  <c r="AG10" i="67"/>
  <c r="BA11" i="67" s="1"/>
  <c r="AG11" i="67"/>
  <c r="BA12" i="67" s="1"/>
  <c r="BJ12" i="67" s="1"/>
  <c r="AG12" i="67"/>
  <c r="BA13" i="67" s="1"/>
  <c r="BJ13" i="67" s="1"/>
  <c r="AG13" i="67"/>
  <c r="BA14" i="67" s="1"/>
  <c r="AG14" i="67"/>
  <c r="BA15" i="67" s="1"/>
  <c r="AG15" i="67"/>
  <c r="BA16" i="67" s="1"/>
  <c r="BJ16" i="67" s="1"/>
  <c r="AG16" i="67"/>
  <c r="BA17" i="67" s="1"/>
  <c r="BJ17" i="67" s="1"/>
  <c r="AG17" i="67"/>
  <c r="BA18" i="67" s="1"/>
  <c r="AG18" i="67"/>
  <c r="BA19" i="67" s="1"/>
  <c r="AG19" i="67"/>
  <c r="BA20" i="67" s="1"/>
  <c r="BJ20" i="67" s="1"/>
  <c r="AG20" i="67"/>
  <c r="BA21" i="67" s="1"/>
  <c r="BJ21" i="67" s="1"/>
  <c r="AG21" i="67"/>
  <c r="BA22" i="67" s="1"/>
  <c r="AG22" i="67"/>
  <c r="BA23" i="67" s="1"/>
  <c r="AG23" i="67"/>
  <c r="BA24" i="67" s="1"/>
  <c r="BJ24" i="67" s="1"/>
  <c r="AI4" i="67"/>
  <c r="BC5" i="67" s="1"/>
  <c r="AG4" i="67"/>
  <c r="BA5" i="67" s="1"/>
  <c r="BJ5" i="67" l="1"/>
  <c r="BJ23" i="67"/>
  <c r="BJ19" i="67"/>
  <c r="BJ15" i="67"/>
  <c r="BJ11" i="67"/>
  <c r="BJ7" i="67"/>
  <c r="BJ22" i="67"/>
  <c r="BL22" i="67" s="1"/>
  <c r="BJ14" i="67"/>
  <c r="BJ10" i="67"/>
  <c r="BJ6" i="67"/>
  <c r="BJ18" i="67"/>
  <c r="BL21" i="67"/>
  <c r="BL13" i="67"/>
  <c r="BP13" i="67" s="1"/>
  <c r="BL6" i="67"/>
  <c r="Q5" i="57"/>
  <c r="Q6" i="57"/>
  <c r="Q7" i="57"/>
  <c r="Q8" i="57"/>
  <c r="Q9" i="57"/>
  <c r="Q10" i="57"/>
  <c r="Q11" i="57"/>
  <c r="Q12" i="57"/>
  <c r="Q13" i="57"/>
  <c r="Q14" i="57"/>
  <c r="Q15" i="57"/>
  <c r="Q16" i="57"/>
  <c r="Q17" i="57"/>
  <c r="Q18" i="57"/>
  <c r="Q19" i="57"/>
  <c r="Q4" i="57"/>
  <c r="P5" i="57"/>
  <c r="P6" i="57"/>
  <c r="P7" i="57"/>
  <c r="P8" i="57"/>
  <c r="P9" i="57"/>
  <c r="P10" i="57"/>
  <c r="P11" i="57"/>
  <c r="P12" i="57"/>
  <c r="P13" i="57"/>
  <c r="P14" i="57"/>
  <c r="P15" i="57"/>
  <c r="P16" i="57"/>
  <c r="P17" i="57"/>
  <c r="P18" i="57"/>
  <c r="P19" i="57"/>
  <c r="P4" i="57"/>
  <c r="O5" i="57"/>
  <c r="O6" i="57"/>
  <c r="O7" i="57"/>
  <c r="O8" i="57"/>
  <c r="O9" i="57"/>
  <c r="O10" i="57"/>
  <c r="O11" i="57"/>
  <c r="O12" i="57"/>
  <c r="O13" i="57"/>
  <c r="O14" i="57"/>
  <c r="O15" i="57"/>
  <c r="O16" i="57"/>
  <c r="O17" i="57"/>
  <c r="O18" i="57"/>
  <c r="O19" i="57"/>
  <c r="O4" i="57"/>
  <c r="BP22" i="67" l="1"/>
  <c r="BM6" i="67"/>
  <c r="BQ6" i="67"/>
  <c r="BN6" i="67"/>
  <c r="BO6" i="67"/>
  <c r="BN13" i="67"/>
  <c r="BO13" i="67"/>
  <c r="BM13" i="67"/>
  <c r="BQ13" i="67"/>
  <c r="BP6" i="67"/>
  <c r="BM22" i="67"/>
  <c r="BQ22" i="67"/>
  <c r="BN22" i="67"/>
  <c r="BO22" i="67"/>
  <c r="BL14" i="67"/>
  <c r="BP14" i="67" s="1"/>
  <c r="BN21" i="67"/>
  <c r="BO21" i="67"/>
  <c r="BM21" i="67"/>
  <c r="BQ21" i="67"/>
  <c r="BP21" i="67"/>
  <c r="BL12" i="67"/>
  <c r="BL7" i="67"/>
  <c r="BP7" i="67" s="1"/>
  <c r="BL19" i="67"/>
  <c r="BP19" i="67" s="1"/>
  <c r="BL8" i="67"/>
  <c r="BL17" i="67"/>
  <c r="BL9" i="67"/>
  <c r="BL5" i="67"/>
  <c r="BL15" i="67"/>
  <c r="BL24" i="67"/>
  <c r="BL20" i="67"/>
  <c r="BL10" i="67"/>
  <c r="BP10" i="67" s="1"/>
  <c r="BL18" i="67"/>
  <c r="BP18" i="67" s="1"/>
  <c r="BL11" i="67"/>
  <c r="BP11" i="67" s="1"/>
  <c r="BL23" i="67"/>
  <c r="BL16" i="67"/>
  <c r="AL5" i="67"/>
  <c r="AM5" i="67"/>
  <c r="AL6" i="67"/>
  <c r="AM6" i="67"/>
  <c r="AL7" i="67"/>
  <c r="AM7" i="67"/>
  <c r="AL8" i="67"/>
  <c r="AM8" i="67"/>
  <c r="AL9" i="67"/>
  <c r="AM9" i="67"/>
  <c r="AL10" i="67"/>
  <c r="AM10" i="67"/>
  <c r="AL11" i="67"/>
  <c r="AM11" i="67"/>
  <c r="AL12" i="67"/>
  <c r="AM12" i="67"/>
  <c r="AL13" i="67"/>
  <c r="AM13" i="67"/>
  <c r="AL14" i="67"/>
  <c r="AM14" i="67"/>
  <c r="AL15" i="67"/>
  <c r="AM15" i="67"/>
  <c r="AL16" i="67"/>
  <c r="AM16" i="67"/>
  <c r="AL17" i="67"/>
  <c r="AM17" i="67"/>
  <c r="AL18" i="67"/>
  <c r="AM18" i="67"/>
  <c r="AL19" i="67"/>
  <c r="AM19" i="67"/>
  <c r="AL20" i="67"/>
  <c r="AM20" i="67"/>
  <c r="AL21" i="67"/>
  <c r="AM21" i="67"/>
  <c r="AL22" i="67"/>
  <c r="AM22" i="67"/>
  <c r="AL23" i="67"/>
  <c r="AM23" i="67"/>
  <c r="AL24" i="67"/>
  <c r="AM24" i="67"/>
  <c r="AL25" i="67"/>
  <c r="AM25" i="67"/>
  <c r="AL26" i="67"/>
  <c r="AM26" i="67"/>
  <c r="AL27" i="67"/>
  <c r="AM27" i="67"/>
  <c r="AL28" i="67"/>
  <c r="AM28" i="67"/>
  <c r="AL29" i="67"/>
  <c r="AM29" i="67"/>
  <c r="AL30" i="67"/>
  <c r="AM30" i="67"/>
  <c r="AL31" i="67"/>
  <c r="AM31" i="67"/>
  <c r="AL32" i="67"/>
  <c r="AM32" i="67"/>
  <c r="AL4" i="67"/>
  <c r="AM4" i="67"/>
  <c r="AK5" i="67"/>
  <c r="AK6" i="67"/>
  <c r="AK7" i="67"/>
  <c r="AK8" i="67"/>
  <c r="AK9" i="67"/>
  <c r="AK10" i="67"/>
  <c r="AK11" i="67"/>
  <c r="AK12" i="67"/>
  <c r="AK13" i="67"/>
  <c r="AK14" i="67"/>
  <c r="AK15" i="67"/>
  <c r="AK16" i="67"/>
  <c r="AK17" i="67"/>
  <c r="AK18" i="67"/>
  <c r="AK19" i="67"/>
  <c r="AK20" i="67"/>
  <c r="AK21" i="67"/>
  <c r="AK22" i="67"/>
  <c r="AK23" i="67"/>
  <c r="AK24" i="67"/>
  <c r="AK25" i="67"/>
  <c r="AK26" i="67"/>
  <c r="AK27" i="67"/>
  <c r="AK28" i="67"/>
  <c r="AK29" i="67"/>
  <c r="AK30" i="67"/>
  <c r="AK31" i="67"/>
  <c r="AK32" i="67"/>
  <c r="AK4" i="67"/>
  <c r="BO24" i="67" l="1"/>
  <c r="BM24" i="67"/>
  <c r="BQ24" i="67"/>
  <c r="BN24" i="67"/>
  <c r="BP24" i="67"/>
  <c r="BM15" i="67"/>
  <c r="BQ15" i="67"/>
  <c r="BN15" i="67"/>
  <c r="BO15" i="67"/>
  <c r="BM19" i="67"/>
  <c r="BQ19" i="67"/>
  <c r="BN19" i="67"/>
  <c r="BO19" i="67"/>
  <c r="BO16" i="67"/>
  <c r="BM16" i="67"/>
  <c r="BQ16" i="67"/>
  <c r="BN16" i="67"/>
  <c r="BP16" i="67"/>
  <c r="BM23" i="67"/>
  <c r="BQ23" i="67"/>
  <c r="BN23" i="67"/>
  <c r="BO23" i="67"/>
  <c r="BO20" i="67"/>
  <c r="BM20" i="67"/>
  <c r="BQ20" i="67"/>
  <c r="BN20" i="67"/>
  <c r="BP20" i="67"/>
  <c r="BM7" i="67"/>
  <c r="BQ7" i="67"/>
  <c r="BN7" i="67"/>
  <c r="BO7" i="67"/>
  <c r="BM14" i="67"/>
  <c r="BQ14" i="67"/>
  <c r="BN14" i="67"/>
  <c r="BO14" i="67"/>
  <c r="BP15" i="67"/>
  <c r="BM10" i="67"/>
  <c r="BQ10" i="67"/>
  <c r="BN10" i="67"/>
  <c r="BO10" i="67"/>
  <c r="BM11" i="67"/>
  <c r="BQ11" i="67"/>
  <c r="BN11" i="67"/>
  <c r="BO11" i="67"/>
  <c r="BN5" i="67"/>
  <c r="BO5" i="67"/>
  <c r="BM5" i="67"/>
  <c r="BQ5" i="67"/>
  <c r="BP5" i="67"/>
  <c r="BN17" i="67"/>
  <c r="BO17" i="67"/>
  <c r="BQ17" i="67"/>
  <c r="BM17" i="67"/>
  <c r="BP17" i="67"/>
  <c r="BP23" i="67"/>
  <c r="BM18" i="67"/>
  <c r="BQ18" i="67"/>
  <c r="BN18" i="67"/>
  <c r="BO18" i="67"/>
  <c r="BN9" i="67"/>
  <c r="BO9" i="67"/>
  <c r="BM9" i="67"/>
  <c r="BQ9" i="67"/>
  <c r="BP9" i="67"/>
  <c r="BO8" i="67"/>
  <c r="BM8" i="67"/>
  <c r="BQ8" i="67"/>
  <c r="BN8" i="67"/>
  <c r="BP8" i="67"/>
  <c r="BO12" i="67"/>
  <c r="BM12" i="67"/>
  <c r="BQ12" i="67"/>
  <c r="BN12" i="67"/>
  <c r="BP12" i="67"/>
  <c r="D5" i="57"/>
  <c r="E5" i="57"/>
  <c r="F5" i="57"/>
  <c r="D6" i="57"/>
  <c r="E6" i="57"/>
  <c r="F6" i="57"/>
  <c r="D7" i="57"/>
  <c r="E7" i="57"/>
  <c r="F7" i="57"/>
  <c r="D8" i="57"/>
  <c r="E8" i="57"/>
  <c r="F8" i="57"/>
  <c r="D9" i="57"/>
  <c r="E9" i="57"/>
  <c r="F9" i="57"/>
  <c r="F4" i="57"/>
  <c r="E4" i="57"/>
  <c r="I6" i="57" s="1"/>
  <c r="D4" i="57"/>
  <c r="I5" i="57"/>
  <c r="I4" i="57" l="1"/>
  <c r="AL34" i="67" s="1"/>
  <c r="H5" i="57"/>
  <c r="H8" i="57"/>
  <c r="AK53" i="67" s="1"/>
  <c r="AK54" i="67"/>
  <c r="AL38" i="67"/>
  <c r="AL40" i="67"/>
  <c r="AL42" i="67"/>
  <c r="AL41" i="67"/>
  <c r="AL39" i="67"/>
  <c r="AL33" i="67"/>
  <c r="AL44" i="67"/>
  <c r="AL46" i="67"/>
  <c r="AL43" i="67"/>
  <c r="AL45" i="67"/>
  <c r="AL47" i="67"/>
  <c r="AK41" i="67"/>
  <c r="AK38" i="67"/>
  <c r="AK42" i="67"/>
  <c r="AK39" i="67"/>
  <c r="AK40" i="67"/>
  <c r="J6" i="57"/>
  <c r="J4" i="57"/>
  <c r="I7" i="57"/>
  <c r="H9" i="57"/>
  <c r="J8" i="57"/>
  <c r="J7" i="57"/>
  <c r="J9" i="57"/>
  <c r="I8" i="57"/>
  <c r="H7" i="57"/>
  <c r="J5" i="57"/>
  <c r="H6" i="57"/>
  <c r="H4" i="57"/>
  <c r="I9" i="57"/>
  <c r="AL35" i="67" l="1"/>
  <c r="AL36" i="67"/>
  <c r="AL37" i="67"/>
  <c r="AK56" i="67"/>
  <c r="AK55" i="67"/>
  <c r="AK57" i="67"/>
  <c r="AM49" i="67"/>
  <c r="AM51" i="67"/>
  <c r="AM48" i="67"/>
  <c r="AM50" i="67"/>
  <c r="AM52" i="67"/>
  <c r="AK45" i="67"/>
  <c r="AK47" i="67"/>
  <c r="AK46" i="67"/>
  <c r="AK43" i="67"/>
  <c r="AK44" i="67"/>
  <c r="AM43" i="67"/>
  <c r="AM45" i="67"/>
  <c r="AM47" i="67"/>
  <c r="AM44" i="67"/>
  <c r="AM46" i="67"/>
  <c r="AL54" i="67"/>
  <c r="AL56" i="67"/>
  <c r="AL53" i="67"/>
  <c r="AL55" i="67"/>
  <c r="AL57" i="67"/>
  <c r="AL48" i="67"/>
  <c r="AL50" i="67"/>
  <c r="AL52" i="67"/>
  <c r="AL51" i="67"/>
  <c r="AL49" i="67"/>
  <c r="AM39" i="67"/>
  <c r="AM41" i="67"/>
  <c r="AM38" i="67"/>
  <c r="AM40" i="67"/>
  <c r="AM42" i="67"/>
  <c r="AM53" i="67"/>
  <c r="AM55" i="67"/>
  <c r="AM57" i="67"/>
  <c r="AM54" i="67"/>
  <c r="AM56" i="67"/>
  <c r="AM33" i="67"/>
  <c r="AM35" i="67"/>
  <c r="AM37" i="67"/>
  <c r="AM34" i="67"/>
  <c r="AM36" i="67"/>
  <c r="AL58" i="67"/>
  <c r="AL60" i="67"/>
  <c r="AL62" i="67"/>
  <c r="AL59" i="67"/>
  <c r="AL61" i="67"/>
  <c r="AK49" i="67"/>
  <c r="AK50" i="67"/>
  <c r="AK51" i="67"/>
  <c r="AK48" i="67"/>
  <c r="AK52" i="67"/>
  <c r="AK33" i="67"/>
  <c r="AK37" i="67"/>
  <c r="AK34" i="67"/>
  <c r="AK35" i="67"/>
  <c r="AK36" i="67"/>
  <c r="AM59" i="67"/>
  <c r="AM61" i="67"/>
  <c r="AM58" i="67"/>
  <c r="AM60" i="67"/>
  <c r="AM62" i="67"/>
  <c r="AK61" i="67"/>
  <c r="AK58" i="67"/>
  <c r="AK62" i="67"/>
  <c r="AK59" i="67"/>
  <c r="AK60" i="67"/>
  <c r="V5" i="67" l="1"/>
  <c r="W5" i="67"/>
  <c r="X5" i="67"/>
  <c r="V6" i="67"/>
  <c r="W6" i="67"/>
  <c r="X6" i="67"/>
  <c r="V7" i="67"/>
  <c r="W7" i="67"/>
  <c r="X7" i="67"/>
  <c r="V8" i="67"/>
  <c r="W8" i="67"/>
  <c r="X8" i="67"/>
  <c r="V9" i="67"/>
  <c r="W9" i="67"/>
  <c r="X9" i="67"/>
  <c r="V10" i="67"/>
  <c r="W10" i="67"/>
  <c r="X10" i="67"/>
  <c r="V11" i="67"/>
  <c r="W11" i="67"/>
  <c r="X11" i="67"/>
  <c r="V12" i="67"/>
  <c r="W12" i="67"/>
  <c r="X12" i="67"/>
  <c r="V13" i="67"/>
  <c r="W13" i="67"/>
  <c r="X13" i="67"/>
  <c r="V14" i="67"/>
  <c r="W14" i="67"/>
  <c r="X14" i="67"/>
  <c r="V15" i="67"/>
  <c r="W15" i="67"/>
  <c r="X15" i="67"/>
  <c r="V16" i="67"/>
  <c r="W16" i="67"/>
  <c r="X16" i="67"/>
  <c r="V17" i="67"/>
  <c r="W17" i="67"/>
  <c r="X17" i="67"/>
  <c r="V18" i="67"/>
  <c r="W18" i="67"/>
  <c r="X18" i="67"/>
  <c r="V19" i="67"/>
  <c r="W19" i="67"/>
  <c r="X19" i="67"/>
  <c r="V20" i="67"/>
  <c r="W20" i="67"/>
  <c r="X20" i="67"/>
  <c r="V21" i="67"/>
  <c r="W21" i="67"/>
  <c r="X21" i="67"/>
  <c r="V22" i="67"/>
  <c r="W22" i="67"/>
  <c r="X22" i="67"/>
  <c r="V23" i="67"/>
  <c r="W23" i="67"/>
  <c r="X23" i="67"/>
  <c r="V24" i="67"/>
  <c r="W24" i="67"/>
  <c r="X24" i="67"/>
  <c r="V25" i="67"/>
  <c r="W25" i="67"/>
  <c r="X25" i="67"/>
  <c r="V26" i="67"/>
  <c r="W26" i="67"/>
  <c r="X26" i="67"/>
  <c r="V27" i="67"/>
  <c r="W27" i="67"/>
  <c r="X27" i="67"/>
  <c r="V28" i="67"/>
  <c r="W28" i="67"/>
  <c r="X28" i="67"/>
  <c r="V29" i="67"/>
  <c r="W29" i="67"/>
  <c r="X29" i="67"/>
  <c r="V30" i="67"/>
  <c r="W30" i="67"/>
  <c r="X30" i="67"/>
  <c r="V31" i="67"/>
  <c r="W31" i="67"/>
  <c r="X31" i="67"/>
  <c r="V32" i="67"/>
  <c r="W32" i="67"/>
  <c r="X32" i="67"/>
  <c r="V33" i="67"/>
  <c r="W33" i="67"/>
  <c r="X33" i="67"/>
  <c r="V34" i="67"/>
  <c r="W34" i="67"/>
  <c r="X34" i="67"/>
  <c r="V35" i="67"/>
  <c r="W35" i="67"/>
  <c r="X35" i="67"/>
  <c r="V36" i="67"/>
  <c r="W36" i="67"/>
  <c r="X36" i="67"/>
  <c r="V37" i="67"/>
  <c r="W37" i="67"/>
  <c r="X37" i="67"/>
  <c r="V38" i="67"/>
  <c r="W38" i="67"/>
  <c r="X38" i="67"/>
  <c r="V39" i="67"/>
  <c r="W39" i="67"/>
  <c r="X39" i="67"/>
  <c r="V40" i="67"/>
  <c r="W40" i="67"/>
  <c r="X40" i="67"/>
  <c r="V41" i="67"/>
  <c r="W41" i="67"/>
  <c r="X41" i="67"/>
  <c r="V42" i="67"/>
  <c r="W42" i="67"/>
  <c r="X42" i="67"/>
  <c r="V43" i="67"/>
  <c r="W43" i="67"/>
  <c r="X43" i="67"/>
  <c r="V44" i="67"/>
  <c r="W44" i="67"/>
  <c r="X44" i="67"/>
  <c r="V45" i="67"/>
  <c r="W45" i="67"/>
  <c r="X45" i="67"/>
  <c r="V46" i="67"/>
  <c r="W46" i="67"/>
  <c r="X46" i="67"/>
  <c r="V47" i="67"/>
  <c r="W47" i="67"/>
  <c r="X47" i="67"/>
  <c r="V48" i="67"/>
  <c r="W48" i="67"/>
  <c r="X48" i="67"/>
  <c r="V49" i="67"/>
  <c r="W49" i="67"/>
  <c r="X49" i="67"/>
  <c r="V50" i="67"/>
  <c r="W50" i="67"/>
  <c r="X50" i="67"/>
  <c r="V51" i="67"/>
  <c r="W51" i="67"/>
  <c r="X51" i="67"/>
  <c r="V52" i="67"/>
  <c r="W52" i="67"/>
  <c r="X52" i="67"/>
  <c r="V53" i="67"/>
  <c r="W53" i="67"/>
  <c r="X53" i="67"/>
  <c r="V54" i="67"/>
  <c r="W54" i="67"/>
  <c r="X54" i="67"/>
  <c r="V55" i="67"/>
  <c r="W55" i="67"/>
  <c r="X55" i="67"/>
  <c r="V56" i="67"/>
  <c r="W56" i="67"/>
  <c r="X56" i="67"/>
  <c r="V57" i="67"/>
  <c r="W57" i="67"/>
  <c r="X57" i="67"/>
  <c r="V58" i="67"/>
  <c r="W58" i="67"/>
  <c r="X58" i="67"/>
  <c r="V59" i="67"/>
  <c r="W59" i="67"/>
  <c r="X59" i="67"/>
  <c r="V60" i="67"/>
  <c r="W60" i="67"/>
  <c r="X60" i="67"/>
  <c r="V61" i="67"/>
  <c r="W61" i="67"/>
  <c r="X61" i="67"/>
  <c r="V62" i="67"/>
  <c r="W62" i="67"/>
  <c r="X62" i="67"/>
  <c r="V63" i="67"/>
  <c r="W63" i="67"/>
  <c r="X63" i="67"/>
  <c r="V64" i="67"/>
  <c r="W64" i="67"/>
  <c r="X64" i="67"/>
  <c r="V65" i="67"/>
  <c r="W65" i="67"/>
  <c r="X65" i="67"/>
  <c r="V66" i="67"/>
  <c r="W66" i="67"/>
  <c r="X66" i="67"/>
  <c r="V67" i="67"/>
  <c r="W67" i="67"/>
  <c r="X67" i="67"/>
  <c r="V68" i="67"/>
  <c r="W68" i="67"/>
  <c r="X68" i="67"/>
  <c r="V69" i="67"/>
  <c r="W69" i="67"/>
  <c r="X69" i="67"/>
  <c r="V70" i="67"/>
  <c r="W70" i="67"/>
  <c r="X70" i="67"/>
  <c r="V71" i="67"/>
  <c r="W71" i="67"/>
  <c r="X71" i="67"/>
  <c r="V72" i="67"/>
  <c r="W72" i="67"/>
  <c r="X72" i="67"/>
  <c r="V73" i="67"/>
  <c r="W73" i="67"/>
  <c r="X73" i="67"/>
  <c r="V74" i="67"/>
  <c r="W74" i="67"/>
  <c r="X74" i="67"/>
  <c r="V75" i="67"/>
  <c r="W75" i="67"/>
  <c r="X75" i="67"/>
  <c r="V76" i="67"/>
  <c r="W76" i="67"/>
  <c r="X76" i="67"/>
  <c r="V77" i="67"/>
  <c r="W77" i="67"/>
  <c r="X77" i="67"/>
  <c r="V78" i="67"/>
  <c r="W78" i="67"/>
  <c r="X78" i="67"/>
  <c r="V79" i="67"/>
  <c r="W79" i="67"/>
  <c r="X79" i="67"/>
  <c r="V80" i="67"/>
  <c r="W80" i="67"/>
  <c r="X80" i="67"/>
  <c r="V81" i="67"/>
  <c r="W81" i="67"/>
  <c r="X81" i="67"/>
  <c r="V82" i="67"/>
  <c r="W82" i="67"/>
  <c r="X82" i="67"/>
  <c r="V83" i="67"/>
  <c r="W83" i="67"/>
  <c r="X83" i="67"/>
  <c r="V84" i="67"/>
  <c r="W84" i="67"/>
  <c r="X84" i="67"/>
  <c r="V85" i="67"/>
  <c r="W85" i="67"/>
  <c r="X85" i="67"/>
  <c r="V86" i="67"/>
  <c r="W86" i="67"/>
  <c r="X86" i="67"/>
  <c r="V87" i="67"/>
  <c r="W87" i="67"/>
  <c r="X87" i="67"/>
  <c r="V88" i="67"/>
  <c r="W88" i="67"/>
  <c r="X88" i="67"/>
  <c r="V89" i="67"/>
  <c r="W89" i="67"/>
  <c r="X89" i="67"/>
  <c r="V90" i="67"/>
  <c r="W90" i="67"/>
  <c r="X90" i="67"/>
  <c r="V91" i="67"/>
  <c r="W91" i="67"/>
  <c r="X91" i="67"/>
  <c r="V92" i="67"/>
  <c r="W92" i="67"/>
  <c r="X92" i="67"/>
  <c r="V93" i="67"/>
  <c r="W93" i="67"/>
  <c r="X93" i="67"/>
  <c r="V94" i="67"/>
  <c r="W94" i="67"/>
  <c r="X94" i="67"/>
  <c r="V95" i="67"/>
  <c r="W95" i="67"/>
  <c r="X95" i="67"/>
  <c r="V96" i="67"/>
  <c r="W96" i="67"/>
  <c r="X96" i="67"/>
  <c r="V97" i="67"/>
  <c r="W97" i="67"/>
  <c r="X97" i="67"/>
  <c r="V98" i="67"/>
  <c r="W98" i="67"/>
  <c r="X98" i="67"/>
  <c r="V99" i="67"/>
  <c r="W99" i="67"/>
  <c r="X99" i="67"/>
  <c r="V100" i="67"/>
  <c r="W100" i="67"/>
  <c r="X100" i="67"/>
  <c r="V101" i="67"/>
  <c r="W101" i="67"/>
  <c r="X101" i="67"/>
  <c r="V102" i="67"/>
  <c r="W102" i="67"/>
  <c r="X102" i="67"/>
  <c r="V103" i="67"/>
  <c r="W103" i="67"/>
  <c r="X103" i="67"/>
  <c r="V104" i="67"/>
  <c r="W104" i="67"/>
  <c r="X104" i="67"/>
  <c r="V105" i="67"/>
  <c r="W105" i="67"/>
  <c r="X105" i="67"/>
  <c r="V106" i="67"/>
  <c r="W106" i="67"/>
  <c r="X106" i="67"/>
  <c r="V107" i="67"/>
  <c r="W107" i="67"/>
  <c r="X107" i="67"/>
  <c r="V108" i="67"/>
  <c r="W108" i="67"/>
  <c r="X108" i="67"/>
  <c r="V109" i="67"/>
  <c r="W109" i="67"/>
  <c r="X109" i="67"/>
  <c r="V110" i="67"/>
  <c r="W110" i="67"/>
  <c r="X110" i="67"/>
  <c r="V111" i="67"/>
  <c r="W111" i="67"/>
  <c r="X111" i="67"/>
  <c r="V112" i="67"/>
  <c r="W112" i="67"/>
  <c r="X112" i="67"/>
  <c r="V113" i="67"/>
  <c r="W113" i="67"/>
  <c r="X113" i="67"/>
  <c r="V114" i="67"/>
  <c r="W114" i="67"/>
  <c r="X114" i="67"/>
  <c r="V115" i="67"/>
  <c r="W115" i="67"/>
  <c r="X115" i="67"/>
  <c r="V116" i="67"/>
  <c r="W116" i="67"/>
  <c r="X116" i="67"/>
  <c r="V117" i="67"/>
  <c r="W117" i="67"/>
  <c r="X117" i="67"/>
  <c r="V118" i="67"/>
  <c r="W118" i="67"/>
  <c r="X118" i="67"/>
  <c r="V119" i="67"/>
  <c r="W119" i="67"/>
  <c r="X119" i="67"/>
  <c r="V120" i="67"/>
  <c r="W120" i="67"/>
  <c r="X120" i="67"/>
  <c r="V121" i="67"/>
  <c r="W121" i="67"/>
  <c r="X121" i="67"/>
  <c r="V122" i="67"/>
  <c r="W122" i="67"/>
  <c r="X122" i="67"/>
  <c r="V123" i="67"/>
  <c r="W123" i="67"/>
  <c r="X123" i="67"/>
  <c r="V124" i="67"/>
  <c r="W124" i="67"/>
  <c r="X124" i="67"/>
  <c r="V125" i="67"/>
  <c r="W125" i="67"/>
  <c r="X125" i="67"/>
  <c r="V126" i="67"/>
  <c r="W126" i="67"/>
  <c r="X126" i="67"/>
  <c r="V127" i="67"/>
  <c r="W127" i="67"/>
  <c r="X127" i="67"/>
  <c r="V128" i="67"/>
  <c r="W128" i="67"/>
  <c r="X128" i="67"/>
  <c r="V129" i="67"/>
  <c r="W129" i="67"/>
  <c r="X129" i="67"/>
  <c r="V130" i="67"/>
  <c r="W130" i="67"/>
  <c r="X130" i="67"/>
  <c r="V131" i="67"/>
  <c r="W131" i="67"/>
  <c r="X131" i="67"/>
  <c r="V132" i="67"/>
  <c r="W132" i="67"/>
  <c r="X132" i="67"/>
  <c r="V133" i="67"/>
  <c r="W133" i="67"/>
  <c r="X133" i="67"/>
  <c r="V134" i="67"/>
  <c r="W134" i="67"/>
  <c r="X134" i="67"/>
  <c r="V135" i="67"/>
  <c r="W135" i="67"/>
  <c r="X135" i="67"/>
  <c r="V136" i="67"/>
  <c r="W136" i="67"/>
  <c r="X136" i="67"/>
  <c r="V137" i="67"/>
  <c r="W137" i="67"/>
  <c r="X137" i="67"/>
  <c r="V138" i="67"/>
  <c r="W138" i="67"/>
  <c r="X138" i="67"/>
  <c r="V139" i="67"/>
  <c r="W139" i="67"/>
  <c r="X139" i="67"/>
  <c r="V140" i="67"/>
  <c r="W140" i="67"/>
  <c r="X140" i="67"/>
  <c r="V141" i="67"/>
  <c r="W141" i="67"/>
  <c r="X141" i="67"/>
  <c r="V142" i="67"/>
  <c r="W142" i="67"/>
  <c r="X142" i="67"/>
  <c r="V143" i="67"/>
  <c r="W143" i="67"/>
  <c r="X143" i="67"/>
  <c r="V144" i="67"/>
  <c r="W144" i="67"/>
  <c r="X144" i="67"/>
  <c r="V145" i="67"/>
  <c r="W145" i="67"/>
  <c r="X145" i="67"/>
  <c r="V146" i="67"/>
  <c r="W146" i="67"/>
  <c r="X146" i="67"/>
  <c r="V147" i="67"/>
  <c r="W147" i="67"/>
  <c r="X147" i="67"/>
  <c r="V148" i="67"/>
  <c r="W148" i="67"/>
  <c r="X148" i="67"/>
  <c r="V149" i="67"/>
  <c r="W149" i="67"/>
  <c r="X149" i="67"/>
  <c r="V150" i="67"/>
  <c r="W150" i="67"/>
  <c r="X150" i="67"/>
  <c r="V151" i="67"/>
  <c r="W151" i="67"/>
  <c r="X151" i="67"/>
  <c r="V152" i="67"/>
  <c r="W152" i="67"/>
  <c r="X152" i="67"/>
  <c r="V153" i="67"/>
  <c r="W153" i="67"/>
  <c r="X153" i="67"/>
  <c r="V154" i="67"/>
  <c r="W154" i="67"/>
  <c r="X154" i="67"/>
  <c r="V155" i="67"/>
  <c r="W155" i="67"/>
  <c r="X155" i="67"/>
  <c r="V156" i="67"/>
  <c r="W156" i="67"/>
  <c r="X156" i="67"/>
  <c r="V157" i="67"/>
  <c r="W157" i="67"/>
  <c r="X157" i="67"/>
  <c r="V158" i="67"/>
  <c r="W158" i="67"/>
  <c r="X158" i="67"/>
  <c r="V159" i="67"/>
  <c r="W159" i="67"/>
  <c r="X159" i="67"/>
  <c r="V160" i="67"/>
  <c r="W160" i="67"/>
  <c r="X160" i="67"/>
  <c r="V161" i="67"/>
  <c r="W161" i="67"/>
  <c r="X161" i="67"/>
  <c r="V162" i="67"/>
  <c r="W162" i="67"/>
  <c r="X162" i="67"/>
  <c r="V163" i="67"/>
  <c r="W163" i="67"/>
  <c r="X163" i="67"/>
  <c r="V164" i="67"/>
  <c r="W164" i="67"/>
  <c r="X164" i="67"/>
  <c r="V165" i="67"/>
  <c r="W165" i="67"/>
  <c r="X165" i="67"/>
  <c r="V166" i="67"/>
  <c r="W166" i="67"/>
  <c r="X166" i="67"/>
  <c r="V167" i="67"/>
  <c r="W167" i="67"/>
  <c r="X167" i="67"/>
  <c r="V168" i="67"/>
  <c r="W168" i="67"/>
  <c r="X168" i="67"/>
  <c r="V169" i="67"/>
  <c r="W169" i="67"/>
  <c r="X169" i="67"/>
  <c r="V170" i="67"/>
  <c r="W170" i="67"/>
  <c r="X170" i="67"/>
  <c r="V171" i="67"/>
  <c r="W171" i="67"/>
  <c r="X171" i="67"/>
  <c r="V172" i="67"/>
  <c r="W172" i="67"/>
  <c r="X172" i="67"/>
  <c r="V173" i="67"/>
  <c r="W173" i="67"/>
  <c r="X173" i="67"/>
  <c r="V174" i="67"/>
  <c r="W174" i="67"/>
  <c r="X174" i="67"/>
  <c r="V175" i="67"/>
  <c r="W175" i="67"/>
  <c r="X175" i="67"/>
  <c r="V176" i="67"/>
  <c r="W176" i="67"/>
  <c r="X176" i="67"/>
  <c r="V177" i="67"/>
  <c r="W177" i="67"/>
  <c r="X177" i="67"/>
  <c r="V178" i="67"/>
  <c r="W178" i="67"/>
  <c r="X178" i="67"/>
  <c r="V179" i="67"/>
  <c r="W179" i="67"/>
  <c r="X179" i="67"/>
  <c r="V180" i="67"/>
  <c r="W180" i="67"/>
  <c r="X180" i="67"/>
  <c r="V181" i="67"/>
  <c r="W181" i="67"/>
  <c r="X181" i="67"/>
  <c r="V182" i="67"/>
  <c r="W182" i="67"/>
  <c r="X182" i="67"/>
  <c r="V183" i="67"/>
  <c r="W183" i="67"/>
  <c r="X183" i="67"/>
  <c r="V184" i="67"/>
  <c r="W184" i="67"/>
  <c r="X184" i="67"/>
  <c r="V185" i="67"/>
  <c r="W185" i="67"/>
  <c r="X185" i="67"/>
  <c r="V186" i="67"/>
  <c r="W186" i="67"/>
  <c r="X186" i="67"/>
  <c r="V187" i="67"/>
  <c r="W187" i="67"/>
  <c r="X187" i="67"/>
  <c r="V188" i="67"/>
  <c r="W188" i="67"/>
  <c r="X188" i="67"/>
  <c r="V189" i="67"/>
  <c r="W189" i="67"/>
  <c r="X189" i="67"/>
  <c r="V190" i="67"/>
  <c r="W190" i="67"/>
  <c r="X190" i="67"/>
  <c r="V191" i="67"/>
  <c r="W191" i="67"/>
  <c r="X191" i="67"/>
  <c r="V192" i="67"/>
  <c r="W192" i="67"/>
  <c r="X192" i="67"/>
  <c r="V193" i="67"/>
  <c r="W193" i="67"/>
  <c r="X193" i="67"/>
  <c r="V194" i="67"/>
  <c r="W194" i="67"/>
  <c r="X194" i="67"/>
  <c r="V195" i="67"/>
  <c r="W195" i="67"/>
  <c r="X195" i="67"/>
  <c r="V196" i="67"/>
  <c r="W196" i="67"/>
  <c r="X196" i="67"/>
  <c r="V197" i="67"/>
  <c r="W197" i="67"/>
  <c r="X197" i="67"/>
  <c r="V198" i="67"/>
  <c r="W198" i="67"/>
  <c r="X198" i="67"/>
  <c r="V199" i="67"/>
  <c r="W199" i="67"/>
  <c r="X199" i="67"/>
  <c r="V200" i="67"/>
  <c r="W200" i="67"/>
  <c r="X200" i="67"/>
  <c r="V201" i="67"/>
  <c r="W201" i="67"/>
  <c r="X201" i="67"/>
  <c r="V202" i="67"/>
  <c r="W202" i="67"/>
  <c r="X202" i="67"/>
  <c r="V203" i="67"/>
  <c r="W203" i="67"/>
  <c r="X203" i="67"/>
  <c r="W4" i="67"/>
  <c r="X4" i="67"/>
  <c r="V4" i="67"/>
  <c r="DA6" i="65"/>
  <c r="DB6" i="65"/>
  <c r="DC6" i="65"/>
  <c r="DA7" i="65"/>
  <c r="DB7" i="65"/>
  <c r="DC7" i="65"/>
  <c r="DA8" i="65"/>
  <c r="DB8" i="65"/>
  <c r="DC8" i="65"/>
  <c r="DA9" i="65"/>
  <c r="DB9" i="65"/>
  <c r="DC9" i="65"/>
  <c r="DA10" i="65"/>
  <c r="DB10" i="65"/>
  <c r="DC10" i="65"/>
  <c r="DA11" i="65"/>
  <c r="DB11" i="65"/>
  <c r="DC11" i="65"/>
  <c r="DA12" i="65"/>
  <c r="DB12" i="65"/>
  <c r="DC12" i="65"/>
  <c r="DA13" i="65"/>
  <c r="DB13" i="65"/>
  <c r="DC13" i="65"/>
  <c r="DA14" i="65"/>
  <c r="DB14" i="65"/>
  <c r="DC14" i="65"/>
  <c r="DA15" i="65"/>
  <c r="DB15" i="65"/>
  <c r="DC15" i="65"/>
  <c r="DA16" i="65"/>
  <c r="DB16" i="65"/>
  <c r="DC16" i="65"/>
  <c r="DA17" i="65"/>
  <c r="DB17" i="65"/>
  <c r="DC17" i="65"/>
  <c r="DA18" i="65"/>
  <c r="DB18" i="65"/>
  <c r="DC18" i="65"/>
  <c r="DA19" i="65"/>
  <c r="DB19" i="65"/>
  <c r="DC19" i="65"/>
  <c r="DA20" i="65"/>
  <c r="DB20" i="65"/>
  <c r="DC20" i="65"/>
  <c r="DA21" i="65"/>
  <c r="DB21" i="65"/>
  <c r="DC21" i="65"/>
  <c r="DA22" i="65"/>
  <c r="DB22" i="65"/>
  <c r="DC22" i="65"/>
  <c r="DA23" i="65"/>
  <c r="DB23" i="65"/>
  <c r="DC23" i="65"/>
  <c r="DA24" i="65"/>
  <c r="DB24" i="65"/>
  <c r="DC24" i="65"/>
  <c r="DA25" i="65"/>
  <c r="DB25" i="65"/>
  <c r="DC25" i="65"/>
  <c r="DA26" i="65"/>
  <c r="DB26" i="65"/>
  <c r="DC26" i="65"/>
  <c r="DA27" i="65"/>
  <c r="DB27" i="65"/>
  <c r="DC27" i="65"/>
  <c r="DA28" i="65"/>
  <c r="DB28" i="65"/>
  <c r="DC28" i="65"/>
  <c r="DA29" i="65"/>
  <c r="DB29" i="65"/>
  <c r="DC29" i="65"/>
  <c r="DA30" i="65"/>
  <c r="DB30" i="65"/>
  <c r="DC30" i="65"/>
  <c r="DA31" i="65"/>
  <c r="DB31" i="65"/>
  <c r="DC31" i="65"/>
  <c r="DA32" i="65"/>
  <c r="DB32" i="65"/>
  <c r="DC32" i="65"/>
  <c r="DA33" i="65"/>
  <c r="DB33" i="65"/>
  <c r="DC33" i="65"/>
  <c r="DA34" i="65"/>
  <c r="DB34" i="65"/>
  <c r="DC34" i="65"/>
  <c r="DA35" i="65"/>
  <c r="DB35" i="65"/>
  <c r="DC35" i="65"/>
  <c r="DA36" i="65"/>
  <c r="DB36" i="65"/>
  <c r="DC36" i="65"/>
  <c r="DA37" i="65"/>
  <c r="DB37" i="65"/>
  <c r="DC37" i="65"/>
  <c r="DA38" i="65"/>
  <c r="DB38" i="65"/>
  <c r="DC38" i="65"/>
  <c r="DA39" i="65"/>
  <c r="DB39" i="65"/>
  <c r="DC39" i="65"/>
  <c r="DA40" i="65"/>
  <c r="DB40" i="65"/>
  <c r="DC40" i="65"/>
  <c r="DA41" i="65"/>
  <c r="DB41" i="65"/>
  <c r="DC41" i="65"/>
  <c r="DA42" i="65"/>
  <c r="DB42" i="65"/>
  <c r="DC42" i="65"/>
  <c r="DA43" i="65"/>
  <c r="DB43" i="65"/>
  <c r="DC43" i="65"/>
  <c r="DA44" i="65"/>
  <c r="DB44" i="65"/>
  <c r="DC44" i="65"/>
  <c r="DA45" i="65"/>
  <c r="DB45" i="65"/>
  <c r="DC45" i="65"/>
  <c r="DA46" i="65"/>
  <c r="DB46" i="65"/>
  <c r="DC46" i="65"/>
  <c r="DA47" i="65"/>
  <c r="DB47" i="65"/>
  <c r="DC47" i="65"/>
  <c r="DA48" i="65"/>
  <c r="DB48" i="65"/>
  <c r="DC48" i="65"/>
  <c r="DA49" i="65"/>
  <c r="DB49" i="65"/>
  <c r="DC49" i="65"/>
  <c r="DA50" i="65"/>
  <c r="DB50" i="65"/>
  <c r="DC50" i="65"/>
  <c r="DA51" i="65"/>
  <c r="DB51" i="65"/>
  <c r="DC51" i="65"/>
  <c r="DA52" i="65"/>
  <c r="DB52" i="65"/>
  <c r="DC52" i="65"/>
  <c r="DA53" i="65"/>
  <c r="DB53" i="65"/>
  <c r="DC53" i="65"/>
  <c r="DA54" i="65"/>
  <c r="DB54" i="65"/>
  <c r="DC54" i="65"/>
  <c r="DA55" i="65"/>
  <c r="DB55" i="65"/>
  <c r="DC55" i="65"/>
  <c r="DA56" i="65"/>
  <c r="DB56" i="65"/>
  <c r="DC56" i="65"/>
  <c r="DA57" i="65"/>
  <c r="DB57" i="65"/>
  <c r="DC57" i="65"/>
  <c r="DA58" i="65"/>
  <c r="DB58" i="65"/>
  <c r="DC58" i="65"/>
  <c r="DA59" i="65"/>
  <c r="DB59" i="65"/>
  <c r="DC59" i="65"/>
  <c r="DA60" i="65"/>
  <c r="DB60" i="65"/>
  <c r="DC60" i="65"/>
  <c r="DA61" i="65"/>
  <c r="DB61" i="65"/>
  <c r="DC61" i="65"/>
  <c r="DA62" i="65"/>
  <c r="DB62" i="65"/>
  <c r="DC62" i="65"/>
  <c r="DA63" i="65"/>
  <c r="DB63" i="65"/>
  <c r="DC63" i="65"/>
  <c r="DA64" i="65"/>
  <c r="DB64" i="65"/>
  <c r="DC64" i="65"/>
  <c r="DA65" i="65"/>
  <c r="DB65" i="65"/>
  <c r="DC65" i="65"/>
  <c r="DA66" i="65"/>
  <c r="DB66" i="65"/>
  <c r="DC66" i="65"/>
  <c r="DA67" i="65"/>
  <c r="DB67" i="65"/>
  <c r="DC67" i="65"/>
  <c r="DA68" i="65"/>
  <c r="DB68" i="65"/>
  <c r="DC68" i="65"/>
  <c r="DA69" i="65"/>
  <c r="DB69" i="65"/>
  <c r="DC69" i="65"/>
  <c r="DA70" i="65"/>
  <c r="DB70" i="65"/>
  <c r="DC70" i="65"/>
  <c r="DA71" i="65"/>
  <c r="DB71" i="65"/>
  <c r="DC71" i="65"/>
  <c r="DA72" i="65"/>
  <c r="DB72" i="65"/>
  <c r="DC72" i="65"/>
  <c r="DA73" i="65"/>
  <c r="DB73" i="65"/>
  <c r="DC73" i="65"/>
  <c r="DA74" i="65"/>
  <c r="DB74" i="65"/>
  <c r="DC74" i="65"/>
  <c r="DA75" i="65"/>
  <c r="DB75" i="65"/>
  <c r="DC75" i="65"/>
  <c r="DA76" i="65"/>
  <c r="DB76" i="65"/>
  <c r="DC76" i="65"/>
  <c r="DA77" i="65"/>
  <c r="DB77" i="65"/>
  <c r="DC77" i="65"/>
  <c r="DA78" i="65"/>
  <c r="DB78" i="65"/>
  <c r="DC78" i="65"/>
  <c r="DA79" i="65"/>
  <c r="DB79" i="65"/>
  <c r="DC79" i="65"/>
  <c r="DA80" i="65"/>
  <c r="DB80" i="65"/>
  <c r="DC80" i="65"/>
  <c r="DA81" i="65"/>
  <c r="DB81" i="65"/>
  <c r="DC81" i="65"/>
  <c r="DA82" i="65"/>
  <c r="DB82" i="65"/>
  <c r="DC82" i="65"/>
  <c r="DA83" i="65"/>
  <c r="DB83" i="65"/>
  <c r="DC83" i="65"/>
  <c r="DA84" i="65"/>
  <c r="DB84" i="65"/>
  <c r="DC84" i="65"/>
  <c r="DA85" i="65"/>
  <c r="DB85" i="65"/>
  <c r="DC85" i="65"/>
  <c r="DA86" i="65"/>
  <c r="DB86" i="65"/>
  <c r="DC86" i="65"/>
  <c r="DA87" i="65"/>
  <c r="DB87" i="65"/>
  <c r="DC87" i="65"/>
  <c r="DA88" i="65"/>
  <c r="DB88" i="65"/>
  <c r="DC88" i="65"/>
  <c r="DA89" i="65"/>
  <c r="DB89" i="65"/>
  <c r="DC89" i="65"/>
  <c r="DA90" i="65"/>
  <c r="DB90" i="65"/>
  <c r="DC90" i="65"/>
  <c r="DA91" i="65"/>
  <c r="DB91" i="65"/>
  <c r="DC91" i="65"/>
  <c r="DA92" i="65"/>
  <c r="DB92" i="65"/>
  <c r="DC92" i="65"/>
  <c r="DA93" i="65"/>
  <c r="DB93" i="65"/>
  <c r="DC93" i="65"/>
  <c r="DA94" i="65"/>
  <c r="DB94" i="65"/>
  <c r="DC94" i="65"/>
  <c r="DA95" i="65"/>
  <c r="DB95" i="65"/>
  <c r="DC95" i="65"/>
  <c r="DA96" i="65"/>
  <c r="DB96" i="65"/>
  <c r="DC96" i="65"/>
  <c r="DA97" i="65"/>
  <c r="DB97" i="65"/>
  <c r="DC97" i="65"/>
  <c r="DA98" i="65"/>
  <c r="DB98" i="65"/>
  <c r="DC98" i="65"/>
  <c r="DA99" i="65"/>
  <c r="DB99" i="65"/>
  <c r="DC99" i="65"/>
  <c r="DA100" i="65"/>
  <c r="DB100" i="65"/>
  <c r="DC100" i="65"/>
  <c r="DA101" i="65"/>
  <c r="DB101" i="65"/>
  <c r="DC101" i="65"/>
  <c r="DA102" i="65"/>
  <c r="DB102" i="65"/>
  <c r="DC102" i="65"/>
  <c r="DA103" i="65"/>
  <c r="DB103" i="65"/>
  <c r="DC103" i="65"/>
  <c r="DA104" i="65"/>
  <c r="DB104" i="65"/>
  <c r="DC104" i="65"/>
  <c r="DA105" i="65"/>
  <c r="DB105" i="65"/>
  <c r="DC105" i="65"/>
  <c r="DA106" i="65"/>
  <c r="DB106" i="65"/>
  <c r="DC106" i="65"/>
  <c r="DA107" i="65"/>
  <c r="DB107" i="65"/>
  <c r="DC107" i="65"/>
  <c r="DA108" i="65"/>
  <c r="DB108" i="65"/>
  <c r="DC108" i="65"/>
  <c r="DA109" i="65"/>
  <c r="DB109" i="65"/>
  <c r="DC109" i="65"/>
  <c r="DA110" i="65"/>
  <c r="DB110" i="65"/>
  <c r="DC110" i="65"/>
  <c r="DA111" i="65"/>
  <c r="DB111" i="65"/>
  <c r="DC111" i="65"/>
  <c r="DA112" i="65"/>
  <c r="DB112" i="65"/>
  <c r="DC112" i="65"/>
  <c r="DA113" i="65"/>
  <c r="DB113" i="65"/>
  <c r="DC113" i="65"/>
  <c r="DA114" i="65"/>
  <c r="DB114" i="65"/>
  <c r="DC114" i="65"/>
  <c r="DA115" i="65"/>
  <c r="DB115" i="65"/>
  <c r="DC115" i="65"/>
  <c r="DA116" i="65"/>
  <c r="DB116" i="65"/>
  <c r="DC116" i="65"/>
  <c r="DA117" i="65"/>
  <c r="DB117" i="65"/>
  <c r="DC117" i="65"/>
  <c r="DA118" i="65"/>
  <c r="DB118" i="65"/>
  <c r="DC118" i="65"/>
  <c r="DA119" i="65"/>
  <c r="DB119" i="65"/>
  <c r="DC119" i="65"/>
  <c r="DA120" i="65"/>
  <c r="DB120" i="65"/>
  <c r="DC120" i="65"/>
  <c r="DA121" i="65"/>
  <c r="DB121" i="65"/>
  <c r="DC121" i="65"/>
  <c r="DA122" i="65"/>
  <c r="DB122" i="65"/>
  <c r="DC122" i="65"/>
  <c r="DA123" i="65"/>
  <c r="DB123" i="65"/>
  <c r="DC123" i="65"/>
  <c r="DA124" i="65"/>
  <c r="DB124" i="65"/>
  <c r="DC124" i="65"/>
  <c r="DA125" i="65"/>
  <c r="DB125" i="65"/>
  <c r="DC125" i="65"/>
  <c r="DA126" i="65"/>
  <c r="DB126" i="65"/>
  <c r="DC126" i="65"/>
  <c r="DA127" i="65"/>
  <c r="DB127" i="65"/>
  <c r="DC127" i="65"/>
  <c r="DA128" i="65"/>
  <c r="DB128" i="65"/>
  <c r="DC128" i="65"/>
  <c r="DA129" i="65"/>
  <c r="DB129" i="65"/>
  <c r="DC129" i="65"/>
  <c r="DA130" i="65"/>
  <c r="DB130" i="65"/>
  <c r="DC130" i="65"/>
  <c r="DA131" i="65"/>
  <c r="DB131" i="65"/>
  <c r="DC131" i="65"/>
  <c r="DA132" i="65"/>
  <c r="DB132" i="65"/>
  <c r="DC132" i="65"/>
  <c r="DA133" i="65"/>
  <c r="DB133" i="65"/>
  <c r="DC133" i="65"/>
  <c r="DA134" i="65"/>
  <c r="DB134" i="65"/>
  <c r="DC134" i="65"/>
  <c r="DA135" i="65"/>
  <c r="DB135" i="65"/>
  <c r="DC135" i="65"/>
  <c r="DA136" i="65"/>
  <c r="DB136" i="65"/>
  <c r="DC136" i="65"/>
  <c r="DA137" i="65"/>
  <c r="DB137" i="65"/>
  <c r="DC137" i="65"/>
  <c r="DA138" i="65"/>
  <c r="DB138" i="65"/>
  <c r="DC138" i="65"/>
  <c r="DA139" i="65"/>
  <c r="DB139" i="65"/>
  <c r="DC139" i="65"/>
  <c r="DA140" i="65"/>
  <c r="DB140" i="65"/>
  <c r="DC140" i="65"/>
  <c r="DA141" i="65"/>
  <c r="DB141" i="65"/>
  <c r="DC141" i="65"/>
  <c r="DA142" i="65"/>
  <c r="DB142" i="65"/>
  <c r="DC142" i="65"/>
  <c r="DA143" i="65"/>
  <c r="DB143" i="65"/>
  <c r="DC143" i="65"/>
  <c r="DA144" i="65"/>
  <c r="DB144" i="65"/>
  <c r="DC144" i="65"/>
  <c r="DA145" i="65"/>
  <c r="DB145" i="65"/>
  <c r="DC145" i="65"/>
  <c r="DA146" i="65"/>
  <c r="DB146" i="65"/>
  <c r="DC146" i="65"/>
  <c r="DA147" i="65"/>
  <c r="DB147" i="65"/>
  <c r="DC147" i="65"/>
  <c r="DA148" i="65"/>
  <c r="DB148" i="65"/>
  <c r="DC148" i="65"/>
  <c r="DA149" i="65"/>
  <c r="DB149" i="65"/>
  <c r="DC149" i="65"/>
  <c r="DA150" i="65"/>
  <c r="DB150" i="65"/>
  <c r="DC150" i="65"/>
  <c r="DA151" i="65"/>
  <c r="DB151" i="65"/>
  <c r="DC151" i="65"/>
  <c r="DA152" i="65"/>
  <c r="DB152" i="65"/>
  <c r="DC152" i="65"/>
  <c r="DA153" i="65"/>
  <c r="DB153" i="65"/>
  <c r="DC153" i="65"/>
  <c r="DA154" i="65"/>
  <c r="DB154" i="65"/>
  <c r="DC154" i="65"/>
  <c r="DA155" i="65"/>
  <c r="DB155" i="65"/>
  <c r="DC155" i="65"/>
  <c r="DA156" i="65"/>
  <c r="DB156" i="65"/>
  <c r="DC156" i="65"/>
  <c r="DA157" i="65"/>
  <c r="DB157" i="65"/>
  <c r="DC157" i="65"/>
  <c r="DA158" i="65"/>
  <c r="DB158" i="65"/>
  <c r="DC158" i="65"/>
  <c r="DA159" i="65"/>
  <c r="DB159" i="65"/>
  <c r="DC159" i="65"/>
  <c r="DA160" i="65"/>
  <c r="DB160" i="65"/>
  <c r="DC160" i="65"/>
  <c r="DA161" i="65"/>
  <c r="DB161" i="65"/>
  <c r="DC161" i="65"/>
  <c r="DA162" i="65"/>
  <c r="DB162" i="65"/>
  <c r="DC162" i="65"/>
  <c r="DA163" i="65"/>
  <c r="DB163" i="65"/>
  <c r="DC163" i="65"/>
  <c r="DA164" i="65"/>
  <c r="DB164" i="65"/>
  <c r="DC164" i="65"/>
  <c r="DA165" i="65"/>
  <c r="DB165" i="65"/>
  <c r="DC165" i="65"/>
  <c r="DA166" i="65"/>
  <c r="DB166" i="65"/>
  <c r="DC166" i="65"/>
  <c r="DA167" i="65"/>
  <c r="DB167" i="65"/>
  <c r="DC167" i="65"/>
  <c r="DA168" i="65"/>
  <c r="DB168" i="65"/>
  <c r="DC168" i="65"/>
  <c r="DA169" i="65"/>
  <c r="DB169" i="65"/>
  <c r="DC169" i="65"/>
  <c r="DA170" i="65"/>
  <c r="DB170" i="65"/>
  <c r="DC170" i="65"/>
  <c r="DA171" i="65"/>
  <c r="DB171" i="65"/>
  <c r="DC171" i="65"/>
  <c r="DA172" i="65"/>
  <c r="DB172" i="65"/>
  <c r="DC172" i="65"/>
  <c r="DA173" i="65"/>
  <c r="DB173" i="65"/>
  <c r="DC173" i="65"/>
  <c r="DA174" i="65"/>
  <c r="DB174" i="65"/>
  <c r="DC174" i="65"/>
  <c r="DA175" i="65"/>
  <c r="DB175" i="65"/>
  <c r="DC175" i="65"/>
  <c r="DA176" i="65"/>
  <c r="DB176" i="65"/>
  <c r="DC176" i="65"/>
  <c r="DA177" i="65"/>
  <c r="DB177" i="65"/>
  <c r="DC177" i="65"/>
  <c r="DA178" i="65"/>
  <c r="DB178" i="65"/>
  <c r="DC178" i="65"/>
  <c r="DA179" i="65"/>
  <c r="DB179" i="65"/>
  <c r="DC179" i="65"/>
  <c r="DA180" i="65"/>
  <c r="DB180" i="65"/>
  <c r="DC180" i="65"/>
  <c r="DA181" i="65"/>
  <c r="DB181" i="65"/>
  <c r="DC181" i="65"/>
  <c r="DA182" i="65"/>
  <c r="DB182" i="65"/>
  <c r="DC182" i="65"/>
  <c r="DA183" i="65"/>
  <c r="DB183" i="65"/>
  <c r="DC183" i="65"/>
  <c r="DA184" i="65"/>
  <c r="DB184" i="65"/>
  <c r="DC184" i="65"/>
  <c r="DA185" i="65"/>
  <c r="DB185" i="65"/>
  <c r="DC185" i="65"/>
  <c r="DA186" i="65"/>
  <c r="DB186" i="65"/>
  <c r="DC186" i="65"/>
  <c r="DA187" i="65"/>
  <c r="DB187" i="65"/>
  <c r="DC187" i="65"/>
  <c r="DA188" i="65"/>
  <c r="DB188" i="65"/>
  <c r="DC188" i="65"/>
  <c r="DA189" i="65"/>
  <c r="DB189" i="65"/>
  <c r="DC189" i="65"/>
  <c r="DA190" i="65"/>
  <c r="DB190" i="65"/>
  <c r="DC190" i="65"/>
  <c r="DA191" i="65"/>
  <c r="DB191" i="65"/>
  <c r="DC191" i="65"/>
  <c r="DA192" i="65"/>
  <c r="DB192" i="65"/>
  <c r="DC192" i="65"/>
  <c r="DA193" i="65"/>
  <c r="DB193" i="65"/>
  <c r="DC193" i="65"/>
  <c r="DA194" i="65"/>
  <c r="DB194" i="65"/>
  <c r="DC194" i="65"/>
  <c r="DA195" i="65"/>
  <c r="DB195" i="65"/>
  <c r="DC195" i="65"/>
  <c r="DA196" i="65"/>
  <c r="DB196" i="65"/>
  <c r="DC196" i="65"/>
  <c r="DA197" i="65"/>
  <c r="DB197" i="65"/>
  <c r="DC197" i="65"/>
  <c r="DA198" i="65"/>
  <c r="DB198" i="65"/>
  <c r="DC198" i="65"/>
  <c r="DA199" i="65"/>
  <c r="DB199" i="65"/>
  <c r="DC199" i="65"/>
  <c r="DA200" i="65"/>
  <c r="DB200" i="65"/>
  <c r="DC200" i="65"/>
  <c r="DA201" i="65"/>
  <c r="DB201" i="65"/>
  <c r="DC201" i="65"/>
  <c r="DA202" i="65"/>
  <c r="DB202" i="65"/>
  <c r="DC202" i="65"/>
  <c r="DA203" i="65"/>
  <c r="DB203" i="65"/>
  <c r="DC203" i="65"/>
  <c r="DA204" i="65"/>
  <c r="DB204" i="65"/>
  <c r="DC204" i="65"/>
  <c r="DA205" i="65"/>
  <c r="DB205" i="65"/>
  <c r="DC205" i="65"/>
  <c r="DA206" i="65"/>
  <c r="DB206" i="65"/>
  <c r="DC206" i="65"/>
  <c r="DA207" i="65"/>
  <c r="DB207" i="65"/>
  <c r="DC207" i="65"/>
  <c r="DA208" i="65"/>
  <c r="DB208" i="65"/>
  <c r="DC208" i="65"/>
  <c r="DA209" i="65"/>
  <c r="DB209" i="65"/>
  <c r="DC209" i="65"/>
  <c r="DA210" i="65"/>
  <c r="DB210" i="65"/>
  <c r="DC210" i="65"/>
  <c r="DA211" i="65"/>
  <c r="DB211" i="65"/>
  <c r="DC211" i="65"/>
  <c r="DA212" i="65"/>
  <c r="DB212" i="65"/>
  <c r="DC212" i="65"/>
  <c r="DA213" i="65"/>
  <c r="DB213" i="65"/>
  <c r="DC213" i="65"/>
  <c r="DA214" i="65"/>
  <c r="DB214" i="65"/>
  <c r="DC214" i="65"/>
  <c r="DA215" i="65"/>
  <c r="DB215" i="65"/>
  <c r="DC215" i="65"/>
  <c r="DA216" i="65"/>
  <c r="DB216" i="65"/>
  <c r="DC216" i="65"/>
  <c r="DA217" i="65"/>
  <c r="DB217" i="65"/>
  <c r="DC217" i="65"/>
  <c r="DA218" i="65"/>
  <c r="DB218" i="65"/>
  <c r="DC218" i="65"/>
  <c r="DA219" i="65"/>
  <c r="DB219" i="65"/>
  <c r="DC219" i="65"/>
  <c r="DA220" i="65"/>
  <c r="DB220" i="65"/>
  <c r="DC220" i="65"/>
  <c r="DA221" i="65"/>
  <c r="DB221" i="65"/>
  <c r="DC221" i="65"/>
  <c r="DA222" i="65"/>
  <c r="DB222" i="65"/>
  <c r="DC222" i="65"/>
  <c r="DA223" i="65"/>
  <c r="DB223" i="65"/>
  <c r="DC223" i="65"/>
  <c r="DA224" i="65"/>
  <c r="DB224" i="65"/>
  <c r="DC224" i="65"/>
  <c r="DA225" i="65"/>
  <c r="DB225" i="65"/>
  <c r="DC225" i="65"/>
  <c r="DA226" i="65"/>
  <c r="DB226" i="65"/>
  <c r="DC226" i="65"/>
  <c r="DA227" i="65"/>
  <c r="DB227" i="65"/>
  <c r="DC227" i="65"/>
  <c r="DA228" i="65"/>
  <c r="DB228" i="65"/>
  <c r="DC228" i="65"/>
  <c r="DA229" i="65"/>
  <c r="DB229" i="65"/>
  <c r="DC229" i="65"/>
  <c r="DA230" i="65"/>
  <c r="DB230" i="65"/>
  <c r="DC230" i="65"/>
  <c r="DA231" i="65"/>
  <c r="DB231" i="65"/>
  <c r="DC231" i="65"/>
  <c r="DA232" i="65"/>
  <c r="DB232" i="65"/>
  <c r="DC232" i="65"/>
  <c r="DA233" i="65"/>
  <c r="DB233" i="65"/>
  <c r="DC233" i="65"/>
  <c r="DA234" i="65"/>
  <c r="DB234" i="65"/>
  <c r="DC234" i="65"/>
  <c r="DA235" i="65"/>
  <c r="DB235" i="65"/>
  <c r="DC235" i="65"/>
  <c r="DA236" i="65"/>
  <c r="DB236" i="65"/>
  <c r="DC236" i="65"/>
  <c r="DA237" i="65"/>
  <c r="DB237" i="65"/>
  <c r="DC237" i="65"/>
  <c r="DA238" i="65"/>
  <c r="DB238" i="65"/>
  <c r="DC238" i="65"/>
  <c r="DA239" i="65"/>
  <c r="DB239" i="65"/>
  <c r="DC239" i="65"/>
  <c r="DA240" i="65"/>
  <c r="DB240" i="65"/>
  <c r="DC240" i="65"/>
  <c r="DA241" i="65"/>
  <c r="DB241" i="65"/>
  <c r="DC241" i="65"/>
  <c r="DA242" i="65"/>
  <c r="DB242" i="65"/>
  <c r="DC242" i="65"/>
  <c r="DA243" i="65"/>
  <c r="DB243" i="65"/>
  <c r="DC243" i="65"/>
  <c r="DA244" i="65"/>
  <c r="DB244" i="65"/>
  <c r="DC244" i="65"/>
  <c r="DA245" i="65"/>
  <c r="DB245" i="65"/>
  <c r="DC245" i="65"/>
  <c r="DA246" i="65"/>
  <c r="DB246" i="65"/>
  <c r="DC246" i="65"/>
  <c r="DA247" i="65"/>
  <c r="DB247" i="65"/>
  <c r="DC247" i="65"/>
  <c r="DA248" i="65"/>
  <c r="DB248" i="65"/>
  <c r="DC248" i="65"/>
  <c r="DA249" i="65"/>
  <c r="DB249" i="65"/>
  <c r="DC249" i="65"/>
  <c r="DA250" i="65"/>
  <c r="DB250" i="65"/>
  <c r="DC250" i="65"/>
  <c r="DA251" i="65"/>
  <c r="DB251" i="65"/>
  <c r="DC251" i="65"/>
  <c r="DA252" i="65"/>
  <c r="DB252" i="65"/>
  <c r="DC252" i="65"/>
  <c r="DA253" i="65"/>
  <c r="DB253" i="65"/>
  <c r="DC253" i="65"/>
  <c r="DA254" i="65"/>
  <c r="DB254" i="65"/>
  <c r="DC254" i="65"/>
  <c r="DA255" i="65"/>
  <c r="DB255" i="65"/>
  <c r="DC255" i="65"/>
  <c r="DA256" i="65"/>
  <c r="DB256" i="65"/>
  <c r="DC256" i="65"/>
  <c r="DA257" i="65"/>
  <c r="DB257" i="65"/>
  <c r="DC257" i="65"/>
  <c r="DA258" i="65"/>
  <c r="DB258" i="65"/>
  <c r="DC258" i="65"/>
  <c r="DA259" i="65"/>
  <c r="DB259" i="65"/>
  <c r="DC259" i="65"/>
  <c r="DA260" i="65"/>
  <c r="DB260" i="65"/>
  <c r="DC260" i="65"/>
  <c r="DA261" i="65"/>
  <c r="DB261" i="65"/>
  <c r="DC261" i="65"/>
  <c r="DA262" i="65"/>
  <c r="DB262" i="65"/>
  <c r="DC262" i="65"/>
  <c r="DA263" i="65"/>
  <c r="DB263" i="65"/>
  <c r="DC263" i="65"/>
  <c r="DA264" i="65"/>
  <c r="DB264" i="65"/>
  <c r="DC264" i="65"/>
  <c r="DA265" i="65"/>
  <c r="DB265" i="65"/>
  <c r="DC265" i="65"/>
  <c r="DA266" i="65"/>
  <c r="DB266" i="65"/>
  <c r="DC266" i="65"/>
  <c r="DA267" i="65"/>
  <c r="DB267" i="65"/>
  <c r="DC267" i="65"/>
  <c r="DA268" i="65"/>
  <c r="DB268" i="65"/>
  <c r="DC268" i="65"/>
  <c r="DA269" i="65"/>
  <c r="DB269" i="65"/>
  <c r="DC269" i="65"/>
  <c r="DA270" i="65"/>
  <c r="DB270" i="65"/>
  <c r="DC270" i="65"/>
  <c r="DA271" i="65"/>
  <c r="DB271" i="65"/>
  <c r="DC271" i="65"/>
  <c r="DA272" i="65"/>
  <c r="DB272" i="65"/>
  <c r="DC272" i="65"/>
  <c r="DA273" i="65"/>
  <c r="DB273" i="65"/>
  <c r="DC273" i="65"/>
  <c r="DA274" i="65"/>
  <c r="DB274" i="65"/>
  <c r="DC274" i="65"/>
  <c r="DA275" i="65"/>
  <c r="DB275" i="65"/>
  <c r="DC275" i="65"/>
  <c r="DA276" i="65"/>
  <c r="DB276" i="65"/>
  <c r="DC276" i="65"/>
  <c r="DA277" i="65"/>
  <c r="DB277" i="65"/>
  <c r="DC277" i="65"/>
  <c r="DA278" i="65"/>
  <c r="DB278" i="65"/>
  <c r="DC278" i="65"/>
  <c r="DA279" i="65"/>
  <c r="DB279" i="65"/>
  <c r="DC279" i="65"/>
  <c r="DA280" i="65"/>
  <c r="DB280" i="65"/>
  <c r="DC280" i="65"/>
  <c r="DA281" i="65"/>
  <c r="DB281" i="65"/>
  <c r="DC281" i="65"/>
  <c r="DA282" i="65"/>
  <c r="DB282" i="65"/>
  <c r="DC282" i="65"/>
  <c r="DA283" i="65"/>
  <c r="DB283" i="65"/>
  <c r="DC283" i="65"/>
  <c r="DA284" i="65"/>
  <c r="DB284" i="65"/>
  <c r="DC284" i="65"/>
  <c r="DA285" i="65"/>
  <c r="DB285" i="65"/>
  <c r="DC285" i="65"/>
  <c r="DA286" i="65"/>
  <c r="DB286" i="65"/>
  <c r="DC286" i="65"/>
  <c r="DA287" i="65"/>
  <c r="DB287" i="65"/>
  <c r="DC287" i="65"/>
  <c r="DA288" i="65"/>
  <c r="DB288" i="65"/>
  <c r="DC288" i="65"/>
  <c r="DA289" i="65"/>
  <c r="DB289" i="65"/>
  <c r="DC289" i="65"/>
  <c r="DA290" i="65"/>
  <c r="DB290" i="65"/>
  <c r="DC290" i="65"/>
  <c r="DA291" i="65"/>
  <c r="DB291" i="65"/>
  <c r="DC291" i="65"/>
  <c r="DA292" i="65"/>
  <c r="DB292" i="65"/>
  <c r="DC292" i="65"/>
  <c r="DA293" i="65"/>
  <c r="DB293" i="65"/>
  <c r="DC293" i="65"/>
  <c r="DA294" i="65"/>
  <c r="DB294" i="65"/>
  <c r="DC294" i="65"/>
  <c r="DA295" i="65"/>
  <c r="DB295" i="65"/>
  <c r="DC295" i="65"/>
  <c r="DA296" i="65"/>
  <c r="DB296" i="65"/>
  <c r="DC296" i="65"/>
  <c r="DA297" i="65"/>
  <c r="DB297" i="65"/>
  <c r="DC297" i="65"/>
  <c r="DA298" i="65"/>
  <c r="DB298" i="65"/>
  <c r="DC298" i="65"/>
  <c r="DA299" i="65"/>
  <c r="DB299" i="65"/>
  <c r="DC299" i="65"/>
  <c r="DA300" i="65"/>
  <c r="DB300" i="65"/>
  <c r="DC300" i="65"/>
  <c r="DA301" i="65"/>
  <c r="DB301" i="65"/>
  <c r="DC301" i="65"/>
  <c r="DA302" i="65"/>
  <c r="DB302" i="65"/>
  <c r="DC302" i="65"/>
  <c r="DA303" i="65"/>
  <c r="DB303" i="65"/>
  <c r="DC303" i="65"/>
  <c r="DA304" i="65"/>
  <c r="DB304" i="65"/>
  <c r="DC304" i="65"/>
  <c r="DA305" i="65"/>
  <c r="DB305" i="65"/>
  <c r="DC305" i="65"/>
  <c r="DA306" i="65"/>
  <c r="DB306" i="65"/>
  <c r="DC306" i="65"/>
  <c r="DA307" i="65"/>
  <c r="DB307" i="65"/>
  <c r="DC307" i="65"/>
  <c r="DA308" i="65"/>
  <c r="DB308" i="65"/>
  <c r="DC308" i="65"/>
  <c r="DA309" i="65"/>
  <c r="DB309" i="65"/>
  <c r="DC309" i="65"/>
  <c r="DA310" i="65"/>
  <c r="DB310" i="65"/>
  <c r="DC310" i="65"/>
  <c r="DA311" i="65"/>
  <c r="DB311" i="65"/>
  <c r="DC311" i="65"/>
  <c r="DA312" i="65"/>
  <c r="DB312" i="65"/>
  <c r="DC312" i="65"/>
  <c r="DA313" i="65"/>
  <c r="DB313" i="65"/>
  <c r="DC313" i="65"/>
  <c r="DA314" i="65"/>
  <c r="DB314" i="65"/>
  <c r="DC314" i="65"/>
  <c r="DA315" i="65"/>
  <c r="DB315" i="65"/>
  <c r="DC315" i="65"/>
  <c r="DA316" i="65"/>
  <c r="DB316" i="65"/>
  <c r="DC316" i="65"/>
  <c r="DA317" i="65"/>
  <c r="DB317" i="65"/>
  <c r="DC317" i="65"/>
  <c r="DA318" i="65"/>
  <c r="DB318" i="65"/>
  <c r="DC318" i="65"/>
  <c r="DA319" i="65"/>
  <c r="DB319" i="65"/>
  <c r="DC319" i="65"/>
  <c r="DA320" i="65"/>
  <c r="DB320" i="65"/>
  <c r="DC320" i="65"/>
  <c r="DA321" i="65"/>
  <c r="DB321" i="65"/>
  <c r="DC321" i="65"/>
  <c r="DA322" i="65"/>
  <c r="DB322" i="65"/>
  <c r="DC322" i="65"/>
  <c r="DA323" i="65"/>
  <c r="DB323" i="65"/>
  <c r="DC323" i="65"/>
  <c r="DA324" i="65"/>
  <c r="DB324" i="65"/>
  <c r="DC324" i="65"/>
  <c r="DA325" i="65"/>
  <c r="DB325" i="65"/>
  <c r="DC325" i="65"/>
  <c r="DA326" i="65"/>
  <c r="DB326" i="65"/>
  <c r="DC326" i="65"/>
  <c r="DA327" i="65"/>
  <c r="DB327" i="65"/>
  <c r="DC327" i="65"/>
  <c r="DA328" i="65"/>
  <c r="DB328" i="65"/>
  <c r="DC328" i="65"/>
  <c r="DA329" i="65"/>
  <c r="DB329" i="65"/>
  <c r="DC329" i="65"/>
  <c r="DA330" i="65"/>
  <c r="DB330" i="65"/>
  <c r="DC330" i="65"/>
  <c r="DA331" i="65"/>
  <c r="DB331" i="65"/>
  <c r="DC331" i="65"/>
  <c r="DA332" i="65"/>
  <c r="DB332" i="65"/>
  <c r="DC332" i="65"/>
  <c r="DA333" i="65"/>
  <c r="DB333" i="65"/>
  <c r="DC333" i="65"/>
  <c r="DA334" i="65"/>
  <c r="DB334" i="65"/>
  <c r="DC334" i="65"/>
  <c r="DA335" i="65"/>
  <c r="DB335" i="65"/>
  <c r="DC335" i="65"/>
  <c r="DA336" i="65"/>
  <c r="DB336" i="65"/>
  <c r="DC336" i="65"/>
  <c r="DA337" i="65"/>
  <c r="DB337" i="65"/>
  <c r="DC337" i="65"/>
  <c r="DA338" i="65"/>
  <c r="DB338" i="65"/>
  <c r="DC338" i="65"/>
  <c r="DA339" i="65"/>
  <c r="DB339" i="65"/>
  <c r="DC339" i="65"/>
  <c r="DA340" i="65"/>
  <c r="DB340" i="65"/>
  <c r="DC340" i="65"/>
  <c r="DA341" i="65"/>
  <c r="DB341" i="65"/>
  <c r="DC341" i="65"/>
  <c r="DA342" i="65"/>
  <c r="DB342" i="65"/>
  <c r="DC342" i="65"/>
  <c r="DA343" i="65"/>
  <c r="DB343" i="65"/>
  <c r="DC343" i="65"/>
  <c r="DA344" i="65"/>
  <c r="DB344" i="65"/>
  <c r="DC344" i="65"/>
  <c r="DA345" i="65"/>
  <c r="DB345" i="65"/>
  <c r="DC345" i="65"/>
  <c r="DA346" i="65"/>
  <c r="DB346" i="65"/>
  <c r="DC346" i="65"/>
  <c r="DA347" i="65"/>
  <c r="DB347" i="65"/>
  <c r="DC347" i="65"/>
  <c r="DA348" i="65"/>
  <c r="DB348" i="65"/>
  <c r="DC348" i="65"/>
  <c r="DA349" i="65"/>
  <c r="DB349" i="65"/>
  <c r="DC349" i="65"/>
  <c r="DA350" i="65"/>
  <c r="DB350" i="65"/>
  <c r="DC350" i="65"/>
  <c r="DA351" i="65"/>
  <c r="DB351" i="65"/>
  <c r="DC351" i="65"/>
  <c r="DA352" i="65"/>
  <c r="DB352" i="65"/>
  <c r="DC352" i="65"/>
  <c r="DA353" i="65"/>
  <c r="DB353" i="65"/>
  <c r="DC353" i="65"/>
  <c r="DA354" i="65"/>
  <c r="DB354" i="65"/>
  <c r="DC354" i="65"/>
  <c r="DA355" i="65"/>
  <c r="DB355" i="65"/>
  <c r="DC355" i="65"/>
  <c r="DA356" i="65"/>
  <c r="DB356" i="65"/>
  <c r="DC356" i="65"/>
  <c r="DA357" i="65"/>
  <c r="DB357" i="65"/>
  <c r="DC357" i="65"/>
  <c r="DA358" i="65"/>
  <c r="DB358" i="65"/>
  <c r="DC358" i="65"/>
  <c r="DA359" i="65"/>
  <c r="DB359" i="65"/>
  <c r="DC359" i="65"/>
  <c r="DA360" i="65"/>
  <c r="DB360" i="65"/>
  <c r="DC360" i="65"/>
  <c r="DA361" i="65"/>
  <c r="DB361" i="65"/>
  <c r="DC361" i="65"/>
  <c r="DA362" i="65"/>
  <c r="DB362" i="65"/>
  <c r="DC362" i="65"/>
  <c r="DA363" i="65"/>
  <c r="DB363" i="65"/>
  <c r="DC363" i="65"/>
  <c r="DA364" i="65"/>
  <c r="DB364" i="65"/>
  <c r="DC364" i="65"/>
  <c r="DA365" i="65"/>
  <c r="DB365" i="65"/>
  <c r="DC365" i="65"/>
  <c r="DA366" i="65"/>
  <c r="DB366" i="65"/>
  <c r="DC366" i="65"/>
  <c r="DA367" i="65"/>
  <c r="DB367" i="65"/>
  <c r="DC367" i="65"/>
  <c r="DA368" i="65"/>
  <c r="DB368" i="65"/>
  <c r="DC368" i="65"/>
  <c r="DA369" i="65"/>
  <c r="DB369" i="65"/>
  <c r="DC369" i="65"/>
  <c r="DA370" i="65"/>
  <c r="DB370" i="65"/>
  <c r="DC370" i="65"/>
  <c r="DA371" i="65"/>
  <c r="DB371" i="65"/>
  <c r="DC371" i="65"/>
  <c r="DA372" i="65"/>
  <c r="DB372" i="65"/>
  <c r="DC372" i="65"/>
  <c r="DA373" i="65"/>
  <c r="DB373" i="65"/>
  <c r="DC373" i="65"/>
  <c r="DA374" i="65"/>
  <c r="DB374" i="65"/>
  <c r="DC374" i="65"/>
  <c r="DA375" i="65"/>
  <c r="DB375" i="65"/>
  <c r="DC375" i="65"/>
  <c r="DA376" i="65"/>
  <c r="DB376" i="65"/>
  <c r="DC376" i="65"/>
  <c r="DA377" i="65"/>
  <c r="DB377" i="65"/>
  <c r="DC377" i="65"/>
  <c r="DA378" i="65"/>
  <c r="DB378" i="65"/>
  <c r="DC378" i="65"/>
  <c r="DA379" i="65"/>
  <c r="DB379" i="65"/>
  <c r="DC379" i="65"/>
  <c r="DA380" i="65"/>
  <c r="DB380" i="65"/>
  <c r="DC380" i="65"/>
  <c r="DA381" i="65"/>
  <c r="DB381" i="65"/>
  <c r="DC381" i="65"/>
  <c r="DA382" i="65"/>
  <c r="DB382" i="65"/>
  <c r="DC382" i="65"/>
  <c r="DA383" i="65"/>
  <c r="DB383" i="65"/>
  <c r="DC383" i="65"/>
  <c r="DA384" i="65"/>
  <c r="DB384" i="65"/>
  <c r="DC384" i="65"/>
  <c r="DA385" i="65"/>
  <c r="DB385" i="65"/>
  <c r="DC385" i="65"/>
  <c r="DA386" i="65"/>
  <c r="DB386" i="65"/>
  <c r="DC386" i="65"/>
  <c r="DA387" i="65"/>
  <c r="DB387" i="65"/>
  <c r="DC387" i="65"/>
  <c r="DA388" i="65"/>
  <c r="DB388" i="65"/>
  <c r="DC388" i="65"/>
  <c r="DA389" i="65"/>
  <c r="DB389" i="65"/>
  <c r="DC389" i="65"/>
  <c r="DA390" i="65"/>
  <c r="DB390" i="65"/>
  <c r="DC390" i="65"/>
  <c r="DA391" i="65"/>
  <c r="DB391" i="65"/>
  <c r="DC391" i="65"/>
  <c r="DA392" i="65"/>
  <c r="DB392" i="65"/>
  <c r="DC392" i="65"/>
  <c r="DA393" i="65"/>
  <c r="DB393" i="65"/>
  <c r="DC393" i="65"/>
  <c r="DA394" i="65"/>
  <c r="DB394" i="65"/>
  <c r="DC394" i="65"/>
  <c r="DA395" i="65"/>
  <c r="DB395" i="65"/>
  <c r="DC395" i="65"/>
  <c r="DA396" i="65"/>
  <c r="DB396" i="65"/>
  <c r="DC396" i="65"/>
  <c r="DA397" i="65"/>
  <c r="DB397" i="65"/>
  <c r="DC397" i="65"/>
  <c r="DA398" i="65"/>
  <c r="DB398" i="65"/>
  <c r="DC398" i="65"/>
  <c r="DA399" i="65"/>
  <c r="DB399" i="65"/>
  <c r="DC399" i="65"/>
  <c r="DA400" i="65"/>
  <c r="DB400" i="65"/>
  <c r="DC400" i="65"/>
  <c r="DA401" i="65"/>
  <c r="DB401" i="65"/>
  <c r="DC401" i="65"/>
  <c r="DA402" i="65"/>
  <c r="DB402" i="65"/>
  <c r="DC402" i="65"/>
  <c r="DA403" i="65"/>
  <c r="DB403" i="65"/>
  <c r="DC403" i="65"/>
  <c r="DA404" i="65"/>
  <c r="DB404" i="65"/>
  <c r="DC404" i="65"/>
  <c r="DA405" i="65"/>
  <c r="DB405" i="65"/>
  <c r="DC405" i="65"/>
  <c r="DA406" i="65"/>
  <c r="DB406" i="65"/>
  <c r="DC406" i="65"/>
  <c r="DA407" i="65"/>
  <c r="DB407" i="65"/>
  <c r="DC407" i="65"/>
  <c r="DA408" i="65"/>
  <c r="DB408" i="65"/>
  <c r="DC408" i="65"/>
  <c r="DA409" i="65"/>
  <c r="DB409" i="65"/>
  <c r="DC409" i="65"/>
  <c r="DA410" i="65"/>
  <c r="DB410" i="65"/>
  <c r="DC410" i="65"/>
  <c r="DA411" i="65"/>
  <c r="DB411" i="65"/>
  <c r="DC411" i="65"/>
  <c r="DA412" i="65"/>
  <c r="DB412" i="65"/>
  <c r="DC412" i="65"/>
  <c r="DA413" i="65"/>
  <c r="DB413" i="65"/>
  <c r="DC413" i="65"/>
  <c r="DA414" i="65"/>
  <c r="DB414" i="65"/>
  <c r="DC414" i="65"/>
  <c r="DA415" i="65"/>
  <c r="DB415" i="65"/>
  <c r="DC415" i="65"/>
  <c r="DA416" i="65"/>
  <c r="DB416" i="65"/>
  <c r="DC416" i="65"/>
  <c r="DA417" i="65"/>
  <c r="DB417" i="65"/>
  <c r="DC417" i="65"/>
  <c r="DA418" i="65"/>
  <c r="DB418" i="65"/>
  <c r="DC418" i="65"/>
  <c r="DA419" i="65"/>
  <c r="DB419" i="65"/>
  <c r="DC419" i="65"/>
  <c r="DA420" i="65"/>
  <c r="DB420" i="65"/>
  <c r="DC420" i="65"/>
  <c r="DA421" i="65"/>
  <c r="DB421" i="65"/>
  <c r="DC421" i="65"/>
  <c r="DA422" i="65"/>
  <c r="DB422" i="65"/>
  <c r="DC422" i="65"/>
  <c r="DA423" i="65"/>
  <c r="DB423" i="65"/>
  <c r="DC423" i="65"/>
  <c r="DA424" i="65"/>
  <c r="DB424" i="65"/>
  <c r="DC424" i="65"/>
  <c r="DA425" i="65"/>
  <c r="DB425" i="65"/>
  <c r="DC425" i="65"/>
  <c r="DA426" i="65"/>
  <c r="DB426" i="65"/>
  <c r="DC426" i="65"/>
  <c r="DA427" i="65"/>
  <c r="DB427" i="65"/>
  <c r="DC427" i="65"/>
  <c r="DA428" i="65"/>
  <c r="DB428" i="65"/>
  <c r="DC428" i="65"/>
  <c r="DA429" i="65"/>
  <c r="DB429" i="65"/>
  <c r="DC429" i="65"/>
  <c r="DA430" i="65"/>
  <c r="DB430" i="65"/>
  <c r="DC430" i="65"/>
  <c r="DA431" i="65"/>
  <c r="DB431" i="65"/>
  <c r="DC431" i="65"/>
  <c r="DA432" i="65"/>
  <c r="DB432" i="65"/>
  <c r="DC432" i="65"/>
  <c r="DA433" i="65"/>
  <c r="DB433" i="65"/>
  <c r="DC433" i="65"/>
  <c r="DA434" i="65"/>
  <c r="DB434" i="65"/>
  <c r="DC434" i="65"/>
  <c r="DA435" i="65"/>
  <c r="DB435" i="65"/>
  <c r="DC435" i="65"/>
  <c r="DA436" i="65"/>
  <c r="DB436" i="65"/>
  <c r="DC436" i="65"/>
  <c r="DA437" i="65"/>
  <c r="DB437" i="65"/>
  <c r="DC437" i="65"/>
  <c r="DA438" i="65"/>
  <c r="DB438" i="65"/>
  <c r="DC438" i="65"/>
  <c r="DA439" i="65"/>
  <c r="DB439" i="65"/>
  <c r="DC439" i="65"/>
  <c r="DA440" i="65"/>
  <c r="DB440" i="65"/>
  <c r="DC440" i="65"/>
  <c r="DA441" i="65"/>
  <c r="DB441" i="65"/>
  <c r="DC441" i="65"/>
  <c r="DA442" i="65"/>
  <c r="DB442" i="65"/>
  <c r="DC442" i="65"/>
  <c r="DA443" i="65"/>
  <c r="DB443" i="65"/>
  <c r="DC443" i="65"/>
  <c r="DA444" i="65"/>
  <c r="DB444" i="65"/>
  <c r="DC444" i="65"/>
  <c r="DA445" i="65"/>
  <c r="DB445" i="65"/>
  <c r="DC445" i="65"/>
  <c r="DA446" i="65"/>
  <c r="DB446" i="65"/>
  <c r="DC446" i="65"/>
  <c r="DA447" i="65"/>
  <c r="DB447" i="65"/>
  <c r="DC447" i="65"/>
  <c r="DA448" i="65"/>
  <c r="DB448" i="65"/>
  <c r="DC448" i="65"/>
  <c r="DA449" i="65"/>
  <c r="DB449" i="65"/>
  <c r="DC449" i="65"/>
  <c r="DA450" i="65"/>
  <c r="DB450" i="65"/>
  <c r="DC450" i="65"/>
  <c r="DA451" i="65"/>
  <c r="DB451" i="65"/>
  <c r="DC451" i="65"/>
  <c r="DA452" i="65"/>
  <c r="DB452" i="65"/>
  <c r="DC452" i="65"/>
  <c r="DA453" i="65"/>
  <c r="DB453" i="65"/>
  <c r="DC453" i="65"/>
  <c r="DA454" i="65"/>
  <c r="DB454" i="65"/>
  <c r="DC454" i="65"/>
  <c r="DA455" i="65"/>
  <c r="DB455" i="65"/>
  <c r="DC455" i="65"/>
  <c r="DA456" i="65"/>
  <c r="DB456" i="65"/>
  <c r="DC456" i="65"/>
  <c r="DA457" i="65"/>
  <c r="DB457" i="65"/>
  <c r="DC457" i="65"/>
  <c r="DA458" i="65"/>
  <c r="DB458" i="65"/>
  <c r="DC458" i="65"/>
  <c r="DA459" i="65"/>
  <c r="DB459" i="65"/>
  <c r="DC459" i="65"/>
  <c r="DA460" i="65"/>
  <c r="DB460" i="65"/>
  <c r="DC460" i="65"/>
  <c r="DA461" i="65"/>
  <c r="DB461" i="65"/>
  <c r="DC461" i="65"/>
  <c r="DA462" i="65"/>
  <c r="DB462" i="65"/>
  <c r="DC462" i="65"/>
  <c r="DA463" i="65"/>
  <c r="DB463" i="65"/>
  <c r="DC463" i="65"/>
  <c r="DA464" i="65"/>
  <c r="DB464" i="65"/>
  <c r="DC464" i="65"/>
  <c r="DA465" i="65"/>
  <c r="DB465" i="65"/>
  <c r="DC465" i="65"/>
  <c r="DA466" i="65"/>
  <c r="DB466" i="65"/>
  <c r="DC466" i="65"/>
  <c r="DA467" i="65"/>
  <c r="DB467" i="65"/>
  <c r="DC467" i="65"/>
  <c r="DA468" i="65"/>
  <c r="DB468" i="65"/>
  <c r="DC468" i="65"/>
  <c r="DA469" i="65"/>
  <c r="DB469" i="65"/>
  <c r="DC469" i="65"/>
  <c r="DA470" i="65"/>
  <c r="DB470" i="65"/>
  <c r="DC470" i="65"/>
  <c r="DA471" i="65"/>
  <c r="DB471" i="65"/>
  <c r="DC471" i="65"/>
  <c r="DA472" i="65"/>
  <c r="DB472" i="65"/>
  <c r="DC472" i="65"/>
  <c r="DA473" i="65"/>
  <c r="DB473" i="65"/>
  <c r="DC473" i="65"/>
  <c r="DA474" i="65"/>
  <c r="DB474" i="65"/>
  <c r="DC474" i="65"/>
  <c r="DA475" i="65"/>
  <c r="DB475" i="65"/>
  <c r="DC475" i="65"/>
  <c r="DA476" i="65"/>
  <c r="DB476" i="65"/>
  <c r="DC476" i="65"/>
  <c r="DA477" i="65"/>
  <c r="DB477" i="65"/>
  <c r="DC477" i="65"/>
  <c r="DA478" i="65"/>
  <c r="DB478" i="65"/>
  <c r="DC478" i="65"/>
  <c r="DA479" i="65"/>
  <c r="DB479" i="65"/>
  <c r="DC479" i="65"/>
  <c r="DA480" i="65"/>
  <c r="DB480" i="65"/>
  <c r="DC480" i="65"/>
  <c r="DA481" i="65"/>
  <c r="DB481" i="65"/>
  <c r="DC481" i="65"/>
  <c r="DA482" i="65"/>
  <c r="DB482" i="65"/>
  <c r="DC482" i="65"/>
  <c r="DA483" i="65"/>
  <c r="DB483" i="65"/>
  <c r="DC483" i="65"/>
  <c r="DA484" i="65"/>
  <c r="DB484" i="65"/>
  <c r="DC484" i="65"/>
  <c r="DA485" i="65"/>
  <c r="DB485" i="65"/>
  <c r="DC485" i="65"/>
  <c r="DA486" i="65"/>
  <c r="DB486" i="65"/>
  <c r="DC486" i="65"/>
  <c r="DA487" i="65"/>
  <c r="DB487" i="65"/>
  <c r="DC487" i="65"/>
  <c r="DA488" i="65"/>
  <c r="DB488" i="65"/>
  <c r="DC488" i="65"/>
  <c r="DA489" i="65"/>
  <c r="DB489" i="65"/>
  <c r="DC489" i="65"/>
  <c r="DA490" i="65"/>
  <c r="DB490" i="65"/>
  <c r="DC490" i="65"/>
  <c r="DA491" i="65"/>
  <c r="DB491" i="65"/>
  <c r="DC491" i="65"/>
  <c r="DA492" i="65"/>
  <c r="DB492" i="65"/>
  <c r="DC492" i="65"/>
  <c r="DA493" i="65"/>
  <c r="DB493" i="65"/>
  <c r="DC493" i="65"/>
  <c r="DA494" i="65"/>
  <c r="DB494" i="65"/>
  <c r="DC494" i="65"/>
  <c r="DA495" i="65"/>
  <c r="DB495" i="65"/>
  <c r="DC495" i="65"/>
  <c r="DA496" i="65"/>
  <c r="DB496" i="65"/>
  <c r="DC496" i="65"/>
  <c r="DA497" i="65"/>
  <c r="DB497" i="65"/>
  <c r="DC497" i="65"/>
  <c r="DA498" i="65"/>
  <c r="DB498" i="65"/>
  <c r="DC498" i="65"/>
  <c r="DA499" i="65"/>
  <c r="DB499" i="65"/>
  <c r="DC499" i="65"/>
  <c r="DA500" i="65"/>
  <c r="DB500" i="65"/>
  <c r="DC500" i="65"/>
  <c r="DA501" i="65"/>
  <c r="DB501" i="65"/>
  <c r="DC501" i="65"/>
  <c r="DA502" i="65"/>
  <c r="DB502" i="65"/>
  <c r="DC502" i="65"/>
  <c r="DA503" i="65"/>
  <c r="DB503" i="65"/>
  <c r="DC503" i="65"/>
  <c r="DA504" i="65"/>
  <c r="DB504" i="65"/>
  <c r="DC504" i="65"/>
  <c r="DA505" i="65"/>
  <c r="DB505" i="65"/>
  <c r="DC505" i="65"/>
  <c r="DA506" i="65"/>
  <c r="DB506" i="65"/>
  <c r="DC506" i="65"/>
  <c r="DA507" i="65"/>
  <c r="DB507" i="65"/>
  <c r="DC507" i="65"/>
  <c r="DA508" i="65"/>
  <c r="DB508" i="65"/>
  <c r="DC508" i="65"/>
  <c r="DA509" i="65"/>
  <c r="DB509" i="65"/>
  <c r="DC509" i="65"/>
  <c r="DA510" i="65"/>
  <c r="DB510" i="65"/>
  <c r="DC510" i="65"/>
  <c r="DA511" i="65"/>
  <c r="DB511" i="65"/>
  <c r="DC511" i="65"/>
  <c r="DA512" i="65"/>
  <c r="DB512" i="65"/>
  <c r="DC512" i="65"/>
  <c r="DA513" i="65"/>
  <c r="DB513" i="65"/>
  <c r="DC513" i="65"/>
  <c r="DA514" i="65"/>
  <c r="DB514" i="65"/>
  <c r="DC514" i="65"/>
  <c r="DA515" i="65"/>
  <c r="DB515" i="65"/>
  <c r="DC515" i="65"/>
  <c r="DA516" i="65"/>
  <c r="DB516" i="65"/>
  <c r="DC516" i="65"/>
  <c r="DA517" i="65"/>
  <c r="DB517" i="65"/>
  <c r="DC517" i="65"/>
  <c r="DA518" i="65"/>
  <c r="DB518" i="65"/>
  <c r="DC518" i="65"/>
  <c r="DA519" i="65"/>
  <c r="DB519" i="65"/>
  <c r="DC519" i="65"/>
  <c r="DA520" i="65"/>
  <c r="DB520" i="65"/>
  <c r="DC520" i="65"/>
  <c r="DA521" i="65"/>
  <c r="DB521" i="65"/>
  <c r="DC521" i="65"/>
  <c r="DA522" i="65"/>
  <c r="DB522" i="65"/>
  <c r="DC522" i="65"/>
  <c r="DA523" i="65"/>
  <c r="DB523" i="65"/>
  <c r="DC523" i="65"/>
  <c r="DA524" i="65"/>
  <c r="DB524" i="65"/>
  <c r="DC524" i="65"/>
  <c r="DA525" i="65"/>
  <c r="DB525" i="65"/>
  <c r="DC525" i="65"/>
  <c r="DA526" i="65"/>
  <c r="DB526" i="65"/>
  <c r="DC526" i="65"/>
  <c r="DA527" i="65"/>
  <c r="DB527" i="65"/>
  <c r="DC527" i="65"/>
  <c r="DA528" i="65"/>
  <c r="DB528" i="65"/>
  <c r="DC528" i="65"/>
  <c r="DA529" i="65"/>
  <c r="DB529" i="65"/>
  <c r="DC529" i="65"/>
  <c r="DA530" i="65"/>
  <c r="DB530" i="65"/>
  <c r="DC530" i="65"/>
  <c r="DA531" i="65"/>
  <c r="DB531" i="65"/>
  <c r="DC531" i="65"/>
  <c r="DA532" i="65"/>
  <c r="DB532" i="65"/>
  <c r="DC532" i="65"/>
  <c r="DA533" i="65"/>
  <c r="DB533" i="65"/>
  <c r="DC533" i="65"/>
  <c r="DA534" i="65"/>
  <c r="DB534" i="65"/>
  <c r="DC534" i="65"/>
  <c r="DA535" i="65"/>
  <c r="DB535" i="65"/>
  <c r="DC535" i="65"/>
  <c r="DA536" i="65"/>
  <c r="DB536" i="65"/>
  <c r="DC536" i="65"/>
  <c r="DA537" i="65"/>
  <c r="DB537" i="65"/>
  <c r="DC537" i="65"/>
  <c r="DA538" i="65"/>
  <c r="DB538" i="65"/>
  <c r="DC538" i="65"/>
  <c r="DA539" i="65"/>
  <c r="DB539" i="65"/>
  <c r="DC539" i="65"/>
  <c r="DA540" i="65"/>
  <c r="DB540" i="65"/>
  <c r="DC540" i="65"/>
  <c r="DA541" i="65"/>
  <c r="DB541" i="65"/>
  <c r="DC541" i="65"/>
  <c r="DA542" i="65"/>
  <c r="DB542" i="65"/>
  <c r="DC542" i="65"/>
  <c r="DA543" i="65"/>
  <c r="DB543" i="65"/>
  <c r="DC543" i="65"/>
  <c r="DA544" i="65"/>
  <c r="DB544" i="65"/>
  <c r="DC544" i="65"/>
  <c r="DA545" i="65"/>
  <c r="DB545" i="65"/>
  <c r="DC545" i="65"/>
  <c r="DA546" i="65"/>
  <c r="DB546" i="65"/>
  <c r="DC546" i="65"/>
  <c r="DD6" i="65"/>
  <c r="DE6" i="65"/>
  <c r="DF6" i="65"/>
  <c r="DD7" i="65"/>
  <c r="DE7" i="65"/>
  <c r="DF7" i="65"/>
  <c r="DD8" i="65"/>
  <c r="DE8" i="65"/>
  <c r="DF8" i="65"/>
  <c r="DD9" i="65"/>
  <c r="DE9" i="65"/>
  <c r="DF9" i="65"/>
  <c r="DD10" i="65"/>
  <c r="DE10" i="65"/>
  <c r="DF10" i="65"/>
  <c r="DD11" i="65"/>
  <c r="DE11" i="65"/>
  <c r="DF11" i="65"/>
  <c r="DD12" i="65"/>
  <c r="DE12" i="65"/>
  <c r="DF12" i="65"/>
  <c r="DD13" i="65"/>
  <c r="DE13" i="65"/>
  <c r="DF13" i="65"/>
  <c r="DD14" i="65"/>
  <c r="DE14" i="65"/>
  <c r="DF14" i="65"/>
  <c r="DD15" i="65"/>
  <c r="DE15" i="65"/>
  <c r="DF15" i="65"/>
  <c r="DD16" i="65"/>
  <c r="DE16" i="65"/>
  <c r="DF16" i="65"/>
  <c r="DD17" i="65"/>
  <c r="DE17" i="65"/>
  <c r="DF17" i="65"/>
  <c r="DD18" i="65"/>
  <c r="DE18" i="65"/>
  <c r="DF18" i="65"/>
  <c r="DD19" i="65"/>
  <c r="DE19" i="65"/>
  <c r="DF19" i="65"/>
  <c r="DD20" i="65"/>
  <c r="DE20" i="65"/>
  <c r="DF20" i="65"/>
  <c r="DD21" i="65"/>
  <c r="DE21" i="65"/>
  <c r="DF21" i="65"/>
  <c r="DD22" i="65"/>
  <c r="DE22" i="65"/>
  <c r="DF22" i="65"/>
  <c r="DD23" i="65"/>
  <c r="DE23" i="65"/>
  <c r="DF23" i="65"/>
  <c r="DD24" i="65"/>
  <c r="DE24" i="65"/>
  <c r="DF24" i="65"/>
  <c r="DD25" i="65"/>
  <c r="DE25" i="65"/>
  <c r="DF25" i="65"/>
  <c r="DD26" i="65"/>
  <c r="DE26" i="65"/>
  <c r="DF26" i="65"/>
  <c r="DD27" i="65"/>
  <c r="DE27" i="65"/>
  <c r="DF27" i="65"/>
  <c r="DD28" i="65"/>
  <c r="DE28" i="65"/>
  <c r="DF28" i="65"/>
  <c r="DD29" i="65"/>
  <c r="DE29" i="65"/>
  <c r="DF29" i="65"/>
  <c r="DD30" i="65"/>
  <c r="DE30" i="65"/>
  <c r="DF30" i="65"/>
  <c r="DD31" i="65"/>
  <c r="DE31" i="65"/>
  <c r="DF31" i="65"/>
  <c r="DD32" i="65"/>
  <c r="DE32" i="65"/>
  <c r="DF32" i="65"/>
  <c r="DD33" i="65"/>
  <c r="DE33" i="65"/>
  <c r="DF33" i="65"/>
  <c r="DD34" i="65"/>
  <c r="DE34" i="65"/>
  <c r="DF34" i="65"/>
  <c r="DD35" i="65"/>
  <c r="DE35" i="65"/>
  <c r="DF35" i="65"/>
  <c r="DD36" i="65"/>
  <c r="DE36" i="65"/>
  <c r="DF36" i="65"/>
  <c r="DD37" i="65"/>
  <c r="DE37" i="65"/>
  <c r="DF37" i="65"/>
  <c r="DD38" i="65"/>
  <c r="DE38" i="65"/>
  <c r="DF38" i="65"/>
  <c r="DD39" i="65"/>
  <c r="DE39" i="65"/>
  <c r="DF39" i="65"/>
  <c r="DD40" i="65"/>
  <c r="DE40" i="65"/>
  <c r="DF40" i="65"/>
  <c r="DD41" i="65"/>
  <c r="DE41" i="65"/>
  <c r="DF41" i="65"/>
  <c r="DD42" i="65"/>
  <c r="DE42" i="65"/>
  <c r="DF42" i="65"/>
  <c r="DD43" i="65"/>
  <c r="DE43" i="65"/>
  <c r="DF43" i="65"/>
  <c r="DD44" i="65"/>
  <c r="DE44" i="65"/>
  <c r="DF44" i="65"/>
  <c r="DD45" i="65"/>
  <c r="DE45" i="65"/>
  <c r="DF45" i="65"/>
  <c r="DD46" i="65"/>
  <c r="DE46" i="65"/>
  <c r="DF46" i="65"/>
  <c r="DD47" i="65"/>
  <c r="DE47" i="65"/>
  <c r="DF47" i="65"/>
  <c r="DD48" i="65"/>
  <c r="DE48" i="65"/>
  <c r="DF48" i="65"/>
  <c r="DD49" i="65"/>
  <c r="DE49" i="65"/>
  <c r="DF49" i="65"/>
  <c r="DD50" i="65"/>
  <c r="DE50" i="65"/>
  <c r="DF50" i="65"/>
  <c r="DD51" i="65"/>
  <c r="DE51" i="65"/>
  <c r="DF51" i="65"/>
  <c r="DD52" i="65"/>
  <c r="DE52" i="65"/>
  <c r="DF52" i="65"/>
  <c r="DD53" i="65"/>
  <c r="DE53" i="65"/>
  <c r="DF53" i="65"/>
  <c r="DD54" i="65"/>
  <c r="DE54" i="65"/>
  <c r="DF54" i="65"/>
  <c r="DD55" i="65"/>
  <c r="DE55" i="65"/>
  <c r="DF55" i="65"/>
  <c r="DD56" i="65"/>
  <c r="DE56" i="65"/>
  <c r="DF56" i="65"/>
  <c r="DD57" i="65"/>
  <c r="DE57" i="65"/>
  <c r="DF57" i="65"/>
  <c r="DD58" i="65"/>
  <c r="DE58" i="65"/>
  <c r="DF58" i="65"/>
  <c r="DD59" i="65"/>
  <c r="DE59" i="65"/>
  <c r="DF59" i="65"/>
  <c r="DD60" i="65"/>
  <c r="DE60" i="65"/>
  <c r="DF60" i="65"/>
  <c r="DD61" i="65"/>
  <c r="DE61" i="65"/>
  <c r="DF61" i="65"/>
  <c r="DD62" i="65"/>
  <c r="DE62" i="65"/>
  <c r="DF62" i="65"/>
  <c r="DD63" i="65"/>
  <c r="DE63" i="65"/>
  <c r="DF63" i="65"/>
  <c r="DD64" i="65"/>
  <c r="DE64" i="65"/>
  <c r="DF64" i="65"/>
  <c r="DD65" i="65"/>
  <c r="DE65" i="65"/>
  <c r="DF65" i="65"/>
  <c r="DD66" i="65"/>
  <c r="DE66" i="65"/>
  <c r="DF66" i="65"/>
  <c r="DD67" i="65"/>
  <c r="DE67" i="65"/>
  <c r="DF67" i="65"/>
  <c r="DD68" i="65"/>
  <c r="DE68" i="65"/>
  <c r="DF68" i="65"/>
  <c r="DD69" i="65"/>
  <c r="DE69" i="65"/>
  <c r="DF69" i="65"/>
  <c r="DD70" i="65"/>
  <c r="DE70" i="65"/>
  <c r="DF70" i="65"/>
  <c r="DD71" i="65"/>
  <c r="DE71" i="65"/>
  <c r="DF71" i="65"/>
  <c r="DD72" i="65"/>
  <c r="DE72" i="65"/>
  <c r="DF72" i="65"/>
  <c r="DD73" i="65"/>
  <c r="DE73" i="65"/>
  <c r="DF73" i="65"/>
  <c r="DD74" i="65"/>
  <c r="DE74" i="65"/>
  <c r="DF74" i="65"/>
  <c r="DD75" i="65"/>
  <c r="DE75" i="65"/>
  <c r="DF75" i="65"/>
  <c r="DD76" i="65"/>
  <c r="DE76" i="65"/>
  <c r="DF76" i="65"/>
  <c r="DD77" i="65"/>
  <c r="DE77" i="65"/>
  <c r="DF77" i="65"/>
  <c r="DD78" i="65"/>
  <c r="DE78" i="65"/>
  <c r="DF78" i="65"/>
  <c r="DD79" i="65"/>
  <c r="DE79" i="65"/>
  <c r="DF79" i="65"/>
  <c r="DD80" i="65"/>
  <c r="DE80" i="65"/>
  <c r="DF80" i="65"/>
  <c r="DD81" i="65"/>
  <c r="DE81" i="65"/>
  <c r="DF81" i="65"/>
  <c r="DD82" i="65"/>
  <c r="DE82" i="65"/>
  <c r="DF82" i="65"/>
  <c r="DD83" i="65"/>
  <c r="DE83" i="65"/>
  <c r="DF83" i="65"/>
  <c r="DD84" i="65"/>
  <c r="DE84" i="65"/>
  <c r="DF84" i="65"/>
  <c r="DD85" i="65"/>
  <c r="DE85" i="65"/>
  <c r="DF85" i="65"/>
  <c r="DD86" i="65"/>
  <c r="DE86" i="65"/>
  <c r="DF86" i="65"/>
  <c r="DD87" i="65"/>
  <c r="DE87" i="65"/>
  <c r="DF87" i="65"/>
  <c r="DD88" i="65"/>
  <c r="DE88" i="65"/>
  <c r="DF88" i="65"/>
  <c r="DD89" i="65"/>
  <c r="DE89" i="65"/>
  <c r="DF89" i="65"/>
  <c r="DD90" i="65"/>
  <c r="DE90" i="65"/>
  <c r="DF90" i="65"/>
  <c r="DD91" i="65"/>
  <c r="DE91" i="65"/>
  <c r="DF91" i="65"/>
  <c r="DD92" i="65"/>
  <c r="DE92" i="65"/>
  <c r="DF92" i="65"/>
  <c r="DD93" i="65"/>
  <c r="DE93" i="65"/>
  <c r="DF93" i="65"/>
  <c r="DD94" i="65"/>
  <c r="DE94" i="65"/>
  <c r="DF94" i="65"/>
  <c r="DD95" i="65"/>
  <c r="DE95" i="65"/>
  <c r="DF95" i="65"/>
  <c r="DD96" i="65"/>
  <c r="DE96" i="65"/>
  <c r="DF96" i="65"/>
  <c r="DD97" i="65"/>
  <c r="DE97" i="65"/>
  <c r="DF97" i="65"/>
  <c r="DD98" i="65"/>
  <c r="DE98" i="65"/>
  <c r="DF98" i="65"/>
  <c r="DD99" i="65"/>
  <c r="DE99" i="65"/>
  <c r="DF99" i="65"/>
  <c r="DD100" i="65"/>
  <c r="DE100" i="65"/>
  <c r="DF100" i="65"/>
  <c r="DD101" i="65"/>
  <c r="DE101" i="65"/>
  <c r="DF101" i="65"/>
  <c r="DD102" i="65"/>
  <c r="DE102" i="65"/>
  <c r="DF102" i="65"/>
  <c r="DD103" i="65"/>
  <c r="DE103" i="65"/>
  <c r="DF103" i="65"/>
  <c r="DD104" i="65"/>
  <c r="DE104" i="65"/>
  <c r="DF104" i="65"/>
  <c r="DD105" i="65"/>
  <c r="DE105" i="65"/>
  <c r="DF105" i="65"/>
  <c r="DD106" i="65"/>
  <c r="DE106" i="65"/>
  <c r="DF106" i="65"/>
  <c r="DD107" i="65"/>
  <c r="DE107" i="65"/>
  <c r="DF107" i="65"/>
  <c r="DD108" i="65"/>
  <c r="DE108" i="65"/>
  <c r="DF108" i="65"/>
  <c r="DD109" i="65"/>
  <c r="DE109" i="65"/>
  <c r="DF109" i="65"/>
  <c r="DD110" i="65"/>
  <c r="DE110" i="65"/>
  <c r="DF110" i="65"/>
  <c r="DD111" i="65"/>
  <c r="DE111" i="65"/>
  <c r="DF111" i="65"/>
  <c r="DD112" i="65"/>
  <c r="DE112" i="65"/>
  <c r="DF112" i="65"/>
  <c r="DD113" i="65"/>
  <c r="DE113" i="65"/>
  <c r="DF113" i="65"/>
  <c r="DD114" i="65"/>
  <c r="DE114" i="65"/>
  <c r="DF114" i="65"/>
  <c r="DD115" i="65"/>
  <c r="DE115" i="65"/>
  <c r="DF115" i="65"/>
  <c r="DD116" i="65"/>
  <c r="DE116" i="65"/>
  <c r="DF116" i="65"/>
  <c r="DD117" i="65"/>
  <c r="DE117" i="65"/>
  <c r="DF117" i="65"/>
  <c r="DD118" i="65"/>
  <c r="DE118" i="65"/>
  <c r="DF118" i="65"/>
  <c r="DD119" i="65"/>
  <c r="DE119" i="65"/>
  <c r="DF119" i="65"/>
  <c r="DD120" i="65"/>
  <c r="DE120" i="65"/>
  <c r="DF120" i="65"/>
  <c r="DD121" i="65"/>
  <c r="DE121" i="65"/>
  <c r="DF121" i="65"/>
  <c r="DD122" i="65"/>
  <c r="DE122" i="65"/>
  <c r="DF122" i="65"/>
  <c r="DD123" i="65"/>
  <c r="DE123" i="65"/>
  <c r="DF123" i="65"/>
  <c r="DD124" i="65"/>
  <c r="DE124" i="65"/>
  <c r="DF124" i="65"/>
  <c r="DD125" i="65"/>
  <c r="DE125" i="65"/>
  <c r="DF125" i="65"/>
  <c r="DD126" i="65"/>
  <c r="DE126" i="65"/>
  <c r="DF126" i="65"/>
  <c r="DD127" i="65"/>
  <c r="DE127" i="65"/>
  <c r="DF127" i="65"/>
  <c r="DD128" i="65"/>
  <c r="DE128" i="65"/>
  <c r="DF128" i="65"/>
  <c r="DD129" i="65"/>
  <c r="DE129" i="65"/>
  <c r="DF129" i="65"/>
  <c r="DD130" i="65"/>
  <c r="DE130" i="65"/>
  <c r="DF130" i="65"/>
  <c r="DD131" i="65"/>
  <c r="DE131" i="65"/>
  <c r="DF131" i="65"/>
  <c r="DD132" i="65"/>
  <c r="DE132" i="65"/>
  <c r="DF132" i="65"/>
  <c r="DD133" i="65"/>
  <c r="DE133" i="65"/>
  <c r="DF133" i="65"/>
  <c r="DD134" i="65"/>
  <c r="DE134" i="65"/>
  <c r="DF134" i="65"/>
  <c r="DD135" i="65"/>
  <c r="DE135" i="65"/>
  <c r="DF135" i="65"/>
  <c r="DD136" i="65"/>
  <c r="DE136" i="65"/>
  <c r="DF136" i="65"/>
  <c r="DD137" i="65"/>
  <c r="DE137" i="65"/>
  <c r="DF137" i="65"/>
  <c r="DD138" i="65"/>
  <c r="DE138" i="65"/>
  <c r="DF138" i="65"/>
  <c r="DD139" i="65"/>
  <c r="DE139" i="65"/>
  <c r="DF139" i="65"/>
  <c r="DD140" i="65"/>
  <c r="DE140" i="65"/>
  <c r="DF140" i="65"/>
  <c r="DD141" i="65"/>
  <c r="DE141" i="65"/>
  <c r="DF141" i="65"/>
  <c r="DD142" i="65"/>
  <c r="DE142" i="65"/>
  <c r="DF142" i="65"/>
  <c r="DD143" i="65"/>
  <c r="DE143" i="65"/>
  <c r="DF143" i="65"/>
  <c r="DD144" i="65"/>
  <c r="DE144" i="65"/>
  <c r="DF144" i="65"/>
  <c r="DD145" i="65"/>
  <c r="DE145" i="65"/>
  <c r="DF145" i="65"/>
  <c r="DD146" i="65"/>
  <c r="DE146" i="65"/>
  <c r="DF146" i="65"/>
  <c r="DD147" i="65"/>
  <c r="DE147" i="65"/>
  <c r="DF147" i="65"/>
  <c r="DD148" i="65"/>
  <c r="DE148" i="65"/>
  <c r="DF148" i="65"/>
  <c r="DD149" i="65"/>
  <c r="DE149" i="65"/>
  <c r="DF149" i="65"/>
  <c r="DD150" i="65"/>
  <c r="DE150" i="65"/>
  <c r="DF150" i="65"/>
  <c r="DD151" i="65"/>
  <c r="DE151" i="65"/>
  <c r="DF151" i="65"/>
  <c r="DD152" i="65"/>
  <c r="DE152" i="65"/>
  <c r="DF152" i="65"/>
  <c r="DD153" i="65"/>
  <c r="DE153" i="65"/>
  <c r="DF153" i="65"/>
  <c r="DD154" i="65"/>
  <c r="DE154" i="65"/>
  <c r="DF154" i="65"/>
  <c r="DD155" i="65"/>
  <c r="DE155" i="65"/>
  <c r="DF155" i="65"/>
  <c r="DD156" i="65"/>
  <c r="DE156" i="65"/>
  <c r="DF156" i="65"/>
  <c r="DD157" i="65"/>
  <c r="DE157" i="65"/>
  <c r="DF157" i="65"/>
  <c r="DD158" i="65"/>
  <c r="DE158" i="65"/>
  <c r="DF158" i="65"/>
  <c r="DD159" i="65"/>
  <c r="DE159" i="65"/>
  <c r="DF159" i="65"/>
  <c r="DD160" i="65"/>
  <c r="DE160" i="65"/>
  <c r="DF160" i="65"/>
  <c r="DD161" i="65"/>
  <c r="DE161" i="65"/>
  <c r="DF161" i="65"/>
  <c r="DD162" i="65"/>
  <c r="DE162" i="65"/>
  <c r="DF162" i="65"/>
  <c r="DD163" i="65"/>
  <c r="DE163" i="65"/>
  <c r="DF163" i="65"/>
  <c r="DD164" i="65"/>
  <c r="DE164" i="65"/>
  <c r="DF164" i="65"/>
  <c r="DD165" i="65"/>
  <c r="DE165" i="65"/>
  <c r="DF165" i="65"/>
  <c r="DD166" i="65"/>
  <c r="DE166" i="65"/>
  <c r="DF166" i="65"/>
  <c r="DD167" i="65"/>
  <c r="DE167" i="65"/>
  <c r="DF167" i="65"/>
  <c r="DD168" i="65"/>
  <c r="DE168" i="65"/>
  <c r="DF168" i="65"/>
  <c r="DD169" i="65"/>
  <c r="DE169" i="65"/>
  <c r="DF169" i="65"/>
  <c r="DD170" i="65"/>
  <c r="DE170" i="65"/>
  <c r="DF170" i="65"/>
  <c r="DD171" i="65"/>
  <c r="DE171" i="65"/>
  <c r="DF171" i="65"/>
  <c r="DD172" i="65"/>
  <c r="DE172" i="65"/>
  <c r="DF172" i="65"/>
  <c r="DD173" i="65"/>
  <c r="DE173" i="65"/>
  <c r="DF173" i="65"/>
  <c r="DD174" i="65"/>
  <c r="DE174" i="65"/>
  <c r="DF174" i="65"/>
  <c r="DD175" i="65"/>
  <c r="DE175" i="65"/>
  <c r="DF175" i="65"/>
  <c r="DD176" i="65"/>
  <c r="DE176" i="65"/>
  <c r="DF176" i="65"/>
  <c r="DD177" i="65"/>
  <c r="DE177" i="65"/>
  <c r="DF177" i="65"/>
  <c r="DD178" i="65"/>
  <c r="DE178" i="65"/>
  <c r="DF178" i="65"/>
  <c r="DD179" i="65"/>
  <c r="DE179" i="65"/>
  <c r="DF179" i="65"/>
  <c r="DD180" i="65"/>
  <c r="DE180" i="65"/>
  <c r="DF180" i="65"/>
  <c r="DD181" i="65"/>
  <c r="DE181" i="65"/>
  <c r="DF181" i="65"/>
  <c r="DD182" i="65"/>
  <c r="DE182" i="65"/>
  <c r="DF182" i="65"/>
  <c r="DD183" i="65"/>
  <c r="DE183" i="65"/>
  <c r="DF183" i="65"/>
  <c r="DD184" i="65"/>
  <c r="DE184" i="65"/>
  <c r="DF184" i="65"/>
  <c r="DD185" i="65"/>
  <c r="DE185" i="65"/>
  <c r="DF185" i="65"/>
  <c r="DD186" i="65"/>
  <c r="DE186" i="65"/>
  <c r="DF186" i="65"/>
  <c r="DD187" i="65"/>
  <c r="DE187" i="65"/>
  <c r="DF187" i="65"/>
  <c r="DD188" i="65"/>
  <c r="DE188" i="65"/>
  <c r="DF188" i="65"/>
  <c r="DD189" i="65"/>
  <c r="DE189" i="65"/>
  <c r="DF189" i="65"/>
  <c r="DD190" i="65"/>
  <c r="DE190" i="65"/>
  <c r="DF190" i="65"/>
  <c r="DD191" i="65"/>
  <c r="DE191" i="65"/>
  <c r="DF191" i="65"/>
  <c r="DD192" i="65"/>
  <c r="DE192" i="65"/>
  <c r="DF192" i="65"/>
  <c r="DD193" i="65"/>
  <c r="DE193" i="65"/>
  <c r="DF193" i="65"/>
  <c r="DD194" i="65"/>
  <c r="DE194" i="65"/>
  <c r="DF194" i="65"/>
  <c r="DD195" i="65"/>
  <c r="DE195" i="65"/>
  <c r="DF195" i="65"/>
  <c r="DD196" i="65"/>
  <c r="DE196" i="65"/>
  <c r="DF196" i="65"/>
  <c r="DD197" i="65"/>
  <c r="DE197" i="65"/>
  <c r="DF197" i="65"/>
  <c r="DD198" i="65"/>
  <c r="DE198" i="65"/>
  <c r="DF198" i="65"/>
  <c r="DD199" i="65"/>
  <c r="DE199" i="65"/>
  <c r="DF199" i="65"/>
  <c r="DD200" i="65"/>
  <c r="DE200" i="65"/>
  <c r="DF200" i="65"/>
  <c r="DD201" i="65"/>
  <c r="DE201" i="65"/>
  <c r="DF201" i="65"/>
  <c r="DD202" i="65"/>
  <c r="DE202" i="65"/>
  <c r="DF202" i="65"/>
  <c r="DD203" i="65"/>
  <c r="DE203" i="65"/>
  <c r="DF203" i="65"/>
  <c r="DD204" i="65"/>
  <c r="DE204" i="65"/>
  <c r="DF204" i="65"/>
  <c r="DD205" i="65"/>
  <c r="DE205" i="65"/>
  <c r="DF205" i="65"/>
  <c r="DD206" i="65"/>
  <c r="DE206" i="65"/>
  <c r="DF206" i="65"/>
  <c r="DD207" i="65"/>
  <c r="DE207" i="65"/>
  <c r="DF207" i="65"/>
  <c r="DD208" i="65"/>
  <c r="DE208" i="65"/>
  <c r="DF208" i="65"/>
  <c r="DD209" i="65"/>
  <c r="DE209" i="65"/>
  <c r="DF209" i="65"/>
  <c r="DD210" i="65"/>
  <c r="DE210" i="65"/>
  <c r="DF210" i="65"/>
  <c r="DD211" i="65"/>
  <c r="DE211" i="65"/>
  <c r="DF211" i="65"/>
  <c r="DD212" i="65"/>
  <c r="DE212" i="65"/>
  <c r="DF212" i="65"/>
  <c r="DD213" i="65"/>
  <c r="DE213" i="65"/>
  <c r="DF213" i="65"/>
  <c r="DD214" i="65"/>
  <c r="DE214" i="65"/>
  <c r="DF214" i="65"/>
  <c r="DD215" i="65"/>
  <c r="DE215" i="65"/>
  <c r="DF215" i="65"/>
  <c r="DD216" i="65"/>
  <c r="DE216" i="65"/>
  <c r="DF216" i="65"/>
  <c r="DD217" i="65"/>
  <c r="DE217" i="65"/>
  <c r="DF217" i="65"/>
  <c r="DD218" i="65"/>
  <c r="DE218" i="65"/>
  <c r="DF218" i="65"/>
  <c r="DD219" i="65"/>
  <c r="DE219" i="65"/>
  <c r="DF219" i="65"/>
  <c r="DD220" i="65"/>
  <c r="DE220" i="65"/>
  <c r="DF220" i="65"/>
  <c r="DD221" i="65"/>
  <c r="DE221" i="65"/>
  <c r="DF221" i="65"/>
  <c r="DD222" i="65"/>
  <c r="DE222" i="65"/>
  <c r="DF222" i="65"/>
  <c r="DD223" i="65"/>
  <c r="DE223" i="65"/>
  <c r="DF223" i="65"/>
  <c r="DD224" i="65"/>
  <c r="DE224" i="65"/>
  <c r="DF224" i="65"/>
  <c r="DD225" i="65"/>
  <c r="DE225" i="65"/>
  <c r="DF225" i="65"/>
  <c r="DD226" i="65"/>
  <c r="DE226" i="65"/>
  <c r="DF226" i="65"/>
  <c r="DD227" i="65"/>
  <c r="DE227" i="65"/>
  <c r="DF227" i="65"/>
  <c r="DD228" i="65"/>
  <c r="DE228" i="65"/>
  <c r="DF228" i="65"/>
  <c r="DD229" i="65"/>
  <c r="DE229" i="65"/>
  <c r="DF229" i="65"/>
  <c r="DD230" i="65"/>
  <c r="DE230" i="65"/>
  <c r="DF230" i="65"/>
  <c r="DD231" i="65"/>
  <c r="DE231" i="65"/>
  <c r="DF231" i="65"/>
  <c r="DD232" i="65"/>
  <c r="DE232" i="65"/>
  <c r="DF232" i="65"/>
  <c r="DD233" i="65"/>
  <c r="DE233" i="65"/>
  <c r="DF233" i="65"/>
  <c r="DD234" i="65"/>
  <c r="DE234" i="65"/>
  <c r="DF234" i="65"/>
  <c r="DD235" i="65"/>
  <c r="DE235" i="65"/>
  <c r="DF235" i="65"/>
  <c r="DD236" i="65"/>
  <c r="DE236" i="65"/>
  <c r="DF236" i="65"/>
  <c r="DD237" i="65"/>
  <c r="DE237" i="65"/>
  <c r="DF237" i="65"/>
  <c r="DD238" i="65"/>
  <c r="DE238" i="65"/>
  <c r="DF238" i="65"/>
  <c r="DD239" i="65"/>
  <c r="DE239" i="65"/>
  <c r="DF239" i="65"/>
  <c r="DD240" i="65"/>
  <c r="DE240" i="65"/>
  <c r="DF240" i="65"/>
  <c r="DD241" i="65"/>
  <c r="DE241" i="65"/>
  <c r="DF241" i="65"/>
  <c r="DD242" i="65"/>
  <c r="DE242" i="65"/>
  <c r="DF242" i="65"/>
  <c r="DD243" i="65"/>
  <c r="DE243" i="65"/>
  <c r="DF243" i="65"/>
  <c r="DD244" i="65"/>
  <c r="DE244" i="65"/>
  <c r="DF244" i="65"/>
  <c r="DD245" i="65"/>
  <c r="DE245" i="65"/>
  <c r="DF245" i="65"/>
  <c r="DD246" i="65"/>
  <c r="DE246" i="65"/>
  <c r="DF246" i="65"/>
  <c r="DD247" i="65"/>
  <c r="DE247" i="65"/>
  <c r="DF247" i="65"/>
  <c r="DD248" i="65"/>
  <c r="DE248" i="65"/>
  <c r="DF248" i="65"/>
  <c r="DD249" i="65"/>
  <c r="DE249" i="65"/>
  <c r="DF249" i="65"/>
  <c r="DD250" i="65"/>
  <c r="DE250" i="65"/>
  <c r="DF250" i="65"/>
  <c r="DD251" i="65"/>
  <c r="DE251" i="65"/>
  <c r="DF251" i="65"/>
  <c r="DD252" i="65"/>
  <c r="DE252" i="65"/>
  <c r="DF252" i="65"/>
  <c r="DD253" i="65"/>
  <c r="DE253" i="65"/>
  <c r="DF253" i="65"/>
  <c r="DD254" i="65"/>
  <c r="DE254" i="65"/>
  <c r="DF254" i="65"/>
  <c r="DD255" i="65"/>
  <c r="DE255" i="65"/>
  <c r="DF255" i="65"/>
  <c r="DD256" i="65"/>
  <c r="DE256" i="65"/>
  <c r="DF256" i="65"/>
  <c r="DD257" i="65"/>
  <c r="DE257" i="65"/>
  <c r="DF257" i="65"/>
  <c r="DD258" i="65"/>
  <c r="DE258" i="65"/>
  <c r="DF258" i="65"/>
  <c r="DD259" i="65"/>
  <c r="DE259" i="65"/>
  <c r="DF259" i="65"/>
  <c r="DD260" i="65"/>
  <c r="DE260" i="65"/>
  <c r="DF260" i="65"/>
  <c r="DD261" i="65"/>
  <c r="DE261" i="65"/>
  <c r="DF261" i="65"/>
  <c r="DD262" i="65"/>
  <c r="DE262" i="65"/>
  <c r="DF262" i="65"/>
  <c r="DD263" i="65"/>
  <c r="DE263" i="65"/>
  <c r="DF263" i="65"/>
  <c r="DD264" i="65"/>
  <c r="DE264" i="65"/>
  <c r="DF264" i="65"/>
  <c r="DD265" i="65"/>
  <c r="DE265" i="65"/>
  <c r="DF265" i="65"/>
  <c r="DD266" i="65"/>
  <c r="DE266" i="65"/>
  <c r="DF266" i="65"/>
  <c r="DD267" i="65"/>
  <c r="DE267" i="65"/>
  <c r="DF267" i="65"/>
  <c r="DD268" i="65"/>
  <c r="DE268" i="65"/>
  <c r="DF268" i="65"/>
  <c r="DD269" i="65"/>
  <c r="DE269" i="65"/>
  <c r="DF269" i="65"/>
  <c r="DD270" i="65"/>
  <c r="DE270" i="65"/>
  <c r="DF270" i="65"/>
  <c r="DD271" i="65"/>
  <c r="DE271" i="65"/>
  <c r="DF271" i="65"/>
  <c r="DD272" i="65"/>
  <c r="DE272" i="65"/>
  <c r="DF272" i="65"/>
  <c r="DD273" i="65"/>
  <c r="DE273" i="65"/>
  <c r="DF273" i="65"/>
  <c r="DD274" i="65"/>
  <c r="DE274" i="65"/>
  <c r="DF274" i="65"/>
  <c r="DD275" i="65"/>
  <c r="DE275" i="65"/>
  <c r="DF275" i="65"/>
  <c r="DD276" i="65"/>
  <c r="DE276" i="65"/>
  <c r="DF276" i="65"/>
  <c r="DD277" i="65"/>
  <c r="DE277" i="65"/>
  <c r="DF277" i="65"/>
  <c r="DD278" i="65"/>
  <c r="DE278" i="65"/>
  <c r="DF278" i="65"/>
  <c r="DD279" i="65"/>
  <c r="DE279" i="65"/>
  <c r="DF279" i="65"/>
  <c r="DD280" i="65"/>
  <c r="DE280" i="65"/>
  <c r="DF280" i="65"/>
  <c r="DD281" i="65"/>
  <c r="DE281" i="65"/>
  <c r="DF281" i="65"/>
  <c r="DD282" i="65"/>
  <c r="DE282" i="65"/>
  <c r="DF282" i="65"/>
  <c r="DD283" i="65"/>
  <c r="DE283" i="65"/>
  <c r="DF283" i="65"/>
  <c r="DD284" i="65"/>
  <c r="DE284" i="65"/>
  <c r="DF284" i="65"/>
  <c r="DD285" i="65"/>
  <c r="DE285" i="65"/>
  <c r="DF285" i="65"/>
  <c r="DD286" i="65"/>
  <c r="DE286" i="65"/>
  <c r="DF286" i="65"/>
  <c r="DD287" i="65"/>
  <c r="DE287" i="65"/>
  <c r="DF287" i="65"/>
  <c r="DD288" i="65"/>
  <c r="DE288" i="65"/>
  <c r="DF288" i="65"/>
  <c r="DD289" i="65"/>
  <c r="DE289" i="65"/>
  <c r="DF289" i="65"/>
  <c r="DD290" i="65"/>
  <c r="DE290" i="65"/>
  <c r="DF290" i="65"/>
  <c r="DD291" i="65"/>
  <c r="DE291" i="65"/>
  <c r="DF291" i="65"/>
  <c r="DD292" i="65"/>
  <c r="DE292" i="65"/>
  <c r="DF292" i="65"/>
  <c r="DD293" i="65"/>
  <c r="DE293" i="65"/>
  <c r="DF293" i="65"/>
  <c r="DD294" i="65"/>
  <c r="DE294" i="65"/>
  <c r="DF294" i="65"/>
  <c r="DD295" i="65"/>
  <c r="DE295" i="65"/>
  <c r="DF295" i="65"/>
  <c r="DD296" i="65"/>
  <c r="DE296" i="65"/>
  <c r="DF296" i="65"/>
  <c r="DD297" i="65"/>
  <c r="DE297" i="65"/>
  <c r="DF297" i="65"/>
  <c r="DD298" i="65"/>
  <c r="DE298" i="65"/>
  <c r="DF298" i="65"/>
  <c r="DD299" i="65"/>
  <c r="DE299" i="65"/>
  <c r="DF299" i="65"/>
  <c r="DD300" i="65"/>
  <c r="DE300" i="65"/>
  <c r="DF300" i="65"/>
  <c r="DD301" i="65"/>
  <c r="DE301" i="65"/>
  <c r="DF301" i="65"/>
  <c r="DD302" i="65"/>
  <c r="DE302" i="65"/>
  <c r="DF302" i="65"/>
  <c r="DD303" i="65"/>
  <c r="DE303" i="65"/>
  <c r="DF303" i="65"/>
  <c r="DD304" i="65"/>
  <c r="DE304" i="65"/>
  <c r="DF304" i="65"/>
  <c r="DD305" i="65"/>
  <c r="DE305" i="65"/>
  <c r="DF305" i="65"/>
  <c r="DD306" i="65"/>
  <c r="DE306" i="65"/>
  <c r="DF306" i="65"/>
  <c r="DD307" i="65"/>
  <c r="DE307" i="65"/>
  <c r="DF307" i="65"/>
  <c r="DD308" i="65"/>
  <c r="DE308" i="65"/>
  <c r="DF308" i="65"/>
  <c r="DD309" i="65"/>
  <c r="DE309" i="65"/>
  <c r="DF309" i="65"/>
  <c r="DD310" i="65"/>
  <c r="DE310" i="65"/>
  <c r="DF310" i="65"/>
  <c r="DD311" i="65"/>
  <c r="DE311" i="65"/>
  <c r="DF311" i="65"/>
  <c r="DD312" i="65"/>
  <c r="DE312" i="65"/>
  <c r="DF312" i="65"/>
  <c r="DD313" i="65"/>
  <c r="DE313" i="65"/>
  <c r="DF313" i="65"/>
  <c r="DD314" i="65"/>
  <c r="DE314" i="65"/>
  <c r="DF314" i="65"/>
  <c r="DD315" i="65"/>
  <c r="DE315" i="65"/>
  <c r="DF315" i="65"/>
  <c r="DD316" i="65"/>
  <c r="DE316" i="65"/>
  <c r="DF316" i="65"/>
  <c r="DD317" i="65"/>
  <c r="DE317" i="65"/>
  <c r="DF317" i="65"/>
  <c r="DD318" i="65"/>
  <c r="DE318" i="65"/>
  <c r="DF318" i="65"/>
  <c r="DD319" i="65"/>
  <c r="DE319" i="65"/>
  <c r="DF319" i="65"/>
  <c r="DD320" i="65"/>
  <c r="DE320" i="65"/>
  <c r="DF320" i="65"/>
  <c r="DD321" i="65"/>
  <c r="DE321" i="65"/>
  <c r="DF321" i="65"/>
  <c r="DD322" i="65"/>
  <c r="DE322" i="65"/>
  <c r="DF322" i="65"/>
  <c r="DD323" i="65"/>
  <c r="DE323" i="65"/>
  <c r="DF323" i="65"/>
  <c r="DD324" i="65"/>
  <c r="DE324" i="65"/>
  <c r="DF324" i="65"/>
  <c r="DD325" i="65"/>
  <c r="DE325" i="65"/>
  <c r="DF325" i="65"/>
  <c r="DD326" i="65"/>
  <c r="DE326" i="65"/>
  <c r="DF326" i="65"/>
  <c r="DD327" i="65"/>
  <c r="DE327" i="65"/>
  <c r="DF327" i="65"/>
  <c r="DD328" i="65"/>
  <c r="DE328" i="65"/>
  <c r="DF328" i="65"/>
  <c r="DD329" i="65"/>
  <c r="DE329" i="65"/>
  <c r="DF329" i="65"/>
  <c r="DD330" i="65"/>
  <c r="DE330" i="65"/>
  <c r="DF330" i="65"/>
  <c r="DD331" i="65"/>
  <c r="DE331" i="65"/>
  <c r="DF331" i="65"/>
  <c r="DD332" i="65"/>
  <c r="DE332" i="65"/>
  <c r="DF332" i="65"/>
  <c r="DD333" i="65"/>
  <c r="DE333" i="65"/>
  <c r="DF333" i="65"/>
  <c r="DD334" i="65"/>
  <c r="DE334" i="65"/>
  <c r="DF334" i="65"/>
  <c r="DD335" i="65"/>
  <c r="DE335" i="65"/>
  <c r="DF335" i="65"/>
  <c r="DD336" i="65"/>
  <c r="DE336" i="65"/>
  <c r="DF336" i="65"/>
  <c r="DD337" i="65"/>
  <c r="DE337" i="65"/>
  <c r="DF337" i="65"/>
  <c r="DD338" i="65"/>
  <c r="DE338" i="65"/>
  <c r="DF338" i="65"/>
  <c r="DD339" i="65"/>
  <c r="DE339" i="65"/>
  <c r="DF339" i="65"/>
  <c r="DD340" i="65"/>
  <c r="DE340" i="65"/>
  <c r="DF340" i="65"/>
  <c r="DD341" i="65"/>
  <c r="DE341" i="65"/>
  <c r="DF341" i="65"/>
  <c r="DD342" i="65"/>
  <c r="DE342" i="65"/>
  <c r="DF342" i="65"/>
  <c r="DD343" i="65"/>
  <c r="DE343" i="65"/>
  <c r="DF343" i="65"/>
  <c r="DD344" i="65"/>
  <c r="DE344" i="65"/>
  <c r="DF344" i="65"/>
  <c r="DD345" i="65"/>
  <c r="DE345" i="65"/>
  <c r="DF345" i="65"/>
  <c r="DD346" i="65"/>
  <c r="DE346" i="65"/>
  <c r="DF346" i="65"/>
  <c r="DD347" i="65"/>
  <c r="DE347" i="65"/>
  <c r="DF347" i="65"/>
  <c r="DD348" i="65"/>
  <c r="DE348" i="65"/>
  <c r="DF348" i="65"/>
  <c r="DD349" i="65"/>
  <c r="DE349" i="65"/>
  <c r="DF349" i="65"/>
  <c r="DD350" i="65"/>
  <c r="DE350" i="65"/>
  <c r="DF350" i="65"/>
  <c r="DD351" i="65"/>
  <c r="DE351" i="65"/>
  <c r="DF351" i="65"/>
  <c r="DD352" i="65"/>
  <c r="DE352" i="65"/>
  <c r="DF352" i="65"/>
  <c r="DD353" i="65"/>
  <c r="DE353" i="65"/>
  <c r="DF353" i="65"/>
  <c r="DD354" i="65"/>
  <c r="DE354" i="65"/>
  <c r="DF354" i="65"/>
  <c r="DD355" i="65"/>
  <c r="DE355" i="65"/>
  <c r="DF355" i="65"/>
  <c r="DD356" i="65"/>
  <c r="DE356" i="65"/>
  <c r="DF356" i="65"/>
  <c r="DD357" i="65"/>
  <c r="DE357" i="65"/>
  <c r="DF357" i="65"/>
  <c r="DD358" i="65"/>
  <c r="DE358" i="65"/>
  <c r="DF358" i="65"/>
  <c r="DD359" i="65"/>
  <c r="DE359" i="65"/>
  <c r="DF359" i="65"/>
  <c r="DD360" i="65"/>
  <c r="DE360" i="65"/>
  <c r="DF360" i="65"/>
  <c r="DD361" i="65"/>
  <c r="DE361" i="65"/>
  <c r="DF361" i="65"/>
  <c r="DD362" i="65"/>
  <c r="DE362" i="65"/>
  <c r="DF362" i="65"/>
  <c r="DD363" i="65"/>
  <c r="DE363" i="65"/>
  <c r="DF363" i="65"/>
  <c r="DD364" i="65"/>
  <c r="DE364" i="65"/>
  <c r="DF364" i="65"/>
  <c r="DD365" i="65"/>
  <c r="DE365" i="65"/>
  <c r="DF365" i="65"/>
  <c r="DD366" i="65"/>
  <c r="DE366" i="65"/>
  <c r="DF366" i="65"/>
  <c r="DD367" i="65"/>
  <c r="DE367" i="65"/>
  <c r="DF367" i="65"/>
  <c r="DD368" i="65"/>
  <c r="DE368" i="65"/>
  <c r="DF368" i="65"/>
  <c r="DD369" i="65"/>
  <c r="DE369" i="65"/>
  <c r="DF369" i="65"/>
  <c r="DD370" i="65"/>
  <c r="DE370" i="65"/>
  <c r="DF370" i="65"/>
  <c r="DD371" i="65"/>
  <c r="DE371" i="65"/>
  <c r="DF371" i="65"/>
  <c r="DD372" i="65"/>
  <c r="DE372" i="65"/>
  <c r="DF372" i="65"/>
  <c r="DD373" i="65"/>
  <c r="DE373" i="65"/>
  <c r="DF373" i="65"/>
  <c r="DD374" i="65"/>
  <c r="DE374" i="65"/>
  <c r="DF374" i="65"/>
  <c r="DD375" i="65"/>
  <c r="DE375" i="65"/>
  <c r="DF375" i="65"/>
  <c r="DD376" i="65"/>
  <c r="DE376" i="65"/>
  <c r="DF376" i="65"/>
  <c r="DD377" i="65"/>
  <c r="DE377" i="65"/>
  <c r="DF377" i="65"/>
  <c r="DD378" i="65"/>
  <c r="DE378" i="65"/>
  <c r="DF378" i="65"/>
  <c r="DD379" i="65"/>
  <c r="DE379" i="65"/>
  <c r="DF379" i="65"/>
  <c r="DD380" i="65"/>
  <c r="DE380" i="65"/>
  <c r="DF380" i="65"/>
  <c r="DD381" i="65"/>
  <c r="DE381" i="65"/>
  <c r="DF381" i="65"/>
  <c r="DD382" i="65"/>
  <c r="DE382" i="65"/>
  <c r="DF382" i="65"/>
  <c r="DD383" i="65"/>
  <c r="DE383" i="65"/>
  <c r="DF383" i="65"/>
  <c r="DD384" i="65"/>
  <c r="DE384" i="65"/>
  <c r="DF384" i="65"/>
  <c r="DD385" i="65"/>
  <c r="DE385" i="65"/>
  <c r="DF385" i="65"/>
  <c r="DD386" i="65"/>
  <c r="DE386" i="65"/>
  <c r="DF386" i="65"/>
  <c r="DD387" i="65"/>
  <c r="DE387" i="65"/>
  <c r="DF387" i="65"/>
  <c r="DD388" i="65"/>
  <c r="DE388" i="65"/>
  <c r="DF388" i="65"/>
  <c r="DD389" i="65"/>
  <c r="DE389" i="65"/>
  <c r="DF389" i="65"/>
  <c r="DD390" i="65"/>
  <c r="DE390" i="65"/>
  <c r="DF390" i="65"/>
  <c r="DD391" i="65"/>
  <c r="DE391" i="65"/>
  <c r="DF391" i="65"/>
  <c r="DD392" i="65"/>
  <c r="DE392" i="65"/>
  <c r="DF392" i="65"/>
  <c r="DD393" i="65"/>
  <c r="DE393" i="65"/>
  <c r="DF393" i="65"/>
  <c r="DD394" i="65"/>
  <c r="DE394" i="65"/>
  <c r="DF394" i="65"/>
  <c r="DD395" i="65"/>
  <c r="DE395" i="65"/>
  <c r="DF395" i="65"/>
  <c r="DD396" i="65"/>
  <c r="DE396" i="65"/>
  <c r="DF396" i="65"/>
  <c r="DD397" i="65"/>
  <c r="DE397" i="65"/>
  <c r="DF397" i="65"/>
  <c r="DD398" i="65"/>
  <c r="DE398" i="65"/>
  <c r="DF398" i="65"/>
  <c r="DD399" i="65"/>
  <c r="DE399" i="65"/>
  <c r="DF399" i="65"/>
  <c r="DD400" i="65"/>
  <c r="DE400" i="65"/>
  <c r="DF400" i="65"/>
  <c r="DD401" i="65"/>
  <c r="DE401" i="65"/>
  <c r="DF401" i="65"/>
  <c r="DD402" i="65"/>
  <c r="DE402" i="65"/>
  <c r="DF402" i="65"/>
  <c r="DD403" i="65"/>
  <c r="DE403" i="65"/>
  <c r="DF403" i="65"/>
  <c r="DD404" i="65"/>
  <c r="DE404" i="65"/>
  <c r="DF404" i="65"/>
  <c r="DD405" i="65"/>
  <c r="DE405" i="65"/>
  <c r="DF405" i="65"/>
  <c r="DD406" i="65"/>
  <c r="DE406" i="65"/>
  <c r="DF406" i="65"/>
  <c r="DD407" i="65"/>
  <c r="DE407" i="65"/>
  <c r="DF407" i="65"/>
  <c r="DD408" i="65"/>
  <c r="DE408" i="65"/>
  <c r="DF408" i="65"/>
  <c r="DD409" i="65"/>
  <c r="DE409" i="65"/>
  <c r="DF409" i="65"/>
  <c r="DD410" i="65"/>
  <c r="DE410" i="65"/>
  <c r="DF410" i="65"/>
  <c r="DD411" i="65"/>
  <c r="DE411" i="65"/>
  <c r="DF411" i="65"/>
  <c r="DD412" i="65"/>
  <c r="DE412" i="65"/>
  <c r="DF412" i="65"/>
  <c r="DD413" i="65"/>
  <c r="DE413" i="65"/>
  <c r="DF413" i="65"/>
  <c r="DD414" i="65"/>
  <c r="DE414" i="65"/>
  <c r="DF414" i="65"/>
  <c r="DD415" i="65"/>
  <c r="DE415" i="65"/>
  <c r="DF415" i="65"/>
  <c r="DD416" i="65"/>
  <c r="DE416" i="65"/>
  <c r="DF416" i="65"/>
  <c r="DD417" i="65"/>
  <c r="DE417" i="65"/>
  <c r="DF417" i="65"/>
  <c r="DD418" i="65"/>
  <c r="DE418" i="65"/>
  <c r="DF418" i="65"/>
  <c r="DD419" i="65"/>
  <c r="DE419" i="65"/>
  <c r="DF419" i="65"/>
  <c r="DD420" i="65"/>
  <c r="DE420" i="65"/>
  <c r="DF420" i="65"/>
  <c r="DD421" i="65"/>
  <c r="DE421" i="65"/>
  <c r="DF421" i="65"/>
  <c r="DD422" i="65"/>
  <c r="DE422" i="65"/>
  <c r="DF422" i="65"/>
  <c r="DD423" i="65"/>
  <c r="DE423" i="65"/>
  <c r="DF423" i="65"/>
  <c r="DD424" i="65"/>
  <c r="DE424" i="65"/>
  <c r="DF424" i="65"/>
  <c r="DD425" i="65"/>
  <c r="DE425" i="65"/>
  <c r="DF425" i="65"/>
  <c r="DD426" i="65"/>
  <c r="DE426" i="65"/>
  <c r="DF426" i="65"/>
  <c r="DD427" i="65"/>
  <c r="DE427" i="65"/>
  <c r="DF427" i="65"/>
  <c r="DD428" i="65"/>
  <c r="DE428" i="65"/>
  <c r="DF428" i="65"/>
  <c r="DD429" i="65"/>
  <c r="DE429" i="65"/>
  <c r="DF429" i="65"/>
  <c r="DD430" i="65"/>
  <c r="DE430" i="65"/>
  <c r="DF430" i="65"/>
  <c r="DD431" i="65"/>
  <c r="DE431" i="65"/>
  <c r="DF431" i="65"/>
  <c r="DD432" i="65"/>
  <c r="DE432" i="65"/>
  <c r="DF432" i="65"/>
  <c r="DD433" i="65"/>
  <c r="DE433" i="65"/>
  <c r="DF433" i="65"/>
  <c r="DD434" i="65"/>
  <c r="DE434" i="65"/>
  <c r="DF434" i="65"/>
  <c r="DD435" i="65"/>
  <c r="DE435" i="65"/>
  <c r="DF435" i="65"/>
  <c r="DD436" i="65"/>
  <c r="DE436" i="65"/>
  <c r="DF436" i="65"/>
  <c r="DD437" i="65"/>
  <c r="DE437" i="65"/>
  <c r="DF437" i="65"/>
  <c r="DD438" i="65"/>
  <c r="DE438" i="65"/>
  <c r="DF438" i="65"/>
  <c r="DD439" i="65"/>
  <c r="DE439" i="65"/>
  <c r="DF439" i="65"/>
  <c r="DD440" i="65"/>
  <c r="DE440" i="65"/>
  <c r="DF440" i="65"/>
  <c r="DD441" i="65"/>
  <c r="DE441" i="65"/>
  <c r="DF441" i="65"/>
  <c r="DD442" i="65"/>
  <c r="DE442" i="65"/>
  <c r="DF442" i="65"/>
  <c r="DD443" i="65"/>
  <c r="DE443" i="65"/>
  <c r="DF443" i="65"/>
  <c r="DD444" i="65"/>
  <c r="DE444" i="65"/>
  <c r="DF444" i="65"/>
  <c r="DD445" i="65"/>
  <c r="DE445" i="65"/>
  <c r="DF445" i="65"/>
  <c r="DD446" i="65"/>
  <c r="DE446" i="65"/>
  <c r="DF446" i="65"/>
  <c r="DD447" i="65"/>
  <c r="DE447" i="65"/>
  <c r="DF447" i="65"/>
  <c r="DD448" i="65"/>
  <c r="DE448" i="65"/>
  <c r="DF448" i="65"/>
  <c r="DD449" i="65"/>
  <c r="DE449" i="65"/>
  <c r="DF449" i="65"/>
  <c r="DD450" i="65"/>
  <c r="DE450" i="65"/>
  <c r="DF450" i="65"/>
  <c r="DD451" i="65"/>
  <c r="DE451" i="65"/>
  <c r="DF451" i="65"/>
  <c r="DD452" i="65"/>
  <c r="DE452" i="65"/>
  <c r="DF452" i="65"/>
  <c r="DD453" i="65"/>
  <c r="DE453" i="65"/>
  <c r="DF453" i="65"/>
  <c r="DD454" i="65"/>
  <c r="DE454" i="65"/>
  <c r="DF454" i="65"/>
  <c r="DD455" i="65"/>
  <c r="DE455" i="65"/>
  <c r="DF455" i="65"/>
  <c r="DD456" i="65"/>
  <c r="DE456" i="65"/>
  <c r="DF456" i="65"/>
  <c r="DD457" i="65"/>
  <c r="DE457" i="65"/>
  <c r="DF457" i="65"/>
  <c r="DD458" i="65"/>
  <c r="DE458" i="65"/>
  <c r="DF458" i="65"/>
  <c r="DD459" i="65"/>
  <c r="DE459" i="65"/>
  <c r="DF459" i="65"/>
  <c r="DD460" i="65"/>
  <c r="DE460" i="65"/>
  <c r="DF460" i="65"/>
  <c r="DD461" i="65"/>
  <c r="DE461" i="65"/>
  <c r="DF461" i="65"/>
  <c r="DD462" i="65"/>
  <c r="DE462" i="65"/>
  <c r="DF462" i="65"/>
  <c r="DD463" i="65"/>
  <c r="DE463" i="65"/>
  <c r="DF463" i="65"/>
  <c r="DD464" i="65"/>
  <c r="DE464" i="65"/>
  <c r="DF464" i="65"/>
  <c r="DD465" i="65"/>
  <c r="DE465" i="65"/>
  <c r="DF465" i="65"/>
  <c r="DD466" i="65"/>
  <c r="DE466" i="65"/>
  <c r="DF466" i="65"/>
  <c r="DD467" i="65"/>
  <c r="DE467" i="65"/>
  <c r="DF467" i="65"/>
  <c r="DD468" i="65"/>
  <c r="DE468" i="65"/>
  <c r="DF468" i="65"/>
  <c r="DD469" i="65"/>
  <c r="DE469" i="65"/>
  <c r="DF469" i="65"/>
  <c r="DD470" i="65"/>
  <c r="DE470" i="65"/>
  <c r="DF470" i="65"/>
  <c r="DD471" i="65"/>
  <c r="DE471" i="65"/>
  <c r="DF471" i="65"/>
  <c r="DD472" i="65"/>
  <c r="DE472" i="65"/>
  <c r="DF472" i="65"/>
  <c r="DD473" i="65"/>
  <c r="DE473" i="65"/>
  <c r="DF473" i="65"/>
  <c r="DD474" i="65"/>
  <c r="DE474" i="65"/>
  <c r="DF474" i="65"/>
  <c r="DD475" i="65"/>
  <c r="DE475" i="65"/>
  <c r="DF475" i="65"/>
  <c r="DD476" i="65"/>
  <c r="DE476" i="65"/>
  <c r="DF476" i="65"/>
  <c r="DD477" i="65"/>
  <c r="DE477" i="65"/>
  <c r="DF477" i="65"/>
  <c r="DD478" i="65"/>
  <c r="DE478" i="65"/>
  <c r="DF478" i="65"/>
  <c r="DD479" i="65"/>
  <c r="DE479" i="65"/>
  <c r="DF479" i="65"/>
  <c r="DD480" i="65"/>
  <c r="DE480" i="65"/>
  <c r="DF480" i="65"/>
  <c r="DD481" i="65"/>
  <c r="DE481" i="65"/>
  <c r="DF481" i="65"/>
  <c r="DD482" i="65"/>
  <c r="DE482" i="65"/>
  <c r="DF482" i="65"/>
  <c r="DD483" i="65"/>
  <c r="DE483" i="65"/>
  <c r="DF483" i="65"/>
  <c r="DD484" i="65"/>
  <c r="DE484" i="65"/>
  <c r="DF484" i="65"/>
  <c r="DD485" i="65"/>
  <c r="DE485" i="65"/>
  <c r="DF485" i="65"/>
  <c r="DD486" i="65"/>
  <c r="DE486" i="65"/>
  <c r="DF486" i="65"/>
  <c r="DD487" i="65"/>
  <c r="DE487" i="65"/>
  <c r="DF487" i="65"/>
  <c r="DD488" i="65"/>
  <c r="DE488" i="65"/>
  <c r="DF488" i="65"/>
  <c r="DD489" i="65"/>
  <c r="DE489" i="65"/>
  <c r="DF489" i="65"/>
  <c r="DD490" i="65"/>
  <c r="DE490" i="65"/>
  <c r="DF490" i="65"/>
  <c r="DD491" i="65"/>
  <c r="DE491" i="65"/>
  <c r="DF491" i="65"/>
  <c r="DD492" i="65"/>
  <c r="DE492" i="65"/>
  <c r="DF492" i="65"/>
  <c r="DD493" i="65"/>
  <c r="DE493" i="65"/>
  <c r="DF493" i="65"/>
  <c r="DD494" i="65"/>
  <c r="DE494" i="65"/>
  <c r="DF494" i="65"/>
  <c r="DD495" i="65"/>
  <c r="DE495" i="65"/>
  <c r="DF495" i="65"/>
  <c r="DD496" i="65"/>
  <c r="DE496" i="65"/>
  <c r="DF496" i="65"/>
  <c r="DD497" i="65"/>
  <c r="DE497" i="65"/>
  <c r="DF497" i="65"/>
  <c r="DD498" i="65"/>
  <c r="DE498" i="65"/>
  <c r="DF498" i="65"/>
  <c r="DD499" i="65"/>
  <c r="DE499" i="65"/>
  <c r="DF499" i="65"/>
  <c r="DD500" i="65"/>
  <c r="DE500" i="65"/>
  <c r="DF500" i="65"/>
  <c r="DD501" i="65"/>
  <c r="DE501" i="65"/>
  <c r="DF501" i="65"/>
  <c r="DD502" i="65"/>
  <c r="DE502" i="65"/>
  <c r="DF502" i="65"/>
  <c r="DD503" i="65"/>
  <c r="DE503" i="65"/>
  <c r="DF503" i="65"/>
  <c r="DD504" i="65"/>
  <c r="DE504" i="65"/>
  <c r="DF504" i="65"/>
  <c r="DD505" i="65"/>
  <c r="DE505" i="65"/>
  <c r="DF505" i="65"/>
  <c r="DD506" i="65"/>
  <c r="DE506" i="65"/>
  <c r="DF506" i="65"/>
  <c r="DD507" i="65"/>
  <c r="DE507" i="65"/>
  <c r="DF507" i="65"/>
  <c r="DD508" i="65"/>
  <c r="DE508" i="65"/>
  <c r="DF508" i="65"/>
  <c r="DD509" i="65"/>
  <c r="DE509" i="65"/>
  <c r="DF509" i="65"/>
  <c r="DD510" i="65"/>
  <c r="DE510" i="65"/>
  <c r="DF510" i="65"/>
  <c r="DD511" i="65"/>
  <c r="DE511" i="65"/>
  <c r="DF511" i="65"/>
  <c r="DD512" i="65"/>
  <c r="DE512" i="65"/>
  <c r="DF512" i="65"/>
  <c r="DD513" i="65"/>
  <c r="DE513" i="65"/>
  <c r="DF513" i="65"/>
  <c r="DD514" i="65"/>
  <c r="DE514" i="65"/>
  <c r="DF514" i="65"/>
  <c r="DD515" i="65"/>
  <c r="DE515" i="65"/>
  <c r="DF515" i="65"/>
  <c r="DD516" i="65"/>
  <c r="DE516" i="65"/>
  <c r="DF516" i="65"/>
  <c r="DD517" i="65"/>
  <c r="DE517" i="65"/>
  <c r="DF517" i="65"/>
  <c r="DD518" i="65"/>
  <c r="DE518" i="65"/>
  <c r="DF518" i="65"/>
  <c r="DD519" i="65"/>
  <c r="DE519" i="65"/>
  <c r="DF519" i="65"/>
  <c r="DD520" i="65"/>
  <c r="DE520" i="65"/>
  <c r="DF520" i="65"/>
  <c r="DD521" i="65"/>
  <c r="DE521" i="65"/>
  <c r="DF521" i="65"/>
  <c r="DD522" i="65"/>
  <c r="DE522" i="65"/>
  <c r="DF522" i="65"/>
  <c r="DD523" i="65"/>
  <c r="DE523" i="65"/>
  <c r="DF523" i="65"/>
  <c r="DD524" i="65"/>
  <c r="DE524" i="65"/>
  <c r="DF524" i="65"/>
  <c r="DD525" i="65"/>
  <c r="DE525" i="65"/>
  <c r="DF525" i="65"/>
  <c r="DD526" i="65"/>
  <c r="DE526" i="65"/>
  <c r="DF526" i="65"/>
  <c r="DD527" i="65"/>
  <c r="DE527" i="65"/>
  <c r="DF527" i="65"/>
  <c r="DD528" i="65"/>
  <c r="DE528" i="65"/>
  <c r="DF528" i="65"/>
  <c r="DD529" i="65"/>
  <c r="DE529" i="65"/>
  <c r="DF529" i="65"/>
  <c r="DD530" i="65"/>
  <c r="DE530" i="65"/>
  <c r="DF530" i="65"/>
  <c r="DD531" i="65"/>
  <c r="DE531" i="65"/>
  <c r="DF531" i="65"/>
  <c r="DD532" i="65"/>
  <c r="DE532" i="65"/>
  <c r="DF532" i="65"/>
  <c r="DD533" i="65"/>
  <c r="DE533" i="65"/>
  <c r="DF533" i="65"/>
  <c r="DD534" i="65"/>
  <c r="DE534" i="65"/>
  <c r="DF534" i="65"/>
  <c r="DD535" i="65"/>
  <c r="DE535" i="65"/>
  <c r="DF535" i="65"/>
  <c r="DD536" i="65"/>
  <c r="DE536" i="65"/>
  <c r="DF536" i="65"/>
  <c r="DD537" i="65"/>
  <c r="DE537" i="65"/>
  <c r="DF537" i="65"/>
  <c r="DD538" i="65"/>
  <c r="DE538" i="65"/>
  <c r="DF538" i="65"/>
  <c r="DD539" i="65"/>
  <c r="DE539" i="65"/>
  <c r="DF539" i="65"/>
  <c r="DD540" i="65"/>
  <c r="DE540" i="65"/>
  <c r="DF540" i="65"/>
  <c r="DD541" i="65"/>
  <c r="DE541" i="65"/>
  <c r="DF541" i="65"/>
  <c r="DD542" i="65"/>
  <c r="DE542" i="65"/>
  <c r="DF542" i="65"/>
  <c r="DD543" i="65"/>
  <c r="DE543" i="65"/>
  <c r="DF543" i="65"/>
  <c r="DD544" i="65"/>
  <c r="DE544" i="65"/>
  <c r="DF544" i="65"/>
  <c r="DD545" i="65"/>
  <c r="DE545" i="65"/>
  <c r="DF545" i="65"/>
  <c r="DD546" i="65"/>
  <c r="DE546" i="65"/>
  <c r="DF546" i="65"/>
  <c r="S4" i="67"/>
  <c r="T4" i="67"/>
  <c r="U4" i="67"/>
  <c r="S5" i="67"/>
  <c r="Y5" i="67" s="1"/>
  <c r="T5" i="67"/>
  <c r="Z5" i="67" s="1"/>
  <c r="U5" i="67"/>
  <c r="AA5" i="67" s="1"/>
  <c r="S6" i="67"/>
  <c r="Y6" i="67" s="1"/>
  <c r="T6" i="67"/>
  <c r="Z6" i="67" s="1"/>
  <c r="U6" i="67"/>
  <c r="AA6" i="67" s="1"/>
  <c r="S7" i="67"/>
  <c r="Y7" i="67" s="1"/>
  <c r="T7" i="67"/>
  <c r="Z7" i="67" s="1"/>
  <c r="U7" i="67"/>
  <c r="AA7" i="67" s="1"/>
  <c r="S8" i="67"/>
  <c r="Y8" i="67" s="1"/>
  <c r="T8" i="67"/>
  <c r="Z8" i="67" s="1"/>
  <c r="U8" i="67"/>
  <c r="AA8" i="67" s="1"/>
  <c r="S9" i="67"/>
  <c r="Y9" i="67" s="1"/>
  <c r="T9" i="67"/>
  <c r="Z9" i="67" s="1"/>
  <c r="U9" i="67"/>
  <c r="AA9" i="67" s="1"/>
  <c r="S10" i="67"/>
  <c r="Y10" i="67" s="1"/>
  <c r="T10" i="67"/>
  <c r="Z10" i="67" s="1"/>
  <c r="U10" i="67"/>
  <c r="AA10" i="67" s="1"/>
  <c r="S11" i="67"/>
  <c r="Y11" i="67" s="1"/>
  <c r="T11" i="67"/>
  <c r="Z11" i="67" s="1"/>
  <c r="U11" i="67"/>
  <c r="AA11" i="67" s="1"/>
  <c r="S12" i="67"/>
  <c r="Y12" i="67" s="1"/>
  <c r="T12" i="67"/>
  <c r="Z12" i="67" s="1"/>
  <c r="U12" i="67"/>
  <c r="AA12" i="67" s="1"/>
  <c r="S13" i="67"/>
  <c r="Y13" i="67" s="1"/>
  <c r="T13" i="67"/>
  <c r="Z13" i="67" s="1"/>
  <c r="U13" i="67"/>
  <c r="AA13" i="67" s="1"/>
  <c r="S14" i="67"/>
  <c r="Y14" i="67" s="1"/>
  <c r="T14" i="67"/>
  <c r="Z14" i="67" s="1"/>
  <c r="U14" i="67"/>
  <c r="AA14" i="67" s="1"/>
  <c r="S15" i="67"/>
  <c r="Y15" i="67" s="1"/>
  <c r="T15" i="67"/>
  <c r="Z15" i="67" s="1"/>
  <c r="U15" i="67"/>
  <c r="AA15" i="67" s="1"/>
  <c r="S16" i="67"/>
  <c r="Y16" i="67" s="1"/>
  <c r="T16" i="67"/>
  <c r="Z16" i="67" s="1"/>
  <c r="U16" i="67"/>
  <c r="AA16" i="67" s="1"/>
  <c r="S17" i="67"/>
  <c r="Y17" i="67" s="1"/>
  <c r="T17" i="67"/>
  <c r="Z17" i="67" s="1"/>
  <c r="U17" i="67"/>
  <c r="AA17" i="67" s="1"/>
  <c r="S18" i="67"/>
  <c r="Y18" i="67" s="1"/>
  <c r="T18" i="67"/>
  <c r="Z18" i="67" s="1"/>
  <c r="U18" i="67"/>
  <c r="AA18" i="67" s="1"/>
  <c r="S19" i="67"/>
  <c r="Y19" i="67" s="1"/>
  <c r="T19" i="67"/>
  <c r="Z19" i="67" s="1"/>
  <c r="U19" i="67"/>
  <c r="AA19" i="67" s="1"/>
  <c r="S20" i="67"/>
  <c r="Y20" i="67" s="1"/>
  <c r="T20" i="67"/>
  <c r="Z20" i="67" s="1"/>
  <c r="U20" i="67"/>
  <c r="AA20" i="67" s="1"/>
  <c r="S21" i="67"/>
  <c r="Y21" i="67" s="1"/>
  <c r="T21" i="67"/>
  <c r="Z21" i="67" s="1"/>
  <c r="U21" i="67"/>
  <c r="AA21" i="67" s="1"/>
  <c r="S22" i="67"/>
  <c r="Y22" i="67" s="1"/>
  <c r="T22" i="67"/>
  <c r="Z22" i="67" s="1"/>
  <c r="U22" i="67"/>
  <c r="AA22" i="67" s="1"/>
  <c r="S23" i="67"/>
  <c r="Y23" i="67" s="1"/>
  <c r="T23" i="67"/>
  <c r="Z23" i="67" s="1"/>
  <c r="U23" i="67"/>
  <c r="AA23" i="67" s="1"/>
  <c r="AA4" i="67" l="1"/>
  <c r="Z4" i="67"/>
  <c r="Y4" i="67"/>
  <c r="J5" i="67"/>
  <c r="K5" i="67"/>
  <c r="L5" i="67"/>
  <c r="J6" i="67"/>
  <c r="K6" i="67"/>
  <c r="L6" i="67"/>
  <c r="J7" i="67"/>
  <c r="K7" i="67"/>
  <c r="L7" i="67"/>
  <c r="J8" i="67"/>
  <c r="K8" i="67"/>
  <c r="L8" i="67"/>
  <c r="J9" i="67"/>
  <c r="K9" i="67"/>
  <c r="L9" i="67"/>
  <c r="J10" i="67"/>
  <c r="K10" i="67"/>
  <c r="L10" i="67"/>
  <c r="J11" i="67"/>
  <c r="K11" i="67"/>
  <c r="L11" i="67"/>
  <c r="J12" i="67"/>
  <c r="K12" i="67"/>
  <c r="L12" i="67"/>
  <c r="K4" i="67"/>
  <c r="L4" i="67"/>
  <c r="J4" i="67"/>
  <c r="F5" i="67"/>
  <c r="F6" i="67"/>
  <c r="F7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F34" i="67"/>
  <c r="F35" i="67"/>
  <c r="F36" i="67"/>
  <c r="F37" i="67"/>
  <c r="F38" i="67"/>
  <c r="F39" i="67"/>
  <c r="F40" i="67"/>
  <c r="F41" i="67"/>
  <c r="F42" i="67"/>
  <c r="F43" i="67"/>
  <c r="F44" i="67"/>
  <c r="F45" i="67"/>
  <c r="F46" i="67"/>
  <c r="F47" i="67"/>
  <c r="F48" i="67"/>
  <c r="F49" i="67"/>
  <c r="F50" i="67"/>
  <c r="F51" i="67"/>
  <c r="F52" i="67"/>
  <c r="F53" i="67"/>
  <c r="F54" i="67"/>
  <c r="F55" i="67"/>
  <c r="F56" i="67"/>
  <c r="F57" i="67"/>
  <c r="F58" i="67"/>
  <c r="F59" i="67"/>
  <c r="F60" i="67"/>
  <c r="F61" i="67"/>
  <c r="F62" i="67"/>
  <c r="F63" i="67"/>
  <c r="F64" i="67"/>
  <c r="F65" i="67"/>
  <c r="F66" i="67"/>
  <c r="F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F82" i="67"/>
  <c r="F83" i="67"/>
  <c r="F84" i="67"/>
  <c r="F85" i="67"/>
  <c r="F86" i="67"/>
  <c r="F87" i="67"/>
  <c r="F88" i="67"/>
  <c r="F89" i="67"/>
  <c r="F90" i="67"/>
  <c r="F91" i="67"/>
  <c r="F92" i="67"/>
  <c r="F93" i="67"/>
  <c r="F94" i="67"/>
  <c r="F95" i="67"/>
  <c r="F96" i="67"/>
  <c r="F97" i="67"/>
  <c r="F98" i="67"/>
  <c r="F99" i="67"/>
  <c r="F100" i="67"/>
  <c r="F101" i="67"/>
  <c r="F102" i="67"/>
  <c r="F103" i="67"/>
  <c r="F104" i="67"/>
  <c r="F105" i="67"/>
  <c r="F106" i="67"/>
  <c r="F107" i="67"/>
  <c r="F108" i="67"/>
  <c r="F109" i="67"/>
  <c r="F110" i="67"/>
  <c r="F111" i="67"/>
  <c r="F112" i="67"/>
  <c r="F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F131" i="67"/>
  <c r="F132" i="67"/>
  <c r="F133" i="67"/>
  <c r="F134" i="67"/>
  <c r="F135" i="67"/>
  <c r="F136" i="67"/>
  <c r="F137" i="67"/>
  <c r="F138" i="67"/>
  <c r="F139" i="67"/>
  <c r="F140" i="67"/>
  <c r="F141" i="67"/>
  <c r="F142" i="67"/>
  <c r="F143" i="67"/>
  <c r="F144" i="67"/>
  <c r="F145" i="67"/>
  <c r="F146" i="67"/>
  <c r="F147" i="67"/>
  <c r="F148" i="67"/>
  <c r="F149" i="67"/>
  <c r="F150" i="67"/>
  <c r="F151" i="67"/>
  <c r="F152" i="67"/>
  <c r="F153" i="67"/>
  <c r="F154" i="67"/>
  <c r="F155" i="67"/>
  <c r="F156" i="67"/>
  <c r="F157" i="67"/>
  <c r="F158" i="67"/>
  <c r="F159" i="67"/>
  <c r="F160" i="67"/>
  <c r="F161" i="67"/>
  <c r="F162" i="67"/>
  <c r="F163" i="67"/>
  <c r="F164" i="67"/>
  <c r="F165" i="67"/>
  <c r="F166" i="67"/>
  <c r="F167" i="67"/>
  <c r="F168" i="67"/>
  <c r="F169" i="67"/>
  <c r="F170" i="67"/>
  <c r="F171" i="67"/>
  <c r="F172" i="67"/>
  <c r="F173" i="67"/>
  <c r="F174" i="67"/>
  <c r="F175" i="67"/>
  <c r="F176" i="67"/>
  <c r="F177" i="67"/>
  <c r="F178" i="67"/>
  <c r="F179" i="67"/>
  <c r="F180" i="67"/>
  <c r="F181" i="67"/>
  <c r="F182" i="67"/>
  <c r="F183" i="67"/>
  <c r="F184" i="67"/>
  <c r="F185" i="67"/>
  <c r="F186" i="67"/>
  <c r="F187" i="67"/>
  <c r="F188" i="67"/>
  <c r="F189" i="67"/>
  <c r="F190" i="67"/>
  <c r="F191" i="67"/>
  <c r="F192" i="67"/>
  <c r="F193" i="67"/>
  <c r="F194" i="67"/>
  <c r="F195" i="67"/>
  <c r="F196" i="67"/>
  <c r="F197" i="67"/>
  <c r="F198" i="67"/>
  <c r="F199" i="67"/>
  <c r="F200" i="67"/>
  <c r="F201" i="67"/>
  <c r="F202" i="67"/>
  <c r="F203" i="67"/>
  <c r="F4" i="67"/>
  <c r="H5" i="67"/>
  <c r="H6" i="67"/>
  <c r="H7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4" i="67"/>
  <c r="N9" i="67" l="1"/>
  <c r="N5" i="67"/>
  <c r="N12" i="67"/>
  <c r="N8" i="67"/>
  <c r="N4" i="67"/>
  <c r="N10" i="67"/>
  <c r="N6" i="67"/>
  <c r="N11" i="67"/>
  <c r="N7" i="67"/>
  <c r="EU95" i="65" l="1"/>
  <c r="EX95" i="65"/>
  <c r="FB95" i="65"/>
  <c r="FA95" i="65" s="1"/>
  <c r="EU96" i="65"/>
  <c r="EV96" i="65" s="1"/>
  <c r="EX96" i="65"/>
  <c r="FB96" i="65"/>
  <c r="FA96" i="65" s="1"/>
  <c r="EU97" i="65"/>
  <c r="EX97" i="65"/>
  <c r="EU98" i="65"/>
  <c r="EX98" i="65"/>
  <c r="FB98" i="65"/>
  <c r="FA98" i="65" s="1"/>
  <c r="EU99" i="65"/>
  <c r="EX99" i="65"/>
  <c r="FB99" i="65"/>
  <c r="FA99" i="65" s="1"/>
  <c r="EU100" i="65"/>
  <c r="EV100" i="65" s="1"/>
  <c r="EX100" i="65"/>
  <c r="FB100" i="65"/>
  <c r="FA100" i="65" s="1"/>
  <c r="EU101" i="65"/>
  <c r="EX101" i="65"/>
  <c r="EU102" i="65"/>
  <c r="EX102" i="65"/>
  <c r="EU103" i="65"/>
  <c r="EX103" i="65"/>
  <c r="EU104" i="65"/>
  <c r="EV104" i="65" s="1"/>
  <c r="EX104" i="65"/>
  <c r="FB104" i="65"/>
  <c r="FA104" i="65" s="1"/>
  <c r="EU105" i="65"/>
  <c r="EX105" i="65"/>
  <c r="EU106" i="65"/>
  <c r="EX106" i="65"/>
  <c r="FB106" i="65"/>
  <c r="FA106" i="65" s="1"/>
  <c r="EU107" i="65"/>
  <c r="EX107" i="65"/>
  <c r="FB107" i="65"/>
  <c r="FA107" i="65" s="1"/>
  <c r="EU108" i="65"/>
  <c r="EV108" i="65" s="1"/>
  <c r="EX108" i="65"/>
  <c r="FB108" i="65"/>
  <c r="FA108" i="65" s="1"/>
  <c r="EU109" i="65"/>
  <c r="EX109" i="65"/>
  <c r="EU110" i="65"/>
  <c r="EX110" i="65"/>
  <c r="FB110" i="65"/>
  <c r="FA110" i="65" s="1"/>
  <c r="EU111" i="65"/>
  <c r="EX111" i="65"/>
  <c r="FB111" i="65"/>
  <c r="FA111" i="65" s="1"/>
  <c r="EU112" i="65"/>
  <c r="EV112" i="65" s="1"/>
  <c r="EX112" i="65"/>
  <c r="FB112" i="65"/>
  <c r="FA112" i="65" s="1"/>
  <c r="EU113" i="65"/>
  <c r="EX113" i="65"/>
  <c r="EU114" i="65"/>
  <c r="EX114" i="65"/>
  <c r="EU115" i="65"/>
  <c r="EX115" i="65"/>
  <c r="EZ115" i="65" s="1"/>
  <c r="EY115" i="65"/>
  <c r="EU116" i="65"/>
  <c r="EX116" i="65"/>
  <c r="EZ116" i="65" s="1"/>
  <c r="FB116" i="65"/>
  <c r="FA116" i="65" s="1"/>
  <c r="EU117" i="65"/>
  <c r="EX117" i="65"/>
  <c r="EZ117" i="65" s="1"/>
  <c r="FB117" i="65"/>
  <c r="FA117" i="65" s="1"/>
  <c r="EU118" i="65"/>
  <c r="EX118" i="65"/>
  <c r="EZ118" i="65" s="1"/>
  <c r="FB118" i="65"/>
  <c r="FA118" i="65" s="1"/>
  <c r="EU119" i="65"/>
  <c r="EX119" i="65"/>
  <c r="EZ119" i="65" s="1"/>
  <c r="FB119" i="65"/>
  <c r="FA119" i="65" s="1"/>
  <c r="EU120" i="65"/>
  <c r="EX120" i="65"/>
  <c r="EZ120" i="65" s="1"/>
  <c r="FB120" i="65"/>
  <c r="FA120" i="65" s="1"/>
  <c r="EU121" i="65"/>
  <c r="EX121" i="65"/>
  <c r="EZ121" i="65" s="1"/>
  <c r="FB121" i="65"/>
  <c r="FA121" i="65" s="1"/>
  <c r="EU122" i="65"/>
  <c r="EX122" i="65"/>
  <c r="EZ122" i="65" s="1"/>
  <c r="FB122" i="65"/>
  <c r="FA122" i="65" s="1"/>
  <c r="EU123" i="65"/>
  <c r="EX123" i="65"/>
  <c r="EZ123" i="65" s="1"/>
  <c r="FB123" i="65"/>
  <c r="FA123" i="65" s="1"/>
  <c r="EU124" i="65"/>
  <c r="EX124" i="65"/>
  <c r="EZ124" i="65" s="1"/>
  <c r="FB124" i="65"/>
  <c r="FA124" i="65" s="1"/>
  <c r="EU125" i="65"/>
  <c r="EX125" i="65"/>
  <c r="EZ125" i="65" s="1"/>
  <c r="EU126" i="65"/>
  <c r="EX126" i="65"/>
  <c r="EZ126" i="65" s="1"/>
  <c r="EU127" i="65"/>
  <c r="EX127" i="65"/>
  <c r="EZ127" i="65" s="1"/>
  <c r="EU128" i="65"/>
  <c r="EX128" i="65"/>
  <c r="EZ128" i="65" s="1"/>
  <c r="FB128" i="65"/>
  <c r="FA128" i="65" s="1"/>
  <c r="EU129" i="65"/>
  <c r="EX129" i="65"/>
  <c r="EZ129" i="65" s="1"/>
  <c r="FB129" i="65"/>
  <c r="FA129" i="65" s="1"/>
  <c r="EU130" i="65"/>
  <c r="EX130" i="65"/>
  <c r="EZ130" i="65" s="1"/>
  <c r="FB130" i="65"/>
  <c r="FA130" i="65" s="1"/>
  <c r="EU131" i="65"/>
  <c r="EX131" i="65"/>
  <c r="EZ131" i="65" s="1"/>
  <c r="FB131" i="65"/>
  <c r="FA131" i="65" s="1"/>
  <c r="EU132" i="65"/>
  <c r="EX132" i="65"/>
  <c r="EZ132" i="65" s="1"/>
  <c r="FB132" i="65"/>
  <c r="FA132" i="65" s="1"/>
  <c r="EU133" i="65"/>
  <c r="EX133" i="65"/>
  <c r="EZ133" i="65" s="1"/>
  <c r="FB133" i="65"/>
  <c r="FA133" i="65" s="1"/>
  <c r="EU134" i="65"/>
  <c r="EW134" i="65"/>
  <c r="EX134" i="65"/>
  <c r="EZ134" i="65" s="1"/>
  <c r="EY134" i="65"/>
  <c r="FB134" i="65"/>
  <c r="FA134" i="65" s="1"/>
  <c r="EU135" i="65"/>
  <c r="EV135" i="65" s="1"/>
  <c r="EW135" i="65"/>
  <c r="EX135" i="65"/>
  <c r="EZ135" i="65" s="1"/>
  <c r="EY135" i="65"/>
  <c r="FB135" i="65"/>
  <c r="FA135" i="65" s="1"/>
  <c r="EU136" i="65"/>
  <c r="EW136" i="65"/>
  <c r="EX136" i="65"/>
  <c r="EZ136" i="65" s="1"/>
  <c r="EY136" i="65"/>
  <c r="FB136" i="65"/>
  <c r="FA136" i="65" s="1"/>
  <c r="EU137" i="65"/>
  <c r="EV137" i="65" s="1"/>
  <c r="EW137" i="65"/>
  <c r="EX137" i="65"/>
  <c r="EY137" i="65"/>
  <c r="EZ137" i="65"/>
  <c r="EU138" i="65"/>
  <c r="EW138" i="65"/>
  <c r="EX138" i="65"/>
  <c r="EY138" i="65"/>
  <c r="EZ138" i="65"/>
  <c r="EU139" i="65"/>
  <c r="EW139" i="65"/>
  <c r="EX139" i="65"/>
  <c r="EY139" i="65"/>
  <c r="EZ139" i="65"/>
  <c r="EU140" i="65"/>
  <c r="FB140" i="65" s="1"/>
  <c r="FA140" i="65" s="1"/>
  <c r="EW140" i="65"/>
  <c r="EX140" i="65"/>
  <c r="EY140" i="65"/>
  <c r="EZ140" i="65"/>
  <c r="EU141" i="65"/>
  <c r="FB141" i="65" s="1"/>
  <c r="FA141" i="65" s="1"/>
  <c r="EW141" i="65"/>
  <c r="EX141" i="65"/>
  <c r="EY141" i="65"/>
  <c r="EZ141" i="65"/>
  <c r="EU142" i="65"/>
  <c r="FB142" i="65" s="1"/>
  <c r="FA142" i="65" s="1"/>
  <c r="EW142" i="65"/>
  <c r="EX142" i="65"/>
  <c r="EY142" i="65"/>
  <c r="EZ142" i="65"/>
  <c r="EU143" i="65"/>
  <c r="FB143" i="65" s="1"/>
  <c r="FA143" i="65" s="1"/>
  <c r="EW143" i="65"/>
  <c r="EX143" i="65"/>
  <c r="EY143" i="65"/>
  <c r="EZ143" i="65"/>
  <c r="EU144" i="65"/>
  <c r="FB144" i="65" s="1"/>
  <c r="FA144" i="65" s="1"/>
  <c r="EW144" i="65"/>
  <c r="EX144" i="65"/>
  <c r="EY144" i="65"/>
  <c r="EZ144" i="65"/>
  <c r="EU145" i="65"/>
  <c r="FB145" i="65" s="1"/>
  <c r="FA145" i="65" s="1"/>
  <c r="EW145" i="65"/>
  <c r="EX145" i="65"/>
  <c r="EY145" i="65"/>
  <c r="EZ145" i="65"/>
  <c r="EU146" i="65"/>
  <c r="FB146" i="65" s="1"/>
  <c r="FA146" i="65" s="1"/>
  <c r="EW146" i="65"/>
  <c r="EX146" i="65"/>
  <c r="EY146" i="65"/>
  <c r="EZ146" i="65"/>
  <c r="EU147" i="65"/>
  <c r="FB147" i="65" s="1"/>
  <c r="FA147" i="65" s="1"/>
  <c r="EW147" i="65"/>
  <c r="EX147" i="65"/>
  <c r="EY147" i="65"/>
  <c r="EZ147" i="65"/>
  <c r="EU148" i="65"/>
  <c r="FB148" i="65" s="1"/>
  <c r="FA148" i="65" s="1"/>
  <c r="EW148" i="65"/>
  <c r="EX148" i="65"/>
  <c r="EY148" i="65"/>
  <c r="EZ148" i="65"/>
  <c r="EU77" i="65"/>
  <c r="EV77" i="65" s="1"/>
  <c r="EX77" i="65"/>
  <c r="EZ77" i="65" s="1"/>
  <c r="EY77" i="65"/>
  <c r="EU78" i="65"/>
  <c r="EV78" i="65" s="1"/>
  <c r="EX78" i="65"/>
  <c r="EY78" i="65" s="1"/>
  <c r="EU79" i="65"/>
  <c r="EV79" i="65" s="1"/>
  <c r="EX79" i="65"/>
  <c r="EY79" i="65" s="1"/>
  <c r="EU80" i="65"/>
  <c r="EV80" i="65" s="1"/>
  <c r="EX80" i="65"/>
  <c r="EY80" i="65" s="1"/>
  <c r="FB80" i="65"/>
  <c r="FA80" i="65" s="1"/>
  <c r="EU81" i="65"/>
  <c r="EV81" i="65" s="1"/>
  <c r="EX81" i="65"/>
  <c r="EY81" i="65" s="1"/>
  <c r="FB81" i="65"/>
  <c r="FA81" i="65" s="1"/>
  <c r="EU82" i="65"/>
  <c r="EV82" i="65" s="1"/>
  <c r="EX82" i="65"/>
  <c r="EY82" i="65" s="1"/>
  <c r="FB82" i="65"/>
  <c r="FA82" i="65" s="1"/>
  <c r="EU83" i="65"/>
  <c r="EV83" i="65" s="1"/>
  <c r="EX83" i="65"/>
  <c r="EY83" i="65" s="1"/>
  <c r="FB83" i="65"/>
  <c r="FA83" i="65" s="1"/>
  <c r="EU84" i="65"/>
  <c r="EV84" i="65" s="1"/>
  <c r="EX84" i="65"/>
  <c r="EY84" i="65" s="1"/>
  <c r="FB84" i="65"/>
  <c r="FA84" i="65" s="1"/>
  <c r="EU85" i="65"/>
  <c r="EV85" i="65" s="1"/>
  <c r="EX85" i="65"/>
  <c r="EY85" i="65" s="1"/>
  <c r="FB85" i="65"/>
  <c r="FA85" i="65" s="1"/>
  <c r="EU86" i="65"/>
  <c r="EV86" i="65" s="1"/>
  <c r="EX86" i="65"/>
  <c r="EY86" i="65" s="1"/>
  <c r="FB86" i="65"/>
  <c r="FA86" i="65" s="1"/>
  <c r="EU87" i="65"/>
  <c r="EV87" i="65" s="1"/>
  <c r="EX87" i="65"/>
  <c r="EY87" i="65" s="1"/>
  <c r="FB87" i="65"/>
  <c r="FA87" i="65" s="1"/>
  <c r="EU88" i="65"/>
  <c r="EV88" i="65" s="1"/>
  <c r="EX88" i="65"/>
  <c r="EY88" i="65" s="1"/>
  <c r="FB88" i="65"/>
  <c r="FA88" i="65" s="1"/>
  <c r="EU89" i="65"/>
  <c r="EV89" i="65" s="1"/>
  <c r="EX89" i="65"/>
  <c r="EY89" i="65" s="1"/>
  <c r="EU90" i="65"/>
  <c r="EV90" i="65" s="1"/>
  <c r="EX90" i="65"/>
  <c r="EY90" i="65" s="1"/>
  <c r="EU91" i="65"/>
  <c r="EV91" i="65" s="1"/>
  <c r="EX91" i="65"/>
  <c r="EY91" i="65" s="1"/>
  <c r="EU92" i="65"/>
  <c r="EV92" i="65" s="1"/>
  <c r="EX92" i="65"/>
  <c r="EY92" i="65" s="1"/>
  <c r="FB92" i="65"/>
  <c r="FA92" i="65" s="1"/>
  <c r="EU93" i="65"/>
  <c r="EV93" i="65" s="1"/>
  <c r="EX93" i="65"/>
  <c r="EY93" i="65" s="1"/>
  <c r="EU94" i="65"/>
  <c r="EV94" i="65" s="1"/>
  <c r="EX94" i="65"/>
  <c r="EY94" i="65" s="1"/>
  <c r="FB94" i="65"/>
  <c r="FA94" i="65" s="1"/>
  <c r="EY109" i="65" l="1"/>
  <c r="EZ109" i="65"/>
  <c r="EY105" i="65"/>
  <c r="EZ105" i="65"/>
  <c r="EY97" i="65"/>
  <c r="EZ97" i="65"/>
  <c r="EV148" i="65"/>
  <c r="EV147" i="65"/>
  <c r="EV146" i="65"/>
  <c r="EV145" i="65"/>
  <c r="EV144" i="65"/>
  <c r="EV143" i="65"/>
  <c r="EV142" i="65"/>
  <c r="EV141" i="65"/>
  <c r="EV140" i="65"/>
  <c r="EV139" i="65"/>
  <c r="EV138" i="65"/>
  <c r="EY133" i="65"/>
  <c r="EY132" i="65"/>
  <c r="EY131" i="65"/>
  <c r="EY130" i="65"/>
  <c r="EY129" i="65"/>
  <c r="EY128" i="65"/>
  <c r="EY127" i="65"/>
  <c r="EY126" i="65"/>
  <c r="EY125" i="65"/>
  <c r="EY124" i="65"/>
  <c r="EY123" i="65"/>
  <c r="EY122" i="65"/>
  <c r="EY121" i="65"/>
  <c r="EY120" i="65"/>
  <c r="EY119" i="65"/>
  <c r="EY118" i="65"/>
  <c r="EY117" i="65"/>
  <c r="EY116" i="65"/>
  <c r="EY114" i="65"/>
  <c r="EZ114" i="65"/>
  <c r="EV113" i="65"/>
  <c r="EY110" i="65"/>
  <c r="EZ110" i="65"/>
  <c r="EV109" i="65"/>
  <c r="EY106" i="65"/>
  <c r="EZ106" i="65"/>
  <c r="EV105" i="65"/>
  <c r="EY102" i="65"/>
  <c r="EZ102" i="65"/>
  <c r="EV101" i="65"/>
  <c r="EY98" i="65"/>
  <c r="EZ98" i="65"/>
  <c r="EV97" i="65"/>
  <c r="EY101" i="65"/>
  <c r="EZ101" i="65"/>
  <c r="EV114" i="65"/>
  <c r="EY111" i="65"/>
  <c r="EZ111" i="65"/>
  <c r="EV110" i="65"/>
  <c r="EY107" i="65"/>
  <c r="EZ107" i="65"/>
  <c r="EV106" i="65"/>
  <c r="EY103" i="65"/>
  <c r="EZ103" i="65"/>
  <c r="EV102" i="65"/>
  <c r="EY99" i="65"/>
  <c r="EZ99" i="65"/>
  <c r="EV98" i="65"/>
  <c r="EY95" i="65"/>
  <c r="EZ95" i="65"/>
  <c r="EY113" i="65"/>
  <c r="EZ113" i="65"/>
  <c r="EV136" i="65"/>
  <c r="EV134" i="65"/>
  <c r="EV133" i="65"/>
  <c r="EW133" i="65"/>
  <c r="EV132" i="65"/>
  <c r="EW132" i="65"/>
  <c r="EV131" i="65"/>
  <c r="EW131" i="65"/>
  <c r="EV130" i="65"/>
  <c r="EW130" i="65"/>
  <c r="EV129" i="65"/>
  <c r="EW129" i="65"/>
  <c r="EV128" i="65"/>
  <c r="EW128" i="65"/>
  <c r="EV127" i="65"/>
  <c r="EW127" i="65"/>
  <c r="EV126" i="65"/>
  <c r="EW126" i="65"/>
  <c r="EV125" i="65"/>
  <c r="EW125" i="65"/>
  <c r="EV124" i="65"/>
  <c r="EW124" i="65"/>
  <c r="EV123" i="65"/>
  <c r="EW123" i="65"/>
  <c r="EV122" i="65"/>
  <c r="EW122" i="65"/>
  <c r="EV121" i="65"/>
  <c r="EW121" i="65"/>
  <c r="EV120" i="65"/>
  <c r="EW120" i="65"/>
  <c r="EV119" i="65"/>
  <c r="EW119" i="65"/>
  <c r="EV118" i="65"/>
  <c r="EW118" i="65"/>
  <c r="EV117" i="65"/>
  <c r="EW117" i="65"/>
  <c r="EV116" i="65"/>
  <c r="EW116" i="65"/>
  <c r="EV115" i="65"/>
  <c r="EY112" i="65"/>
  <c r="EZ112" i="65"/>
  <c r="EV111" i="65"/>
  <c r="FB109" i="65"/>
  <c r="FA109" i="65" s="1"/>
  <c r="EY108" i="65"/>
  <c r="EZ108" i="65"/>
  <c r="EV107" i="65"/>
  <c r="FB105" i="65"/>
  <c r="FA105" i="65" s="1"/>
  <c r="EY104" i="65"/>
  <c r="EZ104" i="65"/>
  <c r="EV103" i="65"/>
  <c r="EY100" i="65"/>
  <c r="EZ100" i="65"/>
  <c r="EV99" i="65"/>
  <c r="FB97" i="65"/>
  <c r="FA97" i="65" s="1"/>
  <c r="EY96" i="65"/>
  <c r="EZ96" i="65"/>
  <c r="EV95" i="65"/>
  <c r="EW115" i="65"/>
  <c r="EW114" i="65"/>
  <c r="EW113" i="65"/>
  <c r="EW112" i="65"/>
  <c r="EW111" i="65"/>
  <c r="EW110" i="65"/>
  <c r="EW109" i="65"/>
  <c r="EW108" i="65"/>
  <c r="EW107" i="65"/>
  <c r="EW106" i="65"/>
  <c r="EW105" i="65"/>
  <c r="EW104" i="65"/>
  <c r="EW103" i="65"/>
  <c r="EW102" i="65"/>
  <c r="EW101" i="65"/>
  <c r="EW100" i="65"/>
  <c r="EW99" i="65"/>
  <c r="EW98" i="65"/>
  <c r="EW97" i="65"/>
  <c r="EW96" i="65"/>
  <c r="EW95" i="65"/>
  <c r="FB93" i="65"/>
  <c r="FA93" i="65" s="1"/>
  <c r="EW94" i="65"/>
  <c r="EW93" i="65"/>
  <c r="EW92" i="65"/>
  <c r="EW91" i="65"/>
  <c r="EW90" i="65"/>
  <c r="EW89" i="65"/>
  <c r="EW88" i="65"/>
  <c r="EW87" i="65"/>
  <c r="EW86" i="65"/>
  <c r="EW85" i="65"/>
  <c r="EW84" i="65"/>
  <c r="EW83" i="65"/>
  <c r="EW82" i="65"/>
  <c r="EW81" i="65"/>
  <c r="EW80" i="65"/>
  <c r="EW79" i="65"/>
  <c r="EW78" i="65"/>
  <c r="EW77" i="65"/>
  <c r="EZ94" i="65"/>
  <c r="EZ93" i="65"/>
  <c r="EZ92" i="65"/>
  <c r="EZ91" i="65"/>
  <c r="EZ90" i="65"/>
  <c r="EZ89" i="65"/>
  <c r="EZ88" i="65"/>
  <c r="EZ87" i="65"/>
  <c r="EZ86" i="65"/>
  <c r="EZ85" i="65"/>
  <c r="EZ84" i="65"/>
  <c r="EZ83" i="65"/>
  <c r="EZ82" i="65"/>
  <c r="EZ81" i="65"/>
  <c r="EZ80" i="65"/>
  <c r="EZ79" i="65"/>
  <c r="EZ78" i="65"/>
  <c r="FB8" i="65" l="1"/>
  <c r="FA8" i="65" s="1"/>
  <c r="FB9" i="65"/>
  <c r="FA9" i="65" s="1"/>
  <c r="FB10" i="65"/>
  <c r="FA10" i="65" s="1"/>
  <c r="FB11" i="65"/>
  <c r="FA11" i="65" s="1"/>
  <c r="FB12" i="65"/>
  <c r="FA12" i="65" s="1"/>
  <c r="FB13" i="65"/>
  <c r="FA13" i="65" s="1"/>
  <c r="FB14" i="65"/>
  <c r="FA14" i="65" s="1"/>
  <c r="FB15" i="65"/>
  <c r="FA15" i="65" s="1"/>
  <c r="FB16" i="65"/>
  <c r="FA16" i="65" s="1"/>
  <c r="FB20" i="65"/>
  <c r="FA20" i="65" s="1"/>
  <c r="FB21" i="65"/>
  <c r="FA21" i="65" s="1"/>
  <c r="FB22" i="65"/>
  <c r="FA22" i="65" s="1"/>
  <c r="FB23" i="65"/>
  <c r="FA23" i="65" s="1"/>
  <c r="FB24" i="65"/>
  <c r="FA24" i="65" s="1"/>
  <c r="FB25" i="65"/>
  <c r="FA25" i="65" s="1"/>
  <c r="FB26" i="65"/>
  <c r="FA26" i="65" s="1"/>
  <c r="FB27" i="65"/>
  <c r="FA27" i="65" s="1"/>
  <c r="FB28" i="65"/>
  <c r="FA28" i="65" s="1"/>
  <c r="FB32" i="65"/>
  <c r="FA32" i="65" s="1"/>
  <c r="FB33" i="65"/>
  <c r="FA33" i="65" s="1"/>
  <c r="FB34" i="65"/>
  <c r="FA34" i="65" s="1"/>
  <c r="FB35" i="65"/>
  <c r="FA35" i="65" s="1"/>
  <c r="FB36" i="65"/>
  <c r="FA36" i="65" s="1"/>
  <c r="FB37" i="65"/>
  <c r="FA37" i="65" s="1"/>
  <c r="FB38" i="65"/>
  <c r="FA38" i="65" s="1"/>
  <c r="FB39" i="65"/>
  <c r="FA39" i="65" s="1"/>
  <c r="FB40" i="65"/>
  <c r="FA40" i="65" s="1"/>
  <c r="FB44" i="65"/>
  <c r="FA44" i="65" s="1"/>
  <c r="FB45" i="65"/>
  <c r="FA45" i="65" s="1"/>
  <c r="FB46" i="65"/>
  <c r="FA46" i="65" s="1"/>
  <c r="FB47" i="65"/>
  <c r="FA47" i="65" s="1"/>
  <c r="FB48" i="65"/>
  <c r="FA48" i="65" s="1"/>
  <c r="FB49" i="65"/>
  <c r="FA49" i="65" s="1"/>
  <c r="FB50" i="65"/>
  <c r="FA50" i="65" s="1"/>
  <c r="FB51" i="65"/>
  <c r="FA51" i="65" s="1"/>
  <c r="FB52" i="65"/>
  <c r="FA52" i="65" s="1"/>
  <c r="FB56" i="65"/>
  <c r="FA56" i="65" s="1"/>
  <c r="FB57" i="65"/>
  <c r="FA57" i="65" s="1"/>
  <c r="FB58" i="65"/>
  <c r="FA58" i="65" s="1"/>
  <c r="FB59" i="65"/>
  <c r="FA59" i="65" s="1"/>
  <c r="FB60" i="65"/>
  <c r="FA60" i="65" s="1"/>
  <c r="FB61" i="65"/>
  <c r="FA61" i="65" s="1"/>
  <c r="FB62" i="65"/>
  <c r="FA62" i="65" s="1"/>
  <c r="FB63" i="65"/>
  <c r="FA63" i="65" s="1"/>
  <c r="FB64" i="65"/>
  <c r="FA64" i="65" s="1"/>
  <c r="FB68" i="65"/>
  <c r="FA68" i="65" s="1"/>
  <c r="FB69" i="65"/>
  <c r="FA69" i="65" s="1"/>
  <c r="FB70" i="65"/>
  <c r="FA70" i="65" s="1"/>
  <c r="FB71" i="65"/>
  <c r="FA71" i="65" s="1"/>
  <c r="FB72" i="65"/>
  <c r="FA72" i="65" s="1"/>
  <c r="FB73" i="65"/>
  <c r="FA73" i="65" s="1"/>
  <c r="FB74" i="65"/>
  <c r="FA74" i="65" s="1"/>
  <c r="FB75" i="65"/>
  <c r="FA75" i="65" s="1"/>
  <c r="FB76" i="65"/>
  <c r="FA76" i="65" s="1"/>
  <c r="EZ6" i="65"/>
  <c r="EZ7" i="65"/>
  <c r="EZ8" i="65"/>
  <c r="EZ9" i="65"/>
  <c r="EZ10" i="65"/>
  <c r="EZ11" i="65"/>
  <c r="EZ12" i="65"/>
  <c r="EZ13" i="65"/>
  <c r="EZ14" i="65"/>
  <c r="EZ15" i="65"/>
  <c r="EZ16" i="65"/>
  <c r="EZ17" i="65"/>
  <c r="EZ18" i="65"/>
  <c r="EZ19" i="65"/>
  <c r="EZ20" i="65"/>
  <c r="EZ21" i="65"/>
  <c r="EZ22" i="65"/>
  <c r="EZ23" i="65"/>
  <c r="EZ24" i="65"/>
  <c r="EZ25" i="65"/>
  <c r="EZ26" i="65"/>
  <c r="EZ27" i="65"/>
  <c r="EZ28" i="65"/>
  <c r="EZ29" i="65"/>
  <c r="EZ30" i="65"/>
  <c r="EZ31" i="65"/>
  <c r="EZ32" i="65"/>
  <c r="EZ33" i="65"/>
  <c r="EZ34" i="65"/>
  <c r="EZ35" i="65"/>
  <c r="EZ36" i="65"/>
  <c r="EZ37" i="65"/>
  <c r="EZ38" i="65"/>
  <c r="EZ39" i="65"/>
  <c r="EZ40" i="65"/>
  <c r="EZ41" i="65"/>
  <c r="EZ42" i="65"/>
  <c r="EZ43" i="65"/>
  <c r="EZ44" i="65"/>
  <c r="EZ45" i="65"/>
  <c r="EZ46" i="65"/>
  <c r="EZ47" i="65"/>
  <c r="EZ48" i="65"/>
  <c r="EZ49" i="65"/>
  <c r="EZ50" i="65"/>
  <c r="EZ51" i="65"/>
  <c r="EZ52" i="65"/>
  <c r="EZ53" i="65"/>
  <c r="EZ54" i="65"/>
  <c r="EZ55" i="65"/>
  <c r="EZ56" i="65"/>
  <c r="EZ57" i="65"/>
  <c r="EZ58" i="65"/>
  <c r="EZ59" i="65"/>
  <c r="EZ60" i="65"/>
  <c r="EZ61" i="65"/>
  <c r="EZ62" i="65"/>
  <c r="EZ63" i="65"/>
  <c r="EZ64" i="65"/>
  <c r="EZ65" i="65"/>
  <c r="EZ66" i="65"/>
  <c r="EZ67" i="65"/>
  <c r="EZ68" i="65"/>
  <c r="EZ69" i="65"/>
  <c r="EZ70" i="65"/>
  <c r="EZ71" i="65"/>
  <c r="EZ72" i="65"/>
  <c r="EZ73" i="65"/>
  <c r="EZ74" i="65"/>
  <c r="EZ75" i="65"/>
  <c r="EZ76" i="65"/>
  <c r="EY6" i="65"/>
  <c r="EY7" i="65"/>
  <c r="EY8" i="65"/>
  <c r="EY9" i="65"/>
  <c r="EY10" i="65"/>
  <c r="EY11" i="65"/>
  <c r="EY12" i="65"/>
  <c r="EY13" i="65"/>
  <c r="EY14" i="65"/>
  <c r="EY15" i="65"/>
  <c r="EY16" i="65"/>
  <c r="EY17" i="65"/>
  <c r="EY18" i="65"/>
  <c r="EY19" i="65"/>
  <c r="EY20" i="65"/>
  <c r="EY21" i="65"/>
  <c r="EY22" i="65"/>
  <c r="EY23" i="65"/>
  <c r="EY24" i="65"/>
  <c r="EY25" i="65"/>
  <c r="EY26" i="65"/>
  <c r="EY27" i="65"/>
  <c r="EY28" i="65"/>
  <c r="EY29" i="65"/>
  <c r="EY30" i="65"/>
  <c r="EY31" i="65"/>
  <c r="EY32" i="65"/>
  <c r="EY33" i="65"/>
  <c r="EY34" i="65"/>
  <c r="EY35" i="65"/>
  <c r="EY36" i="65"/>
  <c r="EY37" i="65"/>
  <c r="EY38" i="65"/>
  <c r="EY39" i="65"/>
  <c r="EY40" i="65"/>
  <c r="EY41" i="65"/>
  <c r="EY42" i="65"/>
  <c r="EY43" i="65"/>
  <c r="EY44" i="65"/>
  <c r="EY45" i="65"/>
  <c r="EY46" i="65"/>
  <c r="EY47" i="65"/>
  <c r="EY48" i="65"/>
  <c r="EY49" i="65"/>
  <c r="EY50" i="65"/>
  <c r="EY51" i="65"/>
  <c r="EY52" i="65"/>
  <c r="EY53" i="65"/>
  <c r="EY54" i="65"/>
  <c r="EY55" i="65"/>
  <c r="EY56" i="65"/>
  <c r="EY57" i="65"/>
  <c r="EY58" i="65"/>
  <c r="EY59" i="65"/>
  <c r="EY60" i="65"/>
  <c r="EY61" i="65"/>
  <c r="EY62" i="65"/>
  <c r="EY63" i="65"/>
  <c r="EY64" i="65"/>
  <c r="EY65" i="65"/>
  <c r="EY66" i="65"/>
  <c r="EY67" i="65"/>
  <c r="EY68" i="65"/>
  <c r="EY69" i="65"/>
  <c r="EY70" i="65"/>
  <c r="EY71" i="65"/>
  <c r="EY72" i="65"/>
  <c r="EY73" i="65"/>
  <c r="EY74" i="65"/>
  <c r="EY75" i="65"/>
  <c r="EY76" i="65"/>
  <c r="EX6" i="65"/>
  <c r="EX7" i="65"/>
  <c r="EX8" i="65"/>
  <c r="EX9" i="65"/>
  <c r="EX10" i="65"/>
  <c r="EX11" i="65"/>
  <c r="EX12" i="65"/>
  <c r="EX13" i="65"/>
  <c r="EX14" i="65"/>
  <c r="EX15" i="65"/>
  <c r="EX16" i="65"/>
  <c r="EX17" i="65"/>
  <c r="EX18" i="65"/>
  <c r="EX19" i="65"/>
  <c r="EX20" i="65"/>
  <c r="EX21" i="65"/>
  <c r="EX22" i="65"/>
  <c r="EX23" i="65"/>
  <c r="EX24" i="65"/>
  <c r="EX25" i="65"/>
  <c r="EX26" i="65"/>
  <c r="EX27" i="65"/>
  <c r="EX28" i="65"/>
  <c r="EX29" i="65"/>
  <c r="EX30" i="65"/>
  <c r="EX31" i="65"/>
  <c r="EX32" i="65"/>
  <c r="EX33" i="65"/>
  <c r="EX34" i="65"/>
  <c r="EX35" i="65"/>
  <c r="EX36" i="65"/>
  <c r="EX37" i="65"/>
  <c r="EX38" i="65"/>
  <c r="EX39" i="65"/>
  <c r="EX40" i="65"/>
  <c r="EX41" i="65"/>
  <c r="EX42" i="65"/>
  <c r="EX43" i="65"/>
  <c r="EX44" i="65"/>
  <c r="EX45" i="65"/>
  <c r="EX46" i="65"/>
  <c r="EX47" i="65"/>
  <c r="EX48" i="65"/>
  <c r="EX49" i="65"/>
  <c r="EX50" i="65"/>
  <c r="EX51" i="65"/>
  <c r="EX52" i="65"/>
  <c r="EX53" i="65"/>
  <c r="EX54" i="65"/>
  <c r="EX55" i="65"/>
  <c r="EX56" i="65"/>
  <c r="EX57" i="65"/>
  <c r="EX58" i="65"/>
  <c r="EX59" i="65"/>
  <c r="EX60" i="65"/>
  <c r="EX61" i="65"/>
  <c r="EX62" i="65"/>
  <c r="EX63" i="65"/>
  <c r="EX64" i="65"/>
  <c r="EX65" i="65"/>
  <c r="EX66" i="65"/>
  <c r="EX67" i="65"/>
  <c r="EX68" i="65"/>
  <c r="EX69" i="65"/>
  <c r="EX70" i="65"/>
  <c r="EX71" i="65"/>
  <c r="EX72" i="65"/>
  <c r="EX73" i="65"/>
  <c r="EX74" i="65"/>
  <c r="EX75" i="65"/>
  <c r="EX76" i="65"/>
  <c r="EU6" i="65"/>
  <c r="EU7" i="65"/>
  <c r="EU8" i="65"/>
  <c r="EU9" i="65"/>
  <c r="EU10" i="65"/>
  <c r="EU11" i="65"/>
  <c r="EU12" i="65"/>
  <c r="EU13" i="65"/>
  <c r="EU14" i="65"/>
  <c r="EU15" i="65"/>
  <c r="EU16" i="65"/>
  <c r="EU17" i="65"/>
  <c r="EU18" i="65"/>
  <c r="EU19" i="65"/>
  <c r="EU20" i="65"/>
  <c r="EU21" i="65"/>
  <c r="EU22" i="65"/>
  <c r="EU23" i="65"/>
  <c r="EU24" i="65"/>
  <c r="EU25" i="65"/>
  <c r="EU26" i="65"/>
  <c r="EU27" i="65"/>
  <c r="EU28" i="65"/>
  <c r="EU29" i="65"/>
  <c r="EU30" i="65"/>
  <c r="EU31" i="65"/>
  <c r="EU32" i="65"/>
  <c r="EU33" i="65"/>
  <c r="EU34" i="65"/>
  <c r="EU35" i="65"/>
  <c r="EU36" i="65"/>
  <c r="EU37" i="65"/>
  <c r="EU38" i="65"/>
  <c r="EU39" i="65"/>
  <c r="EU40" i="65"/>
  <c r="EU41" i="65"/>
  <c r="EU42" i="65"/>
  <c r="EU43" i="65"/>
  <c r="EU44" i="65"/>
  <c r="EU45" i="65"/>
  <c r="EU46" i="65"/>
  <c r="EU47" i="65"/>
  <c r="EU48" i="65"/>
  <c r="EU49" i="65"/>
  <c r="EU50" i="65"/>
  <c r="EU51" i="65"/>
  <c r="EU52" i="65"/>
  <c r="EU53" i="65"/>
  <c r="EU54" i="65"/>
  <c r="EU55" i="65"/>
  <c r="EU56" i="65"/>
  <c r="EU57" i="65"/>
  <c r="EU58" i="65"/>
  <c r="EU59" i="65"/>
  <c r="EU60" i="65"/>
  <c r="EU61" i="65"/>
  <c r="EU62" i="65"/>
  <c r="EU63" i="65"/>
  <c r="EU64" i="65"/>
  <c r="EU65" i="65"/>
  <c r="EU66" i="65"/>
  <c r="EU67" i="65"/>
  <c r="EU68" i="65"/>
  <c r="EU69" i="65"/>
  <c r="EU70" i="65"/>
  <c r="EU71" i="65"/>
  <c r="EU72" i="65"/>
  <c r="EU73" i="65"/>
  <c r="EU74" i="65"/>
  <c r="EU75" i="65"/>
  <c r="EU76" i="65"/>
  <c r="EX5" i="65"/>
  <c r="EZ5" i="65" s="1"/>
  <c r="EU5" i="65"/>
  <c r="EY5" i="65" l="1"/>
  <c r="I43" i="53" l="1"/>
  <c r="L42" i="53"/>
  <c r="K42" i="53"/>
  <c r="K43" i="53" s="1"/>
  <c r="J42" i="53"/>
  <c r="F42" i="53"/>
  <c r="E42" i="53"/>
  <c r="I15" i="53"/>
  <c r="L14" i="53"/>
  <c r="L15" i="53" s="1"/>
  <c r="K14" i="53"/>
  <c r="J14" i="53"/>
  <c r="J15" i="53" s="1"/>
  <c r="F14" i="53"/>
  <c r="E14" i="53"/>
  <c r="F62" i="66"/>
  <c r="E62" i="66"/>
  <c r="D62" i="66"/>
  <c r="G61" i="66"/>
  <c r="I61" i="66" s="1"/>
  <c r="D61" i="66"/>
  <c r="F61" i="66" s="1"/>
  <c r="F60" i="66"/>
  <c r="E60" i="66"/>
  <c r="H61" i="66" s="1"/>
  <c r="D60" i="66"/>
  <c r="G59" i="66"/>
  <c r="I59" i="66" s="1"/>
  <c r="D59" i="66"/>
  <c r="F59" i="66" s="1"/>
  <c r="F58" i="66"/>
  <c r="E58" i="66"/>
  <c r="H59" i="66" s="1"/>
  <c r="D58" i="66"/>
  <c r="G57" i="66"/>
  <c r="I57" i="66" s="1"/>
  <c r="D57" i="66"/>
  <c r="F57" i="66" s="1"/>
  <c r="F56" i="66"/>
  <c r="E56" i="66"/>
  <c r="H57" i="66" s="1"/>
  <c r="D56" i="66"/>
  <c r="G55" i="66"/>
  <c r="I55" i="66" s="1"/>
  <c r="D55" i="66"/>
  <c r="F55" i="66" s="1"/>
  <c r="F54" i="66"/>
  <c r="E54" i="66"/>
  <c r="H55" i="66" s="1"/>
  <c r="D54" i="66"/>
  <c r="G53" i="66"/>
  <c r="I53" i="66" s="1"/>
  <c r="D53" i="66"/>
  <c r="F53" i="66" s="1"/>
  <c r="F52" i="66"/>
  <c r="E52" i="66"/>
  <c r="H53" i="66" s="1"/>
  <c r="D52" i="66"/>
  <c r="G51" i="66"/>
  <c r="I51" i="66" s="1"/>
  <c r="D51" i="66"/>
  <c r="F51" i="66" s="1"/>
  <c r="F50" i="66"/>
  <c r="E50" i="66"/>
  <c r="H51" i="66" s="1"/>
  <c r="D50" i="66"/>
  <c r="G49" i="66"/>
  <c r="I49" i="66" s="1"/>
  <c r="D49" i="66"/>
  <c r="F49" i="66" s="1"/>
  <c r="F48" i="66"/>
  <c r="E48" i="66"/>
  <c r="H49" i="66" s="1"/>
  <c r="D48" i="66"/>
  <c r="G47" i="66"/>
  <c r="I47" i="66" s="1"/>
  <c r="D47" i="66"/>
  <c r="F47" i="66" s="1"/>
  <c r="F46" i="66"/>
  <c r="E46" i="66"/>
  <c r="H47" i="66" s="1"/>
  <c r="D46" i="66"/>
  <c r="G45" i="66"/>
  <c r="I45" i="66" s="1"/>
  <c r="D45" i="66"/>
  <c r="F45" i="66" s="1"/>
  <c r="F44" i="66"/>
  <c r="E44" i="66"/>
  <c r="H45" i="66" s="1"/>
  <c r="D44" i="66"/>
  <c r="I43" i="66"/>
  <c r="F43" i="66"/>
  <c r="E43" i="66"/>
  <c r="H44" i="66" s="1"/>
  <c r="D43" i="66"/>
  <c r="G44" i="66" s="1"/>
  <c r="I44" i="66" s="1"/>
  <c r="L42" i="66"/>
  <c r="L43" i="66" s="1"/>
  <c r="K42" i="66"/>
  <c r="K43" i="66" s="1"/>
  <c r="J42" i="66"/>
  <c r="J43" i="66" s="1"/>
  <c r="J44" i="66" s="1"/>
  <c r="F42" i="66"/>
  <c r="E42" i="66"/>
  <c r="I15" i="66"/>
  <c r="L14" i="66"/>
  <c r="L15" i="66" s="1"/>
  <c r="K14" i="66"/>
  <c r="J14" i="66"/>
  <c r="J15" i="66" s="1"/>
  <c r="F14" i="66"/>
  <c r="E14" i="66"/>
  <c r="H15" i="66" s="1"/>
  <c r="J43" i="53" l="1"/>
  <c r="G6" i="67"/>
  <c r="M6" i="67" s="1"/>
  <c r="G8" i="67"/>
  <c r="M8" i="67" s="1"/>
  <c r="G10" i="67"/>
  <c r="M10" i="67" s="1"/>
  <c r="G12" i="67"/>
  <c r="M12" i="67" s="1"/>
  <c r="G7" i="67"/>
  <c r="M7" i="67" s="1"/>
  <c r="G9" i="67"/>
  <c r="M9" i="67" s="1"/>
  <c r="G4" i="67"/>
  <c r="M4" i="67" s="1"/>
  <c r="G5" i="67"/>
  <c r="M5" i="67" s="1"/>
  <c r="G11" i="67"/>
  <c r="M11" i="67" s="1"/>
  <c r="L43" i="53"/>
  <c r="I6" i="67"/>
  <c r="O6" i="67" s="1"/>
  <c r="I10" i="67"/>
  <c r="O10" i="67" s="1"/>
  <c r="I5" i="67"/>
  <c r="O5" i="67" s="1"/>
  <c r="I9" i="67"/>
  <c r="O9" i="67" s="1"/>
  <c r="I4" i="67"/>
  <c r="O4" i="67" s="1"/>
  <c r="I8" i="67"/>
  <c r="O8" i="67" s="1"/>
  <c r="I12" i="67"/>
  <c r="O12" i="67" s="1"/>
  <c r="I7" i="67"/>
  <c r="O7" i="67" s="1"/>
  <c r="I11" i="67"/>
  <c r="O11" i="67" s="1"/>
  <c r="M42" i="53"/>
  <c r="D15" i="53"/>
  <c r="D43" i="53" s="1"/>
  <c r="K15" i="53"/>
  <c r="M14" i="53"/>
  <c r="H15" i="53"/>
  <c r="J45" i="66"/>
  <c r="M44" i="66"/>
  <c r="K44" i="66"/>
  <c r="K45" i="66" s="1"/>
  <c r="L44" i="66"/>
  <c r="L45" i="66" s="1"/>
  <c r="L46" i="66" s="1"/>
  <c r="L47" i="66" s="1"/>
  <c r="M42" i="66"/>
  <c r="M43" i="66"/>
  <c r="E45" i="66"/>
  <c r="H46" i="66" s="1"/>
  <c r="M45" i="66"/>
  <c r="G46" i="66"/>
  <c r="I46" i="66" s="1"/>
  <c r="E47" i="66"/>
  <c r="H48" i="66" s="1"/>
  <c r="G48" i="66"/>
  <c r="I48" i="66" s="1"/>
  <c r="E49" i="66"/>
  <c r="H50" i="66" s="1"/>
  <c r="G50" i="66"/>
  <c r="I50" i="66" s="1"/>
  <c r="E51" i="66"/>
  <c r="H52" i="66" s="1"/>
  <c r="G52" i="66"/>
  <c r="I52" i="66" s="1"/>
  <c r="E53" i="66"/>
  <c r="H54" i="66" s="1"/>
  <c r="G54" i="66"/>
  <c r="I54" i="66" s="1"/>
  <c r="E55" i="66"/>
  <c r="H56" i="66" s="1"/>
  <c r="G56" i="66"/>
  <c r="I56" i="66" s="1"/>
  <c r="E57" i="66"/>
  <c r="H58" i="66" s="1"/>
  <c r="G58" i="66"/>
  <c r="I58" i="66" s="1"/>
  <c r="E59" i="66"/>
  <c r="H60" i="66" s="1"/>
  <c r="G60" i="66"/>
  <c r="I60" i="66" s="1"/>
  <c r="E61" i="66"/>
  <c r="H62" i="66" s="1"/>
  <c r="G62" i="66"/>
  <c r="I62" i="66" s="1"/>
  <c r="D15" i="66"/>
  <c r="K15" i="66"/>
  <c r="G14" i="67" l="1"/>
  <c r="G16" i="67"/>
  <c r="G18" i="67"/>
  <c r="G20" i="67"/>
  <c r="G22" i="67"/>
  <c r="G15" i="67"/>
  <c r="G17" i="67"/>
  <c r="G21" i="67"/>
  <c r="G13" i="67"/>
  <c r="G19" i="67"/>
  <c r="G44" i="53"/>
  <c r="I44" i="53" s="1"/>
  <c r="J16" i="67"/>
  <c r="J20" i="67"/>
  <c r="J15" i="67"/>
  <c r="M15" i="67" s="1"/>
  <c r="J19" i="67"/>
  <c r="J14" i="67"/>
  <c r="J18" i="67"/>
  <c r="J22" i="67"/>
  <c r="M22" i="67" s="1"/>
  <c r="J13" i="67"/>
  <c r="M13" i="67" s="1"/>
  <c r="J17" i="67"/>
  <c r="J21" i="67"/>
  <c r="E43" i="53"/>
  <c r="J44" i="53"/>
  <c r="F43" i="53"/>
  <c r="L44" i="53" s="1"/>
  <c r="M43" i="53"/>
  <c r="I14" i="67"/>
  <c r="I18" i="67"/>
  <c r="I22" i="67"/>
  <c r="I13" i="67"/>
  <c r="I17" i="67"/>
  <c r="I21" i="67"/>
  <c r="I16" i="67"/>
  <c r="I20" i="67"/>
  <c r="I15" i="67"/>
  <c r="I19" i="67"/>
  <c r="E15" i="53"/>
  <c r="H16" i="53" s="1"/>
  <c r="G16" i="53"/>
  <c r="I16" i="53" s="1"/>
  <c r="F15" i="53"/>
  <c r="L48" i="66"/>
  <c r="L49" i="66" s="1"/>
  <c r="L50" i="66" s="1"/>
  <c r="L51" i="66" s="1"/>
  <c r="L52" i="66" s="1"/>
  <c r="L53" i="66" s="1"/>
  <c r="L54" i="66" s="1"/>
  <c r="L55" i="66" s="1"/>
  <c r="L56" i="66" s="1"/>
  <c r="L57" i="66" s="1"/>
  <c r="L58" i="66" s="1"/>
  <c r="L59" i="66" s="1"/>
  <c r="L60" i="66" s="1"/>
  <c r="L61" i="66" s="1"/>
  <c r="L62" i="66" s="1"/>
  <c r="L63" i="66" s="1"/>
  <c r="K46" i="66"/>
  <c r="K47" i="66" s="1"/>
  <c r="K48" i="66" s="1"/>
  <c r="K49" i="66" s="1"/>
  <c r="K50" i="66" s="1"/>
  <c r="K51" i="66" s="1"/>
  <c r="K52" i="66" s="1"/>
  <c r="K53" i="66" s="1"/>
  <c r="K54" i="66" s="1"/>
  <c r="K55" i="66" s="1"/>
  <c r="K56" i="66" s="1"/>
  <c r="K57" i="66" s="1"/>
  <c r="K58" i="66" s="1"/>
  <c r="K59" i="66" s="1"/>
  <c r="K60" i="66" s="1"/>
  <c r="K61" i="66" s="1"/>
  <c r="K62" i="66" s="1"/>
  <c r="K63" i="66" s="1"/>
  <c r="J46" i="66"/>
  <c r="E15" i="66"/>
  <c r="H16" i="66" s="1"/>
  <c r="G16" i="66"/>
  <c r="F15" i="66"/>
  <c r="M17" i="67" l="1"/>
  <c r="M14" i="67"/>
  <c r="M16" i="67"/>
  <c r="M19" i="67"/>
  <c r="M21" i="67"/>
  <c r="M18" i="67"/>
  <c r="M20" i="67"/>
  <c r="H44" i="53"/>
  <c r="K44" i="53" s="1"/>
  <c r="K13" i="67"/>
  <c r="N13" i="67" s="1"/>
  <c r="K17" i="67"/>
  <c r="N17" i="67" s="1"/>
  <c r="K21" i="67"/>
  <c r="N21" i="67" s="1"/>
  <c r="K16" i="67"/>
  <c r="N16" i="67" s="1"/>
  <c r="K20" i="67"/>
  <c r="N20" i="67" s="1"/>
  <c r="K15" i="67"/>
  <c r="N15" i="67" s="1"/>
  <c r="K19" i="67"/>
  <c r="N19" i="67" s="1"/>
  <c r="K14" i="67"/>
  <c r="N14" i="67" s="1"/>
  <c r="K18" i="67"/>
  <c r="N18" i="67" s="1"/>
  <c r="K22" i="67"/>
  <c r="N22" i="67" s="1"/>
  <c r="L14" i="67"/>
  <c r="O14" i="67" s="1"/>
  <c r="L18" i="67"/>
  <c r="O18" i="67" s="1"/>
  <c r="L22" i="67"/>
  <c r="O22" i="67" s="1"/>
  <c r="L13" i="67"/>
  <c r="O13" i="67" s="1"/>
  <c r="L17" i="67"/>
  <c r="O17" i="67" s="1"/>
  <c r="L21" i="67"/>
  <c r="O21" i="67" s="1"/>
  <c r="L16" i="67"/>
  <c r="O16" i="67" s="1"/>
  <c r="L20" i="67"/>
  <c r="O20" i="67" s="1"/>
  <c r="L15" i="67"/>
  <c r="O15" i="67" s="1"/>
  <c r="L19" i="67"/>
  <c r="O19" i="67" s="1"/>
  <c r="E11" i="65"/>
  <c r="F11" i="65" s="1"/>
  <c r="G24" i="67"/>
  <c r="G26" i="67"/>
  <c r="G28" i="67"/>
  <c r="G30" i="67"/>
  <c r="G32" i="67"/>
  <c r="G23" i="67"/>
  <c r="G25" i="67"/>
  <c r="G27" i="67"/>
  <c r="G29" i="67"/>
  <c r="G31" i="67"/>
  <c r="G11" i="65"/>
  <c r="I26" i="67"/>
  <c r="I30" i="67"/>
  <c r="I25" i="67"/>
  <c r="I29" i="67"/>
  <c r="I24" i="67"/>
  <c r="I28" i="67"/>
  <c r="I32" i="67"/>
  <c r="I23" i="67"/>
  <c r="I27" i="67"/>
  <c r="I31" i="67"/>
  <c r="K16" i="53"/>
  <c r="L16" i="53"/>
  <c r="G5" i="65" s="1"/>
  <c r="J16" i="53"/>
  <c r="E5" i="65" s="1"/>
  <c r="J47" i="66"/>
  <c r="M46" i="66"/>
  <c r="I16" i="66"/>
  <c r="L16" i="66" s="1"/>
  <c r="J16" i="66"/>
  <c r="K16" i="66"/>
  <c r="H24" i="67" l="1"/>
  <c r="H26" i="67"/>
  <c r="H28" i="67"/>
  <c r="H30" i="67"/>
  <c r="H32" i="67"/>
  <c r="H23" i="67"/>
  <c r="H25" i="67"/>
  <c r="H27" i="67"/>
  <c r="H29" i="67"/>
  <c r="H31" i="67"/>
  <c r="F5" i="65"/>
  <c r="AY5" i="65"/>
  <c r="D16" i="53"/>
  <c r="D44" i="53" s="1"/>
  <c r="J48" i="66"/>
  <c r="M47" i="66"/>
  <c r="D16" i="66"/>
  <c r="F44" i="53" l="1"/>
  <c r="J24" i="67"/>
  <c r="M24" i="67" s="1"/>
  <c r="J28" i="67"/>
  <c r="M28" i="67" s="1"/>
  <c r="J32" i="67"/>
  <c r="M32" i="67" s="1"/>
  <c r="J23" i="67"/>
  <c r="M23" i="67" s="1"/>
  <c r="J27" i="67"/>
  <c r="M27" i="67" s="1"/>
  <c r="J31" i="67"/>
  <c r="M31" i="67" s="1"/>
  <c r="J26" i="67"/>
  <c r="M26" i="67" s="1"/>
  <c r="J30" i="67"/>
  <c r="M30" i="67" s="1"/>
  <c r="J25" i="67"/>
  <c r="M25" i="67" s="1"/>
  <c r="J29" i="67"/>
  <c r="M29" i="67" s="1"/>
  <c r="E44" i="53"/>
  <c r="G45" i="53"/>
  <c r="I45" i="53" s="1"/>
  <c r="M44" i="53"/>
  <c r="E16" i="53"/>
  <c r="F16" i="53"/>
  <c r="G17" i="53"/>
  <c r="J49" i="66"/>
  <c r="M48" i="66"/>
  <c r="E16" i="66"/>
  <c r="G17" i="66"/>
  <c r="I17" i="66" s="1"/>
  <c r="F16" i="66"/>
  <c r="L17" i="66" s="1"/>
  <c r="J17" i="66"/>
  <c r="J45" i="53" l="1"/>
  <c r="G34" i="67"/>
  <c r="G36" i="67"/>
  <c r="G38" i="67"/>
  <c r="G40" i="67"/>
  <c r="G42" i="67"/>
  <c r="G33" i="67"/>
  <c r="G35" i="67"/>
  <c r="G37" i="67"/>
  <c r="G39" i="67"/>
  <c r="G41" i="67"/>
  <c r="L26" i="67"/>
  <c r="O26" i="67" s="1"/>
  <c r="L30" i="67"/>
  <c r="O30" i="67" s="1"/>
  <c r="L25" i="67"/>
  <c r="O25" i="67" s="1"/>
  <c r="L29" i="67"/>
  <c r="O29" i="67" s="1"/>
  <c r="L24" i="67"/>
  <c r="O24" i="67" s="1"/>
  <c r="L28" i="67"/>
  <c r="O28" i="67" s="1"/>
  <c r="L32" i="67"/>
  <c r="O32" i="67" s="1"/>
  <c r="L23" i="67"/>
  <c r="O23" i="67" s="1"/>
  <c r="L27" i="67"/>
  <c r="O27" i="67" s="1"/>
  <c r="L31" i="67"/>
  <c r="O31" i="67" s="1"/>
  <c r="L45" i="53"/>
  <c r="H45" i="53"/>
  <c r="K45" i="53" s="1"/>
  <c r="K25" i="67"/>
  <c r="N25" i="67" s="1"/>
  <c r="K29" i="67"/>
  <c r="N29" i="67" s="1"/>
  <c r="K24" i="67"/>
  <c r="N24" i="67" s="1"/>
  <c r="K28" i="67"/>
  <c r="N28" i="67" s="1"/>
  <c r="K32" i="67"/>
  <c r="N32" i="67" s="1"/>
  <c r="K23" i="67"/>
  <c r="N23" i="67" s="1"/>
  <c r="K27" i="67"/>
  <c r="N27" i="67" s="1"/>
  <c r="K31" i="67"/>
  <c r="N31" i="67" s="1"/>
  <c r="K26" i="67"/>
  <c r="N26" i="67" s="1"/>
  <c r="K30" i="67"/>
  <c r="N30" i="67" s="1"/>
  <c r="I17" i="53"/>
  <c r="L17" i="53" s="1"/>
  <c r="J17" i="53"/>
  <c r="H17" i="53"/>
  <c r="K17" i="53" s="1"/>
  <c r="J50" i="66"/>
  <c r="M49" i="66"/>
  <c r="D17" i="66"/>
  <c r="H17" i="66"/>
  <c r="K17" i="66" s="1"/>
  <c r="H34" i="67" l="1"/>
  <c r="H36" i="67"/>
  <c r="H38" i="67"/>
  <c r="H40" i="67"/>
  <c r="H42" i="67"/>
  <c r="H33" i="67"/>
  <c r="H35" i="67"/>
  <c r="H37" i="67"/>
  <c r="H39" i="67"/>
  <c r="H41" i="67"/>
  <c r="I33" i="67"/>
  <c r="I40" i="67"/>
  <c r="I34" i="67"/>
  <c r="I37" i="67"/>
  <c r="I38" i="67"/>
  <c r="I41" i="67"/>
  <c r="I39" i="67"/>
  <c r="I42" i="67"/>
  <c r="I36" i="67"/>
  <c r="I35" i="67"/>
  <c r="D17" i="53"/>
  <c r="D45" i="53" s="1"/>
  <c r="J51" i="66"/>
  <c r="M50" i="66"/>
  <c r="G18" i="66"/>
  <c r="I18" i="66" s="1"/>
  <c r="E17" i="66"/>
  <c r="H18" i="66" s="1"/>
  <c r="F17" i="66"/>
  <c r="G46" i="53" l="1"/>
  <c r="I46" i="53" s="1"/>
  <c r="J36" i="67"/>
  <c r="M36" i="67" s="1"/>
  <c r="J40" i="67"/>
  <c r="M40" i="67" s="1"/>
  <c r="J35" i="67"/>
  <c r="M35" i="67" s="1"/>
  <c r="J39" i="67"/>
  <c r="M39" i="67" s="1"/>
  <c r="J34" i="67"/>
  <c r="M34" i="67" s="1"/>
  <c r="J38" i="67"/>
  <c r="M38" i="67" s="1"/>
  <c r="J42" i="67"/>
  <c r="M42" i="67" s="1"/>
  <c r="J33" i="67"/>
  <c r="M33" i="67" s="1"/>
  <c r="J37" i="67"/>
  <c r="M37" i="67" s="1"/>
  <c r="J41" i="67"/>
  <c r="M41" i="67" s="1"/>
  <c r="F45" i="53"/>
  <c r="E45" i="53"/>
  <c r="M45" i="53"/>
  <c r="G18" i="53"/>
  <c r="E17" i="53"/>
  <c r="F17" i="53"/>
  <c r="J52" i="66"/>
  <c r="M51" i="66"/>
  <c r="J18" i="66"/>
  <c r="L18" i="66"/>
  <c r="K18" i="66"/>
  <c r="L34" i="67" l="1"/>
  <c r="O34" i="67" s="1"/>
  <c r="L38" i="67"/>
  <c r="O38" i="67" s="1"/>
  <c r="L42" i="67"/>
  <c r="O42" i="67" s="1"/>
  <c r="L33" i="67"/>
  <c r="O33" i="67" s="1"/>
  <c r="L37" i="67"/>
  <c r="O37" i="67" s="1"/>
  <c r="L41" i="67"/>
  <c r="O41" i="67" s="1"/>
  <c r="L36" i="67"/>
  <c r="O36" i="67" s="1"/>
  <c r="L40" i="67"/>
  <c r="O40" i="67" s="1"/>
  <c r="L35" i="67"/>
  <c r="O35" i="67" s="1"/>
  <c r="L39" i="67"/>
  <c r="O39" i="67" s="1"/>
  <c r="L46" i="53"/>
  <c r="J46" i="53"/>
  <c r="H46" i="53"/>
  <c r="K46" i="53" s="1"/>
  <c r="K33" i="67"/>
  <c r="N33" i="67" s="1"/>
  <c r="K37" i="67"/>
  <c r="N37" i="67" s="1"/>
  <c r="K41" i="67"/>
  <c r="N41" i="67" s="1"/>
  <c r="K36" i="67"/>
  <c r="N36" i="67" s="1"/>
  <c r="K40" i="67"/>
  <c r="N40" i="67" s="1"/>
  <c r="K35" i="67"/>
  <c r="N35" i="67" s="1"/>
  <c r="K39" i="67"/>
  <c r="N39" i="67" s="1"/>
  <c r="K34" i="67"/>
  <c r="N34" i="67" s="1"/>
  <c r="K38" i="67"/>
  <c r="N38" i="67" s="1"/>
  <c r="K42" i="67"/>
  <c r="N42" i="67" s="1"/>
  <c r="H18" i="53"/>
  <c r="K18" i="53" s="1"/>
  <c r="I18" i="53"/>
  <c r="L18" i="53" s="1"/>
  <c r="G6" i="65" s="1"/>
  <c r="J18" i="53"/>
  <c r="E6" i="65" s="1"/>
  <c r="F6" i="65" s="1"/>
  <c r="J53" i="66"/>
  <c r="M52" i="66"/>
  <c r="D18" i="66"/>
  <c r="I50" i="67" l="1"/>
  <c r="I48" i="67"/>
  <c r="I51" i="67"/>
  <c r="I45" i="67"/>
  <c r="I44" i="67"/>
  <c r="I52" i="67"/>
  <c r="I49" i="67"/>
  <c r="I46" i="67"/>
  <c r="G12" i="65"/>
  <c r="I43" i="67"/>
  <c r="I47" i="67"/>
  <c r="H44" i="67"/>
  <c r="H46" i="67"/>
  <c r="H48" i="67"/>
  <c r="H50" i="67"/>
  <c r="H52" i="67"/>
  <c r="H43" i="67"/>
  <c r="H45" i="67"/>
  <c r="H47" i="67"/>
  <c r="H49" i="67"/>
  <c r="H51" i="67"/>
  <c r="E12" i="65"/>
  <c r="F12" i="65" s="1"/>
  <c r="G44" i="67"/>
  <c r="G46" i="67"/>
  <c r="G48" i="67"/>
  <c r="G50" i="67"/>
  <c r="G52" i="67"/>
  <c r="G43" i="67"/>
  <c r="G45" i="67"/>
  <c r="G47" i="67"/>
  <c r="G49" i="67"/>
  <c r="G51" i="67"/>
  <c r="D18" i="53"/>
  <c r="D46" i="53" s="1"/>
  <c r="J54" i="66"/>
  <c r="M53" i="66"/>
  <c r="F18" i="66"/>
  <c r="E18" i="66"/>
  <c r="G19" i="66"/>
  <c r="I19" i="66" s="1"/>
  <c r="J19" i="66"/>
  <c r="F46" i="53" l="1"/>
  <c r="J44" i="67"/>
  <c r="M44" i="67" s="1"/>
  <c r="J48" i="67"/>
  <c r="M48" i="67" s="1"/>
  <c r="J52" i="67"/>
  <c r="M52" i="67" s="1"/>
  <c r="J43" i="67"/>
  <c r="M43" i="67" s="1"/>
  <c r="J47" i="67"/>
  <c r="M47" i="67" s="1"/>
  <c r="J51" i="67"/>
  <c r="M51" i="67" s="1"/>
  <c r="J46" i="67"/>
  <c r="M46" i="67" s="1"/>
  <c r="J50" i="67"/>
  <c r="M50" i="67" s="1"/>
  <c r="J45" i="67"/>
  <c r="M45" i="67" s="1"/>
  <c r="J49" i="67"/>
  <c r="M49" i="67" s="1"/>
  <c r="G47" i="53"/>
  <c r="I47" i="53" s="1"/>
  <c r="E46" i="53"/>
  <c r="M46" i="53"/>
  <c r="G19" i="53"/>
  <c r="I19" i="53" s="1"/>
  <c r="F18" i="53"/>
  <c r="E18" i="53"/>
  <c r="J55" i="66"/>
  <c r="M54" i="66"/>
  <c r="H19" i="66"/>
  <c r="K19" i="66"/>
  <c r="D19" i="66"/>
  <c r="L19" i="66"/>
  <c r="H47" i="53" l="1"/>
  <c r="K47" i="53" s="1"/>
  <c r="K45" i="67"/>
  <c r="N45" i="67" s="1"/>
  <c r="K49" i="67"/>
  <c r="N49" i="67" s="1"/>
  <c r="K44" i="67"/>
  <c r="N44" i="67" s="1"/>
  <c r="K48" i="67"/>
  <c r="N48" i="67" s="1"/>
  <c r="K52" i="67"/>
  <c r="N52" i="67" s="1"/>
  <c r="K43" i="67"/>
  <c r="N43" i="67" s="1"/>
  <c r="K47" i="67"/>
  <c r="N47" i="67" s="1"/>
  <c r="K51" i="67"/>
  <c r="N51" i="67" s="1"/>
  <c r="K46" i="67"/>
  <c r="N46" i="67" s="1"/>
  <c r="K50" i="67"/>
  <c r="N50" i="67" s="1"/>
  <c r="L46" i="67"/>
  <c r="O46" i="67" s="1"/>
  <c r="L50" i="67"/>
  <c r="O50" i="67" s="1"/>
  <c r="L45" i="67"/>
  <c r="O45" i="67" s="1"/>
  <c r="L49" i="67"/>
  <c r="O49" i="67" s="1"/>
  <c r="L44" i="67"/>
  <c r="O44" i="67" s="1"/>
  <c r="L48" i="67"/>
  <c r="O48" i="67" s="1"/>
  <c r="L52" i="67"/>
  <c r="O52" i="67" s="1"/>
  <c r="L43" i="67"/>
  <c r="O43" i="67" s="1"/>
  <c r="L47" i="67"/>
  <c r="O47" i="67" s="1"/>
  <c r="L51" i="67"/>
  <c r="O51" i="67" s="1"/>
  <c r="L47" i="53"/>
  <c r="J19" i="53"/>
  <c r="D19" i="53" s="1"/>
  <c r="D47" i="53" s="1"/>
  <c r="L19" i="53"/>
  <c r="J47" i="53"/>
  <c r="H19" i="53"/>
  <c r="K19" i="53" s="1"/>
  <c r="J56" i="66"/>
  <c r="M55" i="66"/>
  <c r="F19" i="66"/>
  <c r="E19" i="66"/>
  <c r="H20" i="66" s="1"/>
  <c r="G20" i="66"/>
  <c r="K20" i="66"/>
  <c r="F47" i="53" l="1"/>
  <c r="L48" i="53" s="1"/>
  <c r="J56" i="67"/>
  <c r="J60" i="67"/>
  <c r="J55" i="67"/>
  <c r="J59" i="67"/>
  <c r="J54" i="67"/>
  <c r="J58" i="67"/>
  <c r="J62" i="67"/>
  <c r="J53" i="67"/>
  <c r="J57" i="67"/>
  <c r="J61" i="67"/>
  <c r="E47" i="53"/>
  <c r="G48" i="53"/>
  <c r="I48" i="53" s="1"/>
  <c r="M47" i="53"/>
  <c r="I58" i="67"/>
  <c r="I61" i="67"/>
  <c r="I59" i="67"/>
  <c r="I62" i="67"/>
  <c r="I53" i="67"/>
  <c r="I57" i="67"/>
  <c r="I55" i="67"/>
  <c r="I56" i="67"/>
  <c r="I60" i="67"/>
  <c r="I54" i="67"/>
  <c r="G54" i="67"/>
  <c r="G56" i="67"/>
  <c r="M56" i="67" s="1"/>
  <c r="G58" i="67"/>
  <c r="M58" i="67" s="1"/>
  <c r="G60" i="67"/>
  <c r="G62" i="67"/>
  <c r="G53" i="67"/>
  <c r="G55" i="67"/>
  <c r="G57" i="67"/>
  <c r="G59" i="67"/>
  <c r="G61" i="67"/>
  <c r="H54" i="67"/>
  <c r="H56" i="67"/>
  <c r="H58" i="67"/>
  <c r="H60" i="67"/>
  <c r="H62" i="67"/>
  <c r="H53" i="67"/>
  <c r="H55" i="67"/>
  <c r="H57" i="67"/>
  <c r="H59" i="67"/>
  <c r="H61" i="67"/>
  <c r="F19" i="53"/>
  <c r="E19" i="53"/>
  <c r="H20" i="53" s="1"/>
  <c r="G20" i="53"/>
  <c r="I20" i="53" s="1"/>
  <c r="J57" i="66"/>
  <c r="M56" i="66"/>
  <c r="I20" i="66"/>
  <c r="L20" i="66" s="1"/>
  <c r="J20" i="66"/>
  <c r="M60" i="67" l="1"/>
  <c r="M57" i="67"/>
  <c r="M55" i="67"/>
  <c r="M61" i="67"/>
  <c r="M54" i="67"/>
  <c r="J48" i="53"/>
  <c r="G66" i="67" s="1"/>
  <c r="M53" i="67"/>
  <c r="M59" i="67"/>
  <c r="M62" i="67"/>
  <c r="G64" i="67"/>
  <c r="G72" i="67"/>
  <c r="G67" i="67"/>
  <c r="H48" i="53"/>
  <c r="K48" i="53" s="1"/>
  <c r="K53" i="67"/>
  <c r="N53" i="67" s="1"/>
  <c r="K57" i="67"/>
  <c r="N57" i="67" s="1"/>
  <c r="K61" i="67"/>
  <c r="K56" i="67"/>
  <c r="N56" i="67" s="1"/>
  <c r="K60" i="67"/>
  <c r="N60" i="67" s="1"/>
  <c r="K55" i="67"/>
  <c r="N55" i="67" s="1"/>
  <c r="K59" i="67"/>
  <c r="N59" i="67" s="1"/>
  <c r="K54" i="67"/>
  <c r="N54" i="67" s="1"/>
  <c r="K58" i="67"/>
  <c r="N58" i="67" s="1"/>
  <c r="K62" i="67"/>
  <c r="N62" i="67" s="1"/>
  <c r="N61" i="67"/>
  <c r="I69" i="67"/>
  <c r="I63" i="67"/>
  <c r="I68" i="67"/>
  <c r="I72" i="67"/>
  <c r="I66" i="67"/>
  <c r="I64" i="67"/>
  <c r="I67" i="67"/>
  <c r="I70" i="67"/>
  <c r="I65" i="67"/>
  <c r="I71" i="67"/>
  <c r="L54" i="67"/>
  <c r="O54" i="67" s="1"/>
  <c r="L58" i="67"/>
  <c r="O58" i="67" s="1"/>
  <c r="L62" i="67"/>
  <c r="O62" i="67" s="1"/>
  <c r="L53" i="67"/>
  <c r="O53" i="67" s="1"/>
  <c r="L57" i="67"/>
  <c r="O57" i="67" s="1"/>
  <c r="L61" i="67"/>
  <c r="O61" i="67" s="1"/>
  <c r="L56" i="67"/>
  <c r="O56" i="67" s="1"/>
  <c r="L60" i="67"/>
  <c r="O60" i="67" s="1"/>
  <c r="L55" i="67"/>
  <c r="O55" i="67" s="1"/>
  <c r="L59" i="67"/>
  <c r="O59" i="67" s="1"/>
  <c r="J20" i="53"/>
  <c r="K20" i="53"/>
  <c r="L20" i="53"/>
  <c r="J58" i="66"/>
  <c r="M57" i="66"/>
  <c r="D20" i="66"/>
  <c r="G71" i="67" l="1"/>
  <c r="G70" i="67"/>
  <c r="G65" i="67"/>
  <c r="G68" i="67"/>
  <c r="G69" i="67"/>
  <c r="G63" i="67"/>
  <c r="H64" i="67"/>
  <c r="H66" i="67"/>
  <c r="H68" i="67"/>
  <c r="H70" i="67"/>
  <c r="H72" i="67"/>
  <c r="H63" i="67"/>
  <c r="H65" i="67"/>
  <c r="H67" i="67"/>
  <c r="H69" i="67"/>
  <c r="H71" i="67"/>
  <c r="D20" i="53"/>
  <c r="D48" i="53" s="1"/>
  <c r="J59" i="66"/>
  <c r="M58" i="66"/>
  <c r="E20" i="66"/>
  <c r="G21" i="66"/>
  <c r="F20" i="66"/>
  <c r="D12" i="57" l="1"/>
  <c r="D11" i="57"/>
  <c r="D10" i="57"/>
  <c r="F48" i="53"/>
  <c r="J64" i="67"/>
  <c r="M64" i="67" s="1"/>
  <c r="J68" i="67"/>
  <c r="M68" i="67" s="1"/>
  <c r="J72" i="67"/>
  <c r="M72" i="67" s="1"/>
  <c r="J63" i="67"/>
  <c r="M63" i="67" s="1"/>
  <c r="J67" i="67"/>
  <c r="M67" i="67" s="1"/>
  <c r="J71" i="67"/>
  <c r="M71" i="67" s="1"/>
  <c r="J66" i="67"/>
  <c r="M66" i="67" s="1"/>
  <c r="J70" i="67"/>
  <c r="M70" i="67" s="1"/>
  <c r="J65" i="67"/>
  <c r="M65" i="67" s="1"/>
  <c r="J69" i="67"/>
  <c r="M69" i="67" s="1"/>
  <c r="G49" i="53"/>
  <c r="I49" i="53" s="1"/>
  <c r="E48" i="53"/>
  <c r="M48" i="53"/>
  <c r="E20" i="53"/>
  <c r="G21" i="53"/>
  <c r="F20" i="53"/>
  <c r="J60" i="66"/>
  <c r="M59" i="66"/>
  <c r="I21" i="66"/>
  <c r="L21" i="66" s="1"/>
  <c r="J21" i="66"/>
  <c r="H21" i="66"/>
  <c r="K21" i="66" s="1"/>
  <c r="E10" i="57" l="1"/>
  <c r="E12" i="57"/>
  <c r="E11" i="57"/>
  <c r="H11" i="57"/>
  <c r="H12" i="57"/>
  <c r="H10" i="57"/>
  <c r="F11" i="57"/>
  <c r="F10" i="57"/>
  <c r="F12" i="57"/>
  <c r="L66" i="67"/>
  <c r="O66" i="67" s="1"/>
  <c r="L70" i="67"/>
  <c r="O70" i="67" s="1"/>
  <c r="L65" i="67"/>
  <c r="O65" i="67" s="1"/>
  <c r="L69" i="67"/>
  <c r="O69" i="67" s="1"/>
  <c r="L64" i="67"/>
  <c r="O64" i="67" s="1"/>
  <c r="L68" i="67"/>
  <c r="O68" i="67" s="1"/>
  <c r="L72" i="67"/>
  <c r="O72" i="67" s="1"/>
  <c r="L63" i="67"/>
  <c r="O63" i="67" s="1"/>
  <c r="L67" i="67"/>
  <c r="O67" i="67" s="1"/>
  <c r="L71" i="67"/>
  <c r="O71" i="67" s="1"/>
  <c r="L49" i="53"/>
  <c r="J49" i="53"/>
  <c r="H49" i="53"/>
  <c r="K49" i="53" s="1"/>
  <c r="K65" i="67"/>
  <c r="N65" i="67" s="1"/>
  <c r="K69" i="67"/>
  <c r="N69" i="67" s="1"/>
  <c r="K64" i="67"/>
  <c r="N64" i="67" s="1"/>
  <c r="K68" i="67"/>
  <c r="N68" i="67" s="1"/>
  <c r="K72" i="67"/>
  <c r="N72" i="67" s="1"/>
  <c r="K63" i="67"/>
  <c r="N63" i="67" s="1"/>
  <c r="K67" i="67"/>
  <c r="N67" i="67" s="1"/>
  <c r="K71" i="67"/>
  <c r="N71" i="67" s="1"/>
  <c r="K66" i="67"/>
  <c r="N66" i="67" s="1"/>
  <c r="K70" i="67"/>
  <c r="N70" i="67" s="1"/>
  <c r="I21" i="53"/>
  <c r="L21" i="53" s="1"/>
  <c r="G7" i="65" s="1"/>
  <c r="J21" i="53"/>
  <c r="E7" i="65" s="1"/>
  <c r="F7" i="65" s="1"/>
  <c r="H21" i="53"/>
  <c r="K21" i="53" s="1"/>
  <c r="J61" i="66"/>
  <c r="M60" i="66"/>
  <c r="D21" i="66"/>
  <c r="AK71" i="67" l="1"/>
  <c r="AK72" i="67"/>
  <c r="AK69" i="67"/>
  <c r="AK70" i="67"/>
  <c r="AK68" i="67"/>
  <c r="AK65" i="67"/>
  <c r="AK64" i="67"/>
  <c r="AK63" i="67"/>
  <c r="AK66" i="67"/>
  <c r="AK67" i="67"/>
  <c r="J12" i="57"/>
  <c r="J11" i="57"/>
  <c r="J10" i="57"/>
  <c r="I11" i="57"/>
  <c r="I10" i="57"/>
  <c r="I12" i="57"/>
  <c r="H73" i="67"/>
  <c r="H75" i="67"/>
  <c r="H77" i="67"/>
  <c r="H79" i="67"/>
  <c r="H81" i="67"/>
  <c r="H74" i="67"/>
  <c r="H76" i="67"/>
  <c r="H78" i="67"/>
  <c r="H80" i="67"/>
  <c r="H82" i="67"/>
  <c r="E13" i="65"/>
  <c r="F13" i="65" s="1"/>
  <c r="G75" i="67"/>
  <c r="G77" i="67"/>
  <c r="G79" i="67"/>
  <c r="G81" i="67"/>
  <c r="G73" i="67"/>
  <c r="G74" i="67"/>
  <c r="G76" i="67"/>
  <c r="G78" i="67"/>
  <c r="G80" i="67"/>
  <c r="G82" i="67"/>
  <c r="G13" i="65"/>
  <c r="I73" i="67"/>
  <c r="I80" i="67"/>
  <c r="I77" i="67"/>
  <c r="I78" i="67"/>
  <c r="I74" i="67"/>
  <c r="I75" i="67"/>
  <c r="I81" i="67"/>
  <c r="I76" i="67"/>
  <c r="I79" i="67"/>
  <c r="I82" i="67"/>
  <c r="D21" i="53"/>
  <c r="D49" i="53" s="1"/>
  <c r="J62" i="66"/>
  <c r="M61" i="66"/>
  <c r="G22" i="66"/>
  <c r="E21" i="66"/>
  <c r="F21" i="66"/>
  <c r="AM65" i="67" l="1"/>
  <c r="AM66" i="67"/>
  <c r="AM63" i="67"/>
  <c r="AM67" i="67"/>
  <c r="AM64" i="67"/>
  <c r="AM69" i="67"/>
  <c r="AM72" i="67"/>
  <c r="AM68" i="67"/>
  <c r="AM70" i="67"/>
  <c r="AM71" i="67"/>
  <c r="AL64" i="67"/>
  <c r="AL63" i="67"/>
  <c r="AL67" i="67"/>
  <c r="AL65" i="67"/>
  <c r="AL66" i="67"/>
  <c r="D13" i="57"/>
  <c r="D15" i="57"/>
  <c r="D14" i="57"/>
  <c r="AL68" i="67"/>
  <c r="AL71" i="67"/>
  <c r="AL70" i="67"/>
  <c r="AL72" i="67"/>
  <c r="AL69" i="67"/>
  <c r="F49" i="53"/>
  <c r="J76" i="67"/>
  <c r="M76" i="67" s="1"/>
  <c r="J80" i="67"/>
  <c r="M80" i="67" s="1"/>
  <c r="J75" i="67"/>
  <c r="M75" i="67" s="1"/>
  <c r="J79" i="67"/>
  <c r="M79" i="67" s="1"/>
  <c r="J74" i="67"/>
  <c r="M74" i="67" s="1"/>
  <c r="J78" i="67"/>
  <c r="M78" i="67" s="1"/>
  <c r="J82" i="67"/>
  <c r="M82" i="67" s="1"/>
  <c r="J73" i="67"/>
  <c r="M73" i="67" s="1"/>
  <c r="J77" i="67"/>
  <c r="M77" i="67" s="1"/>
  <c r="J81" i="67"/>
  <c r="M81" i="67" s="1"/>
  <c r="E49" i="53"/>
  <c r="G50" i="53"/>
  <c r="I50" i="53" s="1"/>
  <c r="M49" i="53"/>
  <c r="G22" i="53"/>
  <c r="E21" i="53"/>
  <c r="F21" i="53"/>
  <c r="M62" i="66"/>
  <c r="J63" i="66"/>
  <c r="H22" i="66"/>
  <c r="K22" i="66"/>
  <c r="I22" i="66"/>
  <c r="L22" i="66" s="1"/>
  <c r="J22" i="66"/>
  <c r="E14" i="57" l="1"/>
  <c r="E13" i="57"/>
  <c r="E15" i="57"/>
  <c r="H14" i="57"/>
  <c r="H15" i="57"/>
  <c r="H13" i="57"/>
  <c r="F15" i="57"/>
  <c r="F14" i="57"/>
  <c r="F13" i="57"/>
  <c r="H50" i="53"/>
  <c r="K50" i="53" s="1"/>
  <c r="K73" i="67"/>
  <c r="N73" i="67" s="1"/>
  <c r="K77" i="67"/>
  <c r="N77" i="67" s="1"/>
  <c r="K81" i="67"/>
  <c r="N81" i="67" s="1"/>
  <c r="K76" i="67"/>
  <c r="N76" i="67" s="1"/>
  <c r="K80" i="67"/>
  <c r="N80" i="67" s="1"/>
  <c r="K75" i="67"/>
  <c r="N75" i="67" s="1"/>
  <c r="K79" i="67"/>
  <c r="N79" i="67" s="1"/>
  <c r="K74" i="67"/>
  <c r="N74" i="67" s="1"/>
  <c r="K78" i="67"/>
  <c r="N78" i="67" s="1"/>
  <c r="K82" i="67"/>
  <c r="N82" i="67" s="1"/>
  <c r="L74" i="67"/>
  <c r="O74" i="67" s="1"/>
  <c r="L78" i="67"/>
  <c r="O78" i="67" s="1"/>
  <c r="L82" i="67"/>
  <c r="O82" i="67" s="1"/>
  <c r="L73" i="67"/>
  <c r="O73" i="67" s="1"/>
  <c r="L77" i="67"/>
  <c r="O77" i="67" s="1"/>
  <c r="L81" i="67"/>
  <c r="O81" i="67" s="1"/>
  <c r="L76" i="67"/>
  <c r="O76" i="67" s="1"/>
  <c r="L80" i="67"/>
  <c r="O80" i="67" s="1"/>
  <c r="L75" i="67"/>
  <c r="O75" i="67" s="1"/>
  <c r="L79" i="67"/>
  <c r="O79" i="67" s="1"/>
  <c r="L50" i="53"/>
  <c r="J50" i="53"/>
  <c r="H22" i="53"/>
  <c r="K22" i="53" s="1"/>
  <c r="I22" i="53"/>
  <c r="L22" i="53" s="1"/>
  <c r="J22" i="53"/>
  <c r="D22" i="66"/>
  <c r="J14" i="57" l="1"/>
  <c r="J15" i="57"/>
  <c r="J13" i="57"/>
  <c r="AK82" i="67"/>
  <c r="AK79" i="67"/>
  <c r="AK80" i="67"/>
  <c r="AK78" i="67"/>
  <c r="AK81" i="67"/>
  <c r="I14" i="57"/>
  <c r="I13" i="57"/>
  <c r="I15" i="57"/>
  <c r="AK73" i="67"/>
  <c r="AK76" i="67"/>
  <c r="AK77" i="67"/>
  <c r="AK75" i="67"/>
  <c r="AK74" i="67"/>
  <c r="I89" i="67"/>
  <c r="I83" i="67"/>
  <c r="I88" i="67"/>
  <c r="I92" i="67"/>
  <c r="I86" i="67"/>
  <c r="I84" i="67"/>
  <c r="I87" i="67"/>
  <c r="I85" i="67"/>
  <c r="I90" i="67"/>
  <c r="I91" i="67"/>
  <c r="G83" i="67"/>
  <c r="G85" i="67"/>
  <c r="G87" i="67"/>
  <c r="G89" i="67"/>
  <c r="G91" i="67"/>
  <c r="G84" i="67"/>
  <c r="G86" i="67"/>
  <c r="G88" i="67"/>
  <c r="G90" i="67"/>
  <c r="G92" i="67"/>
  <c r="H83" i="67"/>
  <c r="H85" i="67"/>
  <c r="H87" i="67"/>
  <c r="H89" i="67"/>
  <c r="H91" i="67"/>
  <c r="H84" i="67"/>
  <c r="H86" i="67"/>
  <c r="H88" i="67"/>
  <c r="H90" i="67"/>
  <c r="H92" i="67"/>
  <c r="D22" i="53"/>
  <c r="D50" i="53" s="1"/>
  <c r="F22" i="66"/>
  <c r="E22" i="66"/>
  <c r="G23" i="66"/>
  <c r="I23" i="66" s="1"/>
  <c r="J23" i="66"/>
  <c r="AL73" i="67" l="1"/>
  <c r="AL74" i="67"/>
  <c r="AL77" i="67"/>
  <c r="AL76" i="67"/>
  <c r="AL75" i="67"/>
  <c r="AM80" i="67"/>
  <c r="AM79" i="67"/>
  <c r="AM82" i="67"/>
  <c r="AM81" i="67"/>
  <c r="AM78" i="67"/>
  <c r="AL80" i="67"/>
  <c r="AL82" i="67"/>
  <c r="AL81" i="67"/>
  <c r="AL78" i="67"/>
  <c r="AL79" i="67"/>
  <c r="D17" i="57"/>
  <c r="D16" i="57"/>
  <c r="D18" i="57"/>
  <c r="AM77" i="67"/>
  <c r="AM74" i="67"/>
  <c r="AM76" i="67"/>
  <c r="AM75" i="67"/>
  <c r="AM73" i="67"/>
  <c r="F50" i="53"/>
  <c r="J84" i="67"/>
  <c r="M84" i="67" s="1"/>
  <c r="J88" i="67"/>
  <c r="M88" i="67" s="1"/>
  <c r="J92" i="67"/>
  <c r="M92" i="67" s="1"/>
  <c r="J83" i="67"/>
  <c r="M83" i="67" s="1"/>
  <c r="J87" i="67"/>
  <c r="M87" i="67" s="1"/>
  <c r="J91" i="67"/>
  <c r="M91" i="67" s="1"/>
  <c r="J86" i="67"/>
  <c r="M86" i="67" s="1"/>
  <c r="J90" i="67"/>
  <c r="M90" i="67" s="1"/>
  <c r="J85" i="67"/>
  <c r="M85" i="67" s="1"/>
  <c r="J89" i="67"/>
  <c r="M89" i="67" s="1"/>
  <c r="E50" i="53"/>
  <c r="G51" i="53"/>
  <c r="I51" i="53" s="1"/>
  <c r="M50" i="53"/>
  <c r="G23" i="53"/>
  <c r="I23" i="53" s="1"/>
  <c r="F22" i="53"/>
  <c r="E22" i="53"/>
  <c r="D23" i="66"/>
  <c r="H23" i="66"/>
  <c r="K23" i="66"/>
  <c r="L23" i="66"/>
  <c r="F18" i="57" l="1"/>
  <c r="F17" i="57"/>
  <c r="F16" i="57"/>
  <c r="E18" i="57"/>
  <c r="E17" i="57"/>
  <c r="E16" i="57"/>
  <c r="H18" i="57"/>
  <c r="H17" i="57"/>
  <c r="H16" i="57"/>
  <c r="L23" i="53"/>
  <c r="J23" i="53"/>
  <c r="H51" i="53"/>
  <c r="K51" i="53" s="1"/>
  <c r="K85" i="67"/>
  <c r="N85" i="67" s="1"/>
  <c r="K89" i="67"/>
  <c r="N89" i="67" s="1"/>
  <c r="K84" i="67"/>
  <c r="N84" i="67" s="1"/>
  <c r="K88" i="67"/>
  <c r="N88" i="67" s="1"/>
  <c r="K92" i="67"/>
  <c r="N92" i="67" s="1"/>
  <c r="K83" i="67"/>
  <c r="N83" i="67" s="1"/>
  <c r="K87" i="67"/>
  <c r="N87" i="67" s="1"/>
  <c r="K91" i="67"/>
  <c r="N91" i="67" s="1"/>
  <c r="K86" i="67"/>
  <c r="N86" i="67" s="1"/>
  <c r="K90" i="67"/>
  <c r="N90" i="67" s="1"/>
  <c r="L86" i="67"/>
  <c r="O86" i="67" s="1"/>
  <c r="L90" i="67"/>
  <c r="O90" i="67" s="1"/>
  <c r="L85" i="67"/>
  <c r="O85" i="67" s="1"/>
  <c r="L89" i="67"/>
  <c r="O89" i="67" s="1"/>
  <c r="L84" i="67"/>
  <c r="O84" i="67" s="1"/>
  <c r="L88" i="67"/>
  <c r="O88" i="67" s="1"/>
  <c r="L92" i="67"/>
  <c r="O92" i="67" s="1"/>
  <c r="L83" i="67"/>
  <c r="O83" i="67" s="1"/>
  <c r="L87" i="67"/>
  <c r="O87" i="67" s="1"/>
  <c r="L91" i="67"/>
  <c r="O91" i="67" s="1"/>
  <c r="L51" i="53"/>
  <c r="J51" i="53"/>
  <c r="H23" i="53"/>
  <c r="K23" i="53" s="1"/>
  <c r="D23" i="53"/>
  <c r="D51" i="53" s="1"/>
  <c r="F23" i="66"/>
  <c r="E23" i="66"/>
  <c r="H24" i="66" s="1"/>
  <c r="G24" i="66"/>
  <c r="AK86" i="67" l="1"/>
  <c r="AK83" i="67"/>
  <c r="AK87" i="67"/>
  <c r="AK85" i="67"/>
  <c r="AK84" i="67"/>
  <c r="J17" i="57"/>
  <c r="J18" i="57"/>
  <c r="J16" i="57"/>
  <c r="AK93" i="67"/>
  <c r="AK96" i="67"/>
  <c r="AK97" i="67"/>
  <c r="AK94" i="67"/>
  <c r="AK95" i="67"/>
  <c r="I17" i="57"/>
  <c r="I18" i="57"/>
  <c r="I16" i="57"/>
  <c r="D21" i="57"/>
  <c r="D20" i="57"/>
  <c r="D19" i="57"/>
  <c r="AK90" i="67"/>
  <c r="AK91" i="67"/>
  <c r="AK92" i="67"/>
  <c r="AK89" i="67"/>
  <c r="AK88" i="67"/>
  <c r="F51" i="53"/>
  <c r="J96" i="67"/>
  <c r="J100" i="67"/>
  <c r="J95" i="67"/>
  <c r="J99" i="67"/>
  <c r="J94" i="67"/>
  <c r="J98" i="67"/>
  <c r="J102" i="67"/>
  <c r="J93" i="67"/>
  <c r="J97" i="67"/>
  <c r="J101" i="67"/>
  <c r="E51" i="53"/>
  <c r="G52" i="53"/>
  <c r="I52" i="53" s="1"/>
  <c r="M51" i="53"/>
  <c r="I94" i="67"/>
  <c r="I97" i="67"/>
  <c r="I95" i="67"/>
  <c r="I101" i="67"/>
  <c r="I99" i="67"/>
  <c r="I98" i="67"/>
  <c r="L52" i="53"/>
  <c r="I100" i="67"/>
  <c r="I102" i="67"/>
  <c r="I96" i="67"/>
  <c r="I93" i="67"/>
  <c r="G93" i="67"/>
  <c r="G95" i="67"/>
  <c r="G97" i="67"/>
  <c r="G99" i="67"/>
  <c r="G101" i="67"/>
  <c r="G94" i="67"/>
  <c r="M94" i="67" s="1"/>
  <c r="G96" i="67"/>
  <c r="G98" i="67"/>
  <c r="G100" i="67"/>
  <c r="G102" i="67"/>
  <c r="H93" i="67"/>
  <c r="H95" i="67"/>
  <c r="H97" i="67"/>
  <c r="H99" i="67"/>
  <c r="H101" i="67"/>
  <c r="H94" i="67"/>
  <c r="H96" i="67"/>
  <c r="H98" i="67"/>
  <c r="H100" i="67"/>
  <c r="H102" i="67"/>
  <c r="F23" i="53"/>
  <c r="E23" i="53"/>
  <c r="H24" i="53" s="1"/>
  <c r="G24" i="53"/>
  <c r="I24" i="66"/>
  <c r="L24" i="66" s="1"/>
  <c r="J24" i="66"/>
  <c r="K24" i="66"/>
  <c r="M99" i="67" l="1"/>
  <c r="M93" i="67"/>
  <c r="J52" i="53"/>
  <c r="G107" i="67" s="1"/>
  <c r="M96" i="67"/>
  <c r="AM94" i="67"/>
  <c r="AM93" i="67"/>
  <c r="AM96" i="67"/>
  <c r="AM97" i="67"/>
  <c r="AM95" i="67"/>
  <c r="M100" i="67"/>
  <c r="H21" i="57"/>
  <c r="H20" i="57"/>
  <c r="H19" i="57"/>
  <c r="AL90" i="67"/>
  <c r="AL89" i="67"/>
  <c r="AL88" i="67"/>
  <c r="AL92" i="67"/>
  <c r="AL91" i="67"/>
  <c r="AM90" i="67"/>
  <c r="AM89" i="67"/>
  <c r="AM92" i="67"/>
  <c r="AM91" i="67"/>
  <c r="AM88" i="67"/>
  <c r="AM87" i="67"/>
  <c r="AM84" i="67"/>
  <c r="AM83" i="67"/>
  <c r="AM85" i="67"/>
  <c r="AM86" i="67"/>
  <c r="F19" i="57"/>
  <c r="F21" i="57"/>
  <c r="F20" i="57"/>
  <c r="AL85" i="67"/>
  <c r="AL84" i="67"/>
  <c r="AL87" i="67"/>
  <c r="AL83" i="67"/>
  <c r="AL86" i="67"/>
  <c r="M97" i="67"/>
  <c r="E21" i="57"/>
  <c r="E20" i="57"/>
  <c r="E19" i="57"/>
  <c r="AL93" i="67"/>
  <c r="AL94" i="67"/>
  <c r="AL95" i="67"/>
  <c r="AL97" i="67"/>
  <c r="AL96" i="67"/>
  <c r="M101" i="67"/>
  <c r="M98" i="67"/>
  <c r="H52" i="53"/>
  <c r="K52" i="53" s="1"/>
  <c r="K93" i="67"/>
  <c r="K97" i="67"/>
  <c r="N97" i="67" s="1"/>
  <c r="K101" i="67"/>
  <c r="N101" i="67" s="1"/>
  <c r="K96" i="67"/>
  <c r="N96" i="67" s="1"/>
  <c r="K100" i="67"/>
  <c r="N100" i="67" s="1"/>
  <c r="K95" i="67"/>
  <c r="N95" i="67" s="1"/>
  <c r="K99" i="67"/>
  <c r="N99" i="67" s="1"/>
  <c r="K94" i="67"/>
  <c r="N94" i="67" s="1"/>
  <c r="K98" i="67"/>
  <c r="N98" i="67" s="1"/>
  <c r="K102" i="67"/>
  <c r="N102" i="67" s="1"/>
  <c r="M102" i="67"/>
  <c r="M95" i="67"/>
  <c r="N93" i="67"/>
  <c r="G112" i="67"/>
  <c r="I110" i="67"/>
  <c r="I108" i="67"/>
  <c r="I111" i="67"/>
  <c r="G14" i="65"/>
  <c r="I105" i="67"/>
  <c r="I112" i="67"/>
  <c r="I103" i="67"/>
  <c r="I107" i="67"/>
  <c r="I109" i="67"/>
  <c r="I106" i="67"/>
  <c r="I104" i="67"/>
  <c r="L94" i="67"/>
  <c r="O94" i="67" s="1"/>
  <c r="L98" i="67"/>
  <c r="O98" i="67" s="1"/>
  <c r="L102" i="67"/>
  <c r="O102" i="67" s="1"/>
  <c r="L93" i="67"/>
  <c r="O93" i="67" s="1"/>
  <c r="L97" i="67"/>
  <c r="O97" i="67" s="1"/>
  <c r="L101" i="67"/>
  <c r="O101" i="67" s="1"/>
  <c r="L96" i="67"/>
  <c r="O96" i="67" s="1"/>
  <c r="L100" i="67"/>
  <c r="O100" i="67" s="1"/>
  <c r="L95" i="67"/>
  <c r="O95" i="67" s="1"/>
  <c r="L99" i="67"/>
  <c r="O99" i="67" s="1"/>
  <c r="K24" i="53"/>
  <c r="I24" i="53"/>
  <c r="L24" i="53" s="1"/>
  <c r="G8" i="65" s="1"/>
  <c r="J24" i="53"/>
  <c r="E8" i="65" s="1"/>
  <c r="F8" i="65" s="1"/>
  <c r="D24" i="66"/>
  <c r="G111" i="67" l="1"/>
  <c r="G105" i="67"/>
  <c r="G110" i="67"/>
  <c r="G103" i="67"/>
  <c r="G104" i="67"/>
  <c r="G108" i="67"/>
  <c r="G109" i="67"/>
  <c r="E14" i="65"/>
  <c r="F14" i="65" s="1"/>
  <c r="G106" i="67"/>
  <c r="AK101" i="67"/>
  <c r="AK100" i="67"/>
  <c r="AK99" i="67"/>
  <c r="AK98" i="67"/>
  <c r="AK102" i="67"/>
  <c r="I21" i="57"/>
  <c r="I19" i="57"/>
  <c r="I20" i="57"/>
  <c r="J19" i="57"/>
  <c r="J21" i="57"/>
  <c r="J20" i="57"/>
  <c r="H103" i="67"/>
  <c r="H105" i="67"/>
  <c r="H107" i="67"/>
  <c r="H109" i="67"/>
  <c r="H111" i="67"/>
  <c r="H104" i="67"/>
  <c r="H106" i="67"/>
  <c r="H108" i="67"/>
  <c r="H110" i="67"/>
  <c r="H112" i="67"/>
  <c r="D24" i="53"/>
  <c r="D52" i="53" s="1"/>
  <c r="E24" i="66"/>
  <c r="G25" i="66"/>
  <c r="F24" i="66"/>
  <c r="AM100" i="67" l="1"/>
  <c r="AM99" i="67"/>
  <c r="AM102" i="67"/>
  <c r="AM101" i="67"/>
  <c r="AM98" i="67"/>
  <c r="D24" i="57"/>
  <c r="D23" i="57"/>
  <c r="D22" i="57"/>
  <c r="AL99" i="67"/>
  <c r="AL102" i="67"/>
  <c r="AL101" i="67"/>
  <c r="AL98" i="67"/>
  <c r="AL100" i="67"/>
  <c r="F52" i="53"/>
  <c r="J104" i="67"/>
  <c r="M104" i="67" s="1"/>
  <c r="J108" i="67"/>
  <c r="M108" i="67" s="1"/>
  <c r="J112" i="67"/>
  <c r="M112" i="67" s="1"/>
  <c r="J103" i="67"/>
  <c r="M103" i="67" s="1"/>
  <c r="J107" i="67"/>
  <c r="M107" i="67" s="1"/>
  <c r="J111" i="67"/>
  <c r="M111" i="67" s="1"/>
  <c r="J106" i="67"/>
  <c r="M106" i="67" s="1"/>
  <c r="J110" i="67"/>
  <c r="M110" i="67" s="1"/>
  <c r="J105" i="67"/>
  <c r="M105" i="67" s="1"/>
  <c r="J109" i="67"/>
  <c r="M109" i="67" s="1"/>
  <c r="G53" i="53"/>
  <c r="I53" i="53" s="1"/>
  <c r="E52" i="53"/>
  <c r="M52" i="53"/>
  <c r="E24" i="53"/>
  <c r="F24" i="53"/>
  <c r="G25" i="53"/>
  <c r="I25" i="66"/>
  <c r="L25" i="66" s="1"/>
  <c r="J25" i="66"/>
  <c r="H25" i="66"/>
  <c r="K25" i="66" s="1"/>
  <c r="H24" i="57" l="1"/>
  <c r="H22" i="57"/>
  <c r="H23" i="57"/>
  <c r="E22" i="57"/>
  <c r="E24" i="57"/>
  <c r="E23" i="57"/>
  <c r="F23" i="57"/>
  <c r="F22" i="57"/>
  <c r="F24" i="57"/>
  <c r="J53" i="53"/>
  <c r="G117" i="67" s="1"/>
  <c r="H53" i="53"/>
  <c r="K53" i="53" s="1"/>
  <c r="K105" i="67"/>
  <c r="N105" i="67" s="1"/>
  <c r="K109" i="67"/>
  <c r="N109" i="67" s="1"/>
  <c r="K104" i="67"/>
  <c r="N104" i="67" s="1"/>
  <c r="K108" i="67"/>
  <c r="N108" i="67" s="1"/>
  <c r="K112" i="67"/>
  <c r="N112" i="67" s="1"/>
  <c r="K103" i="67"/>
  <c r="N103" i="67" s="1"/>
  <c r="K107" i="67"/>
  <c r="N107" i="67" s="1"/>
  <c r="K111" i="67"/>
  <c r="N111" i="67" s="1"/>
  <c r="K106" i="67"/>
  <c r="N106" i="67" s="1"/>
  <c r="K110" i="67"/>
  <c r="N110" i="67" s="1"/>
  <c r="L106" i="67"/>
  <c r="O106" i="67" s="1"/>
  <c r="L110" i="67"/>
  <c r="O110" i="67" s="1"/>
  <c r="L105" i="67"/>
  <c r="O105" i="67" s="1"/>
  <c r="L109" i="67"/>
  <c r="O109" i="67" s="1"/>
  <c r="L104" i="67"/>
  <c r="O104" i="67" s="1"/>
  <c r="L108" i="67"/>
  <c r="O108" i="67" s="1"/>
  <c r="L112" i="67"/>
  <c r="O112" i="67" s="1"/>
  <c r="L103" i="67"/>
  <c r="O103" i="67" s="1"/>
  <c r="L107" i="67"/>
  <c r="O107" i="67" s="1"/>
  <c r="L111" i="67"/>
  <c r="O111" i="67" s="1"/>
  <c r="L53" i="53"/>
  <c r="H25" i="53"/>
  <c r="K25" i="53" s="1"/>
  <c r="I25" i="53"/>
  <c r="L25" i="53" s="1"/>
  <c r="J25" i="53"/>
  <c r="D25" i="66"/>
  <c r="G122" i="67" l="1"/>
  <c r="G114" i="67"/>
  <c r="G115" i="67"/>
  <c r="G120" i="67"/>
  <c r="G121" i="67"/>
  <c r="G113" i="67"/>
  <c r="G118" i="67"/>
  <c r="G119" i="67"/>
  <c r="G116" i="67"/>
  <c r="AK104" i="67"/>
  <c r="AK103" i="67"/>
  <c r="J24" i="57"/>
  <c r="J22" i="57"/>
  <c r="J23" i="57"/>
  <c r="I23" i="57"/>
  <c r="I22" i="57"/>
  <c r="I24" i="57"/>
  <c r="H113" i="67"/>
  <c r="H115" i="67"/>
  <c r="H117" i="67"/>
  <c r="H119" i="67"/>
  <c r="H121" i="67"/>
  <c r="H114" i="67"/>
  <c r="H116" i="67"/>
  <c r="H118" i="67"/>
  <c r="H120" i="67"/>
  <c r="H122" i="67"/>
  <c r="I118" i="67"/>
  <c r="I121" i="67"/>
  <c r="I119" i="67"/>
  <c r="I115" i="67"/>
  <c r="I122" i="67"/>
  <c r="I116" i="67"/>
  <c r="I113" i="67"/>
  <c r="I120" i="67"/>
  <c r="I117" i="67"/>
  <c r="I114" i="67"/>
  <c r="D25" i="53"/>
  <c r="D53" i="53" s="1"/>
  <c r="G26" i="66"/>
  <c r="E25" i="66"/>
  <c r="F25" i="66"/>
  <c r="AL104" i="67" l="1"/>
  <c r="AL103" i="67"/>
  <c r="D25" i="57"/>
  <c r="H25" i="57" s="1"/>
  <c r="D27" i="57"/>
  <c r="D26" i="57"/>
  <c r="AM104" i="67"/>
  <c r="AM103" i="67"/>
  <c r="F53" i="53"/>
  <c r="J116" i="67"/>
  <c r="M116" i="67" s="1"/>
  <c r="J120" i="67"/>
  <c r="M120" i="67" s="1"/>
  <c r="J115" i="67"/>
  <c r="M115" i="67" s="1"/>
  <c r="J119" i="67"/>
  <c r="M119" i="67" s="1"/>
  <c r="J114" i="67"/>
  <c r="M114" i="67" s="1"/>
  <c r="J118" i="67"/>
  <c r="M118" i="67" s="1"/>
  <c r="J122" i="67"/>
  <c r="M122" i="67" s="1"/>
  <c r="J113" i="67"/>
  <c r="M113" i="67" s="1"/>
  <c r="J117" i="67"/>
  <c r="M117" i="67" s="1"/>
  <c r="J121" i="67"/>
  <c r="M121" i="67" s="1"/>
  <c r="E53" i="53"/>
  <c r="G54" i="53"/>
  <c r="I54" i="53" s="1"/>
  <c r="M53" i="53"/>
  <c r="G26" i="53"/>
  <c r="E25" i="53"/>
  <c r="F25" i="53"/>
  <c r="H26" i="66"/>
  <c r="K26" i="66"/>
  <c r="I26" i="66"/>
  <c r="L26" i="66" s="1"/>
  <c r="J26" i="66"/>
  <c r="H27" i="57" l="1"/>
  <c r="AK113" i="67" s="1"/>
  <c r="F27" i="57"/>
  <c r="F26" i="57"/>
  <c r="F25" i="57"/>
  <c r="J25" i="57" s="1"/>
  <c r="AK107" i="67"/>
  <c r="AK106" i="67"/>
  <c r="AK108" i="67"/>
  <c r="AK105" i="67"/>
  <c r="AK114" i="67"/>
  <c r="AK115" i="67"/>
  <c r="E26" i="57"/>
  <c r="E25" i="57"/>
  <c r="I25" i="57" s="1"/>
  <c r="E27" i="57"/>
  <c r="H26" i="57"/>
  <c r="L114" i="67"/>
  <c r="O114" i="67" s="1"/>
  <c r="L118" i="67"/>
  <c r="O118" i="67" s="1"/>
  <c r="L122" i="67"/>
  <c r="O122" i="67" s="1"/>
  <c r="L113" i="67"/>
  <c r="O113" i="67" s="1"/>
  <c r="L117" i="67"/>
  <c r="O117" i="67" s="1"/>
  <c r="L121" i="67"/>
  <c r="O121" i="67" s="1"/>
  <c r="L116" i="67"/>
  <c r="O116" i="67" s="1"/>
  <c r="L120" i="67"/>
  <c r="O120" i="67" s="1"/>
  <c r="L115" i="67"/>
  <c r="O115" i="67" s="1"/>
  <c r="L119" i="67"/>
  <c r="O119" i="67" s="1"/>
  <c r="L54" i="53"/>
  <c r="H54" i="53"/>
  <c r="K54" i="53" s="1"/>
  <c r="K113" i="67"/>
  <c r="N113" i="67" s="1"/>
  <c r="K117" i="67"/>
  <c r="N117" i="67" s="1"/>
  <c r="K121" i="67"/>
  <c r="N121" i="67" s="1"/>
  <c r="K116" i="67"/>
  <c r="N116" i="67" s="1"/>
  <c r="K120" i="67"/>
  <c r="N120" i="67" s="1"/>
  <c r="K115" i="67"/>
  <c r="N115" i="67" s="1"/>
  <c r="K119" i="67"/>
  <c r="N119" i="67" s="1"/>
  <c r="K114" i="67"/>
  <c r="N114" i="67" s="1"/>
  <c r="K118" i="67"/>
  <c r="N118" i="67" s="1"/>
  <c r="K122" i="67"/>
  <c r="N122" i="67" s="1"/>
  <c r="J54" i="53"/>
  <c r="H26" i="53"/>
  <c r="K26" i="53" s="1"/>
  <c r="I26" i="53"/>
  <c r="L26" i="53" s="1"/>
  <c r="J26" i="53"/>
  <c r="D26" i="66"/>
  <c r="AK116" i="67" l="1"/>
  <c r="I27" i="57"/>
  <c r="AL114" i="67" s="1"/>
  <c r="AL107" i="67"/>
  <c r="AL105" i="67"/>
  <c r="AL106" i="67"/>
  <c r="AL108" i="67"/>
  <c r="AM106" i="67"/>
  <c r="AM108" i="67"/>
  <c r="AM105" i="67"/>
  <c r="AM107" i="67"/>
  <c r="I26" i="57"/>
  <c r="J26" i="57"/>
  <c r="AK111" i="67"/>
  <c r="AK112" i="67"/>
  <c r="AK110" i="67"/>
  <c r="AK109" i="67"/>
  <c r="J27" i="57"/>
  <c r="H123" i="67"/>
  <c r="H125" i="67"/>
  <c r="H127" i="67"/>
  <c r="H129" i="67"/>
  <c r="H131" i="67"/>
  <c r="H124" i="67"/>
  <c r="H126" i="67"/>
  <c r="H128" i="67"/>
  <c r="H130" i="67"/>
  <c r="H132" i="67"/>
  <c r="I126" i="67"/>
  <c r="I124" i="67"/>
  <c r="I127" i="67"/>
  <c r="I130" i="67"/>
  <c r="I128" i="67"/>
  <c r="I131" i="67"/>
  <c r="I132" i="67"/>
  <c r="I125" i="67"/>
  <c r="I129" i="67"/>
  <c r="I123" i="67"/>
  <c r="G123" i="67"/>
  <c r="G125" i="67"/>
  <c r="G127" i="67"/>
  <c r="G129" i="67"/>
  <c r="G131" i="67"/>
  <c r="G124" i="67"/>
  <c r="G126" i="67"/>
  <c r="G128" i="67"/>
  <c r="G130" i="67"/>
  <c r="G132" i="67"/>
  <c r="D26" i="53"/>
  <c r="D54" i="53" s="1"/>
  <c r="F26" i="66"/>
  <c r="E26" i="66"/>
  <c r="G27" i="66"/>
  <c r="I27" i="66" s="1"/>
  <c r="AL116" i="67" l="1"/>
  <c r="AL113" i="67"/>
  <c r="AL115" i="67"/>
  <c r="AM115" i="67"/>
  <c r="AM114" i="67"/>
  <c r="AM113" i="67"/>
  <c r="AM116" i="67"/>
  <c r="D29" i="57"/>
  <c r="D28" i="57"/>
  <c r="H28" i="57" s="1"/>
  <c r="D30" i="57"/>
  <c r="AM111" i="67"/>
  <c r="AM110" i="67"/>
  <c r="AM112" i="67"/>
  <c r="AM109" i="67"/>
  <c r="AL112" i="67"/>
  <c r="AL111" i="67"/>
  <c r="AL110" i="67"/>
  <c r="AL109" i="67"/>
  <c r="F54" i="53"/>
  <c r="J124" i="67"/>
  <c r="M124" i="67" s="1"/>
  <c r="J123" i="67"/>
  <c r="M123" i="67" s="1"/>
  <c r="J126" i="67"/>
  <c r="M126" i="67" s="1"/>
  <c r="J125" i="67"/>
  <c r="M125" i="67" s="1"/>
  <c r="J127" i="67"/>
  <c r="M127" i="67" s="1"/>
  <c r="J131" i="67"/>
  <c r="M131" i="67" s="1"/>
  <c r="J130" i="67"/>
  <c r="M130" i="67" s="1"/>
  <c r="J129" i="67"/>
  <c r="M129" i="67" s="1"/>
  <c r="J128" i="67"/>
  <c r="M128" i="67" s="1"/>
  <c r="J132" i="67"/>
  <c r="M132" i="67" s="1"/>
  <c r="G55" i="53"/>
  <c r="I55" i="53" s="1"/>
  <c r="E54" i="53"/>
  <c r="M54" i="53"/>
  <c r="F26" i="53"/>
  <c r="E26" i="53"/>
  <c r="G27" i="53"/>
  <c r="I27" i="53" s="1"/>
  <c r="J27" i="66"/>
  <c r="H27" i="66"/>
  <c r="K27" i="66" s="1"/>
  <c r="L27" i="66"/>
  <c r="H30" i="57" l="1"/>
  <c r="AK126" i="67" s="1"/>
  <c r="AK125" i="67"/>
  <c r="E30" i="57"/>
  <c r="E29" i="57"/>
  <c r="E28" i="57"/>
  <c r="I28" i="57" s="1"/>
  <c r="F30" i="57"/>
  <c r="F29" i="57"/>
  <c r="F28" i="57"/>
  <c r="J28" i="57" s="1"/>
  <c r="AK120" i="67"/>
  <c r="AK117" i="67"/>
  <c r="AK119" i="67"/>
  <c r="AK118" i="67"/>
  <c r="H29" i="57"/>
  <c r="J55" i="53"/>
  <c r="G133" i="67" s="1"/>
  <c r="H55" i="53"/>
  <c r="K55" i="53" s="1"/>
  <c r="K125" i="67"/>
  <c r="N125" i="67" s="1"/>
  <c r="K124" i="67"/>
  <c r="N124" i="67" s="1"/>
  <c r="K123" i="67"/>
  <c r="N123" i="67" s="1"/>
  <c r="K128" i="67"/>
  <c r="N128" i="67" s="1"/>
  <c r="K132" i="67"/>
  <c r="N132" i="67" s="1"/>
  <c r="K127" i="67"/>
  <c r="N127" i="67" s="1"/>
  <c r="K131" i="67"/>
  <c r="N131" i="67" s="1"/>
  <c r="K130" i="67"/>
  <c r="N130" i="67" s="1"/>
  <c r="K126" i="67"/>
  <c r="N126" i="67" s="1"/>
  <c r="K129" i="67"/>
  <c r="N129" i="67" s="1"/>
  <c r="L126" i="67"/>
  <c r="O126" i="67" s="1"/>
  <c r="L125" i="67"/>
  <c r="O125" i="67" s="1"/>
  <c r="L124" i="67"/>
  <c r="O124" i="67" s="1"/>
  <c r="L123" i="67"/>
  <c r="O123" i="67" s="1"/>
  <c r="L129" i="67"/>
  <c r="O129" i="67" s="1"/>
  <c r="L128" i="67"/>
  <c r="O128" i="67" s="1"/>
  <c r="L132" i="67"/>
  <c r="O132" i="67" s="1"/>
  <c r="L127" i="67"/>
  <c r="O127" i="67" s="1"/>
  <c r="L131" i="67"/>
  <c r="O131" i="67" s="1"/>
  <c r="L130" i="67"/>
  <c r="O130" i="67" s="1"/>
  <c r="L55" i="53"/>
  <c r="J27" i="53"/>
  <c r="E9" i="65" s="1"/>
  <c r="F9" i="65" s="1"/>
  <c r="H27" i="53"/>
  <c r="K27" i="53" s="1"/>
  <c r="L27" i="53"/>
  <c r="G9" i="65" s="1"/>
  <c r="D27" i="66"/>
  <c r="AK128" i="67" l="1"/>
  <c r="G134" i="67"/>
  <c r="G137" i="67"/>
  <c r="G142" i="67"/>
  <c r="E15" i="65"/>
  <c r="F15" i="65" s="1"/>
  <c r="G136" i="67"/>
  <c r="G140" i="67"/>
  <c r="G141" i="67"/>
  <c r="AK127" i="67"/>
  <c r="G138" i="67"/>
  <c r="G139" i="67"/>
  <c r="AM117" i="67"/>
  <c r="AM119" i="67"/>
  <c r="AM118" i="67"/>
  <c r="AM120" i="67"/>
  <c r="I29" i="57"/>
  <c r="AL117" i="67"/>
  <c r="AL119" i="67"/>
  <c r="AL120" i="67"/>
  <c r="AL118" i="67"/>
  <c r="J29" i="57"/>
  <c r="I30" i="57"/>
  <c r="AK124" i="67"/>
  <c r="AK121" i="67"/>
  <c r="AK122" i="67"/>
  <c r="AK123" i="67"/>
  <c r="J30" i="57"/>
  <c r="G135" i="67"/>
  <c r="H133" i="67"/>
  <c r="H135" i="67"/>
  <c r="H137" i="67"/>
  <c r="H139" i="67"/>
  <c r="H141" i="67"/>
  <c r="H134" i="67"/>
  <c r="H136" i="67"/>
  <c r="H138" i="67"/>
  <c r="H140" i="67"/>
  <c r="H142" i="67"/>
  <c r="G15" i="65"/>
  <c r="I133" i="67"/>
  <c r="I140" i="67"/>
  <c r="I141" i="67"/>
  <c r="I142" i="67"/>
  <c r="I134" i="67"/>
  <c r="I137" i="67"/>
  <c r="I135" i="67"/>
  <c r="I138" i="67"/>
  <c r="I139" i="67"/>
  <c r="I136" i="67"/>
  <c r="D27" i="53"/>
  <c r="D55" i="53" s="1"/>
  <c r="F27" i="66"/>
  <c r="E27" i="66"/>
  <c r="G28" i="66"/>
  <c r="AM123" i="67" l="1"/>
  <c r="AM122" i="67"/>
  <c r="AM121" i="67"/>
  <c r="AM124" i="67"/>
  <c r="D33" i="57"/>
  <c r="D32" i="57"/>
  <c r="D31" i="57"/>
  <c r="H31" i="57" s="1"/>
  <c r="AL126" i="67"/>
  <c r="AL127" i="67"/>
  <c r="AL128" i="67"/>
  <c r="AL125" i="67"/>
  <c r="AM125" i="67"/>
  <c r="AM127" i="67"/>
  <c r="AM128" i="67"/>
  <c r="AM126" i="67"/>
  <c r="AL123" i="67"/>
  <c r="AL121" i="67"/>
  <c r="AL124" i="67"/>
  <c r="AL122" i="67"/>
  <c r="F55" i="53"/>
  <c r="J135" i="67"/>
  <c r="M135" i="67" s="1"/>
  <c r="J139" i="67"/>
  <c r="M139" i="67" s="1"/>
  <c r="J134" i="67"/>
  <c r="M134" i="67" s="1"/>
  <c r="J138" i="67"/>
  <c r="M138" i="67" s="1"/>
  <c r="J142" i="67"/>
  <c r="M142" i="67" s="1"/>
  <c r="J133" i="67"/>
  <c r="M133" i="67" s="1"/>
  <c r="J137" i="67"/>
  <c r="M137" i="67" s="1"/>
  <c r="J141" i="67"/>
  <c r="M141" i="67" s="1"/>
  <c r="J136" i="67"/>
  <c r="M136" i="67" s="1"/>
  <c r="J140" i="67"/>
  <c r="M140" i="67" s="1"/>
  <c r="G56" i="53"/>
  <c r="I56" i="53" s="1"/>
  <c r="E55" i="53"/>
  <c r="M55" i="53"/>
  <c r="F27" i="53"/>
  <c r="E27" i="53"/>
  <c r="G28" i="53"/>
  <c r="I28" i="53" s="1"/>
  <c r="I28" i="66"/>
  <c r="J28" i="66"/>
  <c r="H28" i="66"/>
  <c r="K28" i="66"/>
  <c r="L28" i="66"/>
  <c r="E33" i="57" l="1"/>
  <c r="E32" i="57"/>
  <c r="E31" i="57"/>
  <c r="I31" i="57" s="1"/>
  <c r="F31" i="57"/>
  <c r="J31" i="57" s="1"/>
  <c r="F33" i="57"/>
  <c r="F32" i="57"/>
  <c r="AK131" i="67"/>
  <c r="AK132" i="67"/>
  <c r="AK129" i="67"/>
  <c r="AK130" i="67"/>
  <c r="H32" i="57"/>
  <c r="H33" i="57"/>
  <c r="J28" i="53"/>
  <c r="J56" i="53"/>
  <c r="G145" i="67" s="1"/>
  <c r="L133" i="67"/>
  <c r="O133" i="67" s="1"/>
  <c r="L137" i="67"/>
  <c r="O137" i="67" s="1"/>
  <c r="L141" i="67"/>
  <c r="O141" i="67" s="1"/>
  <c r="L136" i="67"/>
  <c r="O136" i="67" s="1"/>
  <c r="L140" i="67"/>
  <c r="O140" i="67" s="1"/>
  <c r="L135" i="67"/>
  <c r="O135" i="67" s="1"/>
  <c r="L139" i="67"/>
  <c r="O139" i="67" s="1"/>
  <c r="L134" i="67"/>
  <c r="O134" i="67" s="1"/>
  <c r="L138" i="67"/>
  <c r="O138" i="67" s="1"/>
  <c r="L142" i="67"/>
  <c r="O142" i="67" s="1"/>
  <c r="L56" i="53"/>
  <c r="H56" i="53"/>
  <c r="K56" i="53" s="1"/>
  <c r="K136" i="67"/>
  <c r="N136" i="67" s="1"/>
  <c r="K140" i="67"/>
  <c r="N140" i="67" s="1"/>
  <c r="K135" i="67"/>
  <c r="N135" i="67" s="1"/>
  <c r="K139" i="67"/>
  <c r="N139" i="67" s="1"/>
  <c r="K134" i="67"/>
  <c r="N134" i="67" s="1"/>
  <c r="K138" i="67"/>
  <c r="N138" i="67" s="1"/>
  <c r="K142" i="67"/>
  <c r="N142" i="67" s="1"/>
  <c r="K133" i="67"/>
  <c r="N133" i="67" s="1"/>
  <c r="K137" i="67"/>
  <c r="N137" i="67" s="1"/>
  <c r="K141" i="67"/>
  <c r="N141" i="67" s="1"/>
  <c r="H28" i="53"/>
  <c r="K28" i="53" s="1"/>
  <c r="D28" i="53"/>
  <c r="D56" i="53" s="1"/>
  <c r="L28" i="53"/>
  <c r="D28" i="66"/>
  <c r="G148" i="67" l="1"/>
  <c r="J32" i="57"/>
  <c r="AM134" i="67" s="1"/>
  <c r="G147" i="67"/>
  <c r="AL131" i="67"/>
  <c r="AL129" i="67"/>
  <c r="AL130" i="67"/>
  <c r="AL132" i="67"/>
  <c r="G146" i="67"/>
  <c r="I32" i="57"/>
  <c r="G152" i="67"/>
  <c r="G150" i="67"/>
  <c r="G149" i="67"/>
  <c r="AK136" i="67"/>
  <c r="AK133" i="67"/>
  <c r="AK134" i="67"/>
  <c r="AK135" i="67"/>
  <c r="AM130" i="67"/>
  <c r="AM132" i="67"/>
  <c r="AM129" i="67"/>
  <c r="AM131" i="67"/>
  <c r="D36" i="57"/>
  <c r="D35" i="57"/>
  <c r="D34" i="57"/>
  <c r="H34" i="57" s="1"/>
  <c r="G143" i="67"/>
  <c r="AM133" i="67"/>
  <c r="AM135" i="67"/>
  <c r="G151" i="67"/>
  <c r="AK139" i="67"/>
  <c r="AK140" i="67"/>
  <c r="AK138" i="67"/>
  <c r="AK137" i="67"/>
  <c r="J33" i="57"/>
  <c r="I33" i="57"/>
  <c r="G144" i="67"/>
  <c r="H143" i="67"/>
  <c r="H145" i="67"/>
  <c r="H147" i="67"/>
  <c r="H149" i="67"/>
  <c r="H151" i="67"/>
  <c r="H144" i="67"/>
  <c r="H146" i="67"/>
  <c r="H148" i="67"/>
  <c r="H150" i="67"/>
  <c r="H152" i="67"/>
  <c r="I146" i="67"/>
  <c r="I144" i="67"/>
  <c r="I147" i="67"/>
  <c r="I143" i="67"/>
  <c r="I150" i="67"/>
  <c r="I148" i="67"/>
  <c r="I151" i="67"/>
  <c r="I145" i="67"/>
  <c r="I152" i="67"/>
  <c r="I149" i="67"/>
  <c r="F56" i="53"/>
  <c r="J143" i="67"/>
  <c r="J147" i="67"/>
  <c r="J151" i="67"/>
  <c r="J146" i="67"/>
  <c r="J150" i="67"/>
  <c r="J145" i="67"/>
  <c r="M145" i="67" s="1"/>
  <c r="J149" i="67"/>
  <c r="J144" i="67"/>
  <c r="J148" i="67"/>
  <c r="M148" i="67" s="1"/>
  <c r="J152" i="67"/>
  <c r="M152" i="67" s="1"/>
  <c r="E56" i="53"/>
  <c r="G57" i="53"/>
  <c r="I57" i="53" s="1"/>
  <c r="M56" i="53"/>
  <c r="E28" i="53"/>
  <c r="H29" i="53" s="1"/>
  <c r="F28" i="53"/>
  <c r="G29" i="53"/>
  <c r="E28" i="66"/>
  <c r="G29" i="66"/>
  <c r="F28" i="66"/>
  <c r="AM136" i="67" l="1"/>
  <c r="M149" i="67"/>
  <c r="M147" i="67"/>
  <c r="M144" i="67"/>
  <c r="M146" i="67"/>
  <c r="M151" i="67"/>
  <c r="M143" i="67"/>
  <c r="H35" i="57"/>
  <c r="AK146" i="67" s="1"/>
  <c r="H36" i="57"/>
  <c r="E34" i="57"/>
  <c r="I34" i="57" s="1"/>
  <c r="E36" i="57"/>
  <c r="E35" i="57"/>
  <c r="AL137" i="67"/>
  <c r="AL138" i="67"/>
  <c r="AL140" i="67"/>
  <c r="AL139" i="67"/>
  <c r="AL136" i="67"/>
  <c r="AL133" i="67"/>
  <c r="AL135" i="67"/>
  <c r="AL134" i="67"/>
  <c r="F35" i="57"/>
  <c r="F34" i="57"/>
  <c r="J34" i="57" s="1"/>
  <c r="F36" i="57"/>
  <c r="M150" i="67"/>
  <c r="AM140" i="67"/>
  <c r="AM137" i="67"/>
  <c r="AM138" i="67"/>
  <c r="AM139" i="67"/>
  <c r="AK143" i="67"/>
  <c r="AK142" i="67"/>
  <c r="AK141" i="67"/>
  <c r="AK144" i="67"/>
  <c r="L145" i="67"/>
  <c r="O145" i="67" s="1"/>
  <c r="L149" i="67"/>
  <c r="O149" i="67" s="1"/>
  <c r="L144" i="67"/>
  <c r="O144" i="67" s="1"/>
  <c r="L148" i="67"/>
  <c r="O148" i="67" s="1"/>
  <c r="L152" i="67"/>
  <c r="O152" i="67" s="1"/>
  <c r="L143" i="67"/>
  <c r="O143" i="67" s="1"/>
  <c r="L147" i="67"/>
  <c r="O147" i="67" s="1"/>
  <c r="L151" i="67"/>
  <c r="O151" i="67" s="1"/>
  <c r="L146" i="67"/>
  <c r="O146" i="67" s="1"/>
  <c r="L150" i="67"/>
  <c r="O150" i="67" s="1"/>
  <c r="H57" i="53"/>
  <c r="K57" i="53" s="1"/>
  <c r="K144" i="67"/>
  <c r="N144" i="67" s="1"/>
  <c r="K148" i="67"/>
  <c r="N148" i="67" s="1"/>
  <c r="K152" i="67"/>
  <c r="N152" i="67" s="1"/>
  <c r="K143" i="67"/>
  <c r="N143" i="67" s="1"/>
  <c r="K147" i="67"/>
  <c r="N147" i="67" s="1"/>
  <c r="K151" i="67"/>
  <c r="N151" i="67" s="1"/>
  <c r="K146" i="67"/>
  <c r="N146" i="67" s="1"/>
  <c r="K150" i="67"/>
  <c r="N150" i="67" s="1"/>
  <c r="K145" i="67"/>
  <c r="N145" i="67" s="1"/>
  <c r="K149" i="67"/>
  <c r="N149" i="67" s="1"/>
  <c r="L57" i="53"/>
  <c r="K29" i="53"/>
  <c r="J57" i="53"/>
  <c r="I29" i="53"/>
  <c r="L29" i="53" s="1"/>
  <c r="J29" i="53"/>
  <c r="L29" i="66"/>
  <c r="I29" i="66"/>
  <c r="J29" i="66"/>
  <c r="H29" i="66"/>
  <c r="K29" i="66" s="1"/>
  <c r="AK145" i="67" l="1"/>
  <c r="AK148" i="67"/>
  <c r="J36" i="57"/>
  <c r="AM150" i="67" s="1"/>
  <c r="I36" i="57"/>
  <c r="AL152" i="67" s="1"/>
  <c r="AK147" i="67"/>
  <c r="AM144" i="67"/>
  <c r="AM141" i="67"/>
  <c r="AM143" i="67"/>
  <c r="AM142" i="67"/>
  <c r="AL142" i="67"/>
  <c r="AL144" i="67"/>
  <c r="AL141" i="67"/>
  <c r="AL143" i="67"/>
  <c r="J35" i="57"/>
  <c r="AK152" i="67"/>
  <c r="AK149" i="67"/>
  <c r="AK150" i="67"/>
  <c r="AK151" i="67"/>
  <c r="I35" i="57"/>
  <c r="H153" i="67"/>
  <c r="H155" i="67"/>
  <c r="H157" i="67"/>
  <c r="H159" i="67"/>
  <c r="H161" i="67"/>
  <c r="H154" i="67"/>
  <c r="H156" i="67"/>
  <c r="H158" i="67"/>
  <c r="H160" i="67"/>
  <c r="H162" i="67"/>
  <c r="G153" i="67"/>
  <c r="G155" i="67"/>
  <c r="G157" i="67"/>
  <c r="G159" i="67"/>
  <c r="G161" i="67"/>
  <c r="G154" i="67"/>
  <c r="G156" i="67"/>
  <c r="G158" i="67"/>
  <c r="G160" i="67"/>
  <c r="G162" i="67"/>
  <c r="I162" i="67"/>
  <c r="I156" i="67"/>
  <c r="I153" i="67"/>
  <c r="I157" i="67"/>
  <c r="I160" i="67"/>
  <c r="I154" i="67"/>
  <c r="I155" i="67"/>
  <c r="I159" i="67"/>
  <c r="I161" i="67"/>
  <c r="I158" i="67"/>
  <c r="D29" i="53"/>
  <c r="D57" i="53" s="1"/>
  <c r="D29" i="66"/>
  <c r="AL149" i="67" l="1"/>
  <c r="AM151" i="67"/>
  <c r="AM149" i="67"/>
  <c r="AL150" i="67"/>
  <c r="AM152" i="67"/>
  <c r="AL151" i="67"/>
  <c r="AL148" i="67"/>
  <c r="AL146" i="67"/>
  <c r="AL147" i="67"/>
  <c r="AL145" i="67"/>
  <c r="D37" i="57"/>
  <c r="H37" i="57" s="1"/>
  <c r="D39" i="57"/>
  <c r="D38" i="57"/>
  <c r="AM146" i="67"/>
  <c r="AM148" i="67"/>
  <c r="AM147" i="67"/>
  <c r="AM145" i="67"/>
  <c r="F57" i="53"/>
  <c r="J155" i="67"/>
  <c r="M155" i="67" s="1"/>
  <c r="J159" i="67"/>
  <c r="M159" i="67" s="1"/>
  <c r="J154" i="67"/>
  <c r="M154" i="67" s="1"/>
  <c r="J158" i="67"/>
  <c r="M158" i="67" s="1"/>
  <c r="J162" i="67"/>
  <c r="M162" i="67" s="1"/>
  <c r="J153" i="67"/>
  <c r="M153" i="67" s="1"/>
  <c r="J157" i="67"/>
  <c r="M157" i="67" s="1"/>
  <c r="J161" i="67"/>
  <c r="M161" i="67" s="1"/>
  <c r="J156" i="67"/>
  <c r="M156" i="67" s="1"/>
  <c r="J160" i="67"/>
  <c r="M160" i="67" s="1"/>
  <c r="E57" i="53"/>
  <c r="G58" i="53"/>
  <c r="I58" i="53" s="1"/>
  <c r="M57" i="53"/>
  <c r="G30" i="53"/>
  <c r="I30" i="53" s="1"/>
  <c r="E29" i="53"/>
  <c r="F29" i="53"/>
  <c r="G30" i="66"/>
  <c r="E29" i="66"/>
  <c r="F29" i="66"/>
  <c r="H38" i="57" l="1"/>
  <c r="F39" i="57"/>
  <c r="F38" i="57"/>
  <c r="F37" i="57"/>
  <c r="J37" i="57" s="1"/>
  <c r="AK153" i="67"/>
  <c r="AK155" i="67"/>
  <c r="AK156" i="67"/>
  <c r="AK154" i="67"/>
  <c r="H39" i="57"/>
  <c r="E38" i="57"/>
  <c r="E37" i="57"/>
  <c r="I37" i="57" s="1"/>
  <c r="E39" i="57"/>
  <c r="I39" i="57" s="1"/>
  <c r="J58" i="53"/>
  <c r="G167" i="67" s="1"/>
  <c r="J30" i="53"/>
  <c r="E10" i="65" s="1"/>
  <c r="F10" i="65" s="1"/>
  <c r="L30" i="53"/>
  <c r="G10" i="65" s="1"/>
  <c r="H58" i="53"/>
  <c r="K58" i="53" s="1"/>
  <c r="K156" i="67"/>
  <c r="N156" i="67" s="1"/>
  <c r="K160" i="67"/>
  <c r="N160" i="67" s="1"/>
  <c r="K155" i="67"/>
  <c r="N155" i="67" s="1"/>
  <c r="K159" i="67"/>
  <c r="N159" i="67" s="1"/>
  <c r="K154" i="67"/>
  <c r="N154" i="67" s="1"/>
  <c r="K158" i="67"/>
  <c r="N158" i="67" s="1"/>
  <c r="K162" i="67"/>
  <c r="N162" i="67" s="1"/>
  <c r="K153" i="67"/>
  <c r="N153" i="67" s="1"/>
  <c r="K157" i="67"/>
  <c r="N157" i="67" s="1"/>
  <c r="K161" i="67"/>
  <c r="N161" i="67" s="1"/>
  <c r="G172" i="67"/>
  <c r="L153" i="67"/>
  <c r="O153" i="67" s="1"/>
  <c r="L157" i="67"/>
  <c r="O157" i="67" s="1"/>
  <c r="L161" i="67"/>
  <c r="O161" i="67" s="1"/>
  <c r="L156" i="67"/>
  <c r="O156" i="67" s="1"/>
  <c r="L160" i="67"/>
  <c r="O160" i="67" s="1"/>
  <c r="L155" i="67"/>
  <c r="O155" i="67" s="1"/>
  <c r="L159" i="67"/>
  <c r="O159" i="67" s="1"/>
  <c r="L154" i="67"/>
  <c r="O154" i="67" s="1"/>
  <c r="L158" i="67"/>
  <c r="O158" i="67" s="1"/>
  <c r="L162" i="67"/>
  <c r="O162" i="67" s="1"/>
  <c r="L58" i="53"/>
  <c r="H30" i="53"/>
  <c r="K30" i="53" s="1"/>
  <c r="D30" i="53"/>
  <c r="D58" i="53" s="1"/>
  <c r="H30" i="66"/>
  <c r="K30" i="66"/>
  <c r="I30" i="66"/>
  <c r="L30" i="66" s="1"/>
  <c r="J30" i="66"/>
  <c r="G164" i="67" l="1"/>
  <c r="G165" i="67"/>
  <c r="G170" i="67"/>
  <c r="G168" i="67"/>
  <c r="G169" i="67"/>
  <c r="E16" i="65"/>
  <c r="F16" i="65" s="1"/>
  <c r="G171" i="67"/>
  <c r="G163" i="67"/>
  <c r="G166" i="67"/>
  <c r="I38" i="57"/>
  <c r="J38" i="57"/>
  <c r="AL157" i="67"/>
  <c r="AL158" i="67"/>
  <c r="AL159" i="67"/>
  <c r="AL160" i="67"/>
  <c r="D41" i="57"/>
  <c r="D40" i="57"/>
  <c r="H40" i="57" s="1"/>
  <c r="D42" i="57"/>
  <c r="AK158" i="67"/>
  <c r="AK159" i="67"/>
  <c r="AK157" i="67"/>
  <c r="AK160" i="67"/>
  <c r="J39" i="57"/>
  <c r="H163" i="67"/>
  <c r="H165" i="67"/>
  <c r="H167" i="67"/>
  <c r="H169" i="67"/>
  <c r="H171" i="67"/>
  <c r="H164" i="67"/>
  <c r="H166" i="67"/>
  <c r="H168" i="67"/>
  <c r="H170" i="67"/>
  <c r="H172" i="67"/>
  <c r="I165" i="67"/>
  <c r="I172" i="67"/>
  <c r="I163" i="67"/>
  <c r="I164" i="67"/>
  <c r="I171" i="67"/>
  <c r="G16" i="65"/>
  <c r="I169" i="67"/>
  <c r="I170" i="67"/>
  <c r="I166" i="67"/>
  <c r="I167" i="67"/>
  <c r="I168" i="67"/>
  <c r="F58" i="53"/>
  <c r="J163" i="67"/>
  <c r="J167" i="67"/>
  <c r="M167" i="67" s="1"/>
  <c r="J171" i="67"/>
  <c r="M171" i="67" s="1"/>
  <c r="J166" i="67"/>
  <c r="M166" i="67" s="1"/>
  <c r="J170" i="67"/>
  <c r="J165" i="67"/>
  <c r="M165" i="67" s="1"/>
  <c r="J169" i="67"/>
  <c r="J164" i="67"/>
  <c r="M164" i="67" s="1"/>
  <c r="J168" i="67"/>
  <c r="J172" i="67"/>
  <c r="M172" i="67" s="1"/>
  <c r="G59" i="53"/>
  <c r="I59" i="53" s="1"/>
  <c r="E58" i="53"/>
  <c r="M58" i="53"/>
  <c r="F30" i="53"/>
  <c r="E30" i="53"/>
  <c r="H31" i="53" s="1"/>
  <c r="G31" i="53"/>
  <c r="I31" i="53" s="1"/>
  <c r="D30" i="66"/>
  <c r="M168" i="67" l="1"/>
  <c r="M170" i="67"/>
  <c r="M163" i="67"/>
  <c r="M169" i="67"/>
  <c r="AM159" i="67"/>
  <c r="AM158" i="67"/>
  <c r="AM160" i="67"/>
  <c r="AM157" i="67"/>
  <c r="H41" i="57"/>
  <c r="AM156" i="67"/>
  <c r="AM155" i="67"/>
  <c r="AM154" i="67"/>
  <c r="AM153" i="67"/>
  <c r="AK163" i="67"/>
  <c r="AK162" i="67"/>
  <c r="AK161" i="67"/>
  <c r="AK164" i="67"/>
  <c r="E42" i="57"/>
  <c r="E41" i="57"/>
  <c r="E40" i="57"/>
  <c r="I40" i="57" s="1"/>
  <c r="F42" i="57"/>
  <c r="F41" i="57"/>
  <c r="F40" i="57"/>
  <c r="J40" i="57" s="1"/>
  <c r="H42" i="57"/>
  <c r="AL156" i="67"/>
  <c r="AL154" i="67"/>
  <c r="AL155" i="67"/>
  <c r="AL153" i="67"/>
  <c r="L59" i="53"/>
  <c r="I174" i="67" s="1"/>
  <c r="I176" i="67"/>
  <c r="J59" i="53"/>
  <c r="L165" i="67"/>
  <c r="O165" i="67" s="1"/>
  <c r="L169" i="67"/>
  <c r="L164" i="67"/>
  <c r="O164" i="67" s="1"/>
  <c r="L168" i="67"/>
  <c r="O168" i="67" s="1"/>
  <c r="L172" i="67"/>
  <c r="O172" i="67" s="1"/>
  <c r="L163" i="67"/>
  <c r="O163" i="67" s="1"/>
  <c r="L167" i="67"/>
  <c r="O167" i="67" s="1"/>
  <c r="L171" i="67"/>
  <c r="O171" i="67" s="1"/>
  <c r="L166" i="67"/>
  <c r="O166" i="67" s="1"/>
  <c r="L170" i="67"/>
  <c r="O170" i="67" s="1"/>
  <c r="O169" i="67"/>
  <c r="L31" i="53"/>
  <c r="H59" i="53"/>
  <c r="K59" i="53" s="1"/>
  <c r="K164" i="67"/>
  <c r="N164" i="67" s="1"/>
  <c r="K168" i="67"/>
  <c r="N168" i="67" s="1"/>
  <c r="K172" i="67"/>
  <c r="N172" i="67" s="1"/>
  <c r="K163" i="67"/>
  <c r="N163" i="67" s="1"/>
  <c r="K167" i="67"/>
  <c r="N167" i="67" s="1"/>
  <c r="K171" i="67"/>
  <c r="N171" i="67" s="1"/>
  <c r="K166" i="67"/>
  <c r="N166" i="67" s="1"/>
  <c r="K170" i="67"/>
  <c r="N170" i="67" s="1"/>
  <c r="K165" i="67"/>
  <c r="N165" i="67" s="1"/>
  <c r="K169" i="67"/>
  <c r="N169" i="67" s="1"/>
  <c r="J31" i="53"/>
  <c r="D31" i="53" s="1"/>
  <c r="D59" i="53" s="1"/>
  <c r="K31" i="53"/>
  <c r="F30" i="66"/>
  <c r="E30" i="66"/>
  <c r="G31" i="66"/>
  <c r="I31" i="66" s="1"/>
  <c r="I41" i="57" l="1"/>
  <c r="I178" i="67"/>
  <c r="AL166" i="67"/>
  <c r="AL167" i="67"/>
  <c r="AL165" i="67"/>
  <c r="AL168" i="67"/>
  <c r="J41" i="57"/>
  <c r="I42" i="57"/>
  <c r="AM161" i="67"/>
  <c r="AM163" i="67"/>
  <c r="AM162" i="67"/>
  <c r="AM164" i="67"/>
  <c r="J42" i="57"/>
  <c r="D45" i="57"/>
  <c r="D44" i="57"/>
  <c r="D43" i="57"/>
  <c r="H43" i="57" s="1"/>
  <c r="AK169" i="67"/>
  <c r="AK170" i="67"/>
  <c r="AK172" i="67"/>
  <c r="AK171" i="67"/>
  <c r="AL163" i="67"/>
  <c r="AL164" i="67"/>
  <c r="AL161" i="67"/>
  <c r="AL162" i="67"/>
  <c r="AK165" i="67"/>
  <c r="AK168" i="67"/>
  <c r="AK166" i="67"/>
  <c r="AK167" i="67"/>
  <c r="I182" i="67"/>
  <c r="I175" i="67"/>
  <c r="I180" i="67"/>
  <c r="I179" i="67"/>
  <c r="I173" i="67"/>
  <c r="I181" i="67"/>
  <c r="I177" i="67"/>
  <c r="H173" i="67"/>
  <c r="H175" i="67"/>
  <c r="H177" i="67"/>
  <c r="H179" i="67"/>
  <c r="H181" i="67"/>
  <c r="H174" i="67"/>
  <c r="H176" i="67"/>
  <c r="H178" i="67"/>
  <c r="H180" i="67"/>
  <c r="H182" i="67"/>
  <c r="F59" i="53"/>
  <c r="J175" i="67"/>
  <c r="J179" i="67"/>
  <c r="J174" i="67"/>
  <c r="J178" i="67"/>
  <c r="J182" i="67"/>
  <c r="J173" i="67"/>
  <c r="J177" i="67"/>
  <c r="J181" i="67"/>
  <c r="J176" i="67"/>
  <c r="J180" i="67"/>
  <c r="E59" i="53"/>
  <c r="G60" i="53"/>
  <c r="I60" i="53" s="1"/>
  <c r="M59" i="53"/>
  <c r="G173" i="67"/>
  <c r="G175" i="67"/>
  <c r="G177" i="67"/>
  <c r="G179" i="67"/>
  <c r="G181" i="67"/>
  <c r="G174" i="67"/>
  <c r="M174" i="67" s="1"/>
  <c r="G176" i="67"/>
  <c r="G178" i="67"/>
  <c r="G180" i="67"/>
  <c r="M180" i="67" s="1"/>
  <c r="G182" i="67"/>
  <c r="J60" i="53"/>
  <c r="F31" i="53"/>
  <c r="E31" i="53"/>
  <c r="G32" i="53"/>
  <c r="H31" i="66"/>
  <c r="K31" i="66"/>
  <c r="L31" i="66"/>
  <c r="J31" i="66"/>
  <c r="H45" i="57" l="1"/>
  <c r="M181" i="67"/>
  <c r="M178" i="67"/>
  <c r="AM169" i="67"/>
  <c r="AM172" i="67"/>
  <c r="AM171" i="67"/>
  <c r="AM170" i="67"/>
  <c r="F43" i="57"/>
  <c r="J43" i="57" s="1"/>
  <c r="F45" i="57"/>
  <c r="F44" i="57"/>
  <c r="AK173" i="67"/>
  <c r="AK174" i="67"/>
  <c r="AK175" i="67"/>
  <c r="AK176" i="67"/>
  <c r="AL171" i="67"/>
  <c r="AL172" i="67"/>
  <c r="AL169" i="67"/>
  <c r="AL170" i="67"/>
  <c r="AK182" i="67"/>
  <c r="AK181" i="67"/>
  <c r="E45" i="57"/>
  <c r="E44" i="57"/>
  <c r="E43" i="57"/>
  <c r="I43" i="57" s="1"/>
  <c r="H44" i="57"/>
  <c r="AM167" i="67"/>
  <c r="AM165" i="67"/>
  <c r="AM166" i="67"/>
  <c r="AM168" i="67"/>
  <c r="M173" i="67"/>
  <c r="M179" i="67"/>
  <c r="M176" i="67"/>
  <c r="M182" i="67"/>
  <c r="M175" i="67"/>
  <c r="H60" i="53"/>
  <c r="K60" i="53" s="1"/>
  <c r="K176" i="67"/>
  <c r="K180" i="67"/>
  <c r="N180" i="67" s="1"/>
  <c r="K175" i="67"/>
  <c r="N175" i="67" s="1"/>
  <c r="K179" i="67"/>
  <c r="N179" i="67" s="1"/>
  <c r="K174" i="67"/>
  <c r="N174" i="67" s="1"/>
  <c r="K178" i="67"/>
  <c r="N178" i="67" s="1"/>
  <c r="K182" i="67"/>
  <c r="N182" i="67" s="1"/>
  <c r="K173" i="67"/>
  <c r="N173" i="67" s="1"/>
  <c r="K177" i="67"/>
  <c r="N177" i="67" s="1"/>
  <c r="K181" i="67"/>
  <c r="N181" i="67" s="1"/>
  <c r="G183" i="67"/>
  <c r="G185" i="67"/>
  <c r="G187" i="67"/>
  <c r="G189" i="67"/>
  <c r="G191" i="67"/>
  <c r="G184" i="67"/>
  <c r="G186" i="67"/>
  <c r="G188" i="67"/>
  <c r="G190" i="67"/>
  <c r="G192" i="67"/>
  <c r="M177" i="67"/>
  <c r="L173" i="67"/>
  <c r="O173" i="67" s="1"/>
  <c r="L177" i="67"/>
  <c r="O177" i="67" s="1"/>
  <c r="L181" i="67"/>
  <c r="O181" i="67" s="1"/>
  <c r="L176" i="67"/>
  <c r="O176" i="67" s="1"/>
  <c r="L180" i="67"/>
  <c r="O180" i="67" s="1"/>
  <c r="L175" i="67"/>
  <c r="O175" i="67" s="1"/>
  <c r="L179" i="67"/>
  <c r="O179" i="67" s="1"/>
  <c r="L174" i="67"/>
  <c r="O174" i="67" s="1"/>
  <c r="L178" i="67"/>
  <c r="O178" i="67" s="1"/>
  <c r="L182" i="67"/>
  <c r="O182" i="67" s="1"/>
  <c r="L60" i="53"/>
  <c r="N176" i="67"/>
  <c r="H32" i="53"/>
  <c r="K32" i="53" s="1"/>
  <c r="I32" i="53"/>
  <c r="L32" i="53" s="1"/>
  <c r="J32" i="53"/>
  <c r="D31" i="66"/>
  <c r="I45" i="57" l="1"/>
  <c r="J45" i="57"/>
  <c r="AM181" i="67" s="1"/>
  <c r="J44" i="57"/>
  <c r="AM179" i="67" s="1"/>
  <c r="AK179" i="67"/>
  <c r="AK178" i="67"/>
  <c r="AK180" i="67"/>
  <c r="AK177" i="67"/>
  <c r="AM177" i="67"/>
  <c r="AL181" i="67"/>
  <c r="AL182" i="67"/>
  <c r="AL173" i="67"/>
  <c r="AL175" i="67"/>
  <c r="AL176" i="67"/>
  <c r="AL174" i="67"/>
  <c r="AM182" i="67"/>
  <c r="I44" i="57"/>
  <c r="AM173" i="67"/>
  <c r="AM175" i="67"/>
  <c r="AM174" i="67"/>
  <c r="AM176" i="67"/>
  <c r="H183" i="67"/>
  <c r="H185" i="67"/>
  <c r="H187" i="67"/>
  <c r="H189" i="67"/>
  <c r="H191" i="67"/>
  <c r="H184" i="67"/>
  <c r="H186" i="67"/>
  <c r="H188" i="67"/>
  <c r="H190" i="67"/>
  <c r="H192" i="67"/>
  <c r="I184" i="67"/>
  <c r="I183" i="67"/>
  <c r="I188" i="67"/>
  <c r="I185" i="67"/>
  <c r="I187" i="67"/>
  <c r="I189" i="67"/>
  <c r="I186" i="67"/>
  <c r="I191" i="67"/>
  <c r="I190" i="67"/>
  <c r="I192" i="67"/>
  <c r="D32" i="53"/>
  <c r="D60" i="53" s="1"/>
  <c r="F31" i="66"/>
  <c r="E31" i="66"/>
  <c r="G32" i="66"/>
  <c r="AM180" i="67" l="1"/>
  <c r="AM178" i="67"/>
  <c r="AL178" i="67"/>
  <c r="AL179" i="67"/>
  <c r="AL180" i="67"/>
  <c r="AL177" i="67"/>
  <c r="D48" i="57"/>
  <c r="D47" i="57"/>
  <c r="D46" i="57"/>
  <c r="H46" i="57" s="1"/>
  <c r="F60" i="53"/>
  <c r="J183" i="67"/>
  <c r="M183" i="67" s="1"/>
  <c r="J187" i="67"/>
  <c r="M187" i="67" s="1"/>
  <c r="J191" i="67"/>
  <c r="M191" i="67" s="1"/>
  <c r="J186" i="67"/>
  <c r="M186" i="67" s="1"/>
  <c r="J190" i="67"/>
  <c r="M190" i="67" s="1"/>
  <c r="J185" i="67"/>
  <c r="M185" i="67" s="1"/>
  <c r="J189" i="67"/>
  <c r="M189" i="67" s="1"/>
  <c r="J184" i="67"/>
  <c r="M184" i="67" s="1"/>
  <c r="J188" i="67"/>
  <c r="M188" i="67" s="1"/>
  <c r="J192" i="67"/>
  <c r="M192" i="67" s="1"/>
  <c r="E60" i="53"/>
  <c r="G61" i="53"/>
  <c r="I61" i="53" s="1"/>
  <c r="M60" i="53"/>
  <c r="E32" i="53"/>
  <c r="F32" i="53"/>
  <c r="G33" i="53"/>
  <c r="I33" i="53" s="1"/>
  <c r="H32" i="66"/>
  <c r="K32" i="66"/>
  <c r="I32" i="66"/>
  <c r="L32" i="66" s="1"/>
  <c r="J32" i="66"/>
  <c r="H47" i="57" l="1"/>
  <c r="AK186" i="67" s="1"/>
  <c r="E46" i="57"/>
  <c r="I46" i="57" s="1"/>
  <c r="E48" i="57"/>
  <c r="E47" i="57"/>
  <c r="AK183" i="67"/>
  <c r="AK184" i="67"/>
  <c r="AK187" i="67"/>
  <c r="F47" i="57"/>
  <c r="F46" i="57"/>
  <c r="J46" i="57" s="1"/>
  <c r="F48" i="57"/>
  <c r="H48" i="57"/>
  <c r="J33" i="53"/>
  <c r="L185" i="67"/>
  <c r="O185" i="67" s="1"/>
  <c r="L189" i="67"/>
  <c r="O189" i="67" s="1"/>
  <c r="L184" i="67"/>
  <c r="O184" i="67" s="1"/>
  <c r="L188" i="67"/>
  <c r="O188" i="67" s="1"/>
  <c r="L192" i="67"/>
  <c r="O192" i="67" s="1"/>
  <c r="L183" i="67"/>
  <c r="O183" i="67" s="1"/>
  <c r="L187" i="67"/>
  <c r="O187" i="67" s="1"/>
  <c r="L191" i="67"/>
  <c r="O191" i="67" s="1"/>
  <c r="L186" i="67"/>
  <c r="O186" i="67" s="1"/>
  <c r="L190" i="67"/>
  <c r="O190" i="67" s="1"/>
  <c r="L61" i="53"/>
  <c r="H61" i="53"/>
  <c r="K61" i="53" s="1"/>
  <c r="K184" i="67"/>
  <c r="N184" i="67" s="1"/>
  <c r="K188" i="67"/>
  <c r="N188" i="67" s="1"/>
  <c r="K192" i="67"/>
  <c r="N192" i="67" s="1"/>
  <c r="K183" i="67"/>
  <c r="N183" i="67" s="1"/>
  <c r="K187" i="67"/>
  <c r="N187" i="67" s="1"/>
  <c r="K191" i="67"/>
  <c r="N191" i="67" s="1"/>
  <c r="K186" i="67"/>
  <c r="N186" i="67" s="1"/>
  <c r="K190" i="67"/>
  <c r="N190" i="67" s="1"/>
  <c r="K185" i="67"/>
  <c r="N185" i="67" s="1"/>
  <c r="K189" i="67"/>
  <c r="N189" i="67" s="1"/>
  <c r="J61" i="53"/>
  <c r="D33" i="53"/>
  <c r="D61" i="53" s="1"/>
  <c r="L33" i="53"/>
  <c r="H33" i="53"/>
  <c r="K33" i="53" s="1"/>
  <c r="D32" i="66"/>
  <c r="I47" i="57" l="1"/>
  <c r="AK185" i="67"/>
  <c r="AK188" i="67"/>
  <c r="J47" i="57"/>
  <c r="AM188" i="67" s="1"/>
  <c r="I48" i="57"/>
  <c r="AL192" i="67" s="1"/>
  <c r="D49" i="57"/>
  <c r="H49" i="57" s="1"/>
  <c r="D53" i="57"/>
  <c r="D52" i="57"/>
  <c r="D51" i="57"/>
  <c r="D50" i="57"/>
  <c r="H50" i="57" s="1"/>
  <c r="AK192" i="67"/>
  <c r="AK189" i="67"/>
  <c r="AK190" i="67"/>
  <c r="AK191" i="67"/>
  <c r="AL186" i="67"/>
  <c r="AL187" i="67"/>
  <c r="AL188" i="67"/>
  <c r="AL185" i="67"/>
  <c r="J48" i="57"/>
  <c r="AM183" i="67"/>
  <c r="AM184" i="67"/>
  <c r="AL183" i="67"/>
  <c r="AL184" i="67"/>
  <c r="H201" i="67"/>
  <c r="H193" i="67"/>
  <c r="H195" i="67"/>
  <c r="H197" i="67"/>
  <c r="H199" i="67"/>
  <c r="H203" i="67"/>
  <c r="H194" i="67"/>
  <c r="H196" i="67"/>
  <c r="H198" i="67"/>
  <c r="H200" i="67"/>
  <c r="H202" i="67"/>
  <c r="G193" i="67"/>
  <c r="G195" i="67"/>
  <c r="G197" i="67"/>
  <c r="G199" i="67"/>
  <c r="G201" i="67"/>
  <c r="G194" i="67"/>
  <c r="G196" i="67"/>
  <c r="G198" i="67"/>
  <c r="G200" i="67"/>
  <c r="G202" i="67"/>
  <c r="G203" i="67"/>
  <c r="I200" i="67"/>
  <c r="I195" i="67"/>
  <c r="I193" i="67"/>
  <c r="I198" i="67"/>
  <c r="I203" i="67"/>
  <c r="I201" i="67"/>
  <c r="I194" i="67"/>
  <c r="I199" i="67"/>
  <c r="I197" i="67"/>
  <c r="I196" i="67"/>
  <c r="I202" i="67"/>
  <c r="F61" i="53"/>
  <c r="J195" i="67"/>
  <c r="J199" i="67"/>
  <c r="J203" i="67"/>
  <c r="J194" i="67"/>
  <c r="J198" i="67"/>
  <c r="J202" i="67"/>
  <c r="J193" i="67"/>
  <c r="J197" i="67"/>
  <c r="J201" i="67"/>
  <c r="J196" i="67"/>
  <c r="J200" i="67"/>
  <c r="E61" i="53"/>
  <c r="G62" i="53"/>
  <c r="I62" i="53" s="1"/>
  <c r="M61" i="53"/>
  <c r="G34" i="53"/>
  <c r="E33" i="53"/>
  <c r="H34" i="53" s="1"/>
  <c r="F33" i="53"/>
  <c r="E32" i="66"/>
  <c r="G33" i="66"/>
  <c r="F32" i="66"/>
  <c r="AL190" i="67" l="1"/>
  <c r="AM186" i="67"/>
  <c r="AM185" i="67"/>
  <c r="AL189" i="67"/>
  <c r="AM187" i="67"/>
  <c r="AL191" i="67"/>
  <c r="H51" i="57"/>
  <c r="AK201" i="67" s="1"/>
  <c r="AM190" i="67"/>
  <c r="AM192" i="67"/>
  <c r="AM189" i="67"/>
  <c r="AM191" i="67"/>
  <c r="H52" i="57"/>
  <c r="H53" i="57"/>
  <c r="E50" i="57"/>
  <c r="E49" i="57"/>
  <c r="I49" i="57" s="1"/>
  <c r="E53" i="57"/>
  <c r="E52" i="57"/>
  <c r="E51" i="57"/>
  <c r="F51" i="57"/>
  <c r="F50" i="57"/>
  <c r="F49" i="57"/>
  <c r="J49" i="57" s="1"/>
  <c r="F53" i="57"/>
  <c r="F52" i="57"/>
  <c r="AK200" i="67"/>
  <c r="AK197" i="67"/>
  <c r="AK199" i="67"/>
  <c r="AK198" i="67"/>
  <c r="AK195" i="67"/>
  <c r="AK196" i="67"/>
  <c r="AK193" i="67"/>
  <c r="AK194" i="67"/>
  <c r="M201" i="67"/>
  <c r="J62" i="53"/>
  <c r="M198" i="67"/>
  <c r="M199" i="67"/>
  <c r="H62" i="53"/>
  <c r="K62" i="53" s="1"/>
  <c r="K196" i="67"/>
  <c r="N196" i="67" s="1"/>
  <c r="K200" i="67"/>
  <c r="N200" i="67" s="1"/>
  <c r="K195" i="67"/>
  <c r="N195" i="67" s="1"/>
  <c r="K199" i="67"/>
  <c r="N199" i="67" s="1"/>
  <c r="K203" i="67"/>
  <c r="N203" i="67" s="1"/>
  <c r="K194" i="67"/>
  <c r="N194" i="67" s="1"/>
  <c r="K198" i="67"/>
  <c r="N198" i="67" s="1"/>
  <c r="K202" i="67"/>
  <c r="N202" i="67" s="1"/>
  <c r="K193" i="67"/>
  <c r="N193" i="67" s="1"/>
  <c r="K197" i="67"/>
  <c r="N197" i="67" s="1"/>
  <c r="K201" i="67"/>
  <c r="N201" i="67" s="1"/>
  <c r="M203" i="67"/>
  <c r="M196" i="67"/>
  <c r="M197" i="67"/>
  <c r="L193" i="67"/>
  <c r="O193" i="67" s="1"/>
  <c r="L197" i="67"/>
  <c r="O197" i="67" s="1"/>
  <c r="L201" i="67"/>
  <c r="O201" i="67" s="1"/>
  <c r="L196" i="67"/>
  <c r="O196" i="67" s="1"/>
  <c r="L200" i="67"/>
  <c r="O200" i="67" s="1"/>
  <c r="L195" i="67"/>
  <c r="O195" i="67" s="1"/>
  <c r="L199" i="67"/>
  <c r="O199" i="67" s="1"/>
  <c r="L203" i="67"/>
  <c r="O203" i="67" s="1"/>
  <c r="L194" i="67"/>
  <c r="O194" i="67" s="1"/>
  <c r="L198" i="67"/>
  <c r="O198" i="67" s="1"/>
  <c r="L202" i="67"/>
  <c r="O202" i="67" s="1"/>
  <c r="M202" i="67"/>
  <c r="M194" i="67"/>
  <c r="M195" i="67"/>
  <c r="L62" i="53"/>
  <c r="M200" i="67"/>
  <c r="M193" i="67"/>
  <c r="I34" i="53"/>
  <c r="L34" i="53" s="1"/>
  <c r="J34" i="53"/>
  <c r="K34" i="53"/>
  <c r="I33" i="66"/>
  <c r="L33" i="66" s="1"/>
  <c r="J33" i="66"/>
  <c r="H33" i="66"/>
  <c r="K33" i="66" s="1"/>
  <c r="AK203" i="67" l="1"/>
  <c r="AK202" i="67"/>
  <c r="J52" i="57"/>
  <c r="J51" i="57"/>
  <c r="AM203" i="67" s="1"/>
  <c r="J50" i="57"/>
  <c r="AM198" i="67" s="1"/>
  <c r="J53" i="57"/>
  <c r="J2" i="57" s="1"/>
  <c r="I51" i="57"/>
  <c r="I50" i="57"/>
  <c r="AL193" i="67"/>
  <c r="AL194" i="67"/>
  <c r="AL195" i="67"/>
  <c r="AL196" i="67"/>
  <c r="AM196" i="67"/>
  <c r="AM193" i="67"/>
  <c r="AM195" i="67"/>
  <c r="AM194" i="67"/>
  <c r="I52" i="57"/>
  <c r="H2" i="57"/>
  <c r="G52" i="57" s="1"/>
  <c r="AM199" i="67"/>
  <c r="I53" i="57"/>
  <c r="I2" i="57" s="1"/>
  <c r="D34" i="53"/>
  <c r="D62" i="53" s="1"/>
  <c r="D33" i="66"/>
  <c r="AM201" i="67" l="1"/>
  <c r="AM200" i="67"/>
  <c r="AM202" i="67"/>
  <c r="AM197" i="67"/>
  <c r="S4" i="57"/>
  <c r="S14" i="57"/>
  <c r="S9" i="57"/>
  <c r="S8" i="57"/>
  <c r="S15" i="57"/>
  <c r="S16" i="57"/>
  <c r="S13" i="57"/>
  <c r="S12" i="57"/>
  <c r="S11" i="57"/>
  <c r="S18" i="57"/>
  <c r="S5" i="57"/>
  <c r="S7" i="57"/>
  <c r="S19" i="57"/>
  <c r="S6" i="57"/>
  <c r="S10" i="57"/>
  <c r="S17" i="57"/>
  <c r="AL198" i="67"/>
  <c r="AL199" i="67"/>
  <c r="AL197" i="67"/>
  <c r="AL200" i="67"/>
  <c r="R8" i="57"/>
  <c r="R12" i="57"/>
  <c r="R16" i="57"/>
  <c r="R5" i="57"/>
  <c r="R9" i="57"/>
  <c r="R13" i="57"/>
  <c r="R17" i="57"/>
  <c r="R6" i="57"/>
  <c r="R10" i="57"/>
  <c r="R14" i="57"/>
  <c r="R4" i="57"/>
  <c r="R7" i="57"/>
  <c r="R11" i="57"/>
  <c r="R15" i="57"/>
  <c r="R18" i="57"/>
  <c r="R19" i="57"/>
  <c r="G8" i="57"/>
  <c r="G5" i="57"/>
  <c r="G7" i="57"/>
  <c r="G6" i="57"/>
  <c r="G4" i="57"/>
  <c r="G9" i="57"/>
  <c r="G10" i="57"/>
  <c r="G11" i="57"/>
  <c r="G12" i="57"/>
  <c r="G13" i="57"/>
  <c r="G14" i="57"/>
  <c r="G15" i="57"/>
  <c r="G18" i="57"/>
  <c r="G16" i="57"/>
  <c r="G17" i="57"/>
  <c r="G21" i="57"/>
  <c r="G19" i="57"/>
  <c r="G20" i="57"/>
  <c r="G23" i="57"/>
  <c r="G24" i="57"/>
  <c r="G22" i="57"/>
  <c r="G25" i="57"/>
  <c r="G27" i="57"/>
  <c r="G26" i="57"/>
  <c r="G30" i="57"/>
  <c r="G28" i="57"/>
  <c r="G29" i="57"/>
  <c r="G31" i="57"/>
  <c r="G33" i="57"/>
  <c r="G32" i="57"/>
  <c r="G35" i="57"/>
  <c r="G34" i="57"/>
  <c r="G36" i="57"/>
  <c r="G37" i="57"/>
  <c r="G38" i="57"/>
  <c r="G39" i="57"/>
  <c r="G40" i="57"/>
  <c r="G42" i="57"/>
  <c r="G41" i="57"/>
  <c r="G43" i="57"/>
  <c r="G45" i="57"/>
  <c r="G44" i="57"/>
  <c r="G46" i="57"/>
  <c r="G47" i="57"/>
  <c r="G48" i="57"/>
  <c r="G50" i="57"/>
  <c r="G51" i="57"/>
  <c r="G49" i="57"/>
  <c r="T7" i="57"/>
  <c r="T11" i="57"/>
  <c r="T15" i="57"/>
  <c r="T8" i="57"/>
  <c r="T12" i="57"/>
  <c r="T16" i="57"/>
  <c r="T5" i="57"/>
  <c r="T9" i="57"/>
  <c r="T13" i="57"/>
  <c r="T17" i="57"/>
  <c r="T6" i="57"/>
  <c r="T10" i="57"/>
  <c r="T14" i="57"/>
  <c r="T4" i="57"/>
  <c r="T18" i="57"/>
  <c r="T19" i="57"/>
  <c r="G53" i="57"/>
  <c r="AL202" i="67"/>
  <c r="AL201" i="67"/>
  <c r="AL203" i="67"/>
  <c r="F62" i="53"/>
  <c r="L63" i="53" s="1"/>
  <c r="E62" i="53"/>
  <c r="K63" i="53" s="1"/>
  <c r="M62" i="53"/>
  <c r="J35" i="53"/>
  <c r="J63" i="53"/>
  <c r="F34" i="53"/>
  <c r="L35" i="53" s="1"/>
  <c r="E34" i="53"/>
  <c r="K35" i="53" s="1"/>
  <c r="G34" i="66"/>
  <c r="E33" i="66"/>
  <c r="F33" i="66"/>
  <c r="H34" i="66" l="1"/>
  <c r="K34" i="66"/>
  <c r="I34" i="66"/>
  <c r="L34" i="66" s="1"/>
  <c r="J34" i="66"/>
  <c r="D34" i="66" l="1"/>
  <c r="J35" i="66"/>
  <c r="F34" i="66" l="1"/>
  <c r="L35" i="66" s="1"/>
  <c r="E34" i="66"/>
  <c r="K35" i="66" s="1"/>
  <c r="N34" i="53" l="1"/>
  <c r="N33" i="53"/>
  <c r="N32" i="53"/>
  <c r="N31" i="53"/>
  <c r="N30" i="53"/>
  <c r="N29" i="53"/>
  <c r="N28" i="53"/>
  <c r="N27" i="53"/>
  <c r="N26" i="53"/>
  <c r="N25" i="53"/>
  <c r="N24" i="53"/>
  <c r="N23" i="53"/>
  <c r="N22" i="53"/>
  <c r="N21" i="53"/>
  <c r="N20" i="53"/>
  <c r="N19" i="53"/>
  <c r="N18" i="53"/>
  <c r="N17" i="53"/>
  <c r="N16" i="53"/>
  <c r="N15" i="53"/>
  <c r="N14" i="53"/>
  <c r="N42" i="53" l="1"/>
  <c r="O43" i="53"/>
  <c r="O15" i="53"/>
  <c r="N43" i="53" l="1"/>
  <c r="N44" i="53" l="1"/>
  <c r="O16" i="53"/>
  <c r="O44" i="53" l="1"/>
  <c r="O45" i="53" l="1"/>
  <c r="O17" i="53"/>
  <c r="N45" i="53" l="1"/>
  <c r="O18" i="53" l="1"/>
  <c r="N46" i="53" l="1"/>
  <c r="O46" i="53" l="1"/>
  <c r="O19" i="53" l="1"/>
  <c r="O47" i="53" l="1"/>
  <c r="N47" i="53" l="1"/>
  <c r="O20" i="53" l="1"/>
  <c r="O48" i="53" l="1"/>
  <c r="N48" i="53"/>
  <c r="O21" i="53" l="1"/>
  <c r="T6" i="64"/>
  <c r="T7" i="64"/>
  <c r="T8" i="64"/>
  <c r="T9" i="64"/>
  <c r="T10" i="64"/>
  <c r="T11" i="64"/>
  <c r="T12" i="64"/>
  <c r="T13" i="64"/>
  <c r="T14" i="64"/>
  <c r="T15" i="64"/>
  <c r="T16" i="64"/>
  <c r="T17" i="64"/>
  <c r="T18" i="64"/>
  <c r="T19" i="64"/>
  <c r="T20" i="64"/>
  <c r="T21" i="64"/>
  <c r="T22" i="64"/>
  <c r="T23" i="64"/>
  <c r="T24" i="64"/>
  <c r="T25" i="64"/>
  <c r="T26" i="64"/>
  <c r="T27" i="64"/>
  <c r="T28" i="64"/>
  <c r="T29" i="64"/>
  <c r="T30" i="64"/>
  <c r="T31" i="64"/>
  <c r="T32" i="64"/>
  <c r="T33" i="64"/>
  <c r="T34" i="64"/>
  <c r="T35" i="64"/>
  <c r="T36" i="64"/>
  <c r="T37" i="64"/>
  <c r="T38" i="64"/>
  <c r="T39" i="64"/>
  <c r="T40" i="64"/>
  <c r="T41" i="64"/>
  <c r="T42" i="64"/>
  <c r="T43" i="64"/>
  <c r="T44" i="64"/>
  <c r="T45" i="64"/>
  <c r="T46" i="64"/>
  <c r="T47" i="64"/>
  <c r="T48" i="64"/>
  <c r="T49" i="64"/>
  <c r="T50" i="64"/>
  <c r="T51" i="64"/>
  <c r="T52" i="64"/>
  <c r="T53" i="64"/>
  <c r="T54" i="64"/>
  <c r="T55" i="64"/>
  <c r="T56" i="64"/>
  <c r="T57" i="64"/>
  <c r="T58" i="64"/>
  <c r="T59" i="64"/>
  <c r="T60" i="64"/>
  <c r="T61" i="64"/>
  <c r="T62" i="64"/>
  <c r="T63" i="64"/>
  <c r="T64" i="64"/>
  <c r="T65" i="64"/>
  <c r="T66" i="64"/>
  <c r="T67" i="64"/>
  <c r="T68" i="64"/>
  <c r="T69" i="64"/>
  <c r="T70" i="64"/>
  <c r="T71" i="64"/>
  <c r="T72" i="64"/>
  <c r="T73" i="64"/>
  <c r="T74" i="64"/>
  <c r="T75" i="64"/>
  <c r="T76" i="64"/>
  <c r="T77" i="64"/>
  <c r="T78" i="64"/>
  <c r="T79" i="64"/>
  <c r="T80" i="64"/>
  <c r="T81" i="64"/>
  <c r="T82" i="64"/>
  <c r="T83" i="64"/>
  <c r="T84" i="64"/>
  <c r="T85" i="64"/>
  <c r="T86" i="64"/>
  <c r="T87" i="64"/>
  <c r="T88" i="64"/>
  <c r="T89" i="64"/>
  <c r="T90" i="64"/>
  <c r="T91" i="64"/>
  <c r="T92" i="64"/>
  <c r="T93" i="64"/>
  <c r="T94" i="64"/>
  <c r="T95" i="64"/>
  <c r="T96" i="64"/>
  <c r="T97" i="64"/>
  <c r="T98" i="64"/>
  <c r="T99" i="64"/>
  <c r="T100" i="64"/>
  <c r="T101" i="64"/>
  <c r="T102" i="64"/>
  <c r="T103" i="64"/>
  <c r="T104" i="64"/>
  <c r="T105" i="64"/>
  <c r="T106" i="64"/>
  <c r="T107" i="64"/>
  <c r="T108" i="64"/>
  <c r="T109" i="64"/>
  <c r="T110" i="64"/>
  <c r="T111" i="64"/>
  <c r="T112" i="64"/>
  <c r="T113" i="64"/>
  <c r="T114" i="64"/>
  <c r="T115" i="64"/>
  <c r="T116" i="64"/>
  <c r="T117" i="64"/>
  <c r="T118" i="64"/>
  <c r="T119" i="64"/>
  <c r="T120" i="64"/>
  <c r="T121" i="64"/>
  <c r="T122" i="64"/>
  <c r="T123" i="64"/>
  <c r="T124" i="64"/>
  <c r="T125" i="64"/>
  <c r="T126" i="64"/>
  <c r="T127" i="64"/>
  <c r="T128" i="64"/>
  <c r="T129" i="64"/>
  <c r="T130" i="64"/>
  <c r="T131" i="64"/>
  <c r="T132" i="64"/>
  <c r="T133" i="64"/>
  <c r="T134" i="64"/>
  <c r="T135" i="64"/>
  <c r="T136" i="64"/>
  <c r="T137" i="64"/>
  <c r="T138" i="64"/>
  <c r="T139" i="64"/>
  <c r="T140" i="64"/>
  <c r="T141" i="64"/>
  <c r="T142" i="64"/>
  <c r="T143" i="64"/>
  <c r="T144" i="64"/>
  <c r="T145" i="64"/>
  <c r="T146" i="64"/>
  <c r="T147" i="64"/>
  <c r="T148" i="64"/>
  <c r="T149" i="64"/>
  <c r="T150" i="64"/>
  <c r="T151" i="64"/>
  <c r="T152" i="64"/>
  <c r="T153" i="64"/>
  <c r="T154" i="64"/>
  <c r="T155" i="64"/>
  <c r="T156" i="64"/>
  <c r="T157" i="64"/>
  <c r="T158" i="64"/>
  <c r="T159" i="64"/>
  <c r="T160" i="64"/>
  <c r="T161" i="64"/>
  <c r="T162" i="64"/>
  <c r="T163" i="64"/>
  <c r="T164" i="64"/>
  <c r="T165" i="64"/>
  <c r="T166" i="64"/>
  <c r="T167" i="64"/>
  <c r="T168" i="64"/>
  <c r="T169" i="64"/>
  <c r="T170" i="64"/>
  <c r="T171" i="64"/>
  <c r="T172" i="64"/>
  <c r="T173" i="64"/>
  <c r="T174" i="64"/>
  <c r="T175" i="64"/>
  <c r="T176" i="64"/>
  <c r="T177" i="64"/>
  <c r="T178" i="64"/>
  <c r="T179" i="64"/>
  <c r="T180" i="64"/>
  <c r="T181" i="64"/>
  <c r="T182" i="64"/>
  <c r="T183" i="64"/>
  <c r="T184" i="64"/>
  <c r="T185" i="64"/>
  <c r="T186" i="64"/>
  <c r="T187" i="64"/>
  <c r="T188" i="64"/>
  <c r="T189" i="64"/>
  <c r="T190" i="64"/>
  <c r="T191" i="64"/>
  <c r="T192" i="64"/>
  <c r="T193" i="64"/>
  <c r="T194" i="64"/>
  <c r="T195" i="64"/>
  <c r="T196" i="64"/>
  <c r="T197" i="64"/>
  <c r="T198" i="64"/>
  <c r="T199" i="64"/>
  <c r="T200" i="64"/>
  <c r="T201" i="64"/>
  <c r="T202" i="64"/>
  <c r="T203" i="64"/>
  <c r="T204" i="64"/>
  <c r="T205" i="64"/>
  <c r="T206" i="64"/>
  <c r="T207" i="64"/>
  <c r="T208" i="64"/>
  <c r="T209" i="64"/>
  <c r="T210" i="64"/>
  <c r="T211" i="64"/>
  <c r="T212" i="64"/>
  <c r="T213" i="64"/>
  <c r="T214" i="64"/>
  <c r="T215" i="64"/>
  <c r="T216" i="64"/>
  <c r="T217" i="64"/>
  <c r="T218" i="64"/>
  <c r="T219" i="64"/>
  <c r="T220" i="64"/>
  <c r="T221" i="64"/>
  <c r="T222" i="64"/>
  <c r="T223" i="64"/>
  <c r="C188" i="64"/>
  <c r="C189" i="64"/>
  <c r="C190" i="64"/>
  <c r="C191" i="64"/>
  <c r="C192" i="64"/>
  <c r="C193" i="64"/>
  <c r="C194" i="64"/>
  <c r="C195" i="64"/>
  <c r="C196" i="64"/>
  <c r="C197" i="64"/>
  <c r="C198" i="64"/>
  <c r="C199" i="64"/>
  <c r="C200" i="64"/>
  <c r="C201" i="64"/>
  <c r="C202" i="64"/>
  <c r="C203" i="64"/>
  <c r="C204" i="64"/>
  <c r="C205" i="64"/>
  <c r="C206" i="64"/>
  <c r="C207" i="64"/>
  <c r="C208" i="64"/>
  <c r="C209" i="64"/>
  <c r="C210" i="64"/>
  <c r="C211" i="64"/>
  <c r="C212" i="64"/>
  <c r="C213" i="64"/>
  <c r="C214" i="64"/>
  <c r="C215" i="64"/>
  <c r="C216" i="64"/>
  <c r="C217" i="64"/>
  <c r="C218" i="64"/>
  <c r="C219" i="64"/>
  <c r="C220" i="64"/>
  <c r="C221" i="64"/>
  <c r="C222" i="64"/>
  <c r="C223" i="64"/>
  <c r="C180" i="64"/>
  <c r="C169" i="64"/>
  <c r="X90" i="64" l="1"/>
  <c r="Y90" i="64"/>
  <c r="Z90" i="64"/>
  <c r="X82" i="64"/>
  <c r="Y82" i="64"/>
  <c r="Z82" i="64"/>
  <c r="X74" i="64"/>
  <c r="Y74" i="64"/>
  <c r="Z74" i="64"/>
  <c r="X66" i="64"/>
  <c r="Y66" i="64"/>
  <c r="Z66" i="64"/>
  <c r="X58" i="64"/>
  <c r="Y58" i="64"/>
  <c r="Z58" i="64"/>
  <c r="X50" i="64"/>
  <c r="Y50" i="64"/>
  <c r="Z50" i="64"/>
  <c r="X42" i="64"/>
  <c r="Y42" i="64"/>
  <c r="Z42" i="64"/>
  <c r="X34" i="64"/>
  <c r="Y34" i="64"/>
  <c r="Z34" i="64"/>
  <c r="X26" i="64"/>
  <c r="Y26" i="64"/>
  <c r="Z26" i="64"/>
  <c r="W18" i="64"/>
  <c r="X18" i="64"/>
  <c r="Y18" i="64"/>
  <c r="Z18" i="64"/>
  <c r="W14" i="64"/>
  <c r="AC14" i="64" s="1"/>
  <c r="X14" i="64"/>
  <c r="Y14" i="64"/>
  <c r="Z14" i="64"/>
  <c r="U6" i="64"/>
  <c r="AA6" i="64" s="1"/>
  <c r="X6" i="64"/>
  <c r="Y6" i="64"/>
  <c r="Z6" i="64"/>
  <c r="X85" i="64"/>
  <c r="Z85" i="64"/>
  <c r="Y85" i="64"/>
  <c r="X77" i="64"/>
  <c r="Y77" i="64"/>
  <c r="Z77" i="64"/>
  <c r="X69" i="64"/>
  <c r="Z69" i="64"/>
  <c r="Y69" i="64"/>
  <c r="X61" i="64"/>
  <c r="Y61" i="64"/>
  <c r="Z61" i="64"/>
  <c r="X53" i="64"/>
  <c r="Z53" i="64"/>
  <c r="Y53" i="64"/>
  <c r="X45" i="64"/>
  <c r="Y45" i="64"/>
  <c r="Z45" i="64"/>
  <c r="X37" i="64"/>
  <c r="Z37" i="64"/>
  <c r="Y37" i="64"/>
  <c r="X29" i="64"/>
  <c r="Y29" i="64"/>
  <c r="Z29" i="64"/>
  <c r="W21" i="64"/>
  <c r="X21" i="64"/>
  <c r="Z21" i="64"/>
  <c r="Y21" i="64"/>
  <c r="W13" i="64"/>
  <c r="AC13" i="64" s="1"/>
  <c r="X13" i="64"/>
  <c r="Y13" i="64"/>
  <c r="Z13" i="64"/>
  <c r="W9" i="64"/>
  <c r="AC9" i="64" s="1"/>
  <c r="X9" i="64"/>
  <c r="Y9" i="64"/>
  <c r="Z9" i="64"/>
  <c r="Z88" i="64"/>
  <c r="X88" i="64"/>
  <c r="Y88" i="64"/>
  <c r="Z84" i="64"/>
  <c r="X84" i="64"/>
  <c r="Y84" i="64"/>
  <c r="Z80" i="64"/>
  <c r="Y80" i="64"/>
  <c r="X80" i="64"/>
  <c r="Z76" i="64"/>
  <c r="X76" i="64"/>
  <c r="Y76" i="64"/>
  <c r="Z72" i="64"/>
  <c r="X72" i="64"/>
  <c r="Y72" i="64"/>
  <c r="Z68" i="64"/>
  <c r="X68" i="64"/>
  <c r="Y68" i="64"/>
  <c r="Z64" i="64"/>
  <c r="Y64" i="64"/>
  <c r="X64" i="64"/>
  <c r="Z60" i="64"/>
  <c r="X60" i="64"/>
  <c r="Y60" i="64"/>
  <c r="Z56" i="64"/>
  <c r="X56" i="64"/>
  <c r="Y56" i="64"/>
  <c r="Z52" i="64"/>
  <c r="X52" i="64"/>
  <c r="Y52" i="64"/>
  <c r="Z48" i="64"/>
  <c r="Y48" i="64"/>
  <c r="X48" i="64"/>
  <c r="Z44" i="64"/>
  <c r="X44" i="64"/>
  <c r="Y44" i="64"/>
  <c r="Z40" i="64"/>
  <c r="X40" i="64"/>
  <c r="Y40" i="64"/>
  <c r="Z36" i="64"/>
  <c r="X36" i="64"/>
  <c r="Y36" i="64"/>
  <c r="Z32" i="64"/>
  <c r="Y32" i="64"/>
  <c r="X32" i="64"/>
  <c r="Z28" i="64"/>
  <c r="X28" i="64"/>
  <c r="Y28" i="64"/>
  <c r="W24" i="64"/>
  <c r="Z24" i="64"/>
  <c r="X24" i="64"/>
  <c r="Y24" i="64"/>
  <c r="W20" i="64"/>
  <c r="Z20" i="64"/>
  <c r="X20" i="64"/>
  <c r="Y20" i="64"/>
  <c r="W16" i="64"/>
  <c r="Z16" i="64"/>
  <c r="Y16" i="64"/>
  <c r="X16" i="64"/>
  <c r="Z12" i="64"/>
  <c r="X12" i="64"/>
  <c r="Y12" i="64"/>
  <c r="U8" i="64"/>
  <c r="Z8" i="64"/>
  <c r="X8" i="64"/>
  <c r="Y8" i="64"/>
  <c r="X86" i="64"/>
  <c r="Y86" i="64"/>
  <c r="Z86" i="64"/>
  <c r="X78" i="64"/>
  <c r="Y78" i="64"/>
  <c r="Z78" i="64"/>
  <c r="X70" i="64"/>
  <c r="Y70" i="64"/>
  <c r="Z70" i="64"/>
  <c r="X62" i="64"/>
  <c r="Y62" i="64"/>
  <c r="Z62" i="64"/>
  <c r="X54" i="64"/>
  <c r="Y54" i="64"/>
  <c r="Z54" i="64"/>
  <c r="X46" i="64"/>
  <c r="Y46" i="64"/>
  <c r="Z46" i="64"/>
  <c r="X38" i="64"/>
  <c r="Y38" i="64"/>
  <c r="Z38" i="64"/>
  <c r="X30" i="64"/>
  <c r="Y30" i="64"/>
  <c r="Z30" i="64"/>
  <c r="W22" i="64"/>
  <c r="X22" i="64"/>
  <c r="Y22" i="64"/>
  <c r="Z22" i="64"/>
  <c r="U10" i="64"/>
  <c r="X10" i="64"/>
  <c r="Y10" i="64"/>
  <c r="Z10" i="64"/>
  <c r="X89" i="64"/>
  <c r="Y89" i="64"/>
  <c r="Z89" i="64"/>
  <c r="X81" i="64"/>
  <c r="Y81" i="64"/>
  <c r="Z81" i="64"/>
  <c r="X73" i="64"/>
  <c r="Y73" i="64"/>
  <c r="Z73" i="64"/>
  <c r="X65" i="64"/>
  <c r="Y65" i="64"/>
  <c r="Z65" i="64"/>
  <c r="X57" i="64"/>
  <c r="Y57" i="64"/>
  <c r="Z57" i="64"/>
  <c r="X49" i="64"/>
  <c r="Y49" i="64"/>
  <c r="Z49" i="64"/>
  <c r="X41" i="64"/>
  <c r="Y41" i="64"/>
  <c r="Z41" i="64"/>
  <c r="X33" i="64"/>
  <c r="Y33" i="64"/>
  <c r="Z33" i="64"/>
  <c r="W25" i="64"/>
  <c r="X25" i="64"/>
  <c r="Y25" i="64"/>
  <c r="Z25" i="64"/>
  <c r="W17" i="64"/>
  <c r="X17" i="64"/>
  <c r="Y17" i="64"/>
  <c r="Z17" i="64"/>
  <c r="Y91" i="64"/>
  <c r="Z91" i="64"/>
  <c r="X91" i="64"/>
  <c r="Y87" i="64"/>
  <c r="Z87" i="64"/>
  <c r="X87" i="64"/>
  <c r="Y83" i="64"/>
  <c r="Z83" i="64"/>
  <c r="X83" i="64"/>
  <c r="Y79" i="64"/>
  <c r="Z79" i="64"/>
  <c r="X79" i="64"/>
  <c r="Y75" i="64"/>
  <c r="Z75" i="64"/>
  <c r="X75" i="64"/>
  <c r="Y71" i="64"/>
  <c r="Z71" i="64"/>
  <c r="X71" i="64"/>
  <c r="Y67" i="64"/>
  <c r="Z67" i="64"/>
  <c r="X67" i="64"/>
  <c r="Y63" i="64"/>
  <c r="Z63" i="64"/>
  <c r="X63" i="64"/>
  <c r="Y59" i="64"/>
  <c r="Z59" i="64"/>
  <c r="X59" i="64"/>
  <c r="Y55" i="64"/>
  <c r="Z55" i="64"/>
  <c r="X55" i="64"/>
  <c r="Y51" i="64"/>
  <c r="Z51" i="64"/>
  <c r="X51" i="64"/>
  <c r="Y47" i="64"/>
  <c r="Z47" i="64"/>
  <c r="X47" i="64"/>
  <c r="Y43" i="64"/>
  <c r="Z43" i="64"/>
  <c r="X43" i="64"/>
  <c r="Y39" i="64"/>
  <c r="Z39" i="64"/>
  <c r="X39" i="64"/>
  <c r="Y35" i="64"/>
  <c r="Z35" i="64"/>
  <c r="X35" i="64"/>
  <c r="Y31" i="64"/>
  <c r="Z31" i="64"/>
  <c r="X31" i="64"/>
  <c r="Y27" i="64"/>
  <c r="Z27" i="64"/>
  <c r="X27" i="64"/>
  <c r="W23" i="64"/>
  <c r="Y23" i="64"/>
  <c r="Z23" i="64"/>
  <c r="X23" i="64"/>
  <c r="W19" i="64"/>
  <c r="Y19" i="64"/>
  <c r="Z19" i="64"/>
  <c r="X19" i="64"/>
  <c r="W15" i="64"/>
  <c r="Y15" i="64"/>
  <c r="Z15" i="64"/>
  <c r="X15" i="64"/>
  <c r="W11" i="64"/>
  <c r="Y11" i="64"/>
  <c r="Z11" i="64"/>
  <c r="X11" i="64"/>
  <c r="W7" i="64"/>
  <c r="Y7" i="64"/>
  <c r="Z7" i="64"/>
  <c r="X7" i="64"/>
  <c r="O49" i="53"/>
  <c r="W12" i="64"/>
  <c r="V19" i="64"/>
  <c r="U13" i="64"/>
  <c r="W10" i="64"/>
  <c r="U21" i="64"/>
  <c r="U7" i="64"/>
  <c r="V13" i="64"/>
  <c r="V11" i="64"/>
  <c r="V21" i="64"/>
  <c r="V25" i="64"/>
  <c r="U19" i="64"/>
  <c r="V17" i="64"/>
  <c r="U11" i="64"/>
  <c r="V9" i="64"/>
  <c r="W8" i="64"/>
  <c r="U25" i="64"/>
  <c r="V23" i="64"/>
  <c r="U17" i="64"/>
  <c r="V15" i="64"/>
  <c r="U9" i="64"/>
  <c r="V7" i="64"/>
  <c r="AB7" i="64" s="1"/>
  <c r="W6" i="64"/>
  <c r="U23" i="64"/>
  <c r="U15" i="64"/>
  <c r="U24" i="64"/>
  <c r="V24" i="64"/>
  <c r="U22" i="64"/>
  <c r="V22" i="64"/>
  <c r="U20" i="64"/>
  <c r="V20" i="64"/>
  <c r="U18" i="64"/>
  <c r="V18" i="64"/>
  <c r="U16" i="64"/>
  <c r="V16" i="64"/>
  <c r="U14" i="64"/>
  <c r="V14" i="64"/>
  <c r="U12" i="64"/>
  <c r="V12" i="64"/>
  <c r="V10" i="64"/>
  <c r="V8" i="64"/>
  <c r="V6" i="64"/>
  <c r="C158" i="64"/>
  <c r="C147" i="64"/>
  <c r="C136" i="64"/>
  <c r="C125" i="64"/>
  <c r="C114" i="64"/>
  <c r="C103" i="64"/>
  <c r="C92" i="64"/>
  <c r="E92" i="64" s="1"/>
  <c r="C81" i="64"/>
  <c r="E81" i="64" s="1"/>
  <c r="C70" i="64"/>
  <c r="D70" i="64" s="1"/>
  <c r="C59" i="64"/>
  <c r="D59" i="64" s="1"/>
  <c r="C48" i="64"/>
  <c r="E48" i="64" s="1"/>
  <c r="C37" i="64"/>
  <c r="D37" i="64" s="1"/>
  <c r="AA11" i="64" l="1"/>
  <c r="AA10" i="64"/>
  <c r="AC7" i="64"/>
  <c r="AA8" i="64"/>
  <c r="X93" i="64"/>
  <c r="X92" i="64"/>
  <c r="X97" i="64"/>
  <c r="X98" i="64"/>
  <c r="X101" i="64"/>
  <c r="X94" i="64"/>
  <c r="X100" i="64"/>
  <c r="X96" i="64"/>
  <c r="X102" i="64"/>
  <c r="X99" i="64"/>
  <c r="X95" i="64"/>
  <c r="AC11" i="64"/>
  <c r="AA12" i="64"/>
  <c r="AB13" i="64"/>
  <c r="N49" i="53"/>
  <c r="AC10" i="64"/>
  <c r="AC8" i="64"/>
  <c r="AB6" i="64"/>
  <c r="AB10" i="64"/>
  <c r="AA14" i="64"/>
  <c r="AA7" i="64"/>
  <c r="AB8" i="64"/>
  <c r="AB9" i="64"/>
  <c r="AA13" i="64"/>
  <c r="AA9" i="64"/>
  <c r="AB12" i="64"/>
  <c r="AB14" i="64"/>
  <c r="AC6" i="64"/>
  <c r="AB11" i="64"/>
  <c r="AC12" i="64"/>
  <c r="H92" i="64"/>
  <c r="K92" i="64" s="1"/>
  <c r="F103" i="64"/>
  <c r="H48" i="64"/>
  <c r="K48" i="64" s="1"/>
  <c r="H81" i="64"/>
  <c r="K81" i="64" s="1"/>
  <c r="G92" i="64"/>
  <c r="D81" i="64"/>
  <c r="D92" i="64"/>
  <c r="F92" i="64"/>
  <c r="I92" i="64"/>
  <c r="G81" i="64"/>
  <c r="F81" i="64"/>
  <c r="I81" i="64"/>
  <c r="I70" i="64"/>
  <c r="E70" i="64"/>
  <c r="G70" i="64"/>
  <c r="J70" i="64" s="1"/>
  <c r="F70" i="64"/>
  <c r="H70" i="64"/>
  <c r="G48" i="64"/>
  <c r="G59" i="64"/>
  <c r="J59" i="64" s="1"/>
  <c r="F59" i="64"/>
  <c r="I59" i="64"/>
  <c r="E59" i="64"/>
  <c r="H59" i="64"/>
  <c r="D48" i="64"/>
  <c r="F48" i="64"/>
  <c r="I48" i="64"/>
  <c r="G37" i="64"/>
  <c r="J37" i="64" s="1"/>
  <c r="F37" i="64"/>
  <c r="I37" i="64"/>
  <c r="E37" i="64"/>
  <c r="H37" i="64"/>
  <c r="D103" i="64" l="1"/>
  <c r="Y101" i="64"/>
  <c r="Y100" i="64"/>
  <c r="Y102" i="64"/>
  <c r="Y93" i="64"/>
  <c r="Y96" i="64"/>
  <c r="Y92" i="64"/>
  <c r="Y97" i="64"/>
  <c r="Y98" i="64"/>
  <c r="Y94" i="64"/>
  <c r="Y95" i="64"/>
  <c r="Y99" i="64"/>
  <c r="Z98" i="64"/>
  <c r="Z92" i="64"/>
  <c r="Z94" i="64"/>
  <c r="Z96" i="64"/>
  <c r="Z102" i="64"/>
  <c r="Z100" i="64"/>
  <c r="Z101" i="64"/>
  <c r="Z93" i="64"/>
  <c r="Z97" i="64"/>
  <c r="Z99" i="64"/>
  <c r="Z95" i="64"/>
  <c r="O50" i="53"/>
  <c r="O22" i="53"/>
  <c r="E103" i="64"/>
  <c r="K70" i="64"/>
  <c r="J81" i="64"/>
  <c r="J92" i="64"/>
  <c r="L92" i="64"/>
  <c r="J48" i="64"/>
  <c r="L70" i="64"/>
  <c r="L81" i="64"/>
  <c r="L59" i="64"/>
  <c r="K59" i="64"/>
  <c r="L48" i="64"/>
  <c r="L37" i="64"/>
  <c r="K37" i="64"/>
  <c r="G103" i="64" l="1"/>
  <c r="J103" i="64" s="1"/>
  <c r="X104" i="64" l="1"/>
  <c r="X108" i="64"/>
  <c r="X105" i="64"/>
  <c r="X106" i="64"/>
  <c r="X109" i="64"/>
  <c r="X103" i="64"/>
  <c r="X107" i="64"/>
  <c r="N50" i="53"/>
  <c r="H103" i="64"/>
  <c r="K103" i="64" s="1"/>
  <c r="I103" i="64"/>
  <c r="L103" i="64" s="1"/>
  <c r="Y106" i="64" l="1"/>
  <c r="Y109" i="64"/>
  <c r="Y104" i="64"/>
  <c r="Y108" i="64"/>
  <c r="Y105" i="64"/>
  <c r="Y103" i="64"/>
  <c r="Y107" i="64"/>
  <c r="O51" i="53"/>
  <c r="Z108" i="64"/>
  <c r="Z105" i="64"/>
  <c r="Z106" i="64"/>
  <c r="Z109" i="64"/>
  <c r="Z104" i="64"/>
  <c r="Z103" i="64"/>
  <c r="Z107" i="64"/>
  <c r="O23" i="53"/>
  <c r="Z112" i="64" l="1"/>
  <c r="Z113" i="64"/>
  <c r="Z110" i="64"/>
  <c r="Z111" i="64"/>
  <c r="F114" i="64"/>
  <c r="N51" i="53"/>
  <c r="X110" i="64"/>
  <c r="X112" i="64"/>
  <c r="X113" i="64"/>
  <c r="X111" i="64"/>
  <c r="G81" i="66"/>
  <c r="F81" i="66"/>
  <c r="E81" i="66"/>
  <c r="G80" i="66"/>
  <c r="F80" i="66"/>
  <c r="E80" i="66"/>
  <c r="G79" i="66"/>
  <c r="F79" i="66"/>
  <c r="E79" i="66"/>
  <c r="N42" i="66"/>
  <c r="O43" i="66"/>
  <c r="N34" i="66"/>
  <c r="N33" i="66"/>
  <c r="N32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M14" i="66"/>
  <c r="N14" i="66" s="1"/>
  <c r="F8" i="66"/>
  <c r="F7" i="66"/>
  <c r="H2" i="66"/>
  <c r="D114" i="64" l="1"/>
  <c r="Y113" i="64"/>
  <c r="Y110" i="64"/>
  <c r="Y112" i="64"/>
  <c r="Y111" i="64"/>
  <c r="O24" i="53"/>
  <c r="E114" i="64"/>
  <c r="EW7" i="65"/>
  <c r="EW8" i="65"/>
  <c r="EW9" i="65"/>
  <c r="EW16" i="65"/>
  <c r="EW19" i="65"/>
  <c r="EW21" i="65"/>
  <c r="EW23" i="65"/>
  <c r="EW24" i="65"/>
  <c r="EW27" i="65"/>
  <c r="EW35" i="65"/>
  <c r="EW37" i="65"/>
  <c r="EW39" i="65"/>
  <c r="EW48" i="65"/>
  <c r="EW51" i="65"/>
  <c r="EW56" i="65"/>
  <c r="EW59" i="65"/>
  <c r="EW64" i="65"/>
  <c r="EW67" i="65"/>
  <c r="EW69" i="65"/>
  <c r="EW71" i="65"/>
  <c r="EW72" i="65"/>
  <c r="EW73" i="65"/>
  <c r="EW5" i="65"/>
  <c r="G114" i="64" l="1"/>
  <c r="J114" i="64" s="1"/>
  <c r="EV36" i="65"/>
  <c r="EV53" i="65"/>
  <c r="EV49" i="65"/>
  <c r="EV41" i="65"/>
  <c r="EV33" i="65"/>
  <c r="EV17" i="65"/>
  <c r="N52" i="53"/>
  <c r="O52" i="53"/>
  <c r="O15" i="66"/>
  <c r="EV68" i="65"/>
  <c r="EV60" i="65"/>
  <c r="EW52" i="65"/>
  <c r="EW44" i="65"/>
  <c r="EV44" i="65"/>
  <c r="EW40" i="65"/>
  <c r="EW28" i="65"/>
  <c r="EV28" i="65"/>
  <c r="EV20" i="65"/>
  <c r="EV12" i="65"/>
  <c r="EW36" i="65"/>
  <c r="EW20" i="65"/>
  <c r="EV64" i="65"/>
  <c r="EV75" i="65"/>
  <c r="EV63" i="65"/>
  <c r="EV55" i="65"/>
  <c r="EV47" i="65"/>
  <c r="EW43" i="65"/>
  <c r="EV43" i="65"/>
  <c r="EV31" i="65"/>
  <c r="EV15" i="65"/>
  <c r="EW15" i="65"/>
  <c r="EV11" i="65"/>
  <c r="EW68" i="65"/>
  <c r="EV59" i="65"/>
  <c r="EV23" i="65"/>
  <c r="EW63" i="65"/>
  <c r="EW47" i="65"/>
  <c r="EW31" i="65"/>
  <c r="EV73" i="65"/>
  <c r="EV52" i="65"/>
  <c r="EV16" i="65"/>
  <c r="EW65" i="65"/>
  <c r="EV65" i="65"/>
  <c r="EV25" i="65"/>
  <c r="EW25" i="65"/>
  <c r="EV9" i="65"/>
  <c r="EW57" i="65"/>
  <c r="EW41" i="65"/>
  <c r="EV71" i="65"/>
  <c r="EV37" i="65"/>
  <c r="EV7" i="65"/>
  <c r="EV61" i="65"/>
  <c r="EV45" i="65"/>
  <c r="EV29" i="65"/>
  <c r="EV13" i="65"/>
  <c r="EW45" i="65"/>
  <c r="EW29" i="65"/>
  <c r="EV72" i="65"/>
  <c r="EV56" i="65"/>
  <c r="EV40" i="65"/>
  <c r="EV24" i="65"/>
  <c r="EV8" i="65"/>
  <c r="EW76" i="65"/>
  <c r="EW60" i="65"/>
  <c r="EW55" i="65"/>
  <c r="EW49" i="65"/>
  <c r="EW33" i="65"/>
  <c r="EW17" i="65"/>
  <c r="EW12" i="65"/>
  <c r="EV76" i="65"/>
  <c r="EV69" i="65"/>
  <c r="EV48" i="65"/>
  <c r="EV27" i="65"/>
  <c r="EV5" i="65"/>
  <c r="EW61" i="65"/>
  <c r="EW13" i="65"/>
  <c r="EV57" i="65"/>
  <c r="EV21" i="65"/>
  <c r="EV67" i="65"/>
  <c r="EV51" i="65"/>
  <c r="EV35" i="65"/>
  <c r="EV19" i="65"/>
  <c r="EW75" i="65"/>
  <c r="EW53" i="65"/>
  <c r="EW32" i="65"/>
  <c r="EW11" i="65"/>
  <c r="EV39" i="65"/>
  <c r="EV32" i="65"/>
  <c r="EV74" i="65"/>
  <c r="EV70" i="65"/>
  <c r="EV66" i="65"/>
  <c r="EV62" i="65"/>
  <c r="EV58" i="65"/>
  <c r="EV54" i="65"/>
  <c r="EV50" i="65"/>
  <c r="EV46" i="65"/>
  <c r="EV42" i="65"/>
  <c r="EV38" i="65"/>
  <c r="EV34" i="65"/>
  <c r="EV30" i="65"/>
  <c r="EV26" i="65"/>
  <c r="EV22" i="65"/>
  <c r="EV18" i="65"/>
  <c r="EV14" i="65"/>
  <c r="EV10" i="65"/>
  <c r="EV6" i="65"/>
  <c r="EW74" i="65"/>
  <c r="EW70" i="65"/>
  <c r="EW66" i="65"/>
  <c r="EW62" i="65"/>
  <c r="EW58" i="65"/>
  <c r="EW54" i="65"/>
  <c r="EW50" i="65"/>
  <c r="EW46" i="65"/>
  <c r="EW42" i="65"/>
  <c r="EW38" i="65"/>
  <c r="EW34" i="65"/>
  <c r="EW30" i="65"/>
  <c r="EW26" i="65"/>
  <c r="EW22" i="65"/>
  <c r="EW18" i="65"/>
  <c r="EW14" i="65"/>
  <c r="EW10" i="65"/>
  <c r="EW6" i="65"/>
  <c r="EA20" i="65"/>
  <c r="EA21" i="65"/>
  <c r="EA22" i="65"/>
  <c r="EA23" i="65"/>
  <c r="EA24" i="65"/>
  <c r="EA25" i="65"/>
  <c r="EA26" i="65"/>
  <c r="EA27" i="65"/>
  <c r="EA28" i="65"/>
  <c r="EA29" i="65"/>
  <c r="EA30" i="65"/>
  <c r="EA31" i="65"/>
  <c r="EA32" i="65"/>
  <c r="EA19" i="65"/>
  <c r="Z122" i="64" l="1"/>
  <c r="Z117" i="64"/>
  <c r="Z120" i="64"/>
  <c r="Z121" i="64"/>
  <c r="Z114" i="64"/>
  <c r="Z124" i="64"/>
  <c r="Z116" i="64"/>
  <c r="Z118" i="64"/>
  <c r="Z115" i="64"/>
  <c r="Z123" i="64"/>
  <c r="Z119" i="64"/>
  <c r="X114" i="64"/>
  <c r="X117" i="64"/>
  <c r="X124" i="64"/>
  <c r="X118" i="64"/>
  <c r="X122" i="64"/>
  <c r="X121" i="64"/>
  <c r="X120" i="64"/>
  <c r="X116" i="64"/>
  <c r="X119" i="64"/>
  <c r="X123" i="64"/>
  <c r="X115" i="64"/>
  <c r="H114" i="64"/>
  <c r="K114" i="64" s="1"/>
  <c r="I114" i="64"/>
  <c r="L114" i="64" s="1"/>
  <c r="F125" i="64"/>
  <c r="O16" i="66"/>
  <c r="N43" i="66"/>
  <c r="M3" i="65"/>
  <c r="Y120" i="64" l="1"/>
  <c r="Y116" i="64"/>
  <c r="Y121" i="64"/>
  <c r="Y114" i="64"/>
  <c r="Y124" i="64"/>
  <c r="Y117" i="64"/>
  <c r="Y118" i="64"/>
  <c r="Y122" i="64"/>
  <c r="Y119" i="64"/>
  <c r="Y123" i="64"/>
  <c r="Y115" i="64"/>
  <c r="E125" i="64"/>
  <c r="D125" i="64"/>
  <c r="O25" i="53"/>
  <c r="CB7" i="65"/>
  <c r="CB8" i="65"/>
  <c r="CB9" i="65"/>
  <c r="CB10" i="65"/>
  <c r="CB11" i="65"/>
  <c r="CB12" i="65"/>
  <c r="CB13" i="65"/>
  <c r="CB14" i="65"/>
  <c r="CB15" i="65"/>
  <c r="CB16" i="65"/>
  <c r="CB17" i="65"/>
  <c r="CB18" i="65"/>
  <c r="CB19" i="65"/>
  <c r="CB20" i="65"/>
  <c r="CB21" i="65"/>
  <c r="CB22" i="65"/>
  <c r="CB23" i="65"/>
  <c r="CB24" i="65"/>
  <c r="CB25" i="65"/>
  <c r="CB26" i="65"/>
  <c r="CB27" i="65"/>
  <c r="CB28" i="65"/>
  <c r="CB29" i="65"/>
  <c r="CB30" i="65"/>
  <c r="CB31" i="65"/>
  <c r="CB32" i="65"/>
  <c r="CB33" i="65"/>
  <c r="CB34" i="65"/>
  <c r="CB35" i="65"/>
  <c r="CB36" i="65"/>
  <c r="CB37" i="65"/>
  <c r="CB38" i="65"/>
  <c r="CB39" i="65"/>
  <c r="CB40" i="65"/>
  <c r="CB41" i="65"/>
  <c r="CB42" i="65"/>
  <c r="CB43" i="65"/>
  <c r="CB44" i="65"/>
  <c r="CB45" i="65"/>
  <c r="CB46" i="65"/>
  <c r="CB47" i="65"/>
  <c r="CB48" i="65"/>
  <c r="CB49" i="65"/>
  <c r="CB50" i="65"/>
  <c r="CB51" i="65"/>
  <c r="CB52" i="65"/>
  <c r="CB53" i="65"/>
  <c r="CB54" i="65"/>
  <c r="CB55" i="65"/>
  <c r="CB56" i="65"/>
  <c r="CB57" i="65"/>
  <c r="CB58" i="65"/>
  <c r="CB59" i="65"/>
  <c r="CB60" i="65"/>
  <c r="CB61" i="65"/>
  <c r="CB62" i="65"/>
  <c r="CB63" i="65"/>
  <c r="CB64" i="65"/>
  <c r="CB65" i="65"/>
  <c r="CB66" i="65"/>
  <c r="CB67" i="65"/>
  <c r="CB68" i="65"/>
  <c r="CB69" i="65"/>
  <c r="CB70" i="65"/>
  <c r="CB71" i="65"/>
  <c r="CB72" i="65"/>
  <c r="CB73" i="65"/>
  <c r="CB74" i="65"/>
  <c r="CB75" i="65"/>
  <c r="CB76" i="65"/>
  <c r="CB77" i="65"/>
  <c r="CB78" i="65"/>
  <c r="CB79" i="65"/>
  <c r="CB80" i="65"/>
  <c r="CB81" i="65"/>
  <c r="CB6" i="65"/>
  <c r="BX7" i="65"/>
  <c r="BX8" i="65"/>
  <c r="BX9" i="65"/>
  <c r="BX10" i="65"/>
  <c r="BX11" i="65"/>
  <c r="BX12" i="65"/>
  <c r="BX13" i="65"/>
  <c r="BX14" i="65"/>
  <c r="BX15" i="65"/>
  <c r="BX16" i="65"/>
  <c r="BX17" i="65"/>
  <c r="BX18" i="65"/>
  <c r="BX19" i="65"/>
  <c r="BX20" i="65"/>
  <c r="BX21" i="65"/>
  <c r="BX22" i="65"/>
  <c r="BX23" i="65"/>
  <c r="BX24" i="65"/>
  <c r="BX25" i="65"/>
  <c r="BX26" i="65"/>
  <c r="BX27" i="65"/>
  <c r="BX28" i="65"/>
  <c r="BX29" i="65"/>
  <c r="BX30" i="65"/>
  <c r="BX31" i="65"/>
  <c r="BX32" i="65"/>
  <c r="BX33" i="65"/>
  <c r="BX34" i="65"/>
  <c r="BX35" i="65"/>
  <c r="BX36" i="65"/>
  <c r="BX37" i="65"/>
  <c r="BX38" i="65"/>
  <c r="BX39" i="65"/>
  <c r="BX40" i="65"/>
  <c r="BX41" i="65"/>
  <c r="BX42" i="65"/>
  <c r="BX43" i="65"/>
  <c r="BX44" i="65"/>
  <c r="BX45" i="65"/>
  <c r="BX46" i="65"/>
  <c r="BX47" i="65"/>
  <c r="BX48" i="65"/>
  <c r="BX49" i="65"/>
  <c r="BX50" i="65"/>
  <c r="BX51" i="65"/>
  <c r="BX52" i="65"/>
  <c r="BX53" i="65"/>
  <c r="BX54" i="65"/>
  <c r="BX55" i="65"/>
  <c r="BX56" i="65"/>
  <c r="BX57" i="65"/>
  <c r="BX58" i="65"/>
  <c r="BX59" i="65"/>
  <c r="BX60" i="65"/>
  <c r="BX61" i="65"/>
  <c r="BX62" i="65"/>
  <c r="BX63" i="65"/>
  <c r="BX64" i="65"/>
  <c r="BX65" i="65"/>
  <c r="BX66" i="65"/>
  <c r="BX67" i="65"/>
  <c r="BX68" i="65"/>
  <c r="BX69" i="65"/>
  <c r="BX70" i="65"/>
  <c r="BX71" i="65"/>
  <c r="BX72" i="65"/>
  <c r="BX73" i="65"/>
  <c r="BX74" i="65"/>
  <c r="BX75" i="65"/>
  <c r="BX76" i="65"/>
  <c r="BX77" i="65"/>
  <c r="BX78" i="65"/>
  <c r="BX79" i="65"/>
  <c r="BX80" i="65"/>
  <c r="BX81" i="65"/>
  <c r="BX6" i="65"/>
  <c r="O53" i="53" l="1"/>
  <c r="CN546" i="65"/>
  <c r="G125" i="64"/>
  <c r="J125" i="64" s="1"/>
  <c r="I125" i="64"/>
  <c r="L125" i="64" s="1"/>
  <c r="O44" i="66"/>
  <c r="CN7" i="65"/>
  <c r="CN11" i="65"/>
  <c r="CN15" i="65"/>
  <c r="CN19" i="65"/>
  <c r="CN23" i="65"/>
  <c r="CN27" i="65"/>
  <c r="CN31" i="65"/>
  <c r="CN35" i="65"/>
  <c r="CN39" i="65"/>
  <c r="CN43" i="65"/>
  <c r="CN47" i="65"/>
  <c r="CN51" i="65"/>
  <c r="CN55" i="65"/>
  <c r="CN59" i="65"/>
  <c r="CN63" i="65"/>
  <c r="CN67" i="65"/>
  <c r="CN71" i="65"/>
  <c r="CN75" i="65"/>
  <c r="CN79" i="65"/>
  <c r="CN83" i="65"/>
  <c r="CN87" i="65"/>
  <c r="CN91" i="65"/>
  <c r="CN95" i="65"/>
  <c r="CN99" i="65"/>
  <c r="CN103" i="65"/>
  <c r="CN107" i="65"/>
  <c r="CN111" i="65"/>
  <c r="CN115" i="65"/>
  <c r="CN119" i="65"/>
  <c r="CN123" i="65"/>
  <c r="CN127" i="65"/>
  <c r="CN131" i="65"/>
  <c r="CN135" i="65"/>
  <c r="CN139" i="65"/>
  <c r="CN143" i="65"/>
  <c r="CN147" i="65"/>
  <c r="CN151" i="65"/>
  <c r="CN155" i="65"/>
  <c r="CN159" i="65"/>
  <c r="CN163" i="65"/>
  <c r="CN167" i="65"/>
  <c r="CN171" i="65"/>
  <c r="CN175" i="65"/>
  <c r="CN179" i="65"/>
  <c r="CN183" i="65"/>
  <c r="CN187" i="65"/>
  <c r="CN191" i="65"/>
  <c r="CN195" i="65"/>
  <c r="CN199" i="65"/>
  <c r="CN203" i="65"/>
  <c r="CN207" i="65"/>
  <c r="CN211" i="65"/>
  <c r="CN215" i="65"/>
  <c r="CN219" i="65"/>
  <c r="CN223" i="65"/>
  <c r="CN227" i="65"/>
  <c r="CN231" i="65"/>
  <c r="CN235" i="65"/>
  <c r="CN239" i="65"/>
  <c r="CN243" i="65"/>
  <c r="CN247" i="65"/>
  <c r="CN251" i="65"/>
  <c r="CN255" i="65"/>
  <c r="CN259" i="65"/>
  <c r="CN263" i="65"/>
  <c r="CN267" i="65"/>
  <c r="CN271" i="65"/>
  <c r="CN275" i="65"/>
  <c r="CN279" i="65"/>
  <c r="CN283" i="65"/>
  <c r="CN287" i="65"/>
  <c r="CN291" i="65"/>
  <c r="CN295" i="65"/>
  <c r="CN299" i="65"/>
  <c r="CN303" i="65"/>
  <c r="CN307" i="65"/>
  <c r="CN311" i="65"/>
  <c r="CN315" i="65"/>
  <c r="CN319" i="65"/>
  <c r="CN323" i="65"/>
  <c r="CN327" i="65"/>
  <c r="CN331" i="65"/>
  <c r="CN335" i="65"/>
  <c r="CN339" i="65"/>
  <c r="CN343" i="65"/>
  <c r="CN8" i="65"/>
  <c r="CN12" i="65"/>
  <c r="CN16" i="65"/>
  <c r="CN20" i="65"/>
  <c r="CN24" i="65"/>
  <c r="CN28" i="65"/>
  <c r="CN32" i="65"/>
  <c r="CN36" i="65"/>
  <c r="CN40" i="65"/>
  <c r="CN44" i="65"/>
  <c r="CN48" i="65"/>
  <c r="CN52" i="65"/>
  <c r="CN56" i="65"/>
  <c r="CN60" i="65"/>
  <c r="CN64" i="65"/>
  <c r="CN68" i="65"/>
  <c r="CN72" i="65"/>
  <c r="CN76" i="65"/>
  <c r="CN80" i="65"/>
  <c r="CN84" i="65"/>
  <c r="CN88" i="65"/>
  <c r="CN92" i="65"/>
  <c r="CN96" i="65"/>
  <c r="CN100" i="65"/>
  <c r="CN104" i="65"/>
  <c r="CN108" i="65"/>
  <c r="CN112" i="65"/>
  <c r="CN116" i="65"/>
  <c r="CN120" i="65"/>
  <c r="CN124" i="65"/>
  <c r="CN128" i="65"/>
  <c r="CN132" i="65"/>
  <c r="CN136" i="65"/>
  <c r="CN140" i="65"/>
  <c r="CN144" i="65"/>
  <c r="CN148" i="65"/>
  <c r="CN152" i="65"/>
  <c r="CN156" i="65"/>
  <c r="CN160" i="65"/>
  <c r="CN164" i="65"/>
  <c r="CN168" i="65"/>
  <c r="CN172" i="65"/>
  <c r="CN176" i="65"/>
  <c r="CN180" i="65"/>
  <c r="CN184" i="65"/>
  <c r="CN188" i="65"/>
  <c r="CN192" i="65"/>
  <c r="CN196" i="65"/>
  <c r="CN200" i="65"/>
  <c r="CN204" i="65"/>
  <c r="CN208" i="65"/>
  <c r="CN212" i="65"/>
  <c r="CN216" i="65"/>
  <c r="CN220" i="65"/>
  <c r="CN224" i="65"/>
  <c r="CN228" i="65"/>
  <c r="CN232" i="65"/>
  <c r="CN236" i="65"/>
  <c r="CN240" i="65"/>
  <c r="CN244" i="65"/>
  <c r="CN248" i="65"/>
  <c r="CN252" i="65"/>
  <c r="CN256" i="65"/>
  <c r="CN260" i="65"/>
  <c r="CN264" i="65"/>
  <c r="CN268" i="65"/>
  <c r="CN272" i="65"/>
  <c r="CN276" i="65"/>
  <c r="CN280" i="65"/>
  <c r="CN284" i="65"/>
  <c r="CN288" i="65"/>
  <c r="CN292" i="65"/>
  <c r="CN296" i="65"/>
  <c r="CN300" i="65"/>
  <c r="CN304" i="65"/>
  <c r="CN308" i="65"/>
  <c r="CN312" i="65"/>
  <c r="CN316" i="65"/>
  <c r="CN320" i="65"/>
  <c r="CN324" i="65"/>
  <c r="CN328" i="65"/>
  <c r="CN332" i="65"/>
  <c r="CN336" i="65"/>
  <c r="CN340" i="65"/>
  <c r="CN344" i="65"/>
  <c r="CN9" i="65"/>
  <c r="CN6" i="65"/>
  <c r="CN10" i="65"/>
  <c r="CN14" i="65"/>
  <c r="CN18" i="65"/>
  <c r="CN22" i="65"/>
  <c r="CN26" i="65"/>
  <c r="CN30" i="65"/>
  <c r="CN34" i="65"/>
  <c r="CN38" i="65"/>
  <c r="CN42" i="65"/>
  <c r="CN46" i="65"/>
  <c r="CN50" i="65"/>
  <c r="CN54" i="65"/>
  <c r="CN58" i="65"/>
  <c r="CN62" i="65"/>
  <c r="CN66" i="65"/>
  <c r="CN70" i="65"/>
  <c r="CN74" i="65"/>
  <c r="CN78" i="65"/>
  <c r="CN82" i="65"/>
  <c r="CN86" i="65"/>
  <c r="CN90" i="65"/>
  <c r="CN94" i="65"/>
  <c r="CN98" i="65"/>
  <c r="CN102" i="65"/>
  <c r="CN106" i="65"/>
  <c r="CN110" i="65"/>
  <c r="CN114" i="65"/>
  <c r="CN118" i="65"/>
  <c r="CN122" i="65"/>
  <c r="CN126" i="65"/>
  <c r="CN130" i="65"/>
  <c r="CN134" i="65"/>
  <c r="CN138" i="65"/>
  <c r="CN142" i="65"/>
  <c r="CN146" i="65"/>
  <c r="CN150" i="65"/>
  <c r="CN154" i="65"/>
  <c r="CN158" i="65"/>
  <c r="CN162" i="65"/>
  <c r="CN166" i="65"/>
  <c r="CN170" i="65"/>
  <c r="CN174" i="65"/>
  <c r="CN178" i="65"/>
  <c r="CN182" i="65"/>
  <c r="CN186" i="65"/>
  <c r="CN190" i="65"/>
  <c r="CN194" i="65"/>
  <c r="CN198" i="65"/>
  <c r="CN202" i="65"/>
  <c r="CN206" i="65"/>
  <c r="CN210" i="65"/>
  <c r="CN214" i="65"/>
  <c r="CN218" i="65"/>
  <c r="CN222" i="65"/>
  <c r="CN226" i="65"/>
  <c r="CN17" i="65"/>
  <c r="CN33" i="65"/>
  <c r="CN49" i="65"/>
  <c r="CN65" i="65"/>
  <c r="CN81" i="65"/>
  <c r="CN97" i="65"/>
  <c r="CN113" i="65"/>
  <c r="CN129" i="65"/>
  <c r="CN145" i="65"/>
  <c r="CN161" i="65"/>
  <c r="CN177" i="65"/>
  <c r="CN193" i="65"/>
  <c r="CN209" i="65"/>
  <c r="CN225" i="65"/>
  <c r="CN234" i="65"/>
  <c r="CN242" i="65"/>
  <c r="CN250" i="65"/>
  <c r="CN258" i="65"/>
  <c r="CN266" i="65"/>
  <c r="CN274" i="65"/>
  <c r="CN282" i="65"/>
  <c r="CN290" i="65"/>
  <c r="CN298" i="65"/>
  <c r="CN306" i="65"/>
  <c r="CN314" i="65"/>
  <c r="CN322" i="65"/>
  <c r="CN330" i="65"/>
  <c r="CN338" i="65"/>
  <c r="CN346" i="65"/>
  <c r="CN350" i="65"/>
  <c r="CN21" i="65"/>
  <c r="CN37" i="65"/>
  <c r="CN53" i="65"/>
  <c r="CN69" i="65"/>
  <c r="CN85" i="65"/>
  <c r="CN101" i="65"/>
  <c r="CN117" i="65"/>
  <c r="CN133" i="65"/>
  <c r="CN149" i="65"/>
  <c r="CN165" i="65"/>
  <c r="CN181" i="65"/>
  <c r="CN197" i="65"/>
  <c r="CN213" i="65"/>
  <c r="CN229" i="65"/>
  <c r="CN237" i="65"/>
  <c r="CN245" i="65"/>
  <c r="CN253" i="65"/>
  <c r="CN261" i="65"/>
  <c r="CN269" i="65"/>
  <c r="CN277" i="65"/>
  <c r="CN285" i="65"/>
  <c r="CN293" i="65"/>
  <c r="CN301" i="65"/>
  <c r="CN309" i="65"/>
  <c r="CN317" i="65"/>
  <c r="CN325" i="65"/>
  <c r="CN333" i="65"/>
  <c r="CN341" i="65"/>
  <c r="CN347" i="65"/>
  <c r="CN351" i="65"/>
  <c r="CN355" i="65"/>
  <c r="CN359" i="65"/>
  <c r="CN363" i="65"/>
  <c r="CN367" i="65"/>
  <c r="CN371" i="65"/>
  <c r="CN375" i="65"/>
  <c r="CN379" i="65"/>
  <c r="CN383" i="65"/>
  <c r="CN387" i="65"/>
  <c r="CN391" i="65"/>
  <c r="CN395" i="65"/>
  <c r="CN399" i="65"/>
  <c r="CN403" i="65"/>
  <c r="CN407" i="65"/>
  <c r="CN411" i="65"/>
  <c r="CN415" i="65"/>
  <c r="CN419" i="65"/>
  <c r="CN423" i="65"/>
  <c r="CN427" i="65"/>
  <c r="CN431" i="65"/>
  <c r="CN435" i="65"/>
  <c r="CN439" i="65"/>
  <c r="CN443" i="65"/>
  <c r="CN447" i="65"/>
  <c r="CN451" i="65"/>
  <c r="CN455" i="65"/>
  <c r="CN459" i="65"/>
  <c r="CN463" i="65"/>
  <c r="CN467" i="65"/>
  <c r="CN471" i="65"/>
  <c r="CN475" i="65"/>
  <c r="CN479" i="65"/>
  <c r="CN483" i="65"/>
  <c r="CN487" i="65"/>
  <c r="CN491" i="65"/>
  <c r="CN495" i="65"/>
  <c r="CN499" i="65"/>
  <c r="CN503" i="65"/>
  <c r="CN507" i="65"/>
  <c r="CN511" i="65"/>
  <c r="CN515" i="65"/>
  <c r="CN519" i="65"/>
  <c r="CN523" i="65"/>
  <c r="CN527" i="65"/>
  <c r="CN531" i="65"/>
  <c r="CN535" i="65"/>
  <c r="CN539" i="65"/>
  <c r="CN543" i="65"/>
  <c r="CN29" i="65"/>
  <c r="CN45" i="65"/>
  <c r="CN77" i="65"/>
  <c r="CN109" i="65"/>
  <c r="CN141" i="65"/>
  <c r="CN173" i="65"/>
  <c r="CN205" i="65"/>
  <c r="CN25" i="65"/>
  <c r="CN41" i="65"/>
  <c r="CN57" i="65"/>
  <c r="CN73" i="65"/>
  <c r="CN89" i="65"/>
  <c r="CN105" i="65"/>
  <c r="CN121" i="65"/>
  <c r="CN137" i="65"/>
  <c r="CN153" i="65"/>
  <c r="CN169" i="65"/>
  <c r="CN185" i="65"/>
  <c r="CN201" i="65"/>
  <c r="CN217" i="65"/>
  <c r="CN230" i="65"/>
  <c r="CN238" i="65"/>
  <c r="CN246" i="65"/>
  <c r="CN254" i="65"/>
  <c r="CN262" i="65"/>
  <c r="CN270" i="65"/>
  <c r="CN278" i="65"/>
  <c r="CN286" i="65"/>
  <c r="CN294" i="65"/>
  <c r="CN302" i="65"/>
  <c r="CN310" i="65"/>
  <c r="CN318" i="65"/>
  <c r="CN326" i="65"/>
  <c r="CN334" i="65"/>
  <c r="CN342" i="65"/>
  <c r="CN348" i="65"/>
  <c r="CN352" i="65"/>
  <c r="CN356" i="65"/>
  <c r="CN360" i="65"/>
  <c r="CN364" i="65"/>
  <c r="CN368" i="65"/>
  <c r="CN372" i="65"/>
  <c r="CN376" i="65"/>
  <c r="CN380" i="65"/>
  <c r="CN384" i="65"/>
  <c r="CN388" i="65"/>
  <c r="CN392" i="65"/>
  <c r="CN396" i="65"/>
  <c r="CN400" i="65"/>
  <c r="CN404" i="65"/>
  <c r="CN408" i="65"/>
  <c r="CN412" i="65"/>
  <c r="CN416" i="65"/>
  <c r="CN420" i="65"/>
  <c r="CN424" i="65"/>
  <c r="CN428" i="65"/>
  <c r="CN432" i="65"/>
  <c r="CN436" i="65"/>
  <c r="CN440" i="65"/>
  <c r="CN444" i="65"/>
  <c r="CN448" i="65"/>
  <c r="CN452" i="65"/>
  <c r="CN456" i="65"/>
  <c r="CN460" i="65"/>
  <c r="CN464" i="65"/>
  <c r="CN468" i="65"/>
  <c r="CN472" i="65"/>
  <c r="CN476" i="65"/>
  <c r="CN480" i="65"/>
  <c r="CN484" i="65"/>
  <c r="CN488" i="65"/>
  <c r="CN492" i="65"/>
  <c r="CN496" i="65"/>
  <c r="CN500" i="65"/>
  <c r="CN504" i="65"/>
  <c r="CN508" i="65"/>
  <c r="CN512" i="65"/>
  <c r="CN516" i="65"/>
  <c r="CN520" i="65"/>
  <c r="CN524" i="65"/>
  <c r="CN528" i="65"/>
  <c r="CN532" i="65"/>
  <c r="CN536" i="65"/>
  <c r="CN540" i="65"/>
  <c r="CN544" i="65"/>
  <c r="CN13" i="65"/>
  <c r="CN61" i="65"/>
  <c r="CN93" i="65"/>
  <c r="CN125" i="65"/>
  <c r="CN157" i="65"/>
  <c r="CN189" i="65"/>
  <c r="CN221" i="65"/>
  <c r="CN241" i="65"/>
  <c r="CN273" i="65"/>
  <c r="CN305" i="65"/>
  <c r="CN337" i="65"/>
  <c r="CN354" i="65"/>
  <c r="CN362" i="65"/>
  <c r="CN370" i="65"/>
  <c r="CN378" i="65"/>
  <c r="CN386" i="65"/>
  <c r="CN394" i="65"/>
  <c r="CN402" i="65"/>
  <c r="CN410" i="65"/>
  <c r="CN418" i="65"/>
  <c r="CN426" i="65"/>
  <c r="CN434" i="65"/>
  <c r="CN442" i="65"/>
  <c r="CN450" i="65"/>
  <c r="CN458" i="65"/>
  <c r="CN466" i="65"/>
  <c r="CN474" i="65"/>
  <c r="CN482" i="65"/>
  <c r="CN490" i="65"/>
  <c r="CN498" i="65"/>
  <c r="CN506" i="65"/>
  <c r="CN514" i="65"/>
  <c r="CN522" i="65"/>
  <c r="CN530" i="65"/>
  <c r="CN538" i="65"/>
  <c r="CN297" i="65"/>
  <c r="CN361" i="65"/>
  <c r="CN385" i="65"/>
  <c r="CN409" i="65"/>
  <c r="CN433" i="65"/>
  <c r="CN449" i="65"/>
  <c r="CN465" i="65"/>
  <c r="CN489" i="65"/>
  <c r="CN513" i="65"/>
  <c r="CN537" i="65"/>
  <c r="CN249" i="65"/>
  <c r="CN281" i="65"/>
  <c r="CN313" i="65"/>
  <c r="CN345" i="65"/>
  <c r="CN357" i="65"/>
  <c r="CN365" i="65"/>
  <c r="CN373" i="65"/>
  <c r="CN381" i="65"/>
  <c r="CN389" i="65"/>
  <c r="CN397" i="65"/>
  <c r="CN405" i="65"/>
  <c r="CN413" i="65"/>
  <c r="CN421" i="65"/>
  <c r="CN429" i="65"/>
  <c r="CN437" i="65"/>
  <c r="CN445" i="65"/>
  <c r="CN453" i="65"/>
  <c r="CN461" i="65"/>
  <c r="CN469" i="65"/>
  <c r="CN477" i="65"/>
  <c r="CN485" i="65"/>
  <c r="CN493" i="65"/>
  <c r="CN501" i="65"/>
  <c r="CN509" i="65"/>
  <c r="CN517" i="65"/>
  <c r="CN525" i="65"/>
  <c r="CN533" i="65"/>
  <c r="CN541" i="65"/>
  <c r="CN265" i="65"/>
  <c r="CN353" i="65"/>
  <c r="CN377" i="65"/>
  <c r="CN401" i="65"/>
  <c r="CN425" i="65"/>
  <c r="CN457" i="65"/>
  <c r="CN481" i="65"/>
  <c r="CN497" i="65"/>
  <c r="CN521" i="65"/>
  <c r="CN545" i="65"/>
  <c r="CN257" i="65"/>
  <c r="CN289" i="65"/>
  <c r="CN321" i="65"/>
  <c r="CN349" i="65"/>
  <c r="CN358" i="65"/>
  <c r="CN366" i="65"/>
  <c r="CN374" i="65"/>
  <c r="CN382" i="65"/>
  <c r="CN390" i="65"/>
  <c r="CN398" i="65"/>
  <c r="CN406" i="65"/>
  <c r="CN414" i="65"/>
  <c r="CN422" i="65"/>
  <c r="CN430" i="65"/>
  <c r="CN438" i="65"/>
  <c r="CN446" i="65"/>
  <c r="CN454" i="65"/>
  <c r="CN462" i="65"/>
  <c r="CN470" i="65"/>
  <c r="CN478" i="65"/>
  <c r="CN486" i="65"/>
  <c r="CN494" i="65"/>
  <c r="CN502" i="65"/>
  <c r="CN510" i="65"/>
  <c r="CN518" i="65"/>
  <c r="CN526" i="65"/>
  <c r="CN534" i="65"/>
  <c r="CN542" i="65"/>
  <c r="CN233" i="65"/>
  <c r="CN329" i="65"/>
  <c r="CN369" i="65"/>
  <c r="CN393" i="65"/>
  <c r="CN417" i="65"/>
  <c r="CN441" i="65"/>
  <c r="CN473" i="65"/>
  <c r="CN505" i="65"/>
  <c r="CN529" i="65"/>
  <c r="CN5" i="65"/>
  <c r="X130" i="64" l="1"/>
  <c r="X133" i="64"/>
  <c r="X134" i="64"/>
  <c r="X126" i="64"/>
  <c r="X128" i="64"/>
  <c r="X132" i="64"/>
  <c r="X129" i="64"/>
  <c r="X125" i="64"/>
  <c r="X131" i="64"/>
  <c r="X135" i="64"/>
  <c r="X127" i="64"/>
  <c r="CY233" i="65"/>
  <c r="CP233" i="65"/>
  <c r="CX233" i="65" s="1"/>
  <c r="CY422" i="65"/>
  <c r="CX422" i="65"/>
  <c r="CP422" i="65"/>
  <c r="CY257" i="65"/>
  <c r="CX257" i="65"/>
  <c r="CP257" i="65"/>
  <c r="CY501" i="65"/>
  <c r="CP501" i="65"/>
  <c r="CX501" i="65" s="1"/>
  <c r="CY373" i="65"/>
  <c r="CP373" i="65"/>
  <c r="CX373" i="65" s="1"/>
  <c r="CY433" i="65"/>
  <c r="CX433" i="65"/>
  <c r="CP433" i="65"/>
  <c r="CY482" i="65"/>
  <c r="CX482" i="65"/>
  <c r="CP482" i="65"/>
  <c r="CY386" i="65"/>
  <c r="CP386" i="65"/>
  <c r="CX386" i="65" s="1"/>
  <c r="CY125" i="65"/>
  <c r="CP125" i="65"/>
  <c r="CX125" i="65" s="1"/>
  <c r="CY512" i="65"/>
  <c r="CX512" i="65"/>
  <c r="CP512" i="65"/>
  <c r="CY464" i="65"/>
  <c r="CX464" i="65"/>
  <c r="CP464" i="65"/>
  <c r="CY400" i="65"/>
  <c r="CP400" i="65"/>
  <c r="CX400" i="65" s="1"/>
  <c r="CY352" i="65"/>
  <c r="CP352" i="65"/>
  <c r="CX352" i="65" s="1"/>
  <c r="CY262" i="65"/>
  <c r="CX262" i="65"/>
  <c r="CP262" i="65"/>
  <c r="CY105" i="65"/>
  <c r="CX105" i="65"/>
  <c r="CP105" i="65"/>
  <c r="CY29" i="65"/>
  <c r="CP29" i="65"/>
  <c r="CX29" i="65"/>
  <c r="CY483" i="65"/>
  <c r="CP483" i="65"/>
  <c r="CX483" i="65" s="1"/>
  <c r="CY435" i="65"/>
  <c r="CP435" i="65"/>
  <c r="CX435" i="65" s="1"/>
  <c r="CY387" i="65"/>
  <c r="CX387" i="65"/>
  <c r="CP387" i="65"/>
  <c r="CY333" i="65"/>
  <c r="CP333" i="65"/>
  <c r="CX333" i="65" s="1"/>
  <c r="CY181" i="65"/>
  <c r="CP181" i="65"/>
  <c r="CX181" i="65" s="1"/>
  <c r="CY346" i="65"/>
  <c r="CP346" i="65"/>
  <c r="CX346" i="65" s="1"/>
  <c r="CY209" i="65"/>
  <c r="CX209" i="65"/>
  <c r="CP209" i="65"/>
  <c r="CY17" i="65"/>
  <c r="CP17" i="65"/>
  <c r="CX17" i="65" s="1"/>
  <c r="CY166" i="65"/>
  <c r="CP166" i="65"/>
  <c r="CX166" i="65" s="1"/>
  <c r="CY118" i="65"/>
  <c r="CP118" i="65"/>
  <c r="CX118" i="65" s="1"/>
  <c r="CY70" i="65"/>
  <c r="CX70" i="65"/>
  <c r="CP70" i="65"/>
  <c r="CY22" i="65"/>
  <c r="CP22" i="65"/>
  <c r="CX22" i="65" s="1"/>
  <c r="CY320" i="65"/>
  <c r="CP320" i="65"/>
  <c r="CX320" i="65" s="1"/>
  <c r="CY272" i="65"/>
  <c r="CP272" i="65"/>
  <c r="CX272" i="65" s="1"/>
  <c r="CY224" i="65"/>
  <c r="CX224" i="65"/>
  <c r="CP224" i="65"/>
  <c r="CY176" i="65"/>
  <c r="CP176" i="65"/>
  <c r="CX176" i="65" s="1"/>
  <c r="CY128" i="65"/>
  <c r="CP128" i="65"/>
  <c r="CX128" i="65" s="1"/>
  <c r="CY80" i="65"/>
  <c r="CP80" i="65"/>
  <c r="CX80" i="65" s="1"/>
  <c r="CY32" i="65"/>
  <c r="CX32" i="65"/>
  <c r="CP32" i="65"/>
  <c r="CY323" i="65"/>
  <c r="CP323" i="65"/>
  <c r="CX323" i="65" s="1"/>
  <c r="CY275" i="65"/>
  <c r="CP275" i="65"/>
  <c r="CX275" i="65" s="1"/>
  <c r="CY227" i="65"/>
  <c r="CP227" i="65"/>
  <c r="CX227" i="65" s="1"/>
  <c r="CY179" i="65"/>
  <c r="CP179" i="65"/>
  <c r="CX179" i="65" s="1"/>
  <c r="CY131" i="65"/>
  <c r="CP131" i="65"/>
  <c r="CX131" i="65" s="1"/>
  <c r="CY115" i="65"/>
  <c r="CP115" i="65"/>
  <c r="CX115" i="65" s="1"/>
  <c r="CY99" i="65"/>
  <c r="CP99" i="65"/>
  <c r="CX99" i="65" s="1"/>
  <c r="CY83" i="65"/>
  <c r="CX83" i="65"/>
  <c r="CP83" i="65"/>
  <c r="CY67" i="65"/>
  <c r="CP67" i="65"/>
  <c r="CX67" i="65" s="1"/>
  <c r="CY51" i="65"/>
  <c r="CP51" i="65"/>
  <c r="CX51" i="65" s="1"/>
  <c r="CY35" i="65"/>
  <c r="CP35" i="65"/>
  <c r="CX35" i="65" s="1"/>
  <c r="CY19" i="65"/>
  <c r="CX19" i="65"/>
  <c r="CP19" i="65"/>
  <c r="CY510" i="65"/>
  <c r="CP510" i="65"/>
  <c r="CX510" i="65" s="1"/>
  <c r="CY382" i="65"/>
  <c r="CX382" i="65"/>
  <c r="CP382" i="65"/>
  <c r="CY457" i="65"/>
  <c r="CP457" i="65"/>
  <c r="CX457" i="65" s="1"/>
  <c r="CY525" i="65"/>
  <c r="CX525" i="65"/>
  <c r="CP525" i="65"/>
  <c r="CY461" i="65"/>
  <c r="CP461" i="65"/>
  <c r="CX461" i="65" s="1"/>
  <c r="CY429" i="65"/>
  <c r="CX429" i="65"/>
  <c r="CP429" i="65"/>
  <c r="CY397" i="65"/>
  <c r="CP397" i="65"/>
  <c r="CX397" i="65" s="1"/>
  <c r="CY365" i="65"/>
  <c r="CX365" i="65"/>
  <c r="CP365" i="65"/>
  <c r="CY281" i="65"/>
  <c r="CP281" i="65"/>
  <c r="CX281" i="65" s="1"/>
  <c r="CY489" i="65"/>
  <c r="CX489" i="65"/>
  <c r="CP489" i="65"/>
  <c r="CY409" i="65"/>
  <c r="CP409" i="65"/>
  <c r="CX409" i="65" s="1"/>
  <c r="CY538" i="65"/>
  <c r="CX538" i="65"/>
  <c r="CP538" i="65"/>
  <c r="CY506" i="65"/>
  <c r="CP506" i="65"/>
  <c r="CX506" i="65" s="1"/>
  <c r="CY474" i="65"/>
  <c r="CX474" i="65"/>
  <c r="CP474" i="65"/>
  <c r="CY442" i="65"/>
  <c r="CP442" i="65"/>
  <c r="CX442" i="65" s="1"/>
  <c r="CY410" i="65"/>
  <c r="CX410" i="65"/>
  <c r="CP410" i="65"/>
  <c r="CY378" i="65"/>
  <c r="CP378" i="65"/>
  <c r="CX378" i="65" s="1"/>
  <c r="CY337" i="65"/>
  <c r="CX337" i="65"/>
  <c r="CP337" i="65"/>
  <c r="CY221" i="65"/>
  <c r="CP221" i="65"/>
  <c r="CX221" i="65" s="1"/>
  <c r="CY93" i="65"/>
  <c r="CP93" i="65"/>
  <c r="CX93" i="65" s="1"/>
  <c r="CY540" i="65"/>
  <c r="CP540" i="65"/>
  <c r="CX540" i="65"/>
  <c r="CY524" i="65"/>
  <c r="CP524" i="65"/>
  <c r="CX524" i="65" s="1"/>
  <c r="CY508" i="65"/>
  <c r="CP508" i="65"/>
  <c r="CX508" i="65"/>
  <c r="CY492" i="65"/>
  <c r="CP492" i="65"/>
  <c r="CX492" i="65" s="1"/>
  <c r="CY476" i="65"/>
  <c r="CP476" i="65"/>
  <c r="CX476" i="65"/>
  <c r="CY460" i="65"/>
  <c r="CP460" i="65"/>
  <c r="CX460" i="65" s="1"/>
  <c r="CY444" i="65"/>
  <c r="CP444" i="65"/>
  <c r="CX444" i="65"/>
  <c r="CY428" i="65"/>
  <c r="CX428" i="65"/>
  <c r="CP428" i="65"/>
  <c r="CY412" i="65"/>
  <c r="CP412" i="65"/>
  <c r="CX412" i="65"/>
  <c r="CY396" i="65"/>
  <c r="CP396" i="65"/>
  <c r="CX396" i="65" s="1"/>
  <c r="CY380" i="65"/>
  <c r="CP380" i="65"/>
  <c r="CX380" i="65" s="1"/>
  <c r="CY364" i="65"/>
  <c r="CX364" i="65"/>
  <c r="CP364" i="65"/>
  <c r="CY348" i="65"/>
  <c r="CP348" i="65"/>
  <c r="CX348" i="65"/>
  <c r="CY318" i="65"/>
  <c r="CX318" i="65"/>
  <c r="CP318" i="65"/>
  <c r="CY286" i="65"/>
  <c r="CP286" i="65"/>
  <c r="CX286" i="65" s="1"/>
  <c r="CY254" i="65"/>
  <c r="CX254" i="65"/>
  <c r="CP254" i="65"/>
  <c r="CY217" i="65"/>
  <c r="CP217" i="65"/>
  <c r="CX217" i="65" s="1"/>
  <c r="CY153" i="65"/>
  <c r="CX153" i="65"/>
  <c r="CP153" i="65"/>
  <c r="CY89" i="65"/>
  <c r="CP89" i="65"/>
  <c r="CX89" i="65" s="1"/>
  <c r="CY25" i="65"/>
  <c r="CX25" i="65"/>
  <c r="CP25" i="65"/>
  <c r="CY109" i="65"/>
  <c r="CP109" i="65"/>
  <c r="CX109" i="65"/>
  <c r="CY543" i="65"/>
  <c r="CX543" i="65"/>
  <c r="CP543" i="65"/>
  <c r="CY527" i="65"/>
  <c r="CP527" i="65"/>
  <c r="CX527" i="65" s="1"/>
  <c r="CY511" i="65"/>
  <c r="CX511" i="65"/>
  <c r="CP511" i="65"/>
  <c r="CY495" i="65"/>
  <c r="CP495" i="65"/>
  <c r="CX495" i="65" s="1"/>
  <c r="CY479" i="65"/>
  <c r="CX479" i="65"/>
  <c r="CP479" i="65"/>
  <c r="CY463" i="65"/>
  <c r="CP463" i="65"/>
  <c r="CX463" i="65" s="1"/>
  <c r="CY447" i="65"/>
  <c r="CX447" i="65"/>
  <c r="CP447" i="65"/>
  <c r="CY431" i="65"/>
  <c r="CP431" i="65"/>
  <c r="CX431" i="65" s="1"/>
  <c r="CY415" i="65"/>
  <c r="CX415" i="65"/>
  <c r="CP415" i="65"/>
  <c r="CY399" i="65"/>
  <c r="CP399" i="65"/>
  <c r="CX399" i="65" s="1"/>
  <c r="CY383" i="65"/>
  <c r="CX383" i="65"/>
  <c r="CP383" i="65"/>
  <c r="CY367" i="65"/>
  <c r="CP367" i="65"/>
  <c r="CX367" i="65" s="1"/>
  <c r="CY351" i="65"/>
  <c r="CX351" i="65"/>
  <c r="CP351" i="65"/>
  <c r="CY325" i="65"/>
  <c r="CP325" i="65"/>
  <c r="CX325" i="65" s="1"/>
  <c r="CY293" i="65"/>
  <c r="CX293" i="65"/>
  <c r="CP293" i="65"/>
  <c r="CY261" i="65"/>
  <c r="CP261" i="65"/>
  <c r="CX261" i="65" s="1"/>
  <c r="CY229" i="65"/>
  <c r="CX229" i="65"/>
  <c r="CP229" i="65"/>
  <c r="CY165" i="65"/>
  <c r="CP165" i="65"/>
  <c r="CX165" i="65" s="1"/>
  <c r="CY101" i="65"/>
  <c r="CX101" i="65"/>
  <c r="CP101" i="65"/>
  <c r="CY37" i="65"/>
  <c r="CP37" i="65"/>
  <c r="CX37" i="65" s="1"/>
  <c r="CY338" i="65"/>
  <c r="CX338" i="65"/>
  <c r="CP338" i="65"/>
  <c r="CY306" i="65"/>
  <c r="CP306" i="65"/>
  <c r="CX306" i="65" s="1"/>
  <c r="CY274" i="65"/>
  <c r="CX274" i="65"/>
  <c r="CP274" i="65"/>
  <c r="CY242" i="65"/>
  <c r="CP242" i="65"/>
  <c r="CX242" i="65" s="1"/>
  <c r="CY193" i="65"/>
  <c r="CX193" i="65"/>
  <c r="CP193" i="65"/>
  <c r="CY129" i="65"/>
  <c r="CP129" i="65"/>
  <c r="CX129" i="65" s="1"/>
  <c r="CY65" i="65"/>
  <c r="CX65" i="65"/>
  <c r="CP65" i="65"/>
  <c r="CY226" i="65"/>
  <c r="CP226" i="65"/>
  <c r="CX226" i="65" s="1"/>
  <c r="CY210" i="65"/>
  <c r="CX210" i="65"/>
  <c r="CP210" i="65"/>
  <c r="CY194" i="65"/>
  <c r="CP194" i="65"/>
  <c r="CX194" i="65" s="1"/>
  <c r="CY178" i="65"/>
  <c r="CX178" i="65"/>
  <c r="CP178" i="65"/>
  <c r="CY162" i="65"/>
  <c r="CP162" i="65"/>
  <c r="CX162" i="65" s="1"/>
  <c r="CY146" i="65"/>
  <c r="CX146" i="65"/>
  <c r="CP146" i="65"/>
  <c r="CY130" i="65"/>
  <c r="CP130" i="65"/>
  <c r="CX130" i="65" s="1"/>
  <c r="CY114" i="65"/>
  <c r="CX114" i="65"/>
  <c r="CP114" i="65"/>
  <c r="CY98" i="65"/>
  <c r="CP98" i="65"/>
  <c r="CX98" i="65" s="1"/>
  <c r="CY82" i="65"/>
  <c r="CX82" i="65"/>
  <c r="CP82" i="65"/>
  <c r="CY66" i="65"/>
  <c r="CP66" i="65"/>
  <c r="CX66" i="65" s="1"/>
  <c r="CY50" i="65"/>
  <c r="CX50" i="65"/>
  <c r="CP50" i="65"/>
  <c r="CY34" i="65"/>
  <c r="CP34" i="65"/>
  <c r="CX34" i="65" s="1"/>
  <c r="CY18" i="65"/>
  <c r="CX18" i="65"/>
  <c r="CP18" i="65"/>
  <c r="CY9" i="65"/>
  <c r="CP9" i="65"/>
  <c r="CX9" i="65" s="1"/>
  <c r="CY332" i="65"/>
  <c r="CX332" i="65"/>
  <c r="CP332" i="65"/>
  <c r="CY316" i="65"/>
  <c r="CP316" i="65"/>
  <c r="CX316" i="65" s="1"/>
  <c r="CY300" i="65"/>
  <c r="CX300" i="65"/>
  <c r="CP300" i="65"/>
  <c r="CY284" i="65"/>
  <c r="CP284" i="65"/>
  <c r="CX284" i="65" s="1"/>
  <c r="CY268" i="65"/>
  <c r="CX268" i="65"/>
  <c r="CP268" i="65"/>
  <c r="CY252" i="65"/>
  <c r="CP252" i="65"/>
  <c r="CX252" i="65" s="1"/>
  <c r="CY236" i="65"/>
  <c r="CX236" i="65"/>
  <c r="CP236" i="65"/>
  <c r="CY220" i="65"/>
  <c r="CP220" i="65"/>
  <c r="CX220" i="65" s="1"/>
  <c r="CY204" i="65"/>
  <c r="CX204" i="65"/>
  <c r="CP204" i="65"/>
  <c r="CY188" i="65"/>
  <c r="CP188" i="65"/>
  <c r="CX188" i="65" s="1"/>
  <c r="CY172" i="65"/>
  <c r="CX172" i="65"/>
  <c r="CP172" i="65"/>
  <c r="CY156" i="65"/>
  <c r="CP156" i="65"/>
  <c r="CX156" i="65" s="1"/>
  <c r="CY140" i="65"/>
  <c r="CX140" i="65"/>
  <c r="CP140" i="65"/>
  <c r="CY124" i="65"/>
  <c r="CP124" i="65"/>
  <c r="CX124" i="65" s="1"/>
  <c r="CY108" i="65"/>
  <c r="CX108" i="65"/>
  <c r="CP108" i="65"/>
  <c r="CY92" i="65"/>
  <c r="CP92" i="65"/>
  <c r="CX92" i="65" s="1"/>
  <c r="CY76" i="65"/>
  <c r="CX76" i="65"/>
  <c r="CP76" i="65"/>
  <c r="CY60" i="65"/>
  <c r="CP60" i="65"/>
  <c r="CX60" i="65" s="1"/>
  <c r="CY44" i="65"/>
  <c r="CX44" i="65"/>
  <c r="CP44" i="65"/>
  <c r="CY28" i="65"/>
  <c r="CP28" i="65"/>
  <c r="CX28" i="65" s="1"/>
  <c r="CY12" i="65"/>
  <c r="CX12" i="65"/>
  <c r="CP12" i="65"/>
  <c r="CY335" i="65"/>
  <c r="CP335" i="65"/>
  <c r="CX335" i="65" s="1"/>
  <c r="CY319" i="65"/>
  <c r="CX319" i="65"/>
  <c r="CP319" i="65"/>
  <c r="CY303" i="65"/>
  <c r="CP303" i="65"/>
  <c r="CX303" i="65" s="1"/>
  <c r="CY287" i="65"/>
  <c r="CX287" i="65"/>
  <c r="CP287" i="65"/>
  <c r="CY271" i="65"/>
  <c r="CP271" i="65"/>
  <c r="CX271" i="65" s="1"/>
  <c r="CY255" i="65"/>
  <c r="CX255" i="65"/>
  <c r="CP255" i="65"/>
  <c r="CY239" i="65"/>
  <c r="CP239" i="65"/>
  <c r="CX239" i="65" s="1"/>
  <c r="CY223" i="65"/>
  <c r="CX223" i="65"/>
  <c r="CP223" i="65"/>
  <c r="CY207" i="65"/>
  <c r="CP207" i="65"/>
  <c r="CX207" i="65" s="1"/>
  <c r="CY191" i="65"/>
  <c r="CX191" i="65"/>
  <c r="CP191" i="65"/>
  <c r="CY175" i="65"/>
  <c r="CP175" i="65"/>
  <c r="CX175" i="65" s="1"/>
  <c r="CY159" i="65"/>
  <c r="CX159" i="65"/>
  <c r="CP159" i="65"/>
  <c r="CY143" i="65"/>
  <c r="CP143" i="65"/>
  <c r="CX143" i="65" s="1"/>
  <c r="CY127" i="65"/>
  <c r="CX127" i="65"/>
  <c r="CP127" i="65"/>
  <c r="CY111" i="65"/>
  <c r="CP111" i="65"/>
  <c r="CX111" i="65" s="1"/>
  <c r="CY95" i="65"/>
  <c r="CX95" i="65"/>
  <c r="CP95" i="65"/>
  <c r="CY79" i="65"/>
  <c r="CP79" i="65"/>
  <c r="CX79" i="65" s="1"/>
  <c r="CY63" i="65"/>
  <c r="CX63" i="65"/>
  <c r="CP63" i="65"/>
  <c r="CY47" i="65"/>
  <c r="CP47" i="65"/>
  <c r="CX47" i="65" s="1"/>
  <c r="CY31" i="65"/>
  <c r="CX31" i="65"/>
  <c r="CP31" i="65"/>
  <c r="CY15" i="65"/>
  <c r="CP15" i="65"/>
  <c r="CX15" i="65" s="1"/>
  <c r="CY529" i="65"/>
  <c r="CX529" i="65"/>
  <c r="CP529" i="65"/>
  <c r="CY518" i="65"/>
  <c r="CP518" i="65"/>
  <c r="CX518" i="65" s="1"/>
  <c r="CY454" i="65"/>
  <c r="CX454" i="65"/>
  <c r="CP454" i="65"/>
  <c r="CY358" i="65"/>
  <c r="CP358" i="65"/>
  <c r="CX358" i="65" s="1"/>
  <c r="CY377" i="65"/>
  <c r="CX377" i="65"/>
  <c r="CP377" i="65"/>
  <c r="CY469" i="65"/>
  <c r="CP469" i="65"/>
  <c r="CX469" i="65" s="1"/>
  <c r="CY405" i="65"/>
  <c r="CX405" i="65"/>
  <c r="CP405" i="65"/>
  <c r="CY513" i="65"/>
  <c r="CP513" i="65"/>
  <c r="CX513" i="65" s="1"/>
  <c r="CY297" i="65"/>
  <c r="CX297" i="65"/>
  <c r="CP297" i="65"/>
  <c r="CY450" i="65"/>
  <c r="CP450" i="65"/>
  <c r="CX450" i="65" s="1"/>
  <c r="CY354" i="65"/>
  <c r="CX354" i="65"/>
  <c r="CP354" i="65"/>
  <c r="CY544" i="65"/>
  <c r="CP544" i="65"/>
  <c r="CX544" i="65" s="1"/>
  <c r="CY496" i="65"/>
  <c r="CX496" i="65"/>
  <c r="CP496" i="65"/>
  <c r="CY448" i="65"/>
  <c r="CP448" i="65"/>
  <c r="CX448" i="65" s="1"/>
  <c r="CY416" i="65"/>
  <c r="CX416" i="65"/>
  <c r="CP416" i="65"/>
  <c r="CY368" i="65"/>
  <c r="CP368" i="65"/>
  <c r="CX368" i="65" s="1"/>
  <c r="CY294" i="65"/>
  <c r="CX294" i="65"/>
  <c r="CP294" i="65"/>
  <c r="CY169" i="65"/>
  <c r="CP169" i="65"/>
  <c r="CX169" i="65" s="1"/>
  <c r="CY41" i="65"/>
  <c r="CX41" i="65"/>
  <c r="CP41" i="65"/>
  <c r="CY531" i="65"/>
  <c r="CP531" i="65"/>
  <c r="CX531" i="65" s="1"/>
  <c r="CY499" i="65"/>
  <c r="CX499" i="65"/>
  <c r="CP499" i="65"/>
  <c r="CY451" i="65"/>
  <c r="CP451" i="65"/>
  <c r="CX451" i="65" s="1"/>
  <c r="CY403" i="65"/>
  <c r="CX403" i="65"/>
  <c r="CP403" i="65"/>
  <c r="CY355" i="65"/>
  <c r="CP355" i="65"/>
  <c r="CX355" i="65" s="1"/>
  <c r="CY269" i="65"/>
  <c r="CX269" i="65"/>
  <c r="CP269" i="65"/>
  <c r="CY117" i="65"/>
  <c r="CP117" i="65"/>
  <c r="CX117" i="65" s="1"/>
  <c r="CY314" i="65"/>
  <c r="CX314" i="65"/>
  <c r="CP314" i="65"/>
  <c r="CY250" i="65"/>
  <c r="CP250" i="65"/>
  <c r="CX250" i="65" s="1"/>
  <c r="CY81" i="65"/>
  <c r="CX81" i="65"/>
  <c r="CP81" i="65"/>
  <c r="CY198" i="65"/>
  <c r="CP198" i="65"/>
  <c r="CX198" i="65" s="1"/>
  <c r="CY150" i="65"/>
  <c r="CX150" i="65"/>
  <c r="CP150" i="65"/>
  <c r="CY102" i="65"/>
  <c r="CP102" i="65"/>
  <c r="CX102" i="65" s="1"/>
  <c r="CY54" i="65"/>
  <c r="CX54" i="65"/>
  <c r="CP54" i="65"/>
  <c r="CY6" i="65"/>
  <c r="CP6" i="65"/>
  <c r="CX6" i="65" s="1"/>
  <c r="CY304" i="65"/>
  <c r="CX304" i="65"/>
  <c r="CP304" i="65"/>
  <c r="CY256" i="65"/>
  <c r="CP256" i="65"/>
  <c r="CX256" i="65" s="1"/>
  <c r="CY208" i="65"/>
  <c r="CX208" i="65"/>
  <c r="CP208" i="65"/>
  <c r="CY144" i="65"/>
  <c r="CP144" i="65"/>
  <c r="CX144" i="65" s="1"/>
  <c r="CY112" i="65"/>
  <c r="CX112" i="65"/>
  <c r="CP112" i="65"/>
  <c r="CY64" i="65"/>
  <c r="CP64" i="65"/>
  <c r="CX64" i="65" s="1"/>
  <c r="CY16" i="65"/>
  <c r="CX16" i="65"/>
  <c r="CP16" i="65"/>
  <c r="CY307" i="65"/>
  <c r="CP307" i="65"/>
  <c r="CX307" i="65"/>
  <c r="CY259" i="65"/>
  <c r="CX259" i="65"/>
  <c r="CP259" i="65"/>
  <c r="CY195" i="65"/>
  <c r="CP195" i="65"/>
  <c r="CX195" i="65" s="1"/>
  <c r="CY147" i="65"/>
  <c r="CX147" i="65"/>
  <c r="CP147" i="65"/>
  <c r="CY505" i="65"/>
  <c r="CP505" i="65"/>
  <c r="CX505" i="65" s="1"/>
  <c r="CY542" i="65"/>
  <c r="CX542" i="65"/>
  <c r="CP542" i="65"/>
  <c r="CY446" i="65"/>
  <c r="CP446" i="65"/>
  <c r="CX446" i="65" s="1"/>
  <c r="CY349" i="65"/>
  <c r="CX349" i="65"/>
  <c r="CP349" i="65"/>
  <c r="CY353" i="65"/>
  <c r="CP353" i="65"/>
  <c r="CX353" i="65" s="1"/>
  <c r="CY473" i="65"/>
  <c r="CX473" i="65"/>
  <c r="CP473" i="65"/>
  <c r="CY502" i="65"/>
  <c r="CP502" i="65"/>
  <c r="CX502" i="65" s="1"/>
  <c r="CY438" i="65"/>
  <c r="CX438" i="65"/>
  <c r="CP438" i="65"/>
  <c r="CY374" i="65"/>
  <c r="CP374" i="65"/>
  <c r="CX374" i="65" s="1"/>
  <c r="CY321" i="65"/>
  <c r="CX321" i="65"/>
  <c r="CP321" i="65"/>
  <c r="CY521" i="65"/>
  <c r="CP521" i="65"/>
  <c r="CX521" i="65" s="1"/>
  <c r="CY425" i="65"/>
  <c r="CX425" i="65"/>
  <c r="CP425" i="65"/>
  <c r="CY265" i="65"/>
  <c r="CP265" i="65"/>
  <c r="CX265" i="65" s="1"/>
  <c r="CY517" i="65"/>
  <c r="CX517" i="65"/>
  <c r="CP517" i="65"/>
  <c r="CY485" i="65"/>
  <c r="CP485" i="65"/>
  <c r="CX485" i="65" s="1"/>
  <c r="CY453" i="65"/>
  <c r="CX453" i="65"/>
  <c r="CP453" i="65"/>
  <c r="CY421" i="65"/>
  <c r="CP421" i="65"/>
  <c r="CX421" i="65" s="1"/>
  <c r="CY389" i="65"/>
  <c r="CX389" i="65"/>
  <c r="CP389" i="65"/>
  <c r="CY357" i="65"/>
  <c r="CP357" i="65"/>
  <c r="CX357" i="65" s="1"/>
  <c r="CY249" i="65"/>
  <c r="CX249" i="65"/>
  <c r="CP249" i="65"/>
  <c r="CY465" i="65"/>
  <c r="CP465" i="65"/>
  <c r="CX465" i="65" s="1"/>
  <c r="CY385" i="65"/>
  <c r="CX385" i="65"/>
  <c r="CP385" i="65"/>
  <c r="CY530" i="65"/>
  <c r="CP530" i="65"/>
  <c r="CX530" i="65" s="1"/>
  <c r="CY498" i="65"/>
  <c r="CX498" i="65"/>
  <c r="CP498" i="65"/>
  <c r="CY466" i="65"/>
  <c r="CP466" i="65"/>
  <c r="CX466" i="65" s="1"/>
  <c r="CY434" i="65"/>
  <c r="CX434" i="65"/>
  <c r="CP434" i="65"/>
  <c r="CY402" i="65"/>
  <c r="CP402" i="65"/>
  <c r="CX402" i="65" s="1"/>
  <c r="CY370" i="65"/>
  <c r="CX370" i="65"/>
  <c r="CP370" i="65"/>
  <c r="CY305" i="65"/>
  <c r="CP305" i="65"/>
  <c r="CX305" i="65" s="1"/>
  <c r="CY189" i="65"/>
  <c r="CX189" i="65"/>
  <c r="CP189" i="65"/>
  <c r="CY61" i="65"/>
  <c r="CP61" i="65"/>
  <c r="CX61" i="65" s="1"/>
  <c r="CY536" i="65"/>
  <c r="CP536" i="65"/>
  <c r="CX536" i="65" s="1"/>
  <c r="CY520" i="65"/>
  <c r="CP520" i="65"/>
  <c r="CX520" i="65"/>
  <c r="CY504" i="65"/>
  <c r="CP504" i="65"/>
  <c r="CX504" i="65" s="1"/>
  <c r="CY488" i="65"/>
  <c r="CP488" i="65"/>
  <c r="CX488" i="65"/>
  <c r="CY472" i="65"/>
  <c r="CP472" i="65"/>
  <c r="CX472" i="65" s="1"/>
  <c r="CY456" i="65"/>
  <c r="CP456" i="65"/>
  <c r="CX456" i="65"/>
  <c r="CY440" i="65"/>
  <c r="CP440" i="65"/>
  <c r="CX440" i="65" s="1"/>
  <c r="CY424" i="65"/>
  <c r="CP424" i="65"/>
  <c r="CX424" i="65" s="1"/>
  <c r="CY408" i="65"/>
  <c r="CX408" i="65"/>
  <c r="CP408" i="65"/>
  <c r="CY392" i="65"/>
  <c r="CP392" i="65"/>
  <c r="CX392" i="65" s="1"/>
  <c r="CY376" i="65"/>
  <c r="CX376" i="65"/>
  <c r="CP376" i="65"/>
  <c r="CY360" i="65"/>
  <c r="CP360" i="65"/>
  <c r="CX360" i="65" s="1"/>
  <c r="CY342" i="65"/>
  <c r="CX342" i="65"/>
  <c r="CP342" i="65"/>
  <c r="CY310" i="65"/>
  <c r="CP310" i="65"/>
  <c r="CX310" i="65" s="1"/>
  <c r="CY278" i="65"/>
  <c r="CX278" i="65"/>
  <c r="CP278" i="65"/>
  <c r="CY246" i="65"/>
  <c r="CP246" i="65"/>
  <c r="CX246" i="65" s="1"/>
  <c r="CY201" i="65"/>
  <c r="CX201" i="65"/>
  <c r="CP201" i="65"/>
  <c r="CY137" i="65"/>
  <c r="CP137" i="65"/>
  <c r="CX137" i="65" s="1"/>
  <c r="CY73" i="65"/>
  <c r="CX73" i="65"/>
  <c r="CP73" i="65"/>
  <c r="CY205" i="65"/>
  <c r="CP205" i="65"/>
  <c r="CX205" i="65" s="1"/>
  <c r="CY77" i="65"/>
  <c r="CX77" i="65"/>
  <c r="CP77" i="65"/>
  <c r="CY539" i="65"/>
  <c r="CP539" i="65"/>
  <c r="CX539" i="65" s="1"/>
  <c r="CY523" i="65"/>
  <c r="CX523" i="65"/>
  <c r="CP523" i="65"/>
  <c r="CY507" i="65"/>
  <c r="CP507" i="65"/>
  <c r="CX507" i="65" s="1"/>
  <c r="CY491" i="65"/>
  <c r="CX491" i="65"/>
  <c r="CP491" i="65"/>
  <c r="CY475" i="65"/>
  <c r="CP475" i="65"/>
  <c r="CX475" i="65" s="1"/>
  <c r="CY459" i="65"/>
  <c r="CX459" i="65"/>
  <c r="CP459" i="65"/>
  <c r="CY443" i="65"/>
  <c r="CP443" i="65"/>
  <c r="CX443" i="65" s="1"/>
  <c r="CY427" i="65"/>
  <c r="CX427" i="65"/>
  <c r="CP427" i="65"/>
  <c r="CY411" i="65"/>
  <c r="CP411" i="65"/>
  <c r="CX411" i="65" s="1"/>
  <c r="CY395" i="65"/>
  <c r="CX395" i="65"/>
  <c r="CP395" i="65"/>
  <c r="CY379" i="65"/>
  <c r="CP379" i="65"/>
  <c r="CX379" i="65" s="1"/>
  <c r="CY363" i="65"/>
  <c r="CX363" i="65"/>
  <c r="CP363" i="65"/>
  <c r="CY347" i="65"/>
  <c r="CP347" i="65"/>
  <c r="CX347" i="65" s="1"/>
  <c r="CY317" i="65"/>
  <c r="CX317" i="65"/>
  <c r="CP317" i="65"/>
  <c r="CY285" i="65"/>
  <c r="CP285" i="65"/>
  <c r="CX285" i="65" s="1"/>
  <c r="CY253" i="65"/>
  <c r="CX253" i="65"/>
  <c r="CP253" i="65"/>
  <c r="CY213" i="65"/>
  <c r="CP213" i="65"/>
  <c r="CX213" i="65" s="1"/>
  <c r="CY149" i="65"/>
  <c r="CX149" i="65"/>
  <c r="CP149" i="65"/>
  <c r="CY85" i="65"/>
  <c r="CP85" i="65"/>
  <c r="CX85" i="65" s="1"/>
  <c r="CY21" i="65"/>
  <c r="CX21" i="65"/>
  <c r="CP21" i="65"/>
  <c r="CY330" i="65"/>
  <c r="CP330" i="65"/>
  <c r="CX330" i="65" s="1"/>
  <c r="CY298" i="65"/>
  <c r="CX298" i="65"/>
  <c r="CP298" i="65"/>
  <c r="CY266" i="65"/>
  <c r="CP266" i="65"/>
  <c r="CX266" i="65" s="1"/>
  <c r="CY234" i="65"/>
  <c r="CX234" i="65"/>
  <c r="CP234" i="65"/>
  <c r="CY177" i="65"/>
  <c r="CP177" i="65"/>
  <c r="CX177" i="65" s="1"/>
  <c r="CY113" i="65"/>
  <c r="CX113" i="65"/>
  <c r="CP113" i="65"/>
  <c r="CY49" i="65"/>
  <c r="CP49" i="65"/>
  <c r="CX49" i="65" s="1"/>
  <c r="CY222" i="65"/>
  <c r="CX222" i="65"/>
  <c r="CP222" i="65"/>
  <c r="CY206" i="65"/>
  <c r="CP206" i="65"/>
  <c r="CX206" i="65" s="1"/>
  <c r="CY190" i="65"/>
  <c r="CX190" i="65"/>
  <c r="CP190" i="65"/>
  <c r="CY174" i="65"/>
  <c r="CP174" i="65"/>
  <c r="CX174" i="65" s="1"/>
  <c r="CY158" i="65"/>
  <c r="CX158" i="65"/>
  <c r="CP158" i="65"/>
  <c r="CY142" i="65"/>
  <c r="CP142" i="65"/>
  <c r="CX142" i="65" s="1"/>
  <c r="CY126" i="65"/>
  <c r="CX126" i="65"/>
  <c r="CP126" i="65"/>
  <c r="CY110" i="65"/>
  <c r="CP110" i="65"/>
  <c r="CX110" i="65" s="1"/>
  <c r="CY94" i="65"/>
  <c r="CX94" i="65"/>
  <c r="CP94" i="65"/>
  <c r="CY78" i="65"/>
  <c r="CP78" i="65"/>
  <c r="CX78" i="65" s="1"/>
  <c r="CY62" i="65"/>
  <c r="CX62" i="65"/>
  <c r="CP62" i="65"/>
  <c r="CY46" i="65"/>
  <c r="CP46" i="65"/>
  <c r="CX46" i="65" s="1"/>
  <c r="CY30" i="65"/>
  <c r="CX30" i="65"/>
  <c r="CP30" i="65"/>
  <c r="CY14" i="65"/>
  <c r="CP14" i="65"/>
  <c r="CX14" i="65" s="1"/>
  <c r="CY344" i="65"/>
  <c r="CX344" i="65"/>
  <c r="CP344" i="65"/>
  <c r="CY328" i="65"/>
  <c r="CP328" i="65"/>
  <c r="CX328" i="65"/>
  <c r="CY312" i="65"/>
  <c r="CX312" i="65"/>
  <c r="CP312" i="65"/>
  <c r="CY296" i="65"/>
  <c r="CP296" i="65"/>
  <c r="CX296" i="65" s="1"/>
  <c r="CY280" i="65"/>
  <c r="CX280" i="65"/>
  <c r="CP280" i="65"/>
  <c r="CY264" i="65"/>
  <c r="CP264" i="65"/>
  <c r="CX264" i="65"/>
  <c r="CY248" i="65"/>
  <c r="CX248" i="65"/>
  <c r="CP248" i="65"/>
  <c r="CY232" i="65"/>
  <c r="CP232" i="65"/>
  <c r="CX232" i="65" s="1"/>
  <c r="CY216" i="65"/>
  <c r="CX216" i="65"/>
  <c r="CP216" i="65"/>
  <c r="CY200" i="65"/>
  <c r="CP200" i="65"/>
  <c r="CX200" i="65" s="1"/>
  <c r="CY184" i="65"/>
  <c r="CX184" i="65"/>
  <c r="CP184" i="65"/>
  <c r="CY168" i="65"/>
  <c r="CP168" i="65"/>
  <c r="CX168" i="65" s="1"/>
  <c r="CY152" i="65"/>
  <c r="CX152" i="65"/>
  <c r="CP152" i="65"/>
  <c r="CY136" i="65"/>
  <c r="CP136" i="65"/>
  <c r="CX136" i="65"/>
  <c r="CY120" i="65"/>
  <c r="CX120" i="65"/>
  <c r="CP120" i="65"/>
  <c r="CY104" i="65"/>
  <c r="CP104" i="65"/>
  <c r="CX104" i="65"/>
  <c r="CY88" i="65"/>
  <c r="CP88" i="65"/>
  <c r="CX88" i="65" s="1"/>
  <c r="CY72" i="65"/>
  <c r="CP72" i="65"/>
  <c r="CX72" i="65"/>
  <c r="CY56" i="65"/>
  <c r="CX56" i="65"/>
  <c r="CP56" i="65"/>
  <c r="CY40" i="65"/>
  <c r="CP40" i="65"/>
  <c r="CX40" i="65"/>
  <c r="CY24" i="65"/>
  <c r="CP24" i="65"/>
  <c r="CX24" i="65" s="1"/>
  <c r="CY8" i="65"/>
  <c r="CP8" i="65"/>
  <c r="CX8" i="65" s="1"/>
  <c r="CY331" i="65"/>
  <c r="CX331" i="65"/>
  <c r="CP331" i="65"/>
  <c r="CY315" i="65"/>
  <c r="CP315" i="65"/>
  <c r="CX315" i="65" s="1"/>
  <c r="CY299" i="65"/>
  <c r="CX299" i="65"/>
  <c r="CP299" i="65"/>
  <c r="CY283" i="65"/>
  <c r="CP283" i="65"/>
  <c r="CX283" i="65" s="1"/>
  <c r="CY267" i="65"/>
  <c r="CX267" i="65"/>
  <c r="CP267" i="65"/>
  <c r="CY251" i="65"/>
  <c r="CP251" i="65"/>
  <c r="CX251" i="65" s="1"/>
  <c r="CY235" i="65"/>
  <c r="CX235" i="65"/>
  <c r="CP235" i="65"/>
  <c r="CY219" i="65"/>
  <c r="CP219" i="65"/>
  <c r="CX219" i="65" s="1"/>
  <c r="CY203" i="65"/>
  <c r="CX203" i="65"/>
  <c r="CP203" i="65"/>
  <c r="CY187" i="65"/>
  <c r="CP187" i="65"/>
  <c r="CX187" i="65" s="1"/>
  <c r="CY171" i="65"/>
  <c r="CX171" i="65"/>
  <c r="CP171" i="65"/>
  <c r="CY155" i="65"/>
  <c r="CP155" i="65"/>
  <c r="CX155" i="65" s="1"/>
  <c r="CY139" i="65"/>
  <c r="CX139" i="65"/>
  <c r="CP139" i="65"/>
  <c r="CY123" i="65"/>
  <c r="CP123" i="65"/>
  <c r="CX123" i="65" s="1"/>
  <c r="CY107" i="65"/>
  <c r="CX107" i="65"/>
  <c r="CP107" i="65"/>
  <c r="CY91" i="65"/>
  <c r="CP91" i="65"/>
  <c r="CX91" i="65" s="1"/>
  <c r="CY75" i="65"/>
  <c r="CX75" i="65"/>
  <c r="CP75" i="65"/>
  <c r="CY59" i="65"/>
  <c r="CP59" i="65"/>
  <c r="CX59" i="65" s="1"/>
  <c r="CY43" i="65"/>
  <c r="CX43" i="65"/>
  <c r="CP43" i="65"/>
  <c r="CY27" i="65"/>
  <c r="CP27" i="65"/>
  <c r="CX27" i="65" s="1"/>
  <c r="CY11" i="65"/>
  <c r="CX11" i="65"/>
  <c r="CP11" i="65"/>
  <c r="CY417" i="65"/>
  <c r="CP417" i="65"/>
  <c r="CX417" i="65" s="1"/>
  <c r="CY486" i="65"/>
  <c r="CX486" i="65"/>
  <c r="CP486" i="65"/>
  <c r="CY390" i="65"/>
  <c r="CP390" i="65"/>
  <c r="CX390" i="65" s="1"/>
  <c r="CY481" i="65"/>
  <c r="CX481" i="65"/>
  <c r="CP481" i="65"/>
  <c r="CY533" i="65"/>
  <c r="CP533" i="65"/>
  <c r="CX533" i="65" s="1"/>
  <c r="CY437" i="65"/>
  <c r="CX437" i="65"/>
  <c r="CP437" i="65"/>
  <c r="CY313" i="65"/>
  <c r="CP313" i="65"/>
  <c r="CX313" i="65" s="1"/>
  <c r="CY514" i="65"/>
  <c r="CX514" i="65"/>
  <c r="CP514" i="65"/>
  <c r="CY418" i="65"/>
  <c r="CP418" i="65"/>
  <c r="CX418" i="65" s="1"/>
  <c r="CY241" i="65"/>
  <c r="CX241" i="65"/>
  <c r="CS241" i="65" s="1"/>
  <c r="CP241" i="65"/>
  <c r="CY528" i="65"/>
  <c r="CX528" i="65"/>
  <c r="CP528" i="65"/>
  <c r="CY480" i="65"/>
  <c r="CP480" i="65"/>
  <c r="CX480" i="65" s="1"/>
  <c r="CY432" i="65"/>
  <c r="CX432" i="65"/>
  <c r="CP432" i="65"/>
  <c r="CY384" i="65"/>
  <c r="CP384" i="65"/>
  <c r="CX384" i="65" s="1"/>
  <c r="CY326" i="65"/>
  <c r="CX326" i="65"/>
  <c r="CP326" i="65"/>
  <c r="CY230" i="65"/>
  <c r="CP230" i="65"/>
  <c r="CX230" i="65" s="1"/>
  <c r="CY141" i="65"/>
  <c r="CX141" i="65"/>
  <c r="CP141" i="65"/>
  <c r="CY515" i="65"/>
  <c r="CP515" i="65"/>
  <c r="CX515" i="65" s="1"/>
  <c r="CY467" i="65"/>
  <c r="CX467" i="65"/>
  <c r="CP467" i="65"/>
  <c r="CY419" i="65"/>
  <c r="CP419" i="65"/>
  <c r="CX419" i="65" s="1"/>
  <c r="CY371" i="65"/>
  <c r="CX371" i="65"/>
  <c r="CP371" i="65"/>
  <c r="CY301" i="65"/>
  <c r="CP301" i="65"/>
  <c r="CX301" i="65" s="1"/>
  <c r="CY237" i="65"/>
  <c r="CX237" i="65"/>
  <c r="CP237" i="65"/>
  <c r="CY53" i="65"/>
  <c r="CP53" i="65"/>
  <c r="CX53" i="65" s="1"/>
  <c r="CY282" i="65"/>
  <c r="CX282" i="65"/>
  <c r="CP282" i="65"/>
  <c r="CY145" i="65"/>
  <c r="CP145" i="65"/>
  <c r="CX145" i="65" s="1"/>
  <c r="CY214" i="65"/>
  <c r="CX214" i="65"/>
  <c r="CP214" i="65"/>
  <c r="CY182" i="65"/>
  <c r="CP182" i="65"/>
  <c r="CX182" i="65" s="1"/>
  <c r="CY134" i="65"/>
  <c r="CX134" i="65"/>
  <c r="CP134" i="65"/>
  <c r="CY86" i="65"/>
  <c r="CP86" i="65"/>
  <c r="CX86" i="65" s="1"/>
  <c r="CY38" i="65"/>
  <c r="CX38" i="65"/>
  <c r="CP38" i="65"/>
  <c r="CY336" i="65"/>
  <c r="CP336" i="65"/>
  <c r="CX336" i="65" s="1"/>
  <c r="CY288" i="65"/>
  <c r="CX288" i="65"/>
  <c r="CP288" i="65"/>
  <c r="CY240" i="65"/>
  <c r="CP240" i="65"/>
  <c r="CX240" i="65" s="1"/>
  <c r="CY192" i="65"/>
  <c r="CX192" i="65"/>
  <c r="CP192" i="65"/>
  <c r="CY160" i="65"/>
  <c r="CP160" i="65"/>
  <c r="CX160" i="65" s="1"/>
  <c r="CY96" i="65"/>
  <c r="CX96" i="65"/>
  <c r="CP96" i="65"/>
  <c r="CY48" i="65"/>
  <c r="CP48" i="65"/>
  <c r="CX48" i="65" s="1"/>
  <c r="CY339" i="65"/>
  <c r="CX339" i="65"/>
  <c r="CP339" i="65"/>
  <c r="CY291" i="65"/>
  <c r="CP291" i="65"/>
  <c r="CX291" i="65" s="1"/>
  <c r="CY243" i="65"/>
  <c r="CP243" i="65"/>
  <c r="CX243" i="65" s="1"/>
  <c r="CY211" i="65"/>
  <c r="CP211" i="65"/>
  <c r="CX211" i="65" s="1"/>
  <c r="CY163" i="65"/>
  <c r="CX163" i="65"/>
  <c r="CP163" i="65"/>
  <c r="CY393" i="65"/>
  <c r="CP393" i="65"/>
  <c r="CX393" i="65" s="1"/>
  <c r="CY478" i="65"/>
  <c r="CX478" i="65"/>
  <c r="CP478" i="65"/>
  <c r="CY414" i="65"/>
  <c r="CP414" i="65"/>
  <c r="CX414" i="65" s="1"/>
  <c r="CY545" i="65"/>
  <c r="CX545" i="65"/>
  <c r="CP545" i="65"/>
  <c r="CY493" i="65"/>
  <c r="CP493" i="65"/>
  <c r="CX493" i="65" s="1"/>
  <c r="CY369" i="65"/>
  <c r="CX369" i="65"/>
  <c r="CP369" i="65"/>
  <c r="CY534" i="65"/>
  <c r="CP534" i="65"/>
  <c r="CX534" i="65" s="1"/>
  <c r="CY470" i="65"/>
  <c r="CX470" i="65"/>
  <c r="CP470" i="65"/>
  <c r="CY406" i="65"/>
  <c r="CP406" i="65"/>
  <c r="CX406" i="65" s="1"/>
  <c r="CY5" i="65"/>
  <c r="CP5" i="65"/>
  <c r="CX5" i="65" s="1"/>
  <c r="CY441" i="65"/>
  <c r="CX441" i="65"/>
  <c r="CP441" i="65"/>
  <c r="CY329" i="65"/>
  <c r="CP329" i="65"/>
  <c r="CX329" i="65" s="1"/>
  <c r="CY526" i="65"/>
  <c r="CX526" i="65"/>
  <c r="CP526" i="65"/>
  <c r="CY494" i="65"/>
  <c r="CP494" i="65"/>
  <c r="CX494" i="65" s="1"/>
  <c r="CY462" i="65"/>
  <c r="CX462" i="65"/>
  <c r="CP462" i="65"/>
  <c r="CY430" i="65"/>
  <c r="CP430" i="65"/>
  <c r="CX430" i="65" s="1"/>
  <c r="CY398" i="65"/>
  <c r="CX398" i="65"/>
  <c r="CP398" i="65"/>
  <c r="CY366" i="65"/>
  <c r="CP366" i="65"/>
  <c r="CX366" i="65" s="1"/>
  <c r="CY289" i="65"/>
  <c r="CX289" i="65"/>
  <c r="CP289" i="65"/>
  <c r="CY497" i="65"/>
  <c r="CP497" i="65"/>
  <c r="CX497" i="65" s="1"/>
  <c r="CY401" i="65"/>
  <c r="CX401" i="65"/>
  <c r="CP401" i="65"/>
  <c r="CY541" i="65"/>
  <c r="CP541" i="65"/>
  <c r="CX541" i="65" s="1"/>
  <c r="CY509" i="65"/>
  <c r="CX509" i="65"/>
  <c r="CP509" i="65"/>
  <c r="CY477" i="65"/>
  <c r="CP477" i="65"/>
  <c r="CX477" i="65" s="1"/>
  <c r="CY445" i="65"/>
  <c r="CX445" i="65"/>
  <c r="CP445" i="65"/>
  <c r="CY413" i="65"/>
  <c r="CP413" i="65"/>
  <c r="CX413" i="65" s="1"/>
  <c r="CY381" i="65"/>
  <c r="CX381" i="65"/>
  <c r="CP381" i="65"/>
  <c r="CY345" i="65"/>
  <c r="CP345" i="65"/>
  <c r="CX345" i="65" s="1"/>
  <c r="CY537" i="65"/>
  <c r="CX537" i="65"/>
  <c r="CP537" i="65"/>
  <c r="CY449" i="65"/>
  <c r="CP449" i="65"/>
  <c r="CX449" i="65" s="1"/>
  <c r="CY361" i="65"/>
  <c r="CX361" i="65"/>
  <c r="CP361" i="65"/>
  <c r="CY522" i="65"/>
  <c r="CP522" i="65"/>
  <c r="CX522" i="65" s="1"/>
  <c r="CY490" i="65"/>
  <c r="CX490" i="65"/>
  <c r="CP490" i="65"/>
  <c r="CY458" i="65"/>
  <c r="CP458" i="65"/>
  <c r="CX458" i="65" s="1"/>
  <c r="CY426" i="65"/>
  <c r="CX426" i="65"/>
  <c r="CP426" i="65"/>
  <c r="CY394" i="65"/>
  <c r="CP394" i="65"/>
  <c r="CX394" i="65" s="1"/>
  <c r="CY362" i="65"/>
  <c r="CX362" i="65"/>
  <c r="CP362" i="65"/>
  <c r="CY273" i="65"/>
  <c r="CP273" i="65"/>
  <c r="CX273" i="65" s="1"/>
  <c r="CY157" i="65"/>
  <c r="CX157" i="65"/>
  <c r="CP157" i="65"/>
  <c r="CY13" i="65"/>
  <c r="CP13" i="65"/>
  <c r="CX13" i="65" s="1"/>
  <c r="CY532" i="65"/>
  <c r="CX532" i="65"/>
  <c r="CP532" i="65"/>
  <c r="CY516" i="65"/>
  <c r="CP516" i="65"/>
  <c r="CX516" i="65" s="1"/>
  <c r="CY500" i="65"/>
  <c r="CX500" i="65"/>
  <c r="CP500" i="65"/>
  <c r="CY484" i="65"/>
  <c r="CP484" i="65"/>
  <c r="CX484" i="65" s="1"/>
  <c r="CY468" i="65"/>
  <c r="CX468" i="65"/>
  <c r="CP468" i="65"/>
  <c r="CY452" i="65"/>
  <c r="CP452" i="65"/>
  <c r="CX452" i="65" s="1"/>
  <c r="CY436" i="65"/>
  <c r="CX436" i="65"/>
  <c r="CP436" i="65"/>
  <c r="CY420" i="65"/>
  <c r="CP420" i="65"/>
  <c r="CX420" i="65" s="1"/>
  <c r="CY404" i="65"/>
  <c r="CX404" i="65"/>
  <c r="CP404" i="65"/>
  <c r="CY388" i="65"/>
  <c r="CP388" i="65"/>
  <c r="CX388" i="65" s="1"/>
  <c r="CY372" i="65"/>
  <c r="CX372" i="65"/>
  <c r="CP372" i="65"/>
  <c r="CY356" i="65"/>
  <c r="CP356" i="65"/>
  <c r="CX356" i="65" s="1"/>
  <c r="CY334" i="65"/>
  <c r="CX334" i="65"/>
  <c r="CP334" i="65"/>
  <c r="CY302" i="65"/>
  <c r="CP302" i="65"/>
  <c r="CX302" i="65" s="1"/>
  <c r="CY270" i="65"/>
  <c r="CX270" i="65"/>
  <c r="CP270" i="65"/>
  <c r="CY238" i="65"/>
  <c r="CP238" i="65"/>
  <c r="CX238" i="65" s="1"/>
  <c r="CY185" i="65"/>
  <c r="CX185" i="65"/>
  <c r="CP185" i="65"/>
  <c r="CY121" i="65"/>
  <c r="CP121" i="65"/>
  <c r="CX121" i="65" s="1"/>
  <c r="CY57" i="65"/>
  <c r="CX57" i="65"/>
  <c r="CP57" i="65"/>
  <c r="CY173" i="65"/>
  <c r="CP173" i="65"/>
  <c r="CX173" i="65" s="1"/>
  <c r="CY45" i="65"/>
  <c r="CP45" i="65"/>
  <c r="CX45" i="65" s="1"/>
  <c r="CY535" i="65"/>
  <c r="CP535" i="65"/>
  <c r="CX535" i="65" s="1"/>
  <c r="CY519" i="65"/>
  <c r="CX519" i="65"/>
  <c r="CP519" i="65"/>
  <c r="CY503" i="65"/>
  <c r="CP503" i="65"/>
  <c r="CX503" i="65" s="1"/>
  <c r="CY487" i="65"/>
  <c r="CX487" i="65"/>
  <c r="CP487" i="65"/>
  <c r="CY471" i="65"/>
  <c r="CP471" i="65"/>
  <c r="CX471" i="65" s="1"/>
  <c r="CY455" i="65"/>
  <c r="CX455" i="65"/>
  <c r="CP455" i="65"/>
  <c r="CY439" i="65"/>
  <c r="CP439" i="65"/>
  <c r="CX439" i="65" s="1"/>
  <c r="CY423" i="65"/>
  <c r="CX423" i="65"/>
  <c r="CP423" i="65"/>
  <c r="CY407" i="65"/>
  <c r="CP407" i="65"/>
  <c r="CX407" i="65" s="1"/>
  <c r="CY391" i="65"/>
  <c r="CX391" i="65"/>
  <c r="CP391" i="65"/>
  <c r="CY375" i="65"/>
  <c r="CP375" i="65"/>
  <c r="CX375" i="65" s="1"/>
  <c r="CY359" i="65"/>
  <c r="CX359" i="65"/>
  <c r="CP359" i="65"/>
  <c r="CY341" i="65"/>
  <c r="CP341" i="65"/>
  <c r="CX341" i="65" s="1"/>
  <c r="CY309" i="65"/>
  <c r="CX309" i="65"/>
  <c r="CP309" i="65"/>
  <c r="CY277" i="65"/>
  <c r="CP277" i="65"/>
  <c r="CX277" i="65" s="1"/>
  <c r="CY245" i="65"/>
  <c r="CX245" i="65"/>
  <c r="CP245" i="65"/>
  <c r="CY197" i="65"/>
  <c r="CP197" i="65"/>
  <c r="CX197" i="65" s="1"/>
  <c r="CY133" i="65"/>
  <c r="CX133" i="65"/>
  <c r="CP133" i="65"/>
  <c r="CY69" i="65"/>
  <c r="CP69" i="65"/>
  <c r="CX69" i="65" s="1"/>
  <c r="CY350" i="65"/>
  <c r="CX350" i="65"/>
  <c r="CP350" i="65"/>
  <c r="CY322" i="65"/>
  <c r="CP322" i="65"/>
  <c r="CX322" i="65" s="1"/>
  <c r="CY290" i="65"/>
  <c r="CX290" i="65"/>
  <c r="CP290" i="65"/>
  <c r="CY258" i="65"/>
  <c r="CP258" i="65"/>
  <c r="CX258" i="65" s="1"/>
  <c r="CY225" i="65"/>
  <c r="CX225" i="65"/>
  <c r="CP225" i="65"/>
  <c r="CY161" i="65"/>
  <c r="CP161" i="65"/>
  <c r="CX161" i="65" s="1"/>
  <c r="CY97" i="65"/>
  <c r="CX97" i="65"/>
  <c r="CP97" i="65"/>
  <c r="CY33" i="65"/>
  <c r="CP33" i="65"/>
  <c r="CX33" i="65" s="1"/>
  <c r="CY218" i="65"/>
  <c r="CX218" i="65"/>
  <c r="CP218" i="65"/>
  <c r="CY202" i="65"/>
  <c r="CP202" i="65"/>
  <c r="CX202" i="65" s="1"/>
  <c r="CY186" i="65"/>
  <c r="CX186" i="65"/>
  <c r="CP186" i="65"/>
  <c r="CY170" i="65"/>
  <c r="CP170" i="65"/>
  <c r="CX170" i="65" s="1"/>
  <c r="CY154" i="65"/>
  <c r="CX154" i="65"/>
  <c r="CP154" i="65"/>
  <c r="CY138" i="65"/>
  <c r="CP138" i="65"/>
  <c r="CX138" i="65" s="1"/>
  <c r="CY122" i="65"/>
  <c r="CX122" i="65"/>
  <c r="CP122" i="65"/>
  <c r="CY106" i="65"/>
  <c r="CP106" i="65"/>
  <c r="CX106" i="65" s="1"/>
  <c r="CY90" i="65"/>
  <c r="CX90" i="65"/>
  <c r="CP90" i="65"/>
  <c r="CY74" i="65"/>
  <c r="CP74" i="65"/>
  <c r="CX74" i="65" s="1"/>
  <c r="CY58" i="65"/>
  <c r="CX58" i="65"/>
  <c r="CP58" i="65"/>
  <c r="CY42" i="65"/>
  <c r="CP42" i="65"/>
  <c r="CX42" i="65" s="1"/>
  <c r="CY26" i="65"/>
  <c r="CX26" i="65"/>
  <c r="CP26" i="65"/>
  <c r="CY10" i="65"/>
  <c r="CP10" i="65"/>
  <c r="CX10" i="65" s="1"/>
  <c r="CY340" i="65"/>
  <c r="CX340" i="65"/>
  <c r="CP340" i="65"/>
  <c r="CY324" i="65"/>
  <c r="CP324" i="65"/>
  <c r="CX324" i="65" s="1"/>
  <c r="CY308" i="65"/>
  <c r="CX308" i="65"/>
  <c r="CP308" i="65"/>
  <c r="CY292" i="65"/>
  <c r="CP292" i="65"/>
  <c r="CX292" i="65" s="1"/>
  <c r="CY276" i="65"/>
  <c r="CX276" i="65"/>
  <c r="CP276" i="65"/>
  <c r="CY260" i="65"/>
  <c r="CP260" i="65"/>
  <c r="CX260" i="65" s="1"/>
  <c r="CY244" i="65"/>
  <c r="CX244" i="65"/>
  <c r="CP244" i="65"/>
  <c r="CY228" i="65"/>
  <c r="CP228" i="65"/>
  <c r="CX228" i="65" s="1"/>
  <c r="CY212" i="65"/>
  <c r="CX212" i="65"/>
  <c r="CP212" i="65"/>
  <c r="CY196" i="65"/>
  <c r="CP196" i="65"/>
  <c r="CX196" i="65" s="1"/>
  <c r="CY180" i="65"/>
  <c r="CX180" i="65"/>
  <c r="CP180" i="65"/>
  <c r="CY164" i="65"/>
  <c r="CP164" i="65"/>
  <c r="CX164" i="65" s="1"/>
  <c r="CY148" i="65"/>
  <c r="CX148" i="65"/>
  <c r="CP148" i="65"/>
  <c r="CY132" i="65"/>
  <c r="CP132" i="65"/>
  <c r="CX132" i="65" s="1"/>
  <c r="CY116" i="65"/>
  <c r="CX116" i="65"/>
  <c r="CP116" i="65"/>
  <c r="CY100" i="65"/>
  <c r="CP100" i="65"/>
  <c r="CX100" i="65" s="1"/>
  <c r="CY84" i="65"/>
  <c r="CX84" i="65"/>
  <c r="CP84" i="65"/>
  <c r="CY68" i="65"/>
  <c r="CP68" i="65"/>
  <c r="CX68" i="65" s="1"/>
  <c r="CY52" i="65"/>
  <c r="CX52" i="65"/>
  <c r="CP52" i="65"/>
  <c r="CY36" i="65"/>
  <c r="CP36" i="65"/>
  <c r="CX36" i="65" s="1"/>
  <c r="CY20" i="65"/>
  <c r="CX20" i="65"/>
  <c r="CP20" i="65"/>
  <c r="CY343" i="65"/>
  <c r="CP343" i="65"/>
  <c r="CX343" i="65" s="1"/>
  <c r="CY327" i="65"/>
  <c r="CX327" i="65"/>
  <c r="CP327" i="65"/>
  <c r="CY311" i="65"/>
  <c r="CP311" i="65"/>
  <c r="CX311" i="65" s="1"/>
  <c r="CY295" i="65"/>
  <c r="CX295" i="65"/>
  <c r="CP295" i="65"/>
  <c r="CY279" i="65"/>
  <c r="CP279" i="65"/>
  <c r="CX279" i="65" s="1"/>
  <c r="CY263" i="65"/>
  <c r="CX263" i="65"/>
  <c r="CP263" i="65"/>
  <c r="CY247" i="65"/>
  <c r="CP247" i="65"/>
  <c r="CX247" i="65" s="1"/>
  <c r="CY231" i="65"/>
  <c r="CX231" i="65"/>
  <c r="CP231" i="65"/>
  <c r="CY215" i="65"/>
  <c r="CP215" i="65"/>
  <c r="CX215" i="65" s="1"/>
  <c r="CY199" i="65"/>
  <c r="CX199" i="65"/>
  <c r="CP199" i="65"/>
  <c r="CY183" i="65"/>
  <c r="CP183" i="65"/>
  <c r="CX183" i="65" s="1"/>
  <c r="CY167" i="65"/>
  <c r="CX167" i="65"/>
  <c r="CP167" i="65"/>
  <c r="CY151" i="65"/>
  <c r="CP151" i="65"/>
  <c r="CX151" i="65" s="1"/>
  <c r="CY135" i="65"/>
  <c r="CX135" i="65"/>
  <c r="CP135" i="65"/>
  <c r="CY119" i="65"/>
  <c r="CP119" i="65"/>
  <c r="CX119" i="65" s="1"/>
  <c r="CY103" i="65"/>
  <c r="CX103" i="65"/>
  <c r="CP103" i="65"/>
  <c r="CY87" i="65"/>
  <c r="CP87" i="65"/>
  <c r="CX87" i="65" s="1"/>
  <c r="CY71" i="65"/>
  <c r="CX71" i="65"/>
  <c r="CP71" i="65"/>
  <c r="CY55" i="65"/>
  <c r="CP55" i="65"/>
  <c r="CX55" i="65" s="1"/>
  <c r="CY39" i="65"/>
  <c r="CX39" i="65"/>
  <c r="CP39" i="65"/>
  <c r="CY23" i="65"/>
  <c r="CP23" i="65"/>
  <c r="CX23" i="65" s="1"/>
  <c r="CY7" i="65"/>
  <c r="CX7" i="65"/>
  <c r="CP7" i="65"/>
  <c r="CQ546" i="65"/>
  <c r="CP546" i="65"/>
  <c r="CX546" i="65" s="1"/>
  <c r="CO546" i="65"/>
  <c r="CT546" i="65"/>
  <c r="CY546" i="65"/>
  <c r="CU546" i="65"/>
  <c r="CS546" i="65"/>
  <c r="N53" i="53"/>
  <c r="H125" i="64"/>
  <c r="K125" i="64" s="1"/>
  <c r="N44" i="66"/>
  <c r="CO6" i="65"/>
  <c r="CO418" i="65"/>
  <c r="CO296" i="65"/>
  <c r="CO194" i="65"/>
  <c r="CO16" i="65"/>
  <c r="CO492" i="65"/>
  <c r="CO428" i="65"/>
  <c r="CO364" i="65"/>
  <c r="CO300" i="65"/>
  <c r="CO214" i="65"/>
  <c r="CO86" i="65"/>
  <c r="CO43" i="65"/>
  <c r="CO501" i="65"/>
  <c r="CO437" i="65"/>
  <c r="CO373" i="65"/>
  <c r="CO309" i="65"/>
  <c r="CO231" i="65"/>
  <c r="CO103" i="65"/>
  <c r="CO509" i="65"/>
  <c r="CO381" i="65"/>
  <c r="CO457" i="65"/>
  <c r="CO393" i="65"/>
  <c r="CO329" i="65"/>
  <c r="CO264" i="65"/>
  <c r="CO145" i="65"/>
  <c r="CO495" i="65"/>
  <c r="CO447" i="65"/>
  <c r="CO399" i="65"/>
  <c r="CO335" i="65"/>
  <c r="CO287" i="65"/>
  <c r="CO239" i="65"/>
  <c r="CO175" i="65"/>
  <c r="CO111" i="65"/>
  <c r="CO47" i="65"/>
  <c r="CO233" i="65"/>
  <c r="CO169" i="65"/>
  <c r="CO105" i="65"/>
  <c r="CO41" i="65"/>
  <c r="CO216" i="65"/>
  <c r="CO168" i="65"/>
  <c r="CO120" i="65"/>
  <c r="CO72" i="65"/>
  <c r="CO40" i="65"/>
  <c r="CO493" i="65"/>
  <c r="CO450" i="65"/>
  <c r="CO408" i="65"/>
  <c r="CO365" i="65"/>
  <c r="CO322" i="65"/>
  <c r="CO290" i="65"/>
  <c r="CO261" i="65"/>
  <c r="CO226" i="65"/>
  <c r="CO183" i="65"/>
  <c r="CO141" i="65"/>
  <c r="CO98" i="65"/>
  <c r="CO55" i="65"/>
  <c r="CO10" i="65"/>
  <c r="CO508" i="65"/>
  <c r="CO486" i="65"/>
  <c r="CO465" i="65"/>
  <c r="CO444" i="65"/>
  <c r="CO422" i="65"/>
  <c r="CO401" i="65"/>
  <c r="CO380" i="65"/>
  <c r="CO358" i="65"/>
  <c r="CO337" i="65"/>
  <c r="CO316" i="65"/>
  <c r="CO294" i="65"/>
  <c r="CO273" i="65"/>
  <c r="CO244" i="65"/>
  <c r="CO203" i="65"/>
  <c r="CO161" i="65"/>
  <c r="CO118" i="65"/>
  <c r="CO75" i="65"/>
  <c r="CO29" i="65"/>
  <c r="CO517" i="65"/>
  <c r="CO496" i="65"/>
  <c r="CO474" i="65"/>
  <c r="CO453" i="65"/>
  <c r="CO432" i="65"/>
  <c r="CO410" i="65"/>
  <c r="CO389" i="65"/>
  <c r="CO368" i="65"/>
  <c r="CO346" i="65"/>
  <c r="CO325" i="65"/>
  <c r="CO304" i="65"/>
  <c r="CO282" i="65"/>
  <c r="CO257" i="65"/>
  <c r="CO221" i="65"/>
  <c r="CO178" i="65"/>
  <c r="CO135" i="65"/>
  <c r="CO93" i="65"/>
  <c r="CO50" i="65"/>
  <c r="CO498" i="65"/>
  <c r="CO456" i="65"/>
  <c r="CO413" i="65"/>
  <c r="CO370" i="65"/>
  <c r="CO328" i="65"/>
  <c r="CO5" i="65"/>
  <c r="CO516" i="65"/>
  <c r="CO494" i="65"/>
  <c r="CO473" i="65"/>
  <c r="CO452" i="65"/>
  <c r="CO430" i="65"/>
  <c r="CO409" i="65"/>
  <c r="CO388" i="65"/>
  <c r="CO366" i="65"/>
  <c r="CO345" i="65"/>
  <c r="CO324" i="65"/>
  <c r="CO302" i="65"/>
  <c r="CO281" i="65"/>
  <c r="CO256" i="65"/>
  <c r="CO219" i="65"/>
  <c r="CO177" i="65"/>
  <c r="CO134" i="65"/>
  <c r="CO91" i="65"/>
  <c r="CO49" i="65"/>
  <c r="CO15" i="65"/>
  <c r="CO507" i="65"/>
  <c r="CO491" i="65"/>
  <c r="CO475" i="65"/>
  <c r="CO459" i="65"/>
  <c r="CO443" i="65"/>
  <c r="CO427" i="65"/>
  <c r="CO411" i="65"/>
  <c r="CO395" i="65"/>
  <c r="CO379" i="65"/>
  <c r="CO363" i="65"/>
  <c r="CO347" i="65"/>
  <c r="CO331" i="65"/>
  <c r="CO315" i="65"/>
  <c r="CO299" i="65"/>
  <c r="CO283" i="65"/>
  <c r="CO267" i="65"/>
  <c r="CO251" i="65"/>
  <c r="CO234" i="65"/>
  <c r="CO213" i="65"/>
  <c r="CO191" i="65"/>
  <c r="CO170" i="65"/>
  <c r="CO149" i="65"/>
  <c r="CO127" i="65"/>
  <c r="CO106" i="65"/>
  <c r="CO85" i="65"/>
  <c r="CO63" i="65"/>
  <c r="CO42" i="65"/>
  <c r="CO262" i="65"/>
  <c r="CO246" i="65"/>
  <c r="CO227" i="65"/>
  <c r="CO206" i="65"/>
  <c r="CO185" i="65"/>
  <c r="CO163" i="65"/>
  <c r="CO142" i="65"/>
  <c r="CO121" i="65"/>
  <c r="CO99" i="65"/>
  <c r="CO78" i="65"/>
  <c r="CO57" i="65"/>
  <c r="CO33" i="65"/>
  <c r="CO228" i="65"/>
  <c r="CO212" i="65"/>
  <c r="CO196" i="65"/>
  <c r="CO180" i="65"/>
  <c r="CO164" i="65"/>
  <c r="CO148" i="65"/>
  <c r="CO132" i="65"/>
  <c r="CO116" i="65"/>
  <c r="CO100" i="65"/>
  <c r="CO84" i="65"/>
  <c r="CO68" i="65"/>
  <c r="CO52" i="65"/>
  <c r="CO36" i="65"/>
  <c r="CO20" i="65"/>
  <c r="CO27" i="65"/>
  <c r="CO504" i="65"/>
  <c r="CO376" i="65"/>
  <c r="CO237" i="65"/>
  <c r="CO109" i="65"/>
  <c r="CO470" i="65"/>
  <c r="CO406" i="65"/>
  <c r="CO342" i="65"/>
  <c r="CO278" i="65"/>
  <c r="CO171" i="65"/>
  <c r="CO480" i="65"/>
  <c r="CO416" i="65"/>
  <c r="CO352" i="65"/>
  <c r="CO265" i="65"/>
  <c r="CO146" i="65"/>
  <c r="CO12" i="65"/>
  <c r="CO424" i="65"/>
  <c r="CO478" i="65"/>
  <c r="CO414" i="65"/>
  <c r="CO350" i="65"/>
  <c r="CO286" i="65"/>
  <c r="CO230" i="65"/>
  <c r="CO59" i="65"/>
  <c r="CO479" i="65"/>
  <c r="CO431" i="65"/>
  <c r="CO383" i="65"/>
  <c r="CO351" i="65"/>
  <c r="CO303" i="65"/>
  <c r="CO255" i="65"/>
  <c r="CO197" i="65"/>
  <c r="CO133" i="65"/>
  <c r="CO69" i="65"/>
  <c r="CO250" i="65"/>
  <c r="CO190" i="65"/>
  <c r="CO147" i="65"/>
  <c r="CO83" i="65"/>
  <c r="CO232" i="65"/>
  <c r="CO184" i="65"/>
  <c r="CO136" i="65"/>
  <c r="CO88" i="65"/>
  <c r="CO31" i="65"/>
  <c r="CO482" i="65"/>
  <c r="CO440" i="65"/>
  <c r="CO397" i="65"/>
  <c r="CO354" i="65"/>
  <c r="CO312" i="65"/>
  <c r="CO280" i="65"/>
  <c r="CO253" i="65"/>
  <c r="CO215" i="65"/>
  <c r="CO173" i="65"/>
  <c r="CO130" i="65"/>
  <c r="CO87" i="65"/>
  <c r="CO45" i="65"/>
  <c r="CO502" i="65"/>
  <c r="CO481" i="65"/>
  <c r="CO460" i="65"/>
  <c r="CO438" i="65"/>
  <c r="CO417" i="65"/>
  <c r="CO396" i="65"/>
  <c r="CO374" i="65"/>
  <c r="CO353" i="65"/>
  <c r="CO332" i="65"/>
  <c r="CO310" i="65"/>
  <c r="CO289" i="65"/>
  <c r="CO268" i="65"/>
  <c r="CO235" i="65"/>
  <c r="CO193" i="65"/>
  <c r="CO150" i="65"/>
  <c r="CO107" i="65"/>
  <c r="CO65" i="65"/>
  <c r="CO14" i="65"/>
  <c r="CO512" i="65"/>
  <c r="CO490" i="65"/>
  <c r="CO469" i="65"/>
  <c r="CO448" i="65"/>
  <c r="CO426" i="65"/>
  <c r="CO405" i="65"/>
  <c r="CO384" i="65"/>
  <c r="CO362" i="65"/>
  <c r="CO341" i="65"/>
  <c r="CO320" i="65"/>
  <c r="CO298" i="65"/>
  <c r="CO277" i="65"/>
  <c r="CO249" i="65"/>
  <c r="CO210" i="65"/>
  <c r="CO167" i="65"/>
  <c r="CO125" i="65"/>
  <c r="CO82" i="65"/>
  <c r="CO38" i="65"/>
  <c r="CO488" i="65"/>
  <c r="CO445" i="65"/>
  <c r="CO402" i="65"/>
  <c r="CO360" i="65"/>
  <c r="CO317" i="65"/>
  <c r="CO13" i="65"/>
  <c r="CO510" i="65"/>
  <c r="CO489" i="65"/>
  <c r="CO468" i="65"/>
  <c r="CO446" i="65"/>
  <c r="CO425" i="65"/>
  <c r="CO404" i="65"/>
  <c r="CO382" i="65"/>
  <c r="CO361" i="65"/>
  <c r="CO340" i="65"/>
  <c r="CO318" i="65"/>
  <c r="CO297" i="65"/>
  <c r="CO276" i="65"/>
  <c r="CO248" i="65"/>
  <c r="CO209" i="65"/>
  <c r="CO166" i="65"/>
  <c r="CO123" i="65"/>
  <c r="CO81" i="65"/>
  <c r="CO37" i="65"/>
  <c r="CO11" i="65"/>
  <c r="CO503" i="65"/>
  <c r="CO487" i="65"/>
  <c r="CO471" i="65"/>
  <c r="CO455" i="65"/>
  <c r="CO439" i="65"/>
  <c r="CO423" i="65"/>
  <c r="CO407" i="65"/>
  <c r="CO391" i="65"/>
  <c r="CO375" i="65"/>
  <c r="CO359" i="65"/>
  <c r="CO343" i="65"/>
  <c r="CO327" i="65"/>
  <c r="CO311" i="65"/>
  <c r="CO295" i="65"/>
  <c r="CO279" i="65"/>
  <c r="CO263" i="65"/>
  <c r="CO247" i="65"/>
  <c r="CO229" i="65"/>
  <c r="CO207" i="65"/>
  <c r="CO186" i="65"/>
  <c r="CO165" i="65"/>
  <c r="CO143" i="65"/>
  <c r="CO122" i="65"/>
  <c r="CO101" i="65"/>
  <c r="CO79" i="65"/>
  <c r="CO58" i="65"/>
  <c r="CO34" i="65"/>
  <c r="CO258" i="65"/>
  <c r="CO242" i="65"/>
  <c r="CO222" i="65"/>
  <c r="CO201" i="65"/>
  <c r="CO179" i="65"/>
  <c r="CO158" i="65"/>
  <c r="CO137" i="65"/>
  <c r="CO115" i="65"/>
  <c r="CO94" i="65"/>
  <c r="CO73" i="65"/>
  <c r="CO51" i="65"/>
  <c r="CO25" i="65"/>
  <c r="CO224" i="65"/>
  <c r="CO208" i="65"/>
  <c r="CO192" i="65"/>
  <c r="CO176" i="65"/>
  <c r="CO160" i="65"/>
  <c r="CO144" i="65"/>
  <c r="CO128" i="65"/>
  <c r="CO112" i="65"/>
  <c r="CO96" i="65"/>
  <c r="CO80" i="65"/>
  <c r="CO64" i="65"/>
  <c r="CO48" i="65"/>
  <c r="CO32" i="65"/>
  <c r="CO39" i="65"/>
  <c r="CO23" i="65"/>
  <c r="CO461" i="65"/>
  <c r="CO333" i="65"/>
  <c r="CO269" i="65"/>
  <c r="CO151" i="65"/>
  <c r="CO66" i="65"/>
  <c r="CO513" i="65"/>
  <c r="CO449" i="65"/>
  <c r="CO385" i="65"/>
  <c r="CO321" i="65"/>
  <c r="CO252" i="65"/>
  <c r="CO129" i="65"/>
  <c r="CO458" i="65"/>
  <c r="CO394" i="65"/>
  <c r="CO330" i="65"/>
  <c r="CO288" i="65"/>
  <c r="CO189" i="65"/>
  <c r="CO61" i="65"/>
  <c r="CO466" i="65"/>
  <c r="CO338" i="65"/>
  <c r="CO285" i="65"/>
  <c r="CO500" i="65"/>
  <c r="CO436" i="65"/>
  <c r="CO372" i="65"/>
  <c r="CO308" i="65"/>
  <c r="CO187" i="65"/>
  <c r="CO102" i="65"/>
  <c r="CO18" i="65"/>
  <c r="CO511" i="65"/>
  <c r="CO463" i="65"/>
  <c r="CO415" i="65"/>
  <c r="CO367" i="65"/>
  <c r="CO319" i="65"/>
  <c r="CO271" i="65"/>
  <c r="CO218" i="65"/>
  <c r="CO154" i="65"/>
  <c r="CO90" i="65"/>
  <c r="CO266" i="65"/>
  <c r="CO211" i="65"/>
  <c r="CO126" i="65"/>
  <c r="CO62" i="65"/>
  <c r="CO200" i="65"/>
  <c r="CO152" i="65"/>
  <c r="CO104" i="65"/>
  <c r="CO56" i="65"/>
  <c r="CO24" i="65"/>
  <c r="CO17" i="65"/>
  <c r="CO514" i="65"/>
  <c r="CO472" i="65"/>
  <c r="CO429" i="65"/>
  <c r="CO386" i="65"/>
  <c r="CO344" i="65"/>
  <c r="CO301" i="65"/>
  <c r="CO274" i="65"/>
  <c r="CO245" i="65"/>
  <c r="CO205" i="65"/>
  <c r="CO162" i="65"/>
  <c r="CO119" i="65"/>
  <c r="CO77" i="65"/>
  <c r="CO30" i="65"/>
  <c r="CO497" i="65"/>
  <c r="CO476" i="65"/>
  <c r="CO454" i="65"/>
  <c r="CO433" i="65"/>
  <c r="CO412" i="65"/>
  <c r="CO390" i="65"/>
  <c r="CO369" i="65"/>
  <c r="CO348" i="65"/>
  <c r="CO326" i="65"/>
  <c r="CO305" i="65"/>
  <c r="CO284" i="65"/>
  <c r="CO260" i="65"/>
  <c r="CO225" i="65"/>
  <c r="CO182" i="65"/>
  <c r="CO139" i="65"/>
  <c r="CO97" i="65"/>
  <c r="CO54" i="65"/>
  <c r="CO9" i="65"/>
  <c r="CO506" i="65"/>
  <c r="CO485" i="65"/>
  <c r="CO464" i="65"/>
  <c r="CO442" i="65"/>
  <c r="CO421" i="65"/>
  <c r="CO400" i="65"/>
  <c r="CO378" i="65"/>
  <c r="CO357" i="65"/>
  <c r="CO336" i="65"/>
  <c r="CO314" i="65"/>
  <c r="CO293" i="65"/>
  <c r="CO272" i="65"/>
  <c r="CO241" i="65"/>
  <c r="CO199" i="65"/>
  <c r="CO157" i="65"/>
  <c r="CO114" i="65"/>
  <c r="CO71" i="65"/>
  <c r="CO22" i="65"/>
  <c r="CO477" i="65"/>
  <c r="CO434" i="65"/>
  <c r="CO392" i="65"/>
  <c r="CO349" i="65"/>
  <c r="CO306" i="65"/>
  <c r="CO8" i="65"/>
  <c r="CO505" i="65"/>
  <c r="CO484" i="65"/>
  <c r="CO462" i="65"/>
  <c r="CO441" i="65"/>
  <c r="CO420" i="65"/>
  <c r="CO398" i="65"/>
  <c r="CO377" i="65"/>
  <c r="CO356" i="65"/>
  <c r="CO334" i="65"/>
  <c r="CO313" i="65"/>
  <c r="CO292" i="65"/>
  <c r="CO270" i="65"/>
  <c r="CO240" i="65"/>
  <c r="CO198" i="65"/>
  <c r="CO155" i="65"/>
  <c r="CO113" i="65"/>
  <c r="CO70" i="65"/>
  <c r="CO21" i="65"/>
  <c r="CO7" i="65"/>
  <c r="CO515" i="65"/>
  <c r="CO499" i="65"/>
  <c r="CO483" i="65"/>
  <c r="CO467" i="65"/>
  <c r="CO451" i="65"/>
  <c r="CO435" i="65"/>
  <c r="CO419" i="65"/>
  <c r="CO403" i="65"/>
  <c r="CO387" i="65"/>
  <c r="CO371" i="65"/>
  <c r="CO355" i="65"/>
  <c r="CO339" i="65"/>
  <c r="CO323" i="65"/>
  <c r="CO307" i="65"/>
  <c r="CO291" i="65"/>
  <c r="CO275" i="65"/>
  <c r="CO259" i="65"/>
  <c r="CO243" i="65"/>
  <c r="CO223" i="65"/>
  <c r="CO202" i="65"/>
  <c r="CO181" i="65"/>
  <c r="CO159" i="65"/>
  <c r="CO138" i="65"/>
  <c r="CO117" i="65"/>
  <c r="CO95" i="65"/>
  <c r="CO74" i="65"/>
  <c r="CO53" i="65"/>
  <c r="CO26" i="65"/>
  <c r="CO254" i="65"/>
  <c r="CO238" i="65"/>
  <c r="CO217" i="65"/>
  <c r="CO195" i="65"/>
  <c r="CO174" i="65"/>
  <c r="CO153" i="65"/>
  <c r="CO131" i="65"/>
  <c r="CO110" i="65"/>
  <c r="CO89" i="65"/>
  <c r="CO67" i="65"/>
  <c r="CO46" i="65"/>
  <c r="CO236" i="65"/>
  <c r="CO220" i="65"/>
  <c r="CO204" i="65"/>
  <c r="CO188" i="65"/>
  <c r="CO172" i="65"/>
  <c r="CO156" i="65"/>
  <c r="CO140" i="65"/>
  <c r="CO124" i="65"/>
  <c r="CO108" i="65"/>
  <c r="CO92" i="65"/>
  <c r="CO76" i="65"/>
  <c r="CO60" i="65"/>
  <c r="CO44" i="65"/>
  <c r="CO28" i="65"/>
  <c r="CO35" i="65"/>
  <c r="CO19" i="65"/>
  <c r="CT534" i="65"/>
  <c r="CO534" i="65"/>
  <c r="CT544" i="65"/>
  <c r="CO544" i="65"/>
  <c r="CT542" i="65"/>
  <c r="CO542" i="65"/>
  <c r="CT527" i="65"/>
  <c r="CO527" i="65"/>
  <c r="CT536" i="65"/>
  <c r="CO536" i="65"/>
  <c r="CT538" i="65"/>
  <c r="CO538" i="65"/>
  <c r="CT537" i="65"/>
  <c r="CO537" i="65"/>
  <c r="CT523" i="65"/>
  <c r="CO523" i="65"/>
  <c r="CT525" i="65"/>
  <c r="CO525" i="65"/>
  <c r="CT545" i="65"/>
  <c r="CO545" i="65"/>
  <c r="CT524" i="65"/>
  <c r="CO524" i="65"/>
  <c r="CT533" i="65"/>
  <c r="CO533" i="65"/>
  <c r="CT530" i="65"/>
  <c r="CO530" i="65"/>
  <c r="CT532" i="65"/>
  <c r="CO532" i="65"/>
  <c r="CT535" i="65"/>
  <c r="CO535" i="65"/>
  <c r="CT519" i="65"/>
  <c r="CO519" i="65"/>
  <c r="CT522" i="65"/>
  <c r="CO522" i="65"/>
  <c r="CT521" i="65"/>
  <c r="CO521" i="65"/>
  <c r="CT543" i="65"/>
  <c r="CO543" i="65"/>
  <c r="CT529" i="65"/>
  <c r="CO529" i="65"/>
  <c r="CT541" i="65"/>
  <c r="CO541" i="65"/>
  <c r="CT539" i="65"/>
  <c r="CO539" i="65"/>
  <c r="CT540" i="65"/>
  <c r="CO540" i="65"/>
  <c r="CT518" i="65"/>
  <c r="CO518" i="65"/>
  <c r="CT528" i="65"/>
  <c r="CO528" i="65"/>
  <c r="CT520" i="65"/>
  <c r="CO520" i="65"/>
  <c r="CT526" i="65"/>
  <c r="CO526" i="65"/>
  <c r="CT531" i="65"/>
  <c r="CO531" i="65"/>
  <c r="CT461" i="65"/>
  <c r="CU461" i="65"/>
  <c r="DX461" i="65" s="1"/>
  <c r="CQ461" i="65"/>
  <c r="CT333" i="65"/>
  <c r="CU333" i="65"/>
  <c r="CQ333" i="65"/>
  <c r="DU333" i="65" s="1"/>
  <c r="CT237" i="65"/>
  <c r="DV237" i="65" s="1"/>
  <c r="CU237" i="65"/>
  <c r="DX237" i="65" s="1"/>
  <c r="CQ237" i="65"/>
  <c r="CT151" i="65"/>
  <c r="CQ151" i="65"/>
  <c r="CU151" i="65"/>
  <c r="DX151" i="65" s="1"/>
  <c r="CT16" i="65"/>
  <c r="CQ16" i="65"/>
  <c r="DU16" i="65" s="1"/>
  <c r="CU16" i="65"/>
  <c r="CT492" i="65"/>
  <c r="CQ492" i="65"/>
  <c r="CU492" i="65"/>
  <c r="DX492" i="65" s="1"/>
  <c r="CT428" i="65"/>
  <c r="CQ428" i="65"/>
  <c r="DU428" i="65" s="1"/>
  <c r="CU428" i="65"/>
  <c r="CT364" i="65"/>
  <c r="CQ364" i="65"/>
  <c r="CU364" i="65"/>
  <c r="DX364" i="65" s="1"/>
  <c r="CT278" i="65"/>
  <c r="CQ278" i="65"/>
  <c r="DU278" i="65" s="1"/>
  <c r="CU278" i="65"/>
  <c r="CT171" i="65"/>
  <c r="CQ171" i="65"/>
  <c r="CU171" i="65"/>
  <c r="DX171" i="65" s="1"/>
  <c r="CT480" i="65"/>
  <c r="CQ480" i="65"/>
  <c r="DU480" i="65" s="1"/>
  <c r="CU480" i="65"/>
  <c r="CT416" i="65"/>
  <c r="CQ416" i="65"/>
  <c r="CU416" i="65"/>
  <c r="DX416" i="65" s="1"/>
  <c r="CU373" i="65"/>
  <c r="CT373" i="65"/>
  <c r="DV373" i="65" s="1"/>
  <c r="CQ373" i="65"/>
  <c r="DU373" i="65" s="1"/>
  <c r="CT309" i="65"/>
  <c r="CU309" i="65"/>
  <c r="CQ309" i="65"/>
  <c r="DU309" i="65" s="1"/>
  <c r="CT231" i="65"/>
  <c r="CQ231" i="65"/>
  <c r="DU231" i="65" s="1"/>
  <c r="CU231" i="65"/>
  <c r="CT103" i="65"/>
  <c r="CQ103" i="65"/>
  <c r="CU103" i="65"/>
  <c r="DX103" i="65" s="1"/>
  <c r="CT466" i="65"/>
  <c r="CQ466" i="65"/>
  <c r="DU466" i="65" s="1"/>
  <c r="CU466" i="65"/>
  <c r="CT338" i="65"/>
  <c r="CQ338" i="65"/>
  <c r="CU338" i="65"/>
  <c r="DX338" i="65" s="1"/>
  <c r="CT478" i="65"/>
  <c r="CQ478" i="65"/>
  <c r="DU478" i="65" s="1"/>
  <c r="CU478" i="65"/>
  <c r="CT436" i="65"/>
  <c r="CQ436" i="65"/>
  <c r="CU436" i="65"/>
  <c r="DX436" i="65" s="1"/>
  <c r="CT393" i="65"/>
  <c r="CQ393" i="65"/>
  <c r="DU393" i="65" s="1"/>
  <c r="CU393" i="65"/>
  <c r="CQ329" i="65"/>
  <c r="DU329" i="65" s="1"/>
  <c r="CU329" i="65"/>
  <c r="CT329" i="65"/>
  <c r="CT286" i="65"/>
  <c r="CQ286" i="65"/>
  <c r="DU286" i="65" s="1"/>
  <c r="CU286" i="65"/>
  <c r="CT230" i="65"/>
  <c r="CQ230" i="65"/>
  <c r="CU230" i="65"/>
  <c r="DX230" i="65" s="1"/>
  <c r="CQ145" i="65"/>
  <c r="CU145" i="65"/>
  <c r="DX145" i="65" s="1"/>
  <c r="CT145" i="65"/>
  <c r="CQ59" i="65"/>
  <c r="CT59" i="65"/>
  <c r="CU59" i="65"/>
  <c r="DX59" i="65" s="1"/>
  <c r="CT495" i="65"/>
  <c r="DV495" i="65" s="1"/>
  <c r="CU495" i="65"/>
  <c r="DX495" i="65" s="1"/>
  <c r="CQ495" i="65"/>
  <c r="CT463" i="65"/>
  <c r="CU463" i="65"/>
  <c r="CQ463" i="65"/>
  <c r="DU463" i="65" s="1"/>
  <c r="CT431" i="65"/>
  <c r="CQ431" i="65"/>
  <c r="DU431" i="65" s="1"/>
  <c r="CU431" i="65"/>
  <c r="CT399" i="65"/>
  <c r="CU399" i="65"/>
  <c r="CQ399" i="65"/>
  <c r="DU399" i="65" s="1"/>
  <c r="CT367" i="65"/>
  <c r="DV367" i="65" s="1"/>
  <c r="CU367" i="65"/>
  <c r="DX367" i="65" s="1"/>
  <c r="CQ367" i="65"/>
  <c r="CT335" i="65"/>
  <c r="DV335" i="65" s="1"/>
  <c r="CU335" i="65"/>
  <c r="CQ335" i="65"/>
  <c r="DU335" i="65" s="1"/>
  <c r="CT303" i="65"/>
  <c r="CU303" i="65"/>
  <c r="DX303" i="65" s="1"/>
  <c r="CQ303" i="65"/>
  <c r="CT271" i="65"/>
  <c r="CU271" i="65"/>
  <c r="CQ271" i="65"/>
  <c r="DU271" i="65" s="1"/>
  <c r="CT239" i="65"/>
  <c r="DV239" i="65" s="1"/>
  <c r="CU239" i="65"/>
  <c r="DX239" i="65" s="1"/>
  <c r="CQ239" i="65"/>
  <c r="CQ197" i="65"/>
  <c r="DU197" i="65" s="1"/>
  <c r="CT197" i="65"/>
  <c r="CU197" i="65"/>
  <c r="CT133" i="65"/>
  <c r="CQ133" i="65"/>
  <c r="DU133" i="65" s="1"/>
  <c r="CU133" i="65"/>
  <c r="CT90" i="65"/>
  <c r="CQ90" i="65"/>
  <c r="CU90" i="65"/>
  <c r="DX90" i="65" s="1"/>
  <c r="CT69" i="65"/>
  <c r="CQ69" i="65"/>
  <c r="DU69" i="65" s="1"/>
  <c r="CU69" i="65"/>
  <c r="CT266" i="65"/>
  <c r="DV266" i="65" s="1"/>
  <c r="CU266" i="65"/>
  <c r="CQ266" i="65"/>
  <c r="DU266" i="65" s="1"/>
  <c r="CT233" i="65"/>
  <c r="CQ233" i="65"/>
  <c r="DU233" i="65" s="1"/>
  <c r="CU233" i="65"/>
  <c r="CT190" i="65"/>
  <c r="CQ190" i="65"/>
  <c r="CU190" i="65"/>
  <c r="DX190" i="65" s="1"/>
  <c r="CT147" i="65"/>
  <c r="CQ147" i="65"/>
  <c r="DU147" i="65" s="1"/>
  <c r="CU147" i="65"/>
  <c r="CT105" i="65"/>
  <c r="CQ105" i="65"/>
  <c r="CU105" i="65"/>
  <c r="DX105" i="65" s="1"/>
  <c r="CT62" i="65"/>
  <c r="CQ62" i="65"/>
  <c r="DU62" i="65" s="1"/>
  <c r="CU62" i="65"/>
  <c r="CT232" i="65"/>
  <c r="CQ232" i="65"/>
  <c r="CU232" i="65"/>
  <c r="DX232" i="65" s="1"/>
  <c r="CT200" i="65"/>
  <c r="CQ200" i="65"/>
  <c r="DU200" i="65" s="1"/>
  <c r="CU200" i="65"/>
  <c r="CT168" i="65"/>
  <c r="CQ168" i="65"/>
  <c r="CU168" i="65"/>
  <c r="DX168" i="65" s="1"/>
  <c r="CT136" i="65"/>
  <c r="CQ136" i="65"/>
  <c r="DU136" i="65" s="1"/>
  <c r="CU136" i="65"/>
  <c r="CT104" i="65"/>
  <c r="CQ104" i="65"/>
  <c r="CU104" i="65"/>
  <c r="DX104" i="65" s="1"/>
  <c r="CT72" i="65"/>
  <c r="CQ72" i="65"/>
  <c r="DU72" i="65" s="1"/>
  <c r="CU72" i="65"/>
  <c r="CT40" i="65"/>
  <c r="CQ40" i="65"/>
  <c r="CU40" i="65"/>
  <c r="DX40" i="65" s="1"/>
  <c r="CT31" i="65"/>
  <c r="CQ31" i="65"/>
  <c r="DU31" i="65" s="1"/>
  <c r="CU31" i="65"/>
  <c r="CU493" i="65"/>
  <c r="CT493" i="65"/>
  <c r="CQ493" i="65"/>
  <c r="DU493" i="65" s="1"/>
  <c r="CQ450" i="65"/>
  <c r="DU450" i="65" s="1"/>
  <c r="CT450" i="65"/>
  <c r="DV450" i="65" s="1"/>
  <c r="CU450" i="65"/>
  <c r="CT408" i="65"/>
  <c r="CQ408" i="65"/>
  <c r="CU408" i="65"/>
  <c r="DX408" i="65" s="1"/>
  <c r="CU365" i="65"/>
  <c r="CT365" i="65"/>
  <c r="DV365" i="65" s="1"/>
  <c r="CQ365" i="65"/>
  <c r="DU365" i="65" s="1"/>
  <c r="CT322" i="65"/>
  <c r="CQ322" i="65"/>
  <c r="CU322" i="65"/>
  <c r="DX322" i="65" s="1"/>
  <c r="CT290" i="65"/>
  <c r="CQ290" i="65"/>
  <c r="DU290" i="65" s="1"/>
  <c r="CU290" i="65"/>
  <c r="CT261" i="65"/>
  <c r="DV261" i="65" s="1"/>
  <c r="CU261" i="65"/>
  <c r="CQ261" i="65"/>
  <c r="DU261" i="65" s="1"/>
  <c r="CT226" i="65"/>
  <c r="CQ226" i="65"/>
  <c r="DU226" i="65" s="1"/>
  <c r="CU226" i="65"/>
  <c r="CT183" i="65"/>
  <c r="CQ183" i="65"/>
  <c r="CU183" i="65"/>
  <c r="DX183" i="65" s="1"/>
  <c r="CT141" i="65"/>
  <c r="DV141" i="65" s="1"/>
  <c r="CU141" i="65"/>
  <c r="DX141" i="65" s="1"/>
  <c r="CQ141" i="65"/>
  <c r="CT98" i="65"/>
  <c r="CQ98" i="65"/>
  <c r="CU98" i="65"/>
  <c r="DX98" i="65" s="1"/>
  <c r="CT55" i="65"/>
  <c r="CQ55" i="65"/>
  <c r="DU55" i="65" s="1"/>
  <c r="CU55" i="65"/>
  <c r="CT10" i="65"/>
  <c r="CQ10" i="65"/>
  <c r="CU10" i="65"/>
  <c r="DX10" i="65" s="1"/>
  <c r="CT508" i="65"/>
  <c r="CQ508" i="65"/>
  <c r="DU508" i="65" s="1"/>
  <c r="CU508" i="65"/>
  <c r="CQ486" i="65"/>
  <c r="DU486" i="65" s="1"/>
  <c r="CT486" i="65"/>
  <c r="CU486" i="65"/>
  <c r="CU465" i="65"/>
  <c r="CQ465" i="65"/>
  <c r="DU465" i="65" s="1"/>
  <c r="CT465" i="65"/>
  <c r="CT444" i="65"/>
  <c r="CQ444" i="65"/>
  <c r="CU444" i="65"/>
  <c r="DX444" i="65" s="1"/>
  <c r="CQ422" i="65"/>
  <c r="DU422" i="65" s="1"/>
  <c r="CT422" i="65"/>
  <c r="DV422" i="65" s="1"/>
  <c r="CU422" i="65"/>
  <c r="CQ401" i="65"/>
  <c r="DU401" i="65" s="1"/>
  <c r="CU401" i="65"/>
  <c r="CT401" i="65"/>
  <c r="CT380" i="65"/>
  <c r="CQ380" i="65"/>
  <c r="DU380" i="65" s="1"/>
  <c r="CU380" i="65"/>
  <c r="CQ358" i="65"/>
  <c r="CT358" i="65"/>
  <c r="CU358" i="65"/>
  <c r="DX358" i="65" s="1"/>
  <c r="CT337" i="65"/>
  <c r="CQ337" i="65"/>
  <c r="DU337" i="65" s="1"/>
  <c r="CU337" i="65"/>
  <c r="CT316" i="65"/>
  <c r="CQ316" i="65"/>
  <c r="CU316" i="65"/>
  <c r="DX316" i="65" s="1"/>
  <c r="CT294" i="65"/>
  <c r="CQ294" i="65"/>
  <c r="DU294" i="65" s="1"/>
  <c r="CU294" i="65"/>
  <c r="CQ273" i="65"/>
  <c r="DU273" i="65" s="1"/>
  <c r="CU273" i="65"/>
  <c r="CT273" i="65"/>
  <c r="CT244" i="65"/>
  <c r="CQ244" i="65"/>
  <c r="DU244" i="65" s="1"/>
  <c r="CU244" i="65"/>
  <c r="CT203" i="65"/>
  <c r="CQ203" i="65"/>
  <c r="CU203" i="65"/>
  <c r="DX203" i="65" s="1"/>
  <c r="CT161" i="65"/>
  <c r="CQ161" i="65"/>
  <c r="DU161" i="65" s="1"/>
  <c r="CU161" i="65"/>
  <c r="CT118" i="65"/>
  <c r="CQ118" i="65"/>
  <c r="CU118" i="65"/>
  <c r="DX118" i="65" s="1"/>
  <c r="CT75" i="65"/>
  <c r="CQ75" i="65"/>
  <c r="DU75" i="65" s="1"/>
  <c r="CU75" i="65"/>
  <c r="CT29" i="65"/>
  <c r="DV29" i="65" s="1"/>
  <c r="CU29" i="65"/>
  <c r="CQ29" i="65"/>
  <c r="DU29" i="65" s="1"/>
  <c r="CT517" i="65"/>
  <c r="CQ517" i="65"/>
  <c r="DU517" i="65" s="1"/>
  <c r="CU517" i="65"/>
  <c r="CT496" i="65"/>
  <c r="CQ496" i="65"/>
  <c r="CU496" i="65"/>
  <c r="DX496" i="65" s="1"/>
  <c r="CT474" i="65"/>
  <c r="CQ474" i="65"/>
  <c r="DU474" i="65" s="1"/>
  <c r="CU474" i="65"/>
  <c r="CT453" i="65"/>
  <c r="DV453" i="65" s="1"/>
  <c r="CU453" i="65"/>
  <c r="CQ453" i="65"/>
  <c r="DU453" i="65" s="1"/>
  <c r="CT432" i="65"/>
  <c r="CQ432" i="65"/>
  <c r="DU432" i="65" s="1"/>
  <c r="CU432" i="65"/>
  <c r="CT410" i="65"/>
  <c r="CQ410" i="65"/>
  <c r="CU410" i="65"/>
  <c r="DX410" i="65" s="1"/>
  <c r="CT389" i="65"/>
  <c r="DV389" i="65" s="1"/>
  <c r="CU389" i="65"/>
  <c r="DX389" i="65" s="1"/>
  <c r="CQ389" i="65"/>
  <c r="CT368" i="65"/>
  <c r="CQ368" i="65"/>
  <c r="CU368" i="65"/>
  <c r="DX368" i="65" s="1"/>
  <c r="CT346" i="65"/>
  <c r="CU346" i="65"/>
  <c r="DX346" i="65" s="1"/>
  <c r="CQ346" i="65"/>
  <c r="CT325" i="65"/>
  <c r="CU325" i="65"/>
  <c r="CQ325" i="65"/>
  <c r="DU325" i="65" s="1"/>
  <c r="CT304" i="65"/>
  <c r="CQ304" i="65"/>
  <c r="DU304" i="65" s="1"/>
  <c r="CU304" i="65"/>
  <c r="CT282" i="65"/>
  <c r="DV282" i="65" s="1"/>
  <c r="CU282" i="65"/>
  <c r="CQ282" i="65"/>
  <c r="DU282" i="65" s="1"/>
  <c r="CQ257" i="65"/>
  <c r="CU257" i="65"/>
  <c r="DX257" i="65" s="1"/>
  <c r="CT257" i="65"/>
  <c r="CT221" i="65"/>
  <c r="CU221" i="65"/>
  <c r="CQ221" i="65"/>
  <c r="DU221" i="65" s="1"/>
  <c r="CT178" i="65"/>
  <c r="CU178" i="65"/>
  <c r="DX178" i="65" s="1"/>
  <c r="CQ178" i="65"/>
  <c r="CT135" i="65"/>
  <c r="DV135" i="65" s="1"/>
  <c r="CU135" i="65"/>
  <c r="CQ135" i="65"/>
  <c r="DU135" i="65" s="1"/>
  <c r="CT93" i="65"/>
  <c r="CU93" i="65"/>
  <c r="DX93" i="65" s="1"/>
  <c r="CQ93" i="65"/>
  <c r="CT50" i="65"/>
  <c r="CU50" i="65"/>
  <c r="CQ50" i="65"/>
  <c r="DU50" i="65" s="1"/>
  <c r="CT498" i="65"/>
  <c r="CQ498" i="65"/>
  <c r="DU498" i="65" s="1"/>
  <c r="CU498" i="65"/>
  <c r="CT456" i="65"/>
  <c r="CQ456" i="65"/>
  <c r="CU456" i="65"/>
  <c r="DX456" i="65" s="1"/>
  <c r="CT413" i="65"/>
  <c r="CU413" i="65"/>
  <c r="DX413" i="65" s="1"/>
  <c r="CQ413" i="65"/>
  <c r="CT370" i="65"/>
  <c r="CQ370" i="65"/>
  <c r="CU370" i="65"/>
  <c r="DX370" i="65" s="1"/>
  <c r="CT328" i="65"/>
  <c r="CQ328" i="65"/>
  <c r="DU328" i="65" s="1"/>
  <c r="CU328" i="65"/>
  <c r="CT5" i="65"/>
  <c r="CQ5" i="65"/>
  <c r="CU5" i="65"/>
  <c r="DX5" i="65" s="1"/>
  <c r="CT516" i="65"/>
  <c r="CU516" i="65"/>
  <c r="DX516" i="65" s="1"/>
  <c r="CQ516" i="65"/>
  <c r="CT494" i="65"/>
  <c r="CQ494" i="65"/>
  <c r="CU494" i="65"/>
  <c r="DX494" i="65" s="1"/>
  <c r="CT473" i="65"/>
  <c r="DV473" i="65" s="1"/>
  <c r="CU473" i="65"/>
  <c r="DX473" i="65" s="1"/>
  <c r="CQ473" i="65"/>
  <c r="CT452" i="65"/>
  <c r="DV452" i="65" s="1"/>
  <c r="CU452" i="65"/>
  <c r="CQ452" i="65"/>
  <c r="DU452" i="65" s="1"/>
  <c r="CT430" i="65"/>
  <c r="CQ430" i="65"/>
  <c r="DU430" i="65" s="1"/>
  <c r="CU430" i="65"/>
  <c r="CT409" i="65"/>
  <c r="CU409" i="65"/>
  <c r="CQ409" i="65"/>
  <c r="DU409" i="65" s="1"/>
  <c r="CT388" i="65"/>
  <c r="CQ388" i="65"/>
  <c r="DU388" i="65" s="1"/>
  <c r="CU388" i="65"/>
  <c r="CT366" i="65"/>
  <c r="CQ366" i="65"/>
  <c r="CU366" i="65"/>
  <c r="DX366" i="65" s="1"/>
  <c r="CT345" i="65"/>
  <c r="CQ345" i="65"/>
  <c r="DU345" i="65" s="1"/>
  <c r="CU345" i="65"/>
  <c r="CT324" i="65"/>
  <c r="CQ324" i="65"/>
  <c r="CU324" i="65"/>
  <c r="DX324" i="65" s="1"/>
  <c r="CT302" i="65"/>
  <c r="CQ302" i="65"/>
  <c r="DU302" i="65" s="1"/>
  <c r="CU302" i="65"/>
  <c r="CT281" i="65"/>
  <c r="CQ281" i="65"/>
  <c r="CU281" i="65"/>
  <c r="DX281" i="65" s="1"/>
  <c r="CT256" i="65"/>
  <c r="CQ256" i="65"/>
  <c r="DU256" i="65" s="1"/>
  <c r="CU256" i="65"/>
  <c r="CT219" i="65"/>
  <c r="CQ219" i="65"/>
  <c r="CU219" i="65"/>
  <c r="DX219" i="65" s="1"/>
  <c r="CT177" i="65"/>
  <c r="CQ177" i="65"/>
  <c r="DU177" i="65" s="1"/>
  <c r="CU177" i="65"/>
  <c r="CT134" i="65"/>
  <c r="CQ134" i="65"/>
  <c r="CU134" i="65"/>
  <c r="DX134" i="65" s="1"/>
  <c r="CT91" i="65"/>
  <c r="CQ91" i="65"/>
  <c r="DU91" i="65" s="1"/>
  <c r="CU91" i="65"/>
  <c r="CT49" i="65"/>
  <c r="CQ49" i="65"/>
  <c r="CU49" i="65"/>
  <c r="DX49" i="65" s="1"/>
  <c r="CT15" i="65"/>
  <c r="CQ15" i="65"/>
  <c r="DU15" i="65" s="1"/>
  <c r="CU15" i="65"/>
  <c r="CT507" i="65"/>
  <c r="DV507" i="65" s="1"/>
  <c r="CQ507" i="65"/>
  <c r="CU507" i="65"/>
  <c r="DX507" i="65" s="1"/>
  <c r="CT491" i="65"/>
  <c r="CQ491" i="65"/>
  <c r="DU491" i="65" s="1"/>
  <c r="CU491" i="65"/>
  <c r="CT475" i="65"/>
  <c r="CQ475" i="65"/>
  <c r="CU475" i="65"/>
  <c r="DX475" i="65" s="1"/>
  <c r="CT459" i="65"/>
  <c r="CQ459" i="65"/>
  <c r="DU459" i="65" s="1"/>
  <c r="CU459" i="65"/>
  <c r="CQ443" i="65"/>
  <c r="DU443" i="65" s="1"/>
  <c r="CU443" i="65"/>
  <c r="CT443" i="65"/>
  <c r="CT427" i="65"/>
  <c r="CQ427" i="65"/>
  <c r="DU427" i="65" s="1"/>
  <c r="CU427" i="65"/>
  <c r="CT411" i="65"/>
  <c r="DV411" i="65" s="1"/>
  <c r="CQ411" i="65"/>
  <c r="CU411" i="65"/>
  <c r="DX411" i="65" s="1"/>
  <c r="CT395" i="65"/>
  <c r="CQ395" i="65"/>
  <c r="DU395" i="65" s="1"/>
  <c r="CU395" i="65"/>
  <c r="CQ379" i="65"/>
  <c r="DU379" i="65" s="1"/>
  <c r="CT379" i="65"/>
  <c r="CU379" i="65"/>
  <c r="CT363" i="65"/>
  <c r="CQ363" i="65"/>
  <c r="DU363" i="65" s="1"/>
  <c r="CU363" i="65"/>
  <c r="CT347" i="65"/>
  <c r="DV347" i="65" s="1"/>
  <c r="CQ347" i="65"/>
  <c r="CU347" i="65"/>
  <c r="DX347" i="65" s="1"/>
  <c r="CT331" i="65"/>
  <c r="CQ331" i="65"/>
  <c r="DU331" i="65" s="1"/>
  <c r="CU331" i="65"/>
  <c r="CQ315" i="65"/>
  <c r="DU315" i="65" s="1"/>
  <c r="CU315" i="65"/>
  <c r="CT315" i="65"/>
  <c r="CQ299" i="65"/>
  <c r="CT299" i="65"/>
  <c r="DV299" i="65" s="1"/>
  <c r="CU299" i="65"/>
  <c r="DX299" i="65" s="1"/>
  <c r="CT283" i="65"/>
  <c r="DV283" i="65" s="1"/>
  <c r="CQ283" i="65"/>
  <c r="CU283" i="65"/>
  <c r="DX283" i="65" s="1"/>
  <c r="CT267" i="65"/>
  <c r="CQ267" i="65"/>
  <c r="DU267" i="65" s="1"/>
  <c r="CU267" i="65"/>
  <c r="CT251" i="65"/>
  <c r="DV251" i="65" s="1"/>
  <c r="CQ251" i="65"/>
  <c r="CU251" i="65"/>
  <c r="DX251" i="65" s="1"/>
  <c r="CT234" i="65"/>
  <c r="CU234" i="65"/>
  <c r="DX234" i="65" s="1"/>
  <c r="CQ234" i="65"/>
  <c r="CU213" i="65"/>
  <c r="CT213" i="65"/>
  <c r="CQ213" i="65"/>
  <c r="DU213" i="65" s="1"/>
  <c r="CT191" i="65"/>
  <c r="CQ191" i="65"/>
  <c r="DU191" i="65" s="1"/>
  <c r="CU191" i="65"/>
  <c r="CT170" i="65"/>
  <c r="DV170" i="65" s="1"/>
  <c r="CQ170" i="65"/>
  <c r="CU170" i="65"/>
  <c r="DX170" i="65" s="1"/>
  <c r="CT149" i="65"/>
  <c r="CQ149" i="65"/>
  <c r="DU149" i="65" s="1"/>
  <c r="CU149" i="65"/>
  <c r="CT127" i="65"/>
  <c r="DV127" i="65" s="1"/>
  <c r="CQ127" i="65"/>
  <c r="CU127" i="65"/>
  <c r="DX127" i="65" s="1"/>
  <c r="CT106" i="65"/>
  <c r="CQ106" i="65"/>
  <c r="DU106" i="65" s="1"/>
  <c r="CU106" i="65"/>
  <c r="CT85" i="65"/>
  <c r="DV85" i="65" s="1"/>
  <c r="CQ85" i="65"/>
  <c r="CU85" i="65"/>
  <c r="DX85" i="65" s="1"/>
  <c r="CT63" i="65"/>
  <c r="CQ63" i="65"/>
  <c r="DU63" i="65" s="1"/>
  <c r="CU63" i="65"/>
  <c r="CT42" i="65"/>
  <c r="DV42" i="65" s="1"/>
  <c r="CQ42" i="65"/>
  <c r="CU42" i="65"/>
  <c r="DX42" i="65" s="1"/>
  <c r="CT262" i="65"/>
  <c r="CQ262" i="65"/>
  <c r="DU262" i="65" s="1"/>
  <c r="CU262" i="65"/>
  <c r="CT246" i="65"/>
  <c r="DV246" i="65" s="1"/>
  <c r="CQ246" i="65"/>
  <c r="CU246" i="65"/>
  <c r="DX246" i="65" s="1"/>
  <c r="CT227" i="65"/>
  <c r="CQ227" i="65"/>
  <c r="DU227" i="65" s="1"/>
  <c r="CU227" i="65"/>
  <c r="CT206" i="65"/>
  <c r="DV206" i="65" s="1"/>
  <c r="CQ206" i="65"/>
  <c r="CU206" i="65"/>
  <c r="DX206" i="65" s="1"/>
  <c r="CT185" i="65"/>
  <c r="CQ185" i="65"/>
  <c r="DU185" i="65" s="1"/>
  <c r="CU185" i="65"/>
  <c r="CT163" i="65"/>
  <c r="DV163" i="65" s="1"/>
  <c r="CQ163" i="65"/>
  <c r="CU163" i="65"/>
  <c r="DX163" i="65" s="1"/>
  <c r="CT142" i="65"/>
  <c r="CQ142" i="65"/>
  <c r="DU142" i="65" s="1"/>
  <c r="CU142" i="65"/>
  <c r="CT121" i="65"/>
  <c r="DV121" i="65" s="1"/>
  <c r="CQ121" i="65"/>
  <c r="CU121" i="65"/>
  <c r="DX121" i="65" s="1"/>
  <c r="CT99" i="65"/>
  <c r="CQ99" i="65"/>
  <c r="DU99" i="65" s="1"/>
  <c r="CU99" i="65"/>
  <c r="CT78" i="65"/>
  <c r="DV78" i="65" s="1"/>
  <c r="CQ78" i="65"/>
  <c r="CU78" i="65"/>
  <c r="DX78" i="65" s="1"/>
  <c r="CT57" i="65"/>
  <c r="CQ57" i="65"/>
  <c r="DU57" i="65" s="1"/>
  <c r="CU57" i="65"/>
  <c r="CT33" i="65"/>
  <c r="DV33" i="65" s="1"/>
  <c r="CQ33" i="65"/>
  <c r="CU33" i="65"/>
  <c r="DX33" i="65" s="1"/>
  <c r="CT228" i="65"/>
  <c r="CQ228" i="65"/>
  <c r="DU228" i="65" s="1"/>
  <c r="CU228" i="65"/>
  <c r="CT212" i="65"/>
  <c r="DV212" i="65" s="1"/>
  <c r="CQ212" i="65"/>
  <c r="CU212" i="65"/>
  <c r="DX212" i="65" s="1"/>
  <c r="CT196" i="65"/>
  <c r="CQ196" i="65"/>
  <c r="DU196" i="65" s="1"/>
  <c r="CU196" i="65"/>
  <c r="CT180" i="65"/>
  <c r="DV180" i="65" s="1"/>
  <c r="CQ180" i="65"/>
  <c r="CU180" i="65"/>
  <c r="DX180" i="65" s="1"/>
  <c r="CT164" i="65"/>
  <c r="CQ164" i="65"/>
  <c r="DU164" i="65" s="1"/>
  <c r="CU164" i="65"/>
  <c r="CT148" i="65"/>
  <c r="DV148" i="65" s="1"/>
  <c r="CQ148" i="65"/>
  <c r="CU148" i="65"/>
  <c r="DX148" i="65" s="1"/>
  <c r="CT132" i="65"/>
  <c r="CQ132" i="65"/>
  <c r="DU132" i="65" s="1"/>
  <c r="CU132" i="65"/>
  <c r="CT116" i="65"/>
  <c r="DV116" i="65" s="1"/>
  <c r="CQ116" i="65"/>
  <c r="CU116" i="65"/>
  <c r="DX116" i="65" s="1"/>
  <c r="CT100" i="65"/>
  <c r="CQ100" i="65"/>
  <c r="DU100" i="65" s="1"/>
  <c r="CU100" i="65"/>
  <c r="CT84" i="65"/>
  <c r="DV84" i="65" s="1"/>
  <c r="CQ84" i="65"/>
  <c r="CU84" i="65"/>
  <c r="DX84" i="65" s="1"/>
  <c r="CT68" i="65"/>
  <c r="CQ68" i="65"/>
  <c r="DU68" i="65" s="1"/>
  <c r="CU68" i="65"/>
  <c r="CT52" i="65"/>
  <c r="DV52" i="65" s="1"/>
  <c r="CQ52" i="65"/>
  <c r="CU52" i="65"/>
  <c r="DX52" i="65" s="1"/>
  <c r="CT36" i="65"/>
  <c r="CQ36" i="65"/>
  <c r="DU36" i="65" s="1"/>
  <c r="CU36" i="65"/>
  <c r="CT20" i="65"/>
  <c r="DV20" i="65" s="1"/>
  <c r="CQ20" i="65"/>
  <c r="CU20" i="65"/>
  <c r="DX20" i="65" s="1"/>
  <c r="CT27" i="65"/>
  <c r="CQ27" i="65"/>
  <c r="DU27" i="65" s="1"/>
  <c r="CU27" i="65"/>
  <c r="CT504" i="65"/>
  <c r="DV504" i="65" s="1"/>
  <c r="CQ504" i="65"/>
  <c r="CU504" i="65"/>
  <c r="DX504" i="65" s="1"/>
  <c r="CT376" i="65"/>
  <c r="CQ376" i="65"/>
  <c r="DU376" i="65" s="1"/>
  <c r="CU376" i="65"/>
  <c r="CT269" i="65"/>
  <c r="DV269" i="65" s="1"/>
  <c r="CU269" i="65"/>
  <c r="CQ269" i="65"/>
  <c r="DU269" i="65" s="1"/>
  <c r="CT109" i="65"/>
  <c r="CU109" i="65"/>
  <c r="DX109" i="65" s="1"/>
  <c r="CQ109" i="65"/>
  <c r="CT470" i="65"/>
  <c r="DV470" i="65" s="1"/>
  <c r="CQ470" i="65"/>
  <c r="CU470" i="65"/>
  <c r="DX470" i="65" s="1"/>
  <c r="CT406" i="65"/>
  <c r="CQ406" i="65"/>
  <c r="DU406" i="65" s="1"/>
  <c r="CU406" i="65"/>
  <c r="CT342" i="65"/>
  <c r="DV342" i="65" s="1"/>
  <c r="CQ342" i="65"/>
  <c r="CU342" i="65"/>
  <c r="DX342" i="65" s="1"/>
  <c r="CT300" i="65"/>
  <c r="CQ300" i="65"/>
  <c r="DU300" i="65" s="1"/>
  <c r="CU300" i="65"/>
  <c r="CT214" i="65"/>
  <c r="DV214" i="65" s="1"/>
  <c r="CQ214" i="65"/>
  <c r="CU214" i="65"/>
  <c r="DX214" i="65" s="1"/>
  <c r="CT129" i="65"/>
  <c r="CQ129" i="65"/>
  <c r="DU129" i="65" s="1"/>
  <c r="CU129" i="65"/>
  <c r="CT43" i="65"/>
  <c r="DV43" i="65" s="1"/>
  <c r="CQ43" i="65"/>
  <c r="CU43" i="65"/>
  <c r="DX43" i="65" s="1"/>
  <c r="CU501" i="65"/>
  <c r="CQ501" i="65"/>
  <c r="DU501" i="65" s="1"/>
  <c r="CT501" i="65"/>
  <c r="CU437" i="65"/>
  <c r="CT437" i="65"/>
  <c r="CQ437" i="65"/>
  <c r="DU437" i="65" s="1"/>
  <c r="CT352" i="65"/>
  <c r="CQ352" i="65"/>
  <c r="DU352" i="65" s="1"/>
  <c r="CU352" i="65"/>
  <c r="CT288" i="65"/>
  <c r="DV288" i="65" s="1"/>
  <c r="CQ288" i="65"/>
  <c r="CU288" i="65"/>
  <c r="DX288" i="65" s="1"/>
  <c r="CT189" i="65"/>
  <c r="CU189" i="65"/>
  <c r="DX189" i="65" s="1"/>
  <c r="CQ189" i="65"/>
  <c r="CT61" i="65"/>
  <c r="CU61" i="65"/>
  <c r="CQ61" i="65"/>
  <c r="DU61" i="65" s="1"/>
  <c r="CT509" i="65"/>
  <c r="DV509" i="65" s="1"/>
  <c r="CU509" i="65"/>
  <c r="DX509" i="65" s="1"/>
  <c r="CQ509" i="65"/>
  <c r="CT381" i="65"/>
  <c r="DV381" i="65" s="1"/>
  <c r="CU381" i="65"/>
  <c r="CQ381" i="65"/>
  <c r="DU381" i="65" s="1"/>
  <c r="CU285" i="65"/>
  <c r="CT285" i="65"/>
  <c r="DV285" i="65" s="1"/>
  <c r="CQ285" i="65"/>
  <c r="DU285" i="65" s="1"/>
  <c r="CT500" i="65"/>
  <c r="CU500" i="65"/>
  <c r="CQ500" i="65"/>
  <c r="DU500" i="65" s="1"/>
  <c r="CT457" i="65"/>
  <c r="DV457" i="65" s="1"/>
  <c r="CU457" i="65"/>
  <c r="DX457" i="65" s="1"/>
  <c r="CQ457" i="65"/>
  <c r="CT414" i="65"/>
  <c r="DV414" i="65" s="1"/>
  <c r="CQ414" i="65"/>
  <c r="CU414" i="65"/>
  <c r="DX414" i="65" s="1"/>
  <c r="CT372" i="65"/>
  <c r="CQ372" i="65"/>
  <c r="DU372" i="65" s="1"/>
  <c r="CU372" i="65"/>
  <c r="CT350" i="65"/>
  <c r="DV350" i="65" s="1"/>
  <c r="CQ350" i="65"/>
  <c r="CU350" i="65"/>
  <c r="DX350" i="65" s="1"/>
  <c r="CT308" i="65"/>
  <c r="CQ308" i="65"/>
  <c r="DU308" i="65" s="1"/>
  <c r="CU308" i="65"/>
  <c r="CT264" i="65"/>
  <c r="DV264" i="65" s="1"/>
  <c r="CQ264" i="65"/>
  <c r="CU264" i="65"/>
  <c r="DX264" i="65" s="1"/>
  <c r="CQ187" i="65"/>
  <c r="CT187" i="65"/>
  <c r="CU187" i="65"/>
  <c r="DX187" i="65" s="1"/>
  <c r="CT102" i="65"/>
  <c r="DV102" i="65" s="1"/>
  <c r="CQ102" i="65"/>
  <c r="CU102" i="65"/>
  <c r="DX102" i="65" s="1"/>
  <c r="CT18" i="65"/>
  <c r="CQ18" i="65"/>
  <c r="DU18" i="65" s="1"/>
  <c r="CU18" i="65"/>
  <c r="CT511" i="65"/>
  <c r="DV511" i="65" s="1"/>
  <c r="CU511" i="65"/>
  <c r="CQ511" i="65"/>
  <c r="DU511" i="65" s="1"/>
  <c r="CT479" i="65"/>
  <c r="CU479" i="65"/>
  <c r="DX479" i="65" s="1"/>
  <c r="CQ479" i="65"/>
  <c r="CT447" i="65"/>
  <c r="DV447" i="65" s="1"/>
  <c r="CQ447" i="65"/>
  <c r="CU447" i="65"/>
  <c r="DX447" i="65" s="1"/>
  <c r="CQ415" i="65"/>
  <c r="CU415" i="65"/>
  <c r="DX415" i="65" s="1"/>
  <c r="CT415" i="65"/>
  <c r="CT383" i="65"/>
  <c r="DV383" i="65" s="1"/>
  <c r="CU383" i="65"/>
  <c r="CQ383" i="65"/>
  <c r="DU383" i="65" s="1"/>
  <c r="CU351" i="65"/>
  <c r="CT351" i="65"/>
  <c r="DV351" i="65" s="1"/>
  <c r="CQ351" i="65"/>
  <c r="DU351" i="65" s="1"/>
  <c r="CT319" i="65"/>
  <c r="CU319" i="65"/>
  <c r="CQ319" i="65"/>
  <c r="DU319" i="65" s="1"/>
  <c r="CT287" i="65"/>
  <c r="DV287" i="65" s="1"/>
  <c r="CU287" i="65"/>
  <c r="DX287" i="65" s="1"/>
  <c r="CQ287" i="65"/>
  <c r="CT255" i="65"/>
  <c r="DV255" i="65" s="1"/>
  <c r="CU255" i="65"/>
  <c r="CQ255" i="65"/>
  <c r="DU255" i="65" s="1"/>
  <c r="CT218" i="65"/>
  <c r="CU218" i="65"/>
  <c r="DX218" i="65" s="1"/>
  <c r="CQ218" i="65"/>
  <c r="CT175" i="65"/>
  <c r="DV175" i="65" s="1"/>
  <c r="CQ175" i="65"/>
  <c r="CU175" i="65"/>
  <c r="DX175" i="65" s="1"/>
  <c r="CT154" i="65"/>
  <c r="CQ154" i="65"/>
  <c r="DU154" i="65" s="1"/>
  <c r="CU154" i="65"/>
  <c r="CT111" i="65"/>
  <c r="DV111" i="65" s="1"/>
  <c r="CQ111" i="65"/>
  <c r="CU111" i="65"/>
  <c r="DX111" i="65" s="1"/>
  <c r="CT47" i="65"/>
  <c r="CQ47" i="65"/>
  <c r="DU47" i="65" s="1"/>
  <c r="CU47" i="65"/>
  <c r="CT250" i="65"/>
  <c r="CU250" i="65"/>
  <c r="CQ250" i="65"/>
  <c r="DU250" i="65" s="1"/>
  <c r="CQ211" i="65"/>
  <c r="DU211" i="65" s="1"/>
  <c r="CT211" i="65"/>
  <c r="CU211" i="65"/>
  <c r="CT169" i="65"/>
  <c r="DV169" i="65" s="1"/>
  <c r="CQ169" i="65"/>
  <c r="CU169" i="65"/>
  <c r="DX169" i="65" s="1"/>
  <c r="CT126" i="65"/>
  <c r="CQ126" i="65"/>
  <c r="DU126" i="65" s="1"/>
  <c r="CU126" i="65"/>
  <c r="CT83" i="65"/>
  <c r="DV83" i="65" s="1"/>
  <c r="CQ83" i="65"/>
  <c r="CU83" i="65"/>
  <c r="DX83" i="65" s="1"/>
  <c r="CT41" i="65"/>
  <c r="CQ41" i="65"/>
  <c r="DU41" i="65" s="1"/>
  <c r="CU41" i="65"/>
  <c r="CT216" i="65"/>
  <c r="DV216" i="65" s="1"/>
  <c r="CQ216" i="65"/>
  <c r="CU216" i="65"/>
  <c r="DX216" i="65" s="1"/>
  <c r="CT184" i="65"/>
  <c r="CQ184" i="65"/>
  <c r="DU184" i="65" s="1"/>
  <c r="CU184" i="65"/>
  <c r="CT152" i="65"/>
  <c r="DV152" i="65" s="1"/>
  <c r="CQ152" i="65"/>
  <c r="CU152" i="65"/>
  <c r="DX152" i="65" s="1"/>
  <c r="CT120" i="65"/>
  <c r="CQ120" i="65"/>
  <c r="DU120" i="65" s="1"/>
  <c r="CU120" i="65"/>
  <c r="CT88" i="65"/>
  <c r="DV88" i="65" s="1"/>
  <c r="CQ88" i="65"/>
  <c r="CU88" i="65"/>
  <c r="DX88" i="65" s="1"/>
  <c r="CT56" i="65"/>
  <c r="CQ56" i="65"/>
  <c r="DU56" i="65" s="1"/>
  <c r="CU56" i="65"/>
  <c r="CT24" i="65"/>
  <c r="DV24" i="65" s="1"/>
  <c r="CQ24" i="65"/>
  <c r="CU24" i="65"/>
  <c r="DX24" i="65" s="1"/>
  <c r="CT482" i="65"/>
  <c r="CQ482" i="65"/>
  <c r="DU482" i="65" s="1"/>
  <c r="CU482" i="65"/>
  <c r="CT440" i="65"/>
  <c r="DV440" i="65" s="1"/>
  <c r="CQ440" i="65"/>
  <c r="CU440" i="65"/>
  <c r="DX440" i="65" s="1"/>
  <c r="CT397" i="65"/>
  <c r="CU397" i="65"/>
  <c r="DX397" i="65" s="1"/>
  <c r="CQ397" i="65"/>
  <c r="CT354" i="65"/>
  <c r="DV354" i="65" s="1"/>
  <c r="CQ354" i="65"/>
  <c r="CU354" i="65"/>
  <c r="DX354" i="65" s="1"/>
  <c r="CT312" i="65"/>
  <c r="CQ312" i="65"/>
  <c r="DU312" i="65" s="1"/>
  <c r="CU312" i="65"/>
  <c r="CT280" i="65"/>
  <c r="DV280" i="65" s="1"/>
  <c r="CQ280" i="65"/>
  <c r="CU280" i="65"/>
  <c r="DX280" i="65" s="1"/>
  <c r="CT253" i="65"/>
  <c r="CU253" i="65"/>
  <c r="DX253" i="65" s="1"/>
  <c r="CQ253" i="65"/>
  <c r="CT215" i="65"/>
  <c r="DV215" i="65" s="1"/>
  <c r="CQ215" i="65"/>
  <c r="CU215" i="65"/>
  <c r="DX215" i="65" s="1"/>
  <c r="CT173" i="65"/>
  <c r="DV173" i="65" s="1"/>
  <c r="CU173" i="65"/>
  <c r="DX173" i="65" s="1"/>
  <c r="CQ173" i="65"/>
  <c r="CT130" i="65"/>
  <c r="DV130" i="65" s="1"/>
  <c r="CQ130" i="65"/>
  <c r="CU130" i="65"/>
  <c r="DX130" i="65" s="1"/>
  <c r="CT87" i="65"/>
  <c r="CQ87" i="65"/>
  <c r="DU87" i="65" s="1"/>
  <c r="CU87" i="65"/>
  <c r="CT45" i="65"/>
  <c r="CU45" i="65"/>
  <c r="CQ45" i="65"/>
  <c r="DU45" i="65" s="1"/>
  <c r="CT502" i="65"/>
  <c r="CQ502" i="65"/>
  <c r="DU502" i="65" s="1"/>
  <c r="CU502" i="65"/>
  <c r="CT481" i="65"/>
  <c r="DV481" i="65" s="1"/>
  <c r="CU481" i="65"/>
  <c r="CQ481" i="65"/>
  <c r="DU481" i="65" s="1"/>
  <c r="CT460" i="65"/>
  <c r="CQ460" i="65"/>
  <c r="DU460" i="65" s="1"/>
  <c r="CU460" i="65"/>
  <c r="CT438" i="65"/>
  <c r="DV438" i="65" s="1"/>
  <c r="CQ438" i="65"/>
  <c r="CU438" i="65"/>
  <c r="DX438" i="65" s="1"/>
  <c r="CT417" i="65"/>
  <c r="DV417" i="65" s="1"/>
  <c r="CU417" i="65"/>
  <c r="DX417" i="65" s="1"/>
  <c r="CQ417" i="65"/>
  <c r="CT396" i="65"/>
  <c r="DV396" i="65" s="1"/>
  <c r="CQ396" i="65"/>
  <c r="CU396" i="65"/>
  <c r="DX396" i="65" s="1"/>
  <c r="CT374" i="65"/>
  <c r="CQ374" i="65"/>
  <c r="DU374" i="65" s="1"/>
  <c r="CU374" i="65"/>
  <c r="CT353" i="65"/>
  <c r="DV353" i="65" s="1"/>
  <c r="CQ353" i="65"/>
  <c r="CU353" i="65"/>
  <c r="DX353" i="65" s="1"/>
  <c r="CT332" i="65"/>
  <c r="CQ332" i="65"/>
  <c r="DU332" i="65" s="1"/>
  <c r="CU332" i="65"/>
  <c r="CT310" i="65"/>
  <c r="DV310" i="65" s="1"/>
  <c r="CQ310" i="65"/>
  <c r="CU310" i="65"/>
  <c r="DX310" i="65" s="1"/>
  <c r="CT289" i="65"/>
  <c r="CQ289" i="65"/>
  <c r="DU289" i="65" s="1"/>
  <c r="CU289" i="65"/>
  <c r="CT268" i="65"/>
  <c r="DV268" i="65" s="1"/>
  <c r="CQ268" i="65"/>
  <c r="CU268" i="65"/>
  <c r="DX268" i="65" s="1"/>
  <c r="CT235" i="65"/>
  <c r="CQ235" i="65"/>
  <c r="DU235" i="65" s="1"/>
  <c r="CU235" i="65"/>
  <c r="CT193" i="65"/>
  <c r="DV193" i="65" s="1"/>
  <c r="CQ193" i="65"/>
  <c r="CU193" i="65"/>
  <c r="DX193" i="65" s="1"/>
  <c r="CT150" i="65"/>
  <c r="CQ150" i="65"/>
  <c r="DU150" i="65" s="1"/>
  <c r="CU150" i="65"/>
  <c r="CT107" i="65"/>
  <c r="DV107" i="65" s="1"/>
  <c r="CQ107" i="65"/>
  <c r="CU107" i="65"/>
  <c r="DX107" i="65" s="1"/>
  <c r="CT65" i="65"/>
  <c r="CQ65" i="65"/>
  <c r="DU65" i="65" s="1"/>
  <c r="CU65" i="65"/>
  <c r="CT14" i="65"/>
  <c r="DV14" i="65" s="1"/>
  <c r="CQ14" i="65"/>
  <c r="CU14" i="65"/>
  <c r="DX14" i="65" s="1"/>
  <c r="CT512" i="65"/>
  <c r="CQ512" i="65"/>
  <c r="DU512" i="65" s="1"/>
  <c r="CU512" i="65"/>
  <c r="CT490" i="65"/>
  <c r="DV490" i="65" s="1"/>
  <c r="CQ490" i="65"/>
  <c r="CU490" i="65"/>
  <c r="DX490" i="65" s="1"/>
  <c r="CT469" i="65"/>
  <c r="DV469" i="65" s="1"/>
  <c r="CU469" i="65"/>
  <c r="DX469" i="65" s="1"/>
  <c r="CQ469" i="65"/>
  <c r="CT448" i="65"/>
  <c r="DV448" i="65" s="1"/>
  <c r="CQ448" i="65"/>
  <c r="CU448" i="65"/>
  <c r="DX448" i="65" s="1"/>
  <c r="CT426" i="65"/>
  <c r="CQ426" i="65"/>
  <c r="DU426" i="65" s="1"/>
  <c r="CU426" i="65"/>
  <c r="CT405" i="65"/>
  <c r="CU405" i="65"/>
  <c r="CQ405" i="65"/>
  <c r="DU405" i="65" s="1"/>
  <c r="CT384" i="65"/>
  <c r="CQ384" i="65"/>
  <c r="DU384" i="65" s="1"/>
  <c r="CU384" i="65"/>
  <c r="CT362" i="65"/>
  <c r="DV362" i="65" s="1"/>
  <c r="CU362" i="65"/>
  <c r="CQ362" i="65"/>
  <c r="DU362" i="65" s="1"/>
  <c r="CU341" i="65"/>
  <c r="CT341" i="65"/>
  <c r="DV341" i="65" s="1"/>
  <c r="CQ341" i="65"/>
  <c r="DU341" i="65" s="1"/>
  <c r="CT320" i="65"/>
  <c r="DV320" i="65" s="1"/>
  <c r="CQ320" i="65"/>
  <c r="CU320" i="65"/>
  <c r="DX320" i="65" s="1"/>
  <c r="CT298" i="65"/>
  <c r="DV298" i="65" s="1"/>
  <c r="CU298" i="65"/>
  <c r="DX298" i="65" s="1"/>
  <c r="CQ298" i="65"/>
  <c r="CT277" i="65"/>
  <c r="DV277" i="65" s="1"/>
  <c r="CU277" i="65"/>
  <c r="CQ277" i="65"/>
  <c r="DU277" i="65" s="1"/>
  <c r="CT249" i="65"/>
  <c r="CQ249" i="65"/>
  <c r="DU249" i="65" s="1"/>
  <c r="CU249" i="65"/>
  <c r="CT210" i="65"/>
  <c r="DV210" i="65" s="1"/>
  <c r="CQ210" i="65"/>
  <c r="CU210" i="65"/>
  <c r="DX210" i="65" s="1"/>
  <c r="CT167" i="65"/>
  <c r="CQ167" i="65"/>
  <c r="DU167" i="65" s="1"/>
  <c r="CU167" i="65"/>
  <c r="CT125" i="65"/>
  <c r="DV125" i="65" s="1"/>
  <c r="CU125" i="65"/>
  <c r="CQ125" i="65"/>
  <c r="DU125" i="65" s="1"/>
  <c r="CT82" i="65"/>
  <c r="CQ82" i="65"/>
  <c r="DU82" i="65" s="1"/>
  <c r="CU82" i="65"/>
  <c r="CT38" i="65"/>
  <c r="DV38" i="65" s="1"/>
  <c r="CQ38" i="65"/>
  <c r="CU38" i="65"/>
  <c r="DX38" i="65" s="1"/>
  <c r="CT488" i="65"/>
  <c r="CQ488" i="65"/>
  <c r="DU488" i="65" s="1"/>
  <c r="CU488" i="65"/>
  <c r="CT445" i="65"/>
  <c r="DV445" i="65" s="1"/>
  <c r="CU445" i="65"/>
  <c r="CQ445" i="65"/>
  <c r="DU445" i="65" s="1"/>
  <c r="CT402" i="65"/>
  <c r="CQ402" i="65"/>
  <c r="DU402" i="65" s="1"/>
  <c r="CU402" i="65"/>
  <c r="CT360" i="65"/>
  <c r="DV360" i="65" s="1"/>
  <c r="CQ360" i="65"/>
  <c r="CU360" i="65"/>
  <c r="DX360" i="65" s="1"/>
  <c r="CT317" i="65"/>
  <c r="DV317" i="65" s="1"/>
  <c r="CU317" i="65"/>
  <c r="DX317" i="65" s="1"/>
  <c r="CQ317" i="65"/>
  <c r="CT13" i="65"/>
  <c r="DV13" i="65" s="1"/>
  <c r="CU13" i="65"/>
  <c r="CQ13" i="65"/>
  <c r="DU13" i="65" s="1"/>
  <c r="CT510" i="65"/>
  <c r="CQ510" i="65"/>
  <c r="DU510" i="65" s="1"/>
  <c r="CU510" i="65"/>
  <c r="CT489" i="65"/>
  <c r="CU489" i="65"/>
  <c r="CQ489" i="65"/>
  <c r="DU489" i="65" s="1"/>
  <c r="CT468" i="65"/>
  <c r="DV468" i="65" s="1"/>
  <c r="CU468" i="65"/>
  <c r="DX468" i="65" s="1"/>
  <c r="CQ468" i="65"/>
  <c r="CT446" i="65"/>
  <c r="DV446" i="65" s="1"/>
  <c r="CQ446" i="65"/>
  <c r="CU446" i="65"/>
  <c r="DX446" i="65" s="1"/>
  <c r="CT425" i="65"/>
  <c r="CU425" i="65"/>
  <c r="DX425" i="65" s="1"/>
  <c r="CQ425" i="65"/>
  <c r="CT404" i="65"/>
  <c r="DV404" i="65" s="1"/>
  <c r="CQ404" i="65"/>
  <c r="CU404" i="65"/>
  <c r="DX404" i="65" s="1"/>
  <c r="CT382" i="65"/>
  <c r="CQ382" i="65"/>
  <c r="DU382" i="65" s="1"/>
  <c r="CU382" i="65"/>
  <c r="CT361" i="65"/>
  <c r="DV361" i="65" s="1"/>
  <c r="CQ361" i="65"/>
  <c r="CU361" i="65"/>
  <c r="DX361" i="65" s="1"/>
  <c r="CT340" i="65"/>
  <c r="CQ340" i="65"/>
  <c r="DU340" i="65" s="1"/>
  <c r="CU340" i="65"/>
  <c r="CT318" i="65"/>
  <c r="DV318" i="65" s="1"/>
  <c r="CQ318" i="65"/>
  <c r="CU318" i="65"/>
  <c r="DX318" i="65" s="1"/>
  <c r="CQ297" i="65"/>
  <c r="DU297" i="65" s="1"/>
  <c r="CT297" i="65"/>
  <c r="DV297" i="65" s="1"/>
  <c r="CU297" i="65"/>
  <c r="CT276" i="65"/>
  <c r="DV276" i="65" s="1"/>
  <c r="CQ276" i="65"/>
  <c r="CU276" i="65"/>
  <c r="DX276" i="65" s="1"/>
  <c r="CT248" i="65"/>
  <c r="CQ248" i="65"/>
  <c r="DU248" i="65" s="1"/>
  <c r="CU248" i="65"/>
  <c r="CT209" i="65"/>
  <c r="DV209" i="65" s="1"/>
  <c r="CQ209" i="65"/>
  <c r="CU209" i="65"/>
  <c r="DX209" i="65" s="1"/>
  <c r="CT166" i="65"/>
  <c r="CQ166" i="65"/>
  <c r="DU166" i="65" s="1"/>
  <c r="CU166" i="65"/>
  <c r="CQ123" i="65"/>
  <c r="DU123" i="65" s="1"/>
  <c r="CU123" i="65"/>
  <c r="CT123" i="65"/>
  <c r="CQ81" i="65"/>
  <c r="CU81" i="65"/>
  <c r="DX81" i="65" s="1"/>
  <c r="CT81" i="65"/>
  <c r="CT37" i="65"/>
  <c r="DV37" i="65" s="1"/>
  <c r="CQ37" i="65"/>
  <c r="CU37" i="65"/>
  <c r="DX37" i="65" s="1"/>
  <c r="CT11" i="65"/>
  <c r="CQ11" i="65"/>
  <c r="DU11" i="65" s="1"/>
  <c r="CU11" i="65"/>
  <c r="CT503" i="65"/>
  <c r="DV503" i="65" s="1"/>
  <c r="CQ503" i="65"/>
  <c r="CU503" i="65"/>
  <c r="DX503" i="65" s="1"/>
  <c r="CT487" i="65"/>
  <c r="CQ487" i="65"/>
  <c r="DU487" i="65" s="1"/>
  <c r="CU487" i="65"/>
  <c r="CQ471" i="65"/>
  <c r="CT471" i="65"/>
  <c r="CU471" i="65"/>
  <c r="DX471" i="65" s="1"/>
  <c r="CT455" i="65"/>
  <c r="CQ455" i="65"/>
  <c r="DU455" i="65" s="1"/>
  <c r="CU455" i="65"/>
  <c r="CT439" i="65"/>
  <c r="DV439" i="65" s="1"/>
  <c r="CQ439" i="65"/>
  <c r="CU439" i="65"/>
  <c r="DX439" i="65" s="1"/>
  <c r="CT423" i="65"/>
  <c r="CQ423" i="65"/>
  <c r="DU423" i="65" s="1"/>
  <c r="CU423" i="65"/>
  <c r="CQ407" i="65"/>
  <c r="CT407" i="65"/>
  <c r="CU407" i="65"/>
  <c r="DX407" i="65" s="1"/>
  <c r="CT391" i="65"/>
  <c r="CQ391" i="65"/>
  <c r="DU391" i="65" s="1"/>
  <c r="CU391" i="65"/>
  <c r="CT375" i="65"/>
  <c r="DV375" i="65" s="1"/>
  <c r="CQ375" i="65"/>
  <c r="CU375" i="65"/>
  <c r="DX375" i="65" s="1"/>
  <c r="CT359" i="65"/>
  <c r="CQ359" i="65"/>
  <c r="DU359" i="65" s="1"/>
  <c r="CU359" i="65"/>
  <c r="CT343" i="65"/>
  <c r="DV343" i="65" s="1"/>
  <c r="CQ343" i="65"/>
  <c r="CU343" i="65"/>
  <c r="DX343" i="65" s="1"/>
  <c r="CT327" i="65"/>
  <c r="CQ327" i="65"/>
  <c r="DU327" i="65" s="1"/>
  <c r="CU327" i="65"/>
  <c r="CT311" i="65"/>
  <c r="DV311" i="65" s="1"/>
  <c r="CQ311" i="65"/>
  <c r="CU311" i="65"/>
  <c r="DX311" i="65" s="1"/>
  <c r="CT295" i="65"/>
  <c r="CQ295" i="65"/>
  <c r="DU295" i="65" s="1"/>
  <c r="CU295" i="65"/>
  <c r="CT279" i="65"/>
  <c r="DV279" i="65" s="1"/>
  <c r="CQ279" i="65"/>
  <c r="CU279" i="65"/>
  <c r="DX279" i="65" s="1"/>
  <c r="CT263" i="65"/>
  <c r="CQ263" i="65"/>
  <c r="DU263" i="65" s="1"/>
  <c r="CU263" i="65"/>
  <c r="CT247" i="65"/>
  <c r="DV247" i="65" s="1"/>
  <c r="CQ247" i="65"/>
  <c r="CU247" i="65"/>
  <c r="DX247" i="65" s="1"/>
  <c r="CU229" i="65"/>
  <c r="CT229" i="65"/>
  <c r="DV229" i="65" s="1"/>
  <c r="CQ229" i="65"/>
  <c r="DU229" i="65" s="1"/>
  <c r="CT207" i="65"/>
  <c r="CU207" i="65"/>
  <c r="CQ207" i="65"/>
  <c r="DU207" i="65" s="1"/>
  <c r="CT186" i="65"/>
  <c r="CQ186" i="65"/>
  <c r="DU186" i="65" s="1"/>
  <c r="CU186" i="65"/>
  <c r="CQ165" i="65"/>
  <c r="DU165" i="65" s="1"/>
  <c r="CU165" i="65"/>
  <c r="CT165" i="65"/>
  <c r="CT143" i="65"/>
  <c r="CQ143" i="65"/>
  <c r="DU143" i="65" s="1"/>
  <c r="CU143" i="65"/>
  <c r="CT122" i="65"/>
  <c r="DV122" i="65" s="1"/>
  <c r="CQ122" i="65"/>
  <c r="CU122" i="65"/>
  <c r="DX122" i="65" s="1"/>
  <c r="CQ101" i="65"/>
  <c r="CU101" i="65"/>
  <c r="DX101" i="65" s="1"/>
  <c r="CT101" i="65"/>
  <c r="CT79" i="65"/>
  <c r="DV79" i="65" s="1"/>
  <c r="CQ79" i="65"/>
  <c r="CU79" i="65"/>
  <c r="DX79" i="65" s="1"/>
  <c r="CT58" i="65"/>
  <c r="CQ58" i="65"/>
  <c r="DU58" i="65" s="1"/>
  <c r="CU58" i="65"/>
  <c r="CT34" i="65"/>
  <c r="DV34" i="65" s="1"/>
  <c r="CQ34" i="65"/>
  <c r="CU34" i="65"/>
  <c r="DX34" i="65" s="1"/>
  <c r="CT258" i="65"/>
  <c r="CQ258" i="65"/>
  <c r="DU258" i="65" s="1"/>
  <c r="CU258" i="65"/>
  <c r="CT242" i="65"/>
  <c r="DV242" i="65" s="1"/>
  <c r="CQ242" i="65"/>
  <c r="CU242" i="65"/>
  <c r="DX242" i="65" s="1"/>
  <c r="CT222" i="65"/>
  <c r="CQ222" i="65"/>
  <c r="DU222" i="65" s="1"/>
  <c r="CU222" i="65"/>
  <c r="CQ201" i="65"/>
  <c r="DU201" i="65" s="1"/>
  <c r="CU201" i="65"/>
  <c r="CT201" i="65"/>
  <c r="CT179" i="65"/>
  <c r="CQ179" i="65"/>
  <c r="DU179" i="65" s="1"/>
  <c r="CU179" i="65"/>
  <c r="CT158" i="65"/>
  <c r="DV158" i="65" s="1"/>
  <c r="CQ158" i="65"/>
  <c r="CU158" i="65"/>
  <c r="DX158" i="65" s="1"/>
  <c r="CT137" i="65"/>
  <c r="CQ137" i="65"/>
  <c r="DU137" i="65" s="1"/>
  <c r="CU137" i="65"/>
  <c r="CT115" i="65"/>
  <c r="DV115" i="65" s="1"/>
  <c r="CQ115" i="65"/>
  <c r="CU115" i="65"/>
  <c r="DX115" i="65" s="1"/>
  <c r="CT94" i="65"/>
  <c r="CQ94" i="65"/>
  <c r="DU94" i="65" s="1"/>
  <c r="CU94" i="65"/>
  <c r="CT73" i="65"/>
  <c r="DV73" i="65" s="1"/>
  <c r="CQ73" i="65"/>
  <c r="CU73" i="65"/>
  <c r="DX73" i="65" s="1"/>
  <c r="CT51" i="65"/>
  <c r="CQ51" i="65"/>
  <c r="DU51" i="65" s="1"/>
  <c r="CU51" i="65"/>
  <c r="CT25" i="65"/>
  <c r="DV25" i="65" s="1"/>
  <c r="CQ25" i="65"/>
  <c r="CU25" i="65"/>
  <c r="DX25" i="65" s="1"/>
  <c r="CT224" i="65"/>
  <c r="CQ224" i="65"/>
  <c r="DU224" i="65" s="1"/>
  <c r="CU224" i="65"/>
  <c r="CT208" i="65"/>
  <c r="DV208" i="65" s="1"/>
  <c r="CQ208" i="65"/>
  <c r="CU208" i="65"/>
  <c r="DX208" i="65" s="1"/>
  <c r="CT192" i="65"/>
  <c r="CQ192" i="65"/>
  <c r="DU192" i="65" s="1"/>
  <c r="CU192" i="65"/>
  <c r="CT176" i="65"/>
  <c r="DV176" i="65" s="1"/>
  <c r="CQ176" i="65"/>
  <c r="CU176" i="65"/>
  <c r="DX176" i="65" s="1"/>
  <c r="CT160" i="65"/>
  <c r="CQ160" i="65"/>
  <c r="DU160" i="65" s="1"/>
  <c r="CU160" i="65"/>
  <c r="CT144" i="65"/>
  <c r="DV144" i="65" s="1"/>
  <c r="CQ144" i="65"/>
  <c r="CU144" i="65"/>
  <c r="DX144" i="65" s="1"/>
  <c r="CT128" i="65"/>
  <c r="CQ128" i="65"/>
  <c r="DU128" i="65" s="1"/>
  <c r="CU128" i="65"/>
  <c r="CT112" i="65"/>
  <c r="DV112" i="65" s="1"/>
  <c r="CQ112" i="65"/>
  <c r="CU112" i="65"/>
  <c r="DX112" i="65" s="1"/>
  <c r="CT96" i="65"/>
  <c r="CQ96" i="65"/>
  <c r="DU96" i="65" s="1"/>
  <c r="CU96" i="65"/>
  <c r="CT80" i="65"/>
  <c r="DV80" i="65" s="1"/>
  <c r="CQ80" i="65"/>
  <c r="CU80" i="65"/>
  <c r="DX80" i="65" s="1"/>
  <c r="CT64" i="65"/>
  <c r="CQ64" i="65"/>
  <c r="DU64" i="65" s="1"/>
  <c r="CU64" i="65"/>
  <c r="CT48" i="65"/>
  <c r="DV48" i="65" s="1"/>
  <c r="CQ48" i="65"/>
  <c r="CU48" i="65"/>
  <c r="DX48" i="65" s="1"/>
  <c r="CT32" i="65"/>
  <c r="CQ32" i="65"/>
  <c r="DU32" i="65" s="1"/>
  <c r="CU32" i="65"/>
  <c r="CT39" i="65"/>
  <c r="DV39" i="65" s="1"/>
  <c r="CQ39" i="65"/>
  <c r="CU39" i="65"/>
  <c r="DX39" i="65" s="1"/>
  <c r="CT23" i="65"/>
  <c r="CQ23" i="65"/>
  <c r="DU23" i="65" s="1"/>
  <c r="CU23" i="65"/>
  <c r="CT6" i="65"/>
  <c r="DV6" i="65" s="1"/>
  <c r="CQ6" i="65"/>
  <c r="CU6" i="65"/>
  <c r="DX6" i="65" s="1"/>
  <c r="CT418" i="65"/>
  <c r="CQ418" i="65"/>
  <c r="DU418" i="65" s="1"/>
  <c r="CU418" i="65"/>
  <c r="CT296" i="65"/>
  <c r="DV296" i="65" s="1"/>
  <c r="CQ296" i="65"/>
  <c r="CU296" i="65"/>
  <c r="DX296" i="65" s="1"/>
  <c r="CT194" i="65"/>
  <c r="CQ194" i="65"/>
  <c r="DU194" i="65" s="1"/>
  <c r="CU194" i="65"/>
  <c r="CT66" i="65"/>
  <c r="DV66" i="65" s="1"/>
  <c r="CQ66" i="65"/>
  <c r="CU66" i="65"/>
  <c r="DX66" i="65" s="1"/>
  <c r="CT513" i="65"/>
  <c r="CQ513" i="65"/>
  <c r="DU513" i="65" s="1"/>
  <c r="CU513" i="65"/>
  <c r="CT449" i="65"/>
  <c r="DV449" i="65" s="1"/>
  <c r="CU449" i="65"/>
  <c r="CQ449" i="65"/>
  <c r="DU449" i="65" s="1"/>
  <c r="CT385" i="65"/>
  <c r="CQ385" i="65"/>
  <c r="DU385" i="65" s="1"/>
  <c r="CU385" i="65"/>
  <c r="CT321" i="65"/>
  <c r="DV321" i="65" s="1"/>
  <c r="CQ321" i="65"/>
  <c r="CU321" i="65"/>
  <c r="DX321" i="65" s="1"/>
  <c r="CT252" i="65"/>
  <c r="CQ252" i="65"/>
  <c r="CU252" i="65"/>
  <c r="CT86" i="65"/>
  <c r="DV86" i="65" s="1"/>
  <c r="CQ86" i="65"/>
  <c r="CU86" i="65"/>
  <c r="DX86" i="65" s="1"/>
  <c r="CQ458" i="65"/>
  <c r="CU458" i="65"/>
  <c r="DX458" i="65" s="1"/>
  <c r="CT458" i="65"/>
  <c r="CT394" i="65"/>
  <c r="CU394" i="65"/>
  <c r="CQ394" i="65"/>
  <c r="DU394" i="65" s="1"/>
  <c r="CT330" i="65"/>
  <c r="DV330" i="65" s="1"/>
  <c r="CU330" i="65"/>
  <c r="DX330" i="65" s="1"/>
  <c r="CQ330" i="65"/>
  <c r="CQ265" i="65"/>
  <c r="DU265" i="65" s="1"/>
  <c r="CT265" i="65"/>
  <c r="CU265" i="65"/>
  <c r="CT146" i="65"/>
  <c r="CQ146" i="65"/>
  <c r="DU146" i="65" s="1"/>
  <c r="CU146" i="65"/>
  <c r="CT12" i="65"/>
  <c r="DV12" i="65" s="1"/>
  <c r="CQ12" i="65"/>
  <c r="CU12" i="65"/>
  <c r="DX12" i="65" s="1"/>
  <c r="CT424" i="65"/>
  <c r="CQ424" i="65"/>
  <c r="DU424" i="65" s="1"/>
  <c r="CU424" i="65"/>
  <c r="CT17" i="65"/>
  <c r="DV17" i="65" s="1"/>
  <c r="CQ17" i="65"/>
  <c r="CU17" i="65"/>
  <c r="DX17" i="65" s="1"/>
  <c r="CQ514" i="65"/>
  <c r="CT514" i="65"/>
  <c r="DV514" i="65" s="1"/>
  <c r="CU514" i="65"/>
  <c r="DX514" i="65" s="1"/>
  <c r="CT472" i="65"/>
  <c r="DV472" i="65" s="1"/>
  <c r="CQ472" i="65"/>
  <c r="CU472" i="65"/>
  <c r="DX472" i="65" s="1"/>
  <c r="CU429" i="65"/>
  <c r="DX429" i="65" s="1"/>
  <c r="CT429" i="65"/>
  <c r="DV429" i="65" s="1"/>
  <c r="CQ429" i="65"/>
  <c r="CQ386" i="65"/>
  <c r="DU386" i="65" s="1"/>
  <c r="CT386" i="65"/>
  <c r="CU386" i="65"/>
  <c r="CT344" i="65"/>
  <c r="CQ344" i="65"/>
  <c r="DU344" i="65" s="1"/>
  <c r="CU344" i="65"/>
  <c r="CT301" i="65"/>
  <c r="CU301" i="65"/>
  <c r="CQ301" i="65"/>
  <c r="DU301" i="65" s="1"/>
  <c r="CT274" i="65"/>
  <c r="CQ274" i="65"/>
  <c r="CU274" i="65"/>
  <c r="CT245" i="65"/>
  <c r="DV245" i="65" s="1"/>
  <c r="CU245" i="65"/>
  <c r="CQ245" i="65"/>
  <c r="DU245" i="65" s="1"/>
  <c r="CT205" i="65"/>
  <c r="CU205" i="65"/>
  <c r="DX205" i="65" s="1"/>
  <c r="CQ205" i="65"/>
  <c r="CT162" i="65"/>
  <c r="DV162" i="65" s="1"/>
  <c r="CQ162" i="65"/>
  <c r="CU162" i="65"/>
  <c r="DX162" i="65" s="1"/>
  <c r="CT119" i="65"/>
  <c r="CQ119" i="65"/>
  <c r="DU119" i="65" s="1"/>
  <c r="CU119" i="65"/>
  <c r="CT77" i="65"/>
  <c r="DV77" i="65" s="1"/>
  <c r="CU77" i="65"/>
  <c r="CQ77" i="65"/>
  <c r="DU77" i="65" s="1"/>
  <c r="CT30" i="65"/>
  <c r="CQ30" i="65"/>
  <c r="CU30" i="65"/>
  <c r="CT497" i="65"/>
  <c r="CU497" i="65"/>
  <c r="CQ497" i="65"/>
  <c r="DU497" i="65" s="1"/>
  <c r="CT476" i="65"/>
  <c r="CQ476" i="65"/>
  <c r="DU476" i="65" s="1"/>
  <c r="CU476" i="65"/>
  <c r="CT454" i="65"/>
  <c r="DV454" i="65" s="1"/>
  <c r="CQ454" i="65"/>
  <c r="CU454" i="65"/>
  <c r="DX454" i="65" s="1"/>
  <c r="CT433" i="65"/>
  <c r="CU433" i="65"/>
  <c r="DX433" i="65" s="1"/>
  <c r="CQ433" i="65"/>
  <c r="CT412" i="65"/>
  <c r="DV412" i="65" s="1"/>
  <c r="CQ412" i="65"/>
  <c r="CU412" i="65"/>
  <c r="DX412" i="65" s="1"/>
  <c r="CT390" i="65"/>
  <c r="CQ390" i="65"/>
  <c r="DU390" i="65" s="1"/>
  <c r="CU390" i="65"/>
  <c r="CT369" i="65"/>
  <c r="DV369" i="65" s="1"/>
  <c r="CQ369" i="65"/>
  <c r="CU369" i="65"/>
  <c r="DX369" i="65" s="1"/>
  <c r="CT348" i="65"/>
  <c r="CQ348" i="65"/>
  <c r="DU348" i="65" s="1"/>
  <c r="CU348" i="65"/>
  <c r="CT326" i="65"/>
  <c r="DV326" i="65" s="1"/>
  <c r="CQ326" i="65"/>
  <c r="CU326" i="65"/>
  <c r="DX326" i="65" s="1"/>
  <c r="CT305" i="65"/>
  <c r="CQ305" i="65"/>
  <c r="DU305" i="65" s="1"/>
  <c r="CU305" i="65"/>
  <c r="CT284" i="65"/>
  <c r="DV284" i="65" s="1"/>
  <c r="CQ284" i="65"/>
  <c r="CU284" i="65"/>
  <c r="DX284" i="65" s="1"/>
  <c r="CT260" i="65"/>
  <c r="CQ260" i="65"/>
  <c r="DU260" i="65" s="1"/>
  <c r="CU260" i="65"/>
  <c r="CT225" i="65"/>
  <c r="DV225" i="65" s="1"/>
  <c r="CQ225" i="65"/>
  <c r="CU225" i="65"/>
  <c r="DX225" i="65" s="1"/>
  <c r="CT182" i="65"/>
  <c r="CQ182" i="65"/>
  <c r="DU182" i="65" s="1"/>
  <c r="CU182" i="65"/>
  <c r="CT139" i="65"/>
  <c r="DV139" i="65" s="1"/>
  <c r="CQ139" i="65"/>
  <c r="CU139" i="65"/>
  <c r="DX139" i="65" s="1"/>
  <c r="CT97" i="65"/>
  <c r="CQ97" i="65"/>
  <c r="DU97" i="65" s="1"/>
  <c r="CU97" i="65"/>
  <c r="CT54" i="65"/>
  <c r="DV54" i="65" s="1"/>
  <c r="CQ54" i="65"/>
  <c r="CU54" i="65"/>
  <c r="DX54" i="65" s="1"/>
  <c r="CT9" i="65"/>
  <c r="CQ9" i="65"/>
  <c r="DU9" i="65" s="1"/>
  <c r="CU9" i="65"/>
  <c r="CT506" i="65"/>
  <c r="DV506" i="65" s="1"/>
  <c r="CQ506" i="65"/>
  <c r="CU506" i="65"/>
  <c r="DX506" i="65" s="1"/>
  <c r="CT485" i="65"/>
  <c r="CU485" i="65"/>
  <c r="DX485" i="65" s="1"/>
  <c r="CQ485" i="65"/>
  <c r="CT464" i="65"/>
  <c r="DV464" i="65" s="1"/>
  <c r="CQ464" i="65"/>
  <c r="CU464" i="65"/>
  <c r="DX464" i="65" s="1"/>
  <c r="CT442" i="65"/>
  <c r="CQ442" i="65"/>
  <c r="DU442" i="65" s="1"/>
  <c r="CU442" i="65"/>
  <c r="CT421" i="65"/>
  <c r="DV421" i="65" s="1"/>
  <c r="CU421" i="65"/>
  <c r="CQ421" i="65"/>
  <c r="DU421" i="65" s="1"/>
  <c r="CT400" i="65"/>
  <c r="CQ400" i="65"/>
  <c r="DU400" i="65" s="1"/>
  <c r="CU400" i="65"/>
  <c r="CT378" i="65"/>
  <c r="CU378" i="65"/>
  <c r="CQ378" i="65"/>
  <c r="DU378" i="65" s="1"/>
  <c r="CT357" i="65"/>
  <c r="DV357" i="65" s="1"/>
  <c r="CU357" i="65"/>
  <c r="DX357" i="65" s="1"/>
  <c r="CQ357" i="65"/>
  <c r="CT336" i="65"/>
  <c r="DV336" i="65" s="1"/>
  <c r="CQ336" i="65"/>
  <c r="CU336" i="65"/>
  <c r="DX336" i="65" s="1"/>
  <c r="CT314" i="65"/>
  <c r="CU314" i="65"/>
  <c r="DX314" i="65" s="1"/>
  <c r="CQ314" i="65"/>
  <c r="CT293" i="65"/>
  <c r="CU293" i="65"/>
  <c r="CQ293" i="65"/>
  <c r="DU293" i="65" s="1"/>
  <c r="CT272" i="65"/>
  <c r="CQ272" i="65"/>
  <c r="DU272" i="65" s="1"/>
  <c r="CU272" i="65"/>
  <c r="CT241" i="65"/>
  <c r="DV241" i="65" s="1"/>
  <c r="CQ241" i="65"/>
  <c r="CU241" i="65"/>
  <c r="DX241" i="65" s="1"/>
  <c r="CT199" i="65"/>
  <c r="CU199" i="65"/>
  <c r="DX199" i="65" s="1"/>
  <c r="CQ199" i="65"/>
  <c r="CT157" i="65"/>
  <c r="CU157" i="65"/>
  <c r="CQ157" i="65"/>
  <c r="DU157" i="65" s="1"/>
  <c r="CT114" i="65"/>
  <c r="DV114" i="65" s="1"/>
  <c r="CU114" i="65"/>
  <c r="DX114" i="65" s="1"/>
  <c r="CQ114" i="65"/>
  <c r="CT71" i="65"/>
  <c r="CU71" i="65"/>
  <c r="CQ71" i="65"/>
  <c r="DU71" i="65" s="1"/>
  <c r="CT22" i="65"/>
  <c r="CQ22" i="65"/>
  <c r="DU22" i="65" s="1"/>
  <c r="CU22" i="65"/>
  <c r="CT477" i="65"/>
  <c r="CU477" i="65"/>
  <c r="CQ477" i="65"/>
  <c r="DU477" i="65" s="1"/>
  <c r="CT434" i="65"/>
  <c r="CQ434" i="65"/>
  <c r="DU434" i="65" s="1"/>
  <c r="CU434" i="65"/>
  <c r="CT392" i="65"/>
  <c r="DV392" i="65" s="1"/>
  <c r="CQ392" i="65"/>
  <c r="CU392" i="65"/>
  <c r="DX392" i="65" s="1"/>
  <c r="CT349" i="65"/>
  <c r="CU349" i="65"/>
  <c r="DX349" i="65" s="1"/>
  <c r="CQ349" i="65"/>
  <c r="CT306" i="65"/>
  <c r="DV306" i="65" s="1"/>
  <c r="CQ306" i="65"/>
  <c r="CU306" i="65"/>
  <c r="DX306" i="65" s="1"/>
  <c r="CT8" i="65"/>
  <c r="CQ8" i="65"/>
  <c r="DU8" i="65" s="1"/>
  <c r="CU8" i="65"/>
  <c r="CT505" i="65"/>
  <c r="DV505" i="65" s="1"/>
  <c r="CU505" i="65"/>
  <c r="CQ505" i="65"/>
  <c r="DU505" i="65" s="1"/>
  <c r="CT484" i="65"/>
  <c r="CU484" i="65"/>
  <c r="DX484" i="65" s="1"/>
  <c r="CQ484" i="65"/>
  <c r="CT462" i="65"/>
  <c r="DV462" i="65" s="1"/>
  <c r="CQ462" i="65"/>
  <c r="CU462" i="65"/>
  <c r="DX462" i="65" s="1"/>
  <c r="CT441" i="65"/>
  <c r="DV441" i="65" s="1"/>
  <c r="CU441" i="65"/>
  <c r="DX441" i="65" s="1"/>
  <c r="CQ441" i="65"/>
  <c r="CT420" i="65"/>
  <c r="DV420" i="65" s="1"/>
  <c r="CQ420" i="65"/>
  <c r="CU420" i="65"/>
  <c r="DX420" i="65" s="1"/>
  <c r="CT398" i="65"/>
  <c r="CQ398" i="65"/>
  <c r="DU398" i="65" s="1"/>
  <c r="CU398" i="65"/>
  <c r="CT377" i="65"/>
  <c r="DV377" i="65" s="1"/>
  <c r="CQ377" i="65"/>
  <c r="CU377" i="65"/>
  <c r="DX377" i="65" s="1"/>
  <c r="CT356" i="65"/>
  <c r="CQ356" i="65"/>
  <c r="DU356" i="65" s="1"/>
  <c r="CU356" i="65"/>
  <c r="CT334" i="65"/>
  <c r="DV334" i="65" s="1"/>
  <c r="CQ334" i="65"/>
  <c r="CU334" i="65"/>
  <c r="DX334" i="65" s="1"/>
  <c r="CT313" i="65"/>
  <c r="CQ313" i="65"/>
  <c r="DU313" i="65" s="1"/>
  <c r="CU313" i="65"/>
  <c r="CT292" i="65"/>
  <c r="DV292" i="65" s="1"/>
  <c r="CQ292" i="65"/>
  <c r="CU292" i="65"/>
  <c r="DX292" i="65" s="1"/>
  <c r="CT270" i="65"/>
  <c r="CQ270" i="65"/>
  <c r="DU270" i="65" s="1"/>
  <c r="CU270" i="65"/>
  <c r="CT240" i="65"/>
  <c r="DV240" i="65" s="1"/>
  <c r="CQ240" i="65"/>
  <c r="CU240" i="65"/>
  <c r="DX240" i="65" s="1"/>
  <c r="CT198" i="65"/>
  <c r="CQ198" i="65"/>
  <c r="DU198" i="65" s="1"/>
  <c r="CU198" i="65"/>
  <c r="CT155" i="65"/>
  <c r="DV155" i="65" s="1"/>
  <c r="CQ155" i="65"/>
  <c r="CU155" i="65"/>
  <c r="DX155" i="65" s="1"/>
  <c r="CT113" i="65"/>
  <c r="CQ113" i="65"/>
  <c r="DU113" i="65" s="1"/>
  <c r="CU113" i="65"/>
  <c r="CT70" i="65"/>
  <c r="DV70" i="65" s="1"/>
  <c r="CQ70" i="65"/>
  <c r="CU70" i="65"/>
  <c r="DX70" i="65" s="1"/>
  <c r="CT21" i="65"/>
  <c r="CQ21" i="65"/>
  <c r="DU21" i="65" s="1"/>
  <c r="CU21" i="65"/>
  <c r="CT7" i="65"/>
  <c r="CU7" i="65"/>
  <c r="CQ7" i="65"/>
  <c r="DU7" i="65" s="1"/>
  <c r="CT515" i="65"/>
  <c r="DV515" i="65" s="1"/>
  <c r="CU515" i="65"/>
  <c r="DX515" i="65" s="1"/>
  <c r="CQ515" i="65"/>
  <c r="CT499" i="65"/>
  <c r="DV499" i="65" s="1"/>
  <c r="CQ499" i="65"/>
  <c r="CU499" i="65"/>
  <c r="DX499" i="65" s="1"/>
  <c r="CT483" i="65"/>
  <c r="CQ483" i="65"/>
  <c r="DU483" i="65" s="1"/>
  <c r="CU483" i="65"/>
  <c r="CT467" i="65"/>
  <c r="DV467" i="65" s="1"/>
  <c r="CQ467" i="65"/>
  <c r="CU467" i="65"/>
  <c r="DX467" i="65" s="1"/>
  <c r="CT451" i="65"/>
  <c r="CQ451" i="65"/>
  <c r="CU451" i="65"/>
  <c r="CT435" i="65"/>
  <c r="DV435" i="65" s="1"/>
  <c r="CQ435" i="65"/>
  <c r="CU435" i="65"/>
  <c r="DX435" i="65" s="1"/>
  <c r="CT419" i="65"/>
  <c r="CQ419" i="65"/>
  <c r="DU419" i="65" s="1"/>
  <c r="CU419" i="65"/>
  <c r="CT403" i="65"/>
  <c r="DV403" i="65" s="1"/>
  <c r="CQ403" i="65"/>
  <c r="CU403" i="65"/>
  <c r="DX403" i="65" s="1"/>
  <c r="CT387" i="65"/>
  <c r="CQ387" i="65"/>
  <c r="DU387" i="65" s="1"/>
  <c r="CU387" i="65"/>
  <c r="CT371" i="65"/>
  <c r="CQ371" i="65"/>
  <c r="CU371" i="65"/>
  <c r="DX371" i="65" s="1"/>
  <c r="CT355" i="65"/>
  <c r="CQ355" i="65"/>
  <c r="DU355" i="65" s="1"/>
  <c r="CU355" i="65"/>
  <c r="CQ339" i="65"/>
  <c r="CT339" i="65"/>
  <c r="CU339" i="65"/>
  <c r="DX339" i="65" s="1"/>
  <c r="CT323" i="65"/>
  <c r="CQ323" i="65"/>
  <c r="DU323" i="65" s="1"/>
  <c r="CU323" i="65"/>
  <c r="CQ307" i="65"/>
  <c r="DU307" i="65" s="1"/>
  <c r="CT307" i="65"/>
  <c r="CU307" i="65"/>
  <c r="CT291" i="65"/>
  <c r="CQ291" i="65"/>
  <c r="DU291" i="65" s="1"/>
  <c r="CU291" i="65"/>
  <c r="CT275" i="65"/>
  <c r="CQ275" i="65"/>
  <c r="CU275" i="65"/>
  <c r="DX275" i="65" s="1"/>
  <c r="CT259" i="65"/>
  <c r="CQ259" i="65"/>
  <c r="DU259" i="65" s="1"/>
  <c r="CU259" i="65"/>
  <c r="CQ243" i="65"/>
  <c r="DU243" i="65" s="1"/>
  <c r="CT243" i="65"/>
  <c r="CU243" i="65"/>
  <c r="CT223" i="65"/>
  <c r="CU223" i="65"/>
  <c r="DX223" i="65" s="1"/>
  <c r="CQ223" i="65"/>
  <c r="CT202" i="65"/>
  <c r="CQ202" i="65"/>
  <c r="CU202" i="65"/>
  <c r="DX202" i="65" s="1"/>
  <c r="CQ181" i="65"/>
  <c r="DU181" i="65" s="1"/>
  <c r="CT181" i="65"/>
  <c r="DV181" i="65" s="1"/>
  <c r="CU181" i="65"/>
  <c r="CT159" i="65"/>
  <c r="CQ159" i="65"/>
  <c r="CU159" i="65"/>
  <c r="DX159" i="65" s="1"/>
  <c r="CT138" i="65"/>
  <c r="CQ138" i="65"/>
  <c r="DU138" i="65" s="1"/>
  <c r="CU138" i="65"/>
  <c r="CQ117" i="65"/>
  <c r="CT117" i="65"/>
  <c r="CU117" i="65"/>
  <c r="DX117" i="65" s="1"/>
  <c r="CT95" i="65"/>
  <c r="CQ95" i="65"/>
  <c r="DU95" i="65" s="1"/>
  <c r="CU95" i="65"/>
  <c r="CT74" i="65"/>
  <c r="CQ74" i="65"/>
  <c r="CU74" i="65"/>
  <c r="DX74" i="65" s="1"/>
  <c r="CT53" i="65"/>
  <c r="CQ53" i="65"/>
  <c r="DU53" i="65" s="1"/>
  <c r="CU53" i="65"/>
  <c r="CT26" i="65"/>
  <c r="CQ26" i="65"/>
  <c r="CU26" i="65"/>
  <c r="DX26" i="65" s="1"/>
  <c r="CT254" i="65"/>
  <c r="CQ254" i="65"/>
  <c r="DU254" i="65" s="1"/>
  <c r="CU254" i="65"/>
  <c r="CT238" i="65"/>
  <c r="CQ238" i="65"/>
  <c r="CU238" i="65"/>
  <c r="DX238" i="65" s="1"/>
  <c r="CT217" i="65"/>
  <c r="CQ217" i="65"/>
  <c r="DU217" i="65" s="1"/>
  <c r="CU217" i="65"/>
  <c r="CT195" i="65"/>
  <c r="CQ195" i="65"/>
  <c r="CU195" i="65"/>
  <c r="DX195" i="65" s="1"/>
  <c r="CT174" i="65"/>
  <c r="CQ174" i="65"/>
  <c r="DU174" i="65" s="1"/>
  <c r="CU174" i="65"/>
  <c r="CT153" i="65"/>
  <c r="CQ153" i="65"/>
  <c r="CU153" i="65"/>
  <c r="DX153" i="65" s="1"/>
  <c r="CT131" i="65"/>
  <c r="CQ131" i="65"/>
  <c r="DU131" i="65" s="1"/>
  <c r="CU131" i="65"/>
  <c r="CT110" i="65"/>
  <c r="CQ110" i="65"/>
  <c r="CU110" i="65"/>
  <c r="DX110" i="65" s="1"/>
  <c r="CT89" i="65"/>
  <c r="CQ89" i="65"/>
  <c r="DU89" i="65" s="1"/>
  <c r="CU89" i="65"/>
  <c r="CT67" i="65"/>
  <c r="CQ67" i="65"/>
  <c r="CU67" i="65"/>
  <c r="DX67" i="65" s="1"/>
  <c r="CT46" i="65"/>
  <c r="CQ46" i="65"/>
  <c r="DU46" i="65" s="1"/>
  <c r="CU46" i="65"/>
  <c r="CT236" i="65"/>
  <c r="CQ236" i="65"/>
  <c r="CU236" i="65"/>
  <c r="DX236" i="65" s="1"/>
  <c r="CT220" i="65"/>
  <c r="CQ220" i="65"/>
  <c r="DU220" i="65" s="1"/>
  <c r="CU220" i="65"/>
  <c r="CT204" i="65"/>
  <c r="CQ204" i="65"/>
  <c r="CU204" i="65"/>
  <c r="DX204" i="65" s="1"/>
  <c r="CT188" i="65"/>
  <c r="CQ188" i="65"/>
  <c r="DU188" i="65" s="1"/>
  <c r="CU188" i="65"/>
  <c r="CT172" i="65"/>
  <c r="CQ172" i="65"/>
  <c r="CU172" i="65"/>
  <c r="DX172" i="65" s="1"/>
  <c r="CT156" i="65"/>
  <c r="CQ156" i="65"/>
  <c r="DU156" i="65" s="1"/>
  <c r="CU156" i="65"/>
  <c r="CT140" i="65"/>
  <c r="CQ140" i="65"/>
  <c r="CU140" i="65"/>
  <c r="DX140" i="65" s="1"/>
  <c r="CT124" i="65"/>
  <c r="CQ124" i="65"/>
  <c r="DU124" i="65" s="1"/>
  <c r="CU124" i="65"/>
  <c r="CT108" i="65"/>
  <c r="CQ108" i="65"/>
  <c r="CU108" i="65"/>
  <c r="DX108" i="65" s="1"/>
  <c r="CT92" i="65"/>
  <c r="CQ92" i="65"/>
  <c r="DU92" i="65" s="1"/>
  <c r="CU92" i="65"/>
  <c r="CT76" i="65"/>
  <c r="CQ76" i="65"/>
  <c r="CU76" i="65"/>
  <c r="DX76" i="65" s="1"/>
  <c r="CT60" i="65"/>
  <c r="CQ60" i="65"/>
  <c r="DU60" i="65" s="1"/>
  <c r="CU60" i="65"/>
  <c r="CT44" i="65"/>
  <c r="CQ44" i="65"/>
  <c r="CU44" i="65"/>
  <c r="DX44" i="65" s="1"/>
  <c r="CT28" i="65"/>
  <c r="CQ28" i="65"/>
  <c r="DU28" i="65" s="1"/>
  <c r="CU28" i="65"/>
  <c r="CT35" i="65"/>
  <c r="CQ35" i="65"/>
  <c r="CU35" i="65"/>
  <c r="DX35" i="65" s="1"/>
  <c r="CT19" i="65"/>
  <c r="CQ19" i="65"/>
  <c r="DU19" i="65" s="1"/>
  <c r="CU19" i="65"/>
  <c r="CQ534" i="65"/>
  <c r="DU534" i="65" s="1"/>
  <c r="CU534" i="65"/>
  <c r="CU544" i="65"/>
  <c r="DX544" i="65" s="1"/>
  <c r="CQ544" i="65"/>
  <c r="CQ542" i="65"/>
  <c r="DU542" i="65" s="1"/>
  <c r="CU542" i="65"/>
  <c r="CQ527" i="65"/>
  <c r="DU527" i="65" s="1"/>
  <c r="CU527" i="65"/>
  <c r="CU536" i="65"/>
  <c r="DX536" i="65" s="1"/>
  <c r="CQ536" i="65"/>
  <c r="CU529" i="65"/>
  <c r="DX529" i="65" s="1"/>
  <c r="CQ529" i="65"/>
  <c r="CU537" i="65"/>
  <c r="DX537" i="65" s="1"/>
  <c r="CQ537" i="65"/>
  <c r="CQ523" i="65"/>
  <c r="DU523" i="65" s="1"/>
  <c r="CU523" i="65"/>
  <c r="CU525" i="65"/>
  <c r="DX525" i="65" s="1"/>
  <c r="CQ525" i="65"/>
  <c r="CU545" i="65"/>
  <c r="DX545" i="65" s="1"/>
  <c r="CQ545" i="65"/>
  <c r="CU524" i="65"/>
  <c r="DX524" i="65" s="1"/>
  <c r="CQ524" i="65"/>
  <c r="CU533" i="65"/>
  <c r="DX533" i="65" s="1"/>
  <c r="CQ533" i="65"/>
  <c r="CQ530" i="65"/>
  <c r="DU530" i="65" s="1"/>
  <c r="CU530" i="65"/>
  <c r="CU532" i="65"/>
  <c r="DX532" i="65" s="1"/>
  <c r="CQ532" i="65"/>
  <c r="CQ535" i="65"/>
  <c r="DU535" i="65" s="1"/>
  <c r="CU535" i="65"/>
  <c r="CQ519" i="65"/>
  <c r="DU519" i="65" s="1"/>
  <c r="CU519" i="65"/>
  <c r="CQ522" i="65"/>
  <c r="DU522" i="65" s="1"/>
  <c r="CU522" i="65"/>
  <c r="CU521" i="65"/>
  <c r="DX521" i="65" s="1"/>
  <c r="CQ521" i="65"/>
  <c r="CQ543" i="65"/>
  <c r="DU543" i="65" s="1"/>
  <c r="CU543" i="65"/>
  <c r="CQ538" i="65"/>
  <c r="DU538" i="65" s="1"/>
  <c r="CU538" i="65"/>
  <c r="CU541" i="65"/>
  <c r="DX541" i="65" s="1"/>
  <c r="CQ541" i="65"/>
  <c r="CQ539" i="65"/>
  <c r="DU539" i="65" s="1"/>
  <c r="CU539" i="65"/>
  <c r="CU540" i="65"/>
  <c r="DX540" i="65" s="1"/>
  <c r="CQ540" i="65"/>
  <c r="CQ518" i="65"/>
  <c r="DU518" i="65" s="1"/>
  <c r="CU518" i="65"/>
  <c r="CU528" i="65"/>
  <c r="DX528" i="65" s="1"/>
  <c r="CQ528" i="65"/>
  <c r="CU520" i="65"/>
  <c r="DX520" i="65" s="1"/>
  <c r="CQ520" i="65"/>
  <c r="CQ526" i="65"/>
  <c r="DU526" i="65" s="1"/>
  <c r="CU526" i="65"/>
  <c r="CQ531" i="65"/>
  <c r="DU531" i="65" s="1"/>
  <c r="CU531" i="65"/>
  <c r="DC5" i="65" l="1"/>
  <c r="DA5" i="65"/>
  <c r="DB5" i="65"/>
  <c r="DF5" i="65"/>
  <c r="DD5" i="65"/>
  <c r="DE5" i="65"/>
  <c r="Z132" i="64"/>
  <c r="Z130" i="64"/>
  <c r="Z125" i="64"/>
  <c r="Z128" i="64"/>
  <c r="Z126" i="64"/>
  <c r="Z133" i="64"/>
  <c r="Z134" i="64"/>
  <c r="Z129" i="64"/>
  <c r="Z135" i="64"/>
  <c r="Z127" i="64"/>
  <c r="Z131" i="64"/>
  <c r="Y125" i="64"/>
  <c r="Y134" i="64"/>
  <c r="Y129" i="64"/>
  <c r="Y133" i="64"/>
  <c r="Y130" i="64"/>
  <c r="Y132" i="64"/>
  <c r="Y128" i="64"/>
  <c r="Y126" i="64"/>
  <c r="Y135" i="64"/>
  <c r="Y131" i="64"/>
  <c r="Y127" i="64"/>
  <c r="DI140" i="65"/>
  <c r="DV140" i="65"/>
  <c r="DI371" i="65"/>
  <c r="DV371" i="65"/>
  <c r="DI74" i="65"/>
  <c r="DV74" i="65"/>
  <c r="DI71" i="65"/>
  <c r="DV71" i="65"/>
  <c r="DI187" i="65"/>
  <c r="DV187" i="65"/>
  <c r="DI5" i="65"/>
  <c r="DV5" i="65"/>
  <c r="DI203" i="65"/>
  <c r="DV203" i="65"/>
  <c r="DX526" i="65"/>
  <c r="DU528" i="65"/>
  <c r="DU540" i="65"/>
  <c r="DU541" i="65"/>
  <c r="DX543" i="65"/>
  <c r="DX522" i="65"/>
  <c r="DX535" i="65"/>
  <c r="DX530" i="65"/>
  <c r="DU524" i="65"/>
  <c r="DU525" i="65"/>
  <c r="DU537" i="65"/>
  <c r="DU536" i="65"/>
  <c r="DX542" i="65"/>
  <c r="DX534" i="65"/>
  <c r="DI19" i="65"/>
  <c r="DV19" i="65"/>
  <c r="DX28" i="65"/>
  <c r="DU44" i="65"/>
  <c r="DI60" i="65"/>
  <c r="DV60" i="65"/>
  <c r="DX92" i="65"/>
  <c r="DU108" i="65"/>
  <c r="DI124" i="65"/>
  <c r="DV124" i="65"/>
  <c r="DX156" i="65"/>
  <c r="DU172" i="65"/>
  <c r="DI188" i="65"/>
  <c r="DV188" i="65"/>
  <c r="DX220" i="65"/>
  <c r="DU236" i="65"/>
  <c r="DI46" i="65"/>
  <c r="DV46" i="65"/>
  <c r="DX89" i="65"/>
  <c r="DU110" i="65"/>
  <c r="DI131" i="65"/>
  <c r="DV131" i="65"/>
  <c r="DX174" i="65"/>
  <c r="DU195" i="65"/>
  <c r="DI217" i="65"/>
  <c r="DV217" i="65"/>
  <c r="DX254" i="65"/>
  <c r="DU26" i="65"/>
  <c r="DI53" i="65"/>
  <c r="DV53" i="65"/>
  <c r="DX95" i="65"/>
  <c r="DV117" i="65"/>
  <c r="DI138" i="65"/>
  <c r="DV138" i="65"/>
  <c r="DX181" i="65"/>
  <c r="DU202" i="65"/>
  <c r="DI223" i="65"/>
  <c r="DV223" i="65"/>
  <c r="DX259" i="65"/>
  <c r="DU275" i="65"/>
  <c r="DI291" i="65"/>
  <c r="DV291" i="65"/>
  <c r="DX323" i="65"/>
  <c r="DV339" i="65"/>
  <c r="DI355" i="65"/>
  <c r="DV355" i="65"/>
  <c r="DX387" i="65"/>
  <c r="DU403" i="65"/>
  <c r="DV419" i="65"/>
  <c r="DX451" i="65"/>
  <c r="DU467" i="65"/>
  <c r="DV483" i="65"/>
  <c r="DU515" i="65"/>
  <c r="DX7" i="65"/>
  <c r="DV21" i="65"/>
  <c r="DX113" i="65"/>
  <c r="DU155" i="65"/>
  <c r="DV198" i="65"/>
  <c r="DX270" i="65"/>
  <c r="DU292" i="65"/>
  <c r="DV313" i="65"/>
  <c r="DX356" i="65"/>
  <c r="DU377" i="65"/>
  <c r="DV398" i="65"/>
  <c r="DU441" i="65"/>
  <c r="DU462" i="65"/>
  <c r="DV484" i="65"/>
  <c r="DX8" i="65"/>
  <c r="DU306" i="65"/>
  <c r="DV349" i="65"/>
  <c r="DX434" i="65"/>
  <c r="DX477" i="65"/>
  <c r="DV22" i="65"/>
  <c r="DU114" i="65"/>
  <c r="DX157" i="65"/>
  <c r="DV199" i="65"/>
  <c r="DX272" i="65"/>
  <c r="DX293" i="65"/>
  <c r="DV314" i="65"/>
  <c r="DU357" i="65"/>
  <c r="DX378" i="65"/>
  <c r="DV400" i="65"/>
  <c r="DX442" i="65"/>
  <c r="DU464" i="65"/>
  <c r="DV485" i="65"/>
  <c r="DX9" i="65"/>
  <c r="DU54" i="65"/>
  <c r="DV97" i="65"/>
  <c r="DX182" i="65"/>
  <c r="DU225" i="65"/>
  <c r="DV260" i="65"/>
  <c r="DX305" i="65"/>
  <c r="DU326" i="65"/>
  <c r="DV348" i="65"/>
  <c r="DX390" i="65"/>
  <c r="DU412" i="65"/>
  <c r="DV433" i="65"/>
  <c r="DX476" i="65"/>
  <c r="DX497" i="65"/>
  <c r="DV30" i="65"/>
  <c r="DX119" i="65"/>
  <c r="DU162" i="65"/>
  <c r="DV205" i="65"/>
  <c r="DX274" i="65"/>
  <c r="DX301" i="65"/>
  <c r="DV344" i="65"/>
  <c r="DU429" i="65"/>
  <c r="DU472" i="65"/>
  <c r="DU514" i="65"/>
  <c r="DX424" i="65"/>
  <c r="DU12" i="65"/>
  <c r="DV146" i="65"/>
  <c r="DU330" i="65"/>
  <c r="DX394" i="65"/>
  <c r="DU458" i="65"/>
  <c r="DX252" i="65"/>
  <c r="DU321" i="65"/>
  <c r="DV385" i="65"/>
  <c r="DX513" i="65"/>
  <c r="DU66" i="65"/>
  <c r="DV194" i="65"/>
  <c r="DX418" i="65"/>
  <c r="DU6" i="65"/>
  <c r="DV23" i="65"/>
  <c r="DX32" i="65"/>
  <c r="DU48" i="65"/>
  <c r="DV64" i="65"/>
  <c r="DX96" i="65"/>
  <c r="DU112" i="65"/>
  <c r="DV128" i="65"/>
  <c r="DX160" i="65"/>
  <c r="DU176" i="65"/>
  <c r="DV192" i="65"/>
  <c r="DX224" i="65"/>
  <c r="DU25" i="65"/>
  <c r="DV51" i="65"/>
  <c r="DX94" i="65"/>
  <c r="DU115" i="65"/>
  <c r="DV137" i="65"/>
  <c r="DX179" i="65"/>
  <c r="DX201" i="65"/>
  <c r="DV222" i="65"/>
  <c r="DX258" i="65"/>
  <c r="DU34" i="65"/>
  <c r="DV58" i="65"/>
  <c r="DI101" i="65"/>
  <c r="DV101" i="65"/>
  <c r="DU122" i="65"/>
  <c r="DV143" i="65"/>
  <c r="DX186" i="65"/>
  <c r="DX207" i="65"/>
  <c r="DX229" i="65"/>
  <c r="DX263" i="65"/>
  <c r="DU279" i="65"/>
  <c r="DV295" i="65"/>
  <c r="DX327" i="65"/>
  <c r="DU343" i="65"/>
  <c r="DV359" i="65"/>
  <c r="DX391" i="65"/>
  <c r="DV407" i="65"/>
  <c r="DV423" i="65"/>
  <c r="DX455" i="65"/>
  <c r="DV471" i="65"/>
  <c r="DV487" i="65"/>
  <c r="DX11" i="65"/>
  <c r="DU37" i="65"/>
  <c r="DU81" i="65"/>
  <c r="DX166" i="65"/>
  <c r="DU209" i="65"/>
  <c r="DV248" i="65"/>
  <c r="DX297" i="65"/>
  <c r="DU318" i="65"/>
  <c r="DV340" i="65"/>
  <c r="DX382" i="65"/>
  <c r="DU404" i="65"/>
  <c r="DV425" i="65"/>
  <c r="DU468" i="65"/>
  <c r="DX489" i="65"/>
  <c r="DV510" i="65"/>
  <c r="DU317" i="65"/>
  <c r="DU360" i="65"/>
  <c r="DV402" i="65"/>
  <c r="DX488" i="65"/>
  <c r="DU38" i="65"/>
  <c r="DV82" i="65"/>
  <c r="DX167" i="65"/>
  <c r="DU210" i="65"/>
  <c r="DV249" i="65"/>
  <c r="DL546" i="65"/>
  <c r="DN546" i="65" s="1"/>
  <c r="DM546" i="65"/>
  <c r="DQ546" i="65" s="1"/>
  <c r="CR546" i="65"/>
  <c r="DI76" i="65"/>
  <c r="DV76" i="65"/>
  <c r="DI204" i="65"/>
  <c r="DV204" i="65"/>
  <c r="DI153" i="65"/>
  <c r="DV153" i="65"/>
  <c r="DI238" i="65"/>
  <c r="DV238" i="65"/>
  <c r="DI159" i="65"/>
  <c r="DV159" i="65"/>
  <c r="DG30" i="65"/>
  <c r="DU30" i="65"/>
  <c r="DI281" i="65"/>
  <c r="DV281" i="65"/>
  <c r="DI366" i="65"/>
  <c r="DV366" i="65"/>
  <c r="DI105" i="65"/>
  <c r="DV105" i="65"/>
  <c r="DI236" i="65"/>
  <c r="DV236" i="65"/>
  <c r="DI195" i="65"/>
  <c r="DV195" i="65"/>
  <c r="DI26" i="65"/>
  <c r="DV26" i="65"/>
  <c r="DU117" i="65"/>
  <c r="DV157" i="65"/>
  <c r="DV378" i="65"/>
  <c r="DV497" i="65"/>
  <c r="DG274" i="65"/>
  <c r="DU274" i="65"/>
  <c r="DV301" i="65"/>
  <c r="DX386" i="65"/>
  <c r="DX265" i="65"/>
  <c r="DI394" i="65"/>
  <c r="DV394" i="65"/>
  <c r="DG252" i="65"/>
  <c r="DU252" i="65"/>
  <c r="DI165" i="65"/>
  <c r="DV165" i="65"/>
  <c r="DV207" i="65"/>
  <c r="DU407" i="65"/>
  <c r="DU471" i="65"/>
  <c r="DI123" i="65"/>
  <c r="DV123" i="65"/>
  <c r="DV489" i="65"/>
  <c r="DV405" i="65"/>
  <c r="DV45" i="65"/>
  <c r="DI211" i="65"/>
  <c r="DV211" i="65"/>
  <c r="DV250" i="65"/>
  <c r="DI319" i="65"/>
  <c r="DV319" i="65"/>
  <c r="DV500" i="65"/>
  <c r="DV61" i="65"/>
  <c r="DX437" i="65"/>
  <c r="DT546" i="65"/>
  <c r="DU546" i="65"/>
  <c r="DG546" i="65"/>
  <c r="DI35" i="65"/>
  <c r="DV35" i="65"/>
  <c r="DI67" i="65"/>
  <c r="DV67" i="65"/>
  <c r="DI201" i="65"/>
  <c r="DV201" i="65"/>
  <c r="DI134" i="65"/>
  <c r="DV134" i="65"/>
  <c r="DI456" i="65"/>
  <c r="DV456" i="65"/>
  <c r="DI368" i="65"/>
  <c r="DV368" i="65"/>
  <c r="DI273" i="65"/>
  <c r="DV273" i="65"/>
  <c r="DI316" i="65"/>
  <c r="DV316" i="65"/>
  <c r="DI98" i="65"/>
  <c r="DV98" i="65"/>
  <c r="DI408" i="65"/>
  <c r="DV408" i="65"/>
  <c r="DI40" i="65"/>
  <c r="DV40" i="65"/>
  <c r="DI168" i="65"/>
  <c r="DV168" i="65"/>
  <c r="DI463" i="65"/>
  <c r="DV463" i="65"/>
  <c r="DI230" i="65"/>
  <c r="DV230" i="65"/>
  <c r="DI329" i="65"/>
  <c r="DV329" i="65"/>
  <c r="DI436" i="65"/>
  <c r="DV436" i="65"/>
  <c r="DI103" i="65"/>
  <c r="DV103" i="65"/>
  <c r="DI416" i="65"/>
  <c r="DV416" i="65"/>
  <c r="DI364" i="65"/>
  <c r="DV364" i="65"/>
  <c r="DI151" i="65"/>
  <c r="DV151" i="65"/>
  <c r="DI44" i="65"/>
  <c r="DV44" i="65"/>
  <c r="DI108" i="65"/>
  <c r="DV108" i="65"/>
  <c r="DI172" i="65"/>
  <c r="DV172" i="65"/>
  <c r="DI110" i="65"/>
  <c r="DV110" i="65"/>
  <c r="DI202" i="65"/>
  <c r="DV202" i="65"/>
  <c r="DX243" i="65"/>
  <c r="DI275" i="65"/>
  <c r="DV275" i="65"/>
  <c r="DX307" i="65"/>
  <c r="DU339" i="65"/>
  <c r="DG451" i="65"/>
  <c r="DU451" i="65"/>
  <c r="DV7" i="65"/>
  <c r="DV477" i="65"/>
  <c r="DV293" i="65"/>
  <c r="DX531" i="65"/>
  <c r="DU520" i="65"/>
  <c r="DX518" i="65"/>
  <c r="DX539" i="65"/>
  <c r="DX538" i="65"/>
  <c r="DU521" i="65"/>
  <c r="DX519" i="65"/>
  <c r="DU532" i="65"/>
  <c r="DU533" i="65"/>
  <c r="DU545" i="65"/>
  <c r="DX523" i="65"/>
  <c r="DU529" i="65"/>
  <c r="DX527" i="65"/>
  <c r="DU544" i="65"/>
  <c r="DX19" i="65"/>
  <c r="DU35" i="65"/>
  <c r="DI28" i="65"/>
  <c r="DV28" i="65"/>
  <c r="DX60" i="65"/>
  <c r="DU76" i="65"/>
  <c r="DI92" i="65"/>
  <c r="DV92" i="65"/>
  <c r="DX124" i="65"/>
  <c r="DU140" i="65"/>
  <c r="DI156" i="65"/>
  <c r="DV156" i="65"/>
  <c r="DX188" i="65"/>
  <c r="DU204" i="65"/>
  <c r="DI220" i="65"/>
  <c r="DV220" i="65"/>
  <c r="DX46" i="65"/>
  <c r="DU67" i="65"/>
  <c r="DI89" i="65"/>
  <c r="DV89" i="65"/>
  <c r="DX131" i="65"/>
  <c r="DU153" i="65"/>
  <c r="DI174" i="65"/>
  <c r="DV174" i="65"/>
  <c r="DX217" i="65"/>
  <c r="DU238" i="65"/>
  <c r="DI254" i="65"/>
  <c r="DV254" i="65"/>
  <c r="DX53" i="65"/>
  <c r="DU74" i="65"/>
  <c r="DI95" i="65"/>
  <c r="DV95" i="65"/>
  <c r="DX138" i="65"/>
  <c r="DU159" i="65"/>
  <c r="DU223" i="65"/>
  <c r="DV243" i="65"/>
  <c r="DI259" i="65"/>
  <c r="DV259" i="65"/>
  <c r="DX291" i="65"/>
  <c r="DV307" i="65"/>
  <c r="DI323" i="65"/>
  <c r="DV323" i="65"/>
  <c r="DX355" i="65"/>
  <c r="DU371" i="65"/>
  <c r="DI387" i="65"/>
  <c r="DV387" i="65"/>
  <c r="DX419" i="65"/>
  <c r="DG435" i="65"/>
  <c r="DU435" i="65"/>
  <c r="DV451" i="65"/>
  <c r="DX483" i="65"/>
  <c r="DU499" i="65"/>
  <c r="DX21" i="65"/>
  <c r="DU70" i="65"/>
  <c r="DV113" i="65"/>
  <c r="DX198" i="65"/>
  <c r="DU240" i="65"/>
  <c r="DV270" i="65"/>
  <c r="DX313" i="65"/>
  <c r="DU334" i="65"/>
  <c r="DV356" i="65"/>
  <c r="DX398" i="65"/>
  <c r="DU420" i="65"/>
  <c r="DU484" i="65"/>
  <c r="DX505" i="65"/>
  <c r="DV8" i="65"/>
  <c r="DU349" i="65"/>
  <c r="DU392" i="65"/>
  <c r="DV434" i="65"/>
  <c r="DX22" i="65"/>
  <c r="DX71" i="65"/>
  <c r="DU199" i="65"/>
  <c r="DU241" i="65"/>
  <c r="DV272" i="65"/>
  <c r="DU314" i="65"/>
  <c r="DU336" i="65"/>
  <c r="DX400" i="65"/>
  <c r="DX421" i="65"/>
  <c r="DV442" i="65"/>
  <c r="DU485" i="65"/>
  <c r="DU506" i="65"/>
  <c r="DV9" i="65"/>
  <c r="DX97" i="65"/>
  <c r="DU139" i="65"/>
  <c r="DV182" i="65"/>
  <c r="DX260" i="65"/>
  <c r="DU284" i="65"/>
  <c r="DV305" i="65"/>
  <c r="DX348" i="65"/>
  <c r="DU369" i="65"/>
  <c r="DV390" i="65"/>
  <c r="DU433" i="65"/>
  <c r="DU454" i="65"/>
  <c r="DV476" i="65"/>
  <c r="DX30" i="65"/>
  <c r="DX77" i="65"/>
  <c r="DV119" i="65"/>
  <c r="DU205" i="65"/>
  <c r="DX245" i="65"/>
  <c r="DV274" i="65"/>
  <c r="DX344" i="65"/>
  <c r="DV386" i="65"/>
  <c r="DU17" i="65"/>
  <c r="DV424" i="65"/>
  <c r="DX146" i="65"/>
  <c r="DV265" i="65"/>
  <c r="DI458" i="65"/>
  <c r="DV458" i="65"/>
  <c r="DU86" i="65"/>
  <c r="DV252" i="65"/>
  <c r="DX385" i="65"/>
  <c r="DX449" i="65"/>
  <c r="DV513" i="65"/>
  <c r="DX194" i="65"/>
  <c r="DU296" i="65"/>
  <c r="DV418" i="65"/>
  <c r="DX23" i="65"/>
  <c r="DU39" i="65"/>
  <c r="DV32" i="65"/>
  <c r="DX64" i="65"/>
  <c r="DU80" i="65"/>
  <c r="DV96" i="65"/>
  <c r="DX128" i="65"/>
  <c r="DU144" i="65"/>
  <c r="DV160" i="65"/>
  <c r="DX192" i="65"/>
  <c r="DU208" i="65"/>
  <c r="DV224" i="65"/>
  <c r="DX51" i="65"/>
  <c r="DU73" i="65"/>
  <c r="DV94" i="65"/>
  <c r="DX137" i="65"/>
  <c r="DU158" i="65"/>
  <c r="DV179" i="65"/>
  <c r="DX222" i="65"/>
  <c r="DU242" i="65"/>
  <c r="DV258" i="65"/>
  <c r="DX58" i="65"/>
  <c r="DU79" i="65"/>
  <c r="DU101" i="65"/>
  <c r="DX143" i="65"/>
  <c r="DX165" i="65"/>
  <c r="DV186" i="65"/>
  <c r="DU247" i="65"/>
  <c r="DV263" i="65"/>
  <c r="DX295" i="65"/>
  <c r="DU311" i="65"/>
  <c r="DV327" i="65"/>
  <c r="DX359" i="65"/>
  <c r="DU375" i="65"/>
  <c r="DV391" i="65"/>
  <c r="DX423" i="65"/>
  <c r="DU439" i="65"/>
  <c r="DV455" i="65"/>
  <c r="DX487" i="65"/>
  <c r="DU503" i="65"/>
  <c r="DV11" i="65"/>
  <c r="DI81" i="65"/>
  <c r="DV81" i="65"/>
  <c r="DX123" i="65"/>
  <c r="DV166" i="65"/>
  <c r="DX248" i="65"/>
  <c r="DU276" i="65"/>
  <c r="DX340" i="65"/>
  <c r="DU361" i="65"/>
  <c r="DV382" i="65"/>
  <c r="DU425" i="65"/>
  <c r="DU446" i="65"/>
  <c r="DX510" i="65"/>
  <c r="DX13" i="65"/>
  <c r="DX402" i="65"/>
  <c r="DX445" i="65"/>
  <c r="DV488" i="65"/>
  <c r="DX82" i="65"/>
  <c r="DX125" i="65"/>
  <c r="DV167" i="65"/>
  <c r="DX249" i="65"/>
  <c r="DX277" i="65"/>
  <c r="DX362" i="65"/>
  <c r="DV384" i="65"/>
  <c r="DX426" i="65"/>
  <c r="DU448" i="65"/>
  <c r="DX512" i="65"/>
  <c r="DU14" i="65"/>
  <c r="DV65" i="65"/>
  <c r="DX150" i="65"/>
  <c r="DU193" i="65"/>
  <c r="DV235" i="65"/>
  <c r="DX289" i="65"/>
  <c r="DU310" i="65"/>
  <c r="DV332" i="65"/>
  <c r="DX374" i="65"/>
  <c r="DU396" i="65"/>
  <c r="DX460" i="65"/>
  <c r="DX481" i="65"/>
  <c r="DV502" i="65"/>
  <c r="DX87" i="65"/>
  <c r="DU130" i="65"/>
  <c r="DU253" i="65"/>
  <c r="DU280" i="65"/>
  <c r="DV312" i="65"/>
  <c r="DU397" i="65"/>
  <c r="DU440" i="65"/>
  <c r="DV482" i="65"/>
  <c r="DX56" i="65"/>
  <c r="DU88" i="65"/>
  <c r="DV120" i="65"/>
  <c r="DX184" i="65"/>
  <c r="DU216" i="65"/>
  <c r="DV41" i="65"/>
  <c r="DX126" i="65"/>
  <c r="DU169" i="65"/>
  <c r="DX47" i="65"/>
  <c r="DU111" i="65"/>
  <c r="DV154" i="65"/>
  <c r="DU218" i="65"/>
  <c r="DX255" i="65"/>
  <c r="DX383" i="65"/>
  <c r="DU415" i="65"/>
  <c r="DU479" i="65"/>
  <c r="DX511" i="65"/>
  <c r="DV18" i="65"/>
  <c r="DU264" i="65"/>
  <c r="DV546" i="65"/>
  <c r="CW546" i="65"/>
  <c r="DI546" i="65"/>
  <c r="CV546" i="65"/>
  <c r="DU298" i="65"/>
  <c r="DU320" i="65"/>
  <c r="DX341" i="65"/>
  <c r="DX384" i="65"/>
  <c r="DX405" i="65"/>
  <c r="DV426" i="65"/>
  <c r="DU469" i="65"/>
  <c r="DU490" i="65"/>
  <c r="DV512" i="65"/>
  <c r="DX65" i="65"/>
  <c r="DU107" i="65"/>
  <c r="DV150" i="65"/>
  <c r="DX235" i="65"/>
  <c r="DU268" i="65"/>
  <c r="DV289" i="65"/>
  <c r="DX332" i="65"/>
  <c r="DU353" i="65"/>
  <c r="DV374" i="65"/>
  <c r="DU417" i="65"/>
  <c r="DU438" i="65"/>
  <c r="DV460" i="65"/>
  <c r="DX502" i="65"/>
  <c r="DX45" i="65"/>
  <c r="DV87" i="65"/>
  <c r="DU173" i="65"/>
  <c r="DU215" i="65"/>
  <c r="DV253" i="65"/>
  <c r="DX312" i="65"/>
  <c r="DU354" i="65"/>
  <c r="DV397" i="65"/>
  <c r="DX482" i="65"/>
  <c r="DU24" i="65"/>
  <c r="DV56" i="65"/>
  <c r="DX120" i="65"/>
  <c r="DU152" i="65"/>
  <c r="DV184" i="65"/>
  <c r="DX41" i="65"/>
  <c r="DU83" i="65"/>
  <c r="DV126" i="65"/>
  <c r="DX211" i="65"/>
  <c r="DX250" i="65"/>
  <c r="DV47" i="65"/>
  <c r="DX154" i="65"/>
  <c r="DU175" i="65"/>
  <c r="DV218" i="65"/>
  <c r="DU287" i="65"/>
  <c r="DX319" i="65"/>
  <c r="DX351" i="65"/>
  <c r="DV415" i="65"/>
  <c r="DU447" i="65"/>
  <c r="DV479" i="65"/>
  <c r="DX18" i="65"/>
  <c r="DU102" i="65"/>
  <c r="DU187" i="65"/>
  <c r="DX308" i="65"/>
  <c r="DU350" i="65"/>
  <c r="DV372" i="65"/>
  <c r="DU457" i="65"/>
  <c r="DX500" i="65"/>
  <c r="DX285" i="65"/>
  <c r="DU509" i="65"/>
  <c r="DX61" i="65"/>
  <c r="DV189" i="65"/>
  <c r="DX352" i="65"/>
  <c r="DV437" i="65"/>
  <c r="DX501" i="65"/>
  <c r="DX129" i="65"/>
  <c r="DU214" i="65"/>
  <c r="DV300" i="65"/>
  <c r="DX406" i="65"/>
  <c r="DU470" i="65"/>
  <c r="DV109" i="65"/>
  <c r="DX376" i="65"/>
  <c r="DU504" i="65"/>
  <c r="DV27" i="65"/>
  <c r="DX36" i="65"/>
  <c r="DU52" i="65"/>
  <c r="DV68" i="65"/>
  <c r="DX100" i="65"/>
  <c r="DU116" i="65"/>
  <c r="DV132" i="65"/>
  <c r="DX164" i="65"/>
  <c r="DU180" i="65"/>
  <c r="DV196" i="65"/>
  <c r="DX228" i="65"/>
  <c r="DU33" i="65"/>
  <c r="DV57" i="65"/>
  <c r="DX99" i="65"/>
  <c r="DU121" i="65"/>
  <c r="DV142" i="65"/>
  <c r="DX185" i="65"/>
  <c r="DU206" i="65"/>
  <c r="DV227" i="65"/>
  <c r="DX262" i="65"/>
  <c r="DU42" i="65"/>
  <c r="DV63" i="65"/>
  <c r="DX106" i="65"/>
  <c r="DU127" i="65"/>
  <c r="DV149" i="65"/>
  <c r="DX191" i="65"/>
  <c r="DV213" i="65"/>
  <c r="DI234" i="65"/>
  <c r="DV234" i="65"/>
  <c r="DX267" i="65"/>
  <c r="DU283" i="65"/>
  <c r="DU299" i="65"/>
  <c r="DX331" i="65"/>
  <c r="DU347" i="65"/>
  <c r="DV363" i="65"/>
  <c r="DX395" i="65"/>
  <c r="DU411" i="65"/>
  <c r="DV427" i="65"/>
  <c r="DX459" i="65"/>
  <c r="DU475" i="65"/>
  <c r="DI491" i="65"/>
  <c r="DV491" i="65"/>
  <c r="DX15" i="65"/>
  <c r="DU49" i="65"/>
  <c r="DI91" i="65"/>
  <c r="DV91" i="65"/>
  <c r="DX177" i="65"/>
  <c r="DU219" i="65"/>
  <c r="DI256" i="65"/>
  <c r="DV256" i="65"/>
  <c r="DX302" i="65"/>
  <c r="DU324" i="65"/>
  <c r="DI345" i="65"/>
  <c r="DV345" i="65"/>
  <c r="DX388" i="65"/>
  <c r="DX409" i="65"/>
  <c r="DI430" i="65"/>
  <c r="DV430" i="65"/>
  <c r="DU473" i="65"/>
  <c r="DU494" i="65"/>
  <c r="DV516" i="65"/>
  <c r="DX328" i="65"/>
  <c r="DU370" i="65"/>
  <c r="DV413" i="65"/>
  <c r="DX498" i="65"/>
  <c r="DX50" i="65"/>
  <c r="DV93" i="65"/>
  <c r="DU178" i="65"/>
  <c r="DX221" i="65"/>
  <c r="DU257" i="65"/>
  <c r="DX304" i="65"/>
  <c r="DX325" i="65"/>
  <c r="DV346" i="65"/>
  <c r="DU389" i="65"/>
  <c r="DU410" i="65"/>
  <c r="DI432" i="65"/>
  <c r="DV432" i="65"/>
  <c r="DX474" i="65"/>
  <c r="DU496" i="65"/>
  <c r="DI517" i="65"/>
  <c r="DV517" i="65"/>
  <c r="DX75" i="65"/>
  <c r="DU118" i="65"/>
  <c r="DI161" i="65"/>
  <c r="DV161" i="65"/>
  <c r="DX244" i="65"/>
  <c r="DX273" i="65"/>
  <c r="DI294" i="65"/>
  <c r="DV294" i="65"/>
  <c r="DX337" i="65"/>
  <c r="DV358" i="65"/>
  <c r="DI380" i="65"/>
  <c r="DV380" i="65"/>
  <c r="DX422" i="65"/>
  <c r="DU444" i="65"/>
  <c r="DX465" i="65"/>
  <c r="DX508" i="65"/>
  <c r="DU10" i="65"/>
  <c r="DI55" i="65"/>
  <c r="DV55" i="65"/>
  <c r="DU141" i="65"/>
  <c r="DU183" i="65"/>
  <c r="DI226" i="65"/>
  <c r="DV226" i="65"/>
  <c r="DX290" i="65"/>
  <c r="DU322" i="65"/>
  <c r="DX365" i="65"/>
  <c r="DX450" i="65"/>
  <c r="DV493" i="65"/>
  <c r="DI31" i="65"/>
  <c r="DV31" i="65"/>
  <c r="DX72" i="65"/>
  <c r="DU104" i="65"/>
  <c r="DI136" i="65"/>
  <c r="DV136" i="65"/>
  <c r="DX200" i="65"/>
  <c r="DU232" i="65"/>
  <c r="DI62" i="65"/>
  <c r="DV62" i="65"/>
  <c r="DX147" i="65"/>
  <c r="DU190" i="65"/>
  <c r="DI233" i="65"/>
  <c r="DV233" i="65"/>
  <c r="DX69" i="65"/>
  <c r="DU90" i="65"/>
  <c r="DI133" i="65"/>
  <c r="DV133" i="65"/>
  <c r="DU239" i="65"/>
  <c r="DX271" i="65"/>
  <c r="DV303" i="65"/>
  <c r="DU367" i="65"/>
  <c r="DX399" i="65"/>
  <c r="DI431" i="65"/>
  <c r="DV431" i="65"/>
  <c r="DU495" i="65"/>
  <c r="DV59" i="65"/>
  <c r="DU145" i="65"/>
  <c r="DX286" i="65"/>
  <c r="DX329" i="65"/>
  <c r="DI393" i="65"/>
  <c r="DV393" i="65"/>
  <c r="DX478" i="65"/>
  <c r="DU338" i="65"/>
  <c r="DI466" i="65"/>
  <c r="DV466" i="65"/>
  <c r="DX231" i="65"/>
  <c r="DX309" i="65"/>
  <c r="DX373" i="65"/>
  <c r="DX480" i="65"/>
  <c r="DU171" i="65"/>
  <c r="DI278" i="65"/>
  <c r="DV278" i="65"/>
  <c r="DX428" i="65"/>
  <c r="DU492" i="65"/>
  <c r="DI16" i="65"/>
  <c r="DV16" i="65"/>
  <c r="DU237" i="65"/>
  <c r="DX333" i="65"/>
  <c r="DV461" i="65"/>
  <c r="DV526" i="65"/>
  <c r="DV528" i="65"/>
  <c r="DV540" i="65"/>
  <c r="DV541" i="65"/>
  <c r="DV543" i="65"/>
  <c r="DV522" i="65"/>
  <c r="DV535" i="65"/>
  <c r="DV530" i="65"/>
  <c r="DV524" i="65"/>
  <c r="DV525" i="65"/>
  <c r="DV537" i="65"/>
  <c r="DV536" i="65"/>
  <c r="DV542" i="65"/>
  <c r="DV534" i="65"/>
  <c r="DH546" i="65"/>
  <c r="DX546" i="65"/>
  <c r="DX213" i="65"/>
  <c r="DI315" i="65"/>
  <c r="DV315" i="65"/>
  <c r="DX379" i="65"/>
  <c r="DV443" i="65"/>
  <c r="DI475" i="65"/>
  <c r="DV475" i="65"/>
  <c r="DI49" i="65"/>
  <c r="DV49" i="65"/>
  <c r="DI219" i="65"/>
  <c r="DV219" i="65"/>
  <c r="DI324" i="65"/>
  <c r="DV324" i="65"/>
  <c r="DV409" i="65"/>
  <c r="DI494" i="65"/>
  <c r="DV494" i="65"/>
  <c r="DI370" i="65"/>
  <c r="DV370" i="65"/>
  <c r="DV50" i="65"/>
  <c r="DV221" i="65"/>
  <c r="DV325" i="65"/>
  <c r="DI410" i="65"/>
  <c r="DV410" i="65"/>
  <c r="DI496" i="65"/>
  <c r="DV496" i="65"/>
  <c r="DI118" i="65"/>
  <c r="DV118" i="65"/>
  <c r="DU358" i="65"/>
  <c r="DI401" i="65"/>
  <c r="DV401" i="65"/>
  <c r="DI444" i="65"/>
  <c r="DV444" i="65"/>
  <c r="DX486" i="65"/>
  <c r="DI10" i="65"/>
  <c r="DV10" i="65"/>
  <c r="DI183" i="65"/>
  <c r="DV183" i="65"/>
  <c r="DI322" i="65"/>
  <c r="DV322" i="65"/>
  <c r="DX493" i="65"/>
  <c r="DI104" i="65"/>
  <c r="DV104" i="65"/>
  <c r="DI232" i="65"/>
  <c r="DV232" i="65"/>
  <c r="DI190" i="65"/>
  <c r="DV190" i="65"/>
  <c r="DI90" i="65"/>
  <c r="DV90" i="65"/>
  <c r="DX197" i="65"/>
  <c r="DV271" i="65"/>
  <c r="DV399" i="65"/>
  <c r="DU59" i="65"/>
  <c r="DI338" i="65"/>
  <c r="DV338" i="65"/>
  <c r="DV309" i="65"/>
  <c r="DI171" i="65"/>
  <c r="DV171" i="65"/>
  <c r="DI492" i="65"/>
  <c r="DV492" i="65"/>
  <c r="DV333" i="65"/>
  <c r="DV308" i="65"/>
  <c r="DX372" i="65"/>
  <c r="DU414" i="65"/>
  <c r="DX381" i="65"/>
  <c r="DU189" i="65"/>
  <c r="DU288" i="65"/>
  <c r="DV352" i="65"/>
  <c r="DI501" i="65"/>
  <c r="DV501" i="65"/>
  <c r="DU43" i="65"/>
  <c r="DV129" i="65"/>
  <c r="DX300" i="65"/>
  <c r="DU342" i="65"/>
  <c r="DV406" i="65"/>
  <c r="DU109" i="65"/>
  <c r="DX269" i="65"/>
  <c r="DV376" i="65"/>
  <c r="DX27" i="65"/>
  <c r="DU20" i="65"/>
  <c r="DV36" i="65"/>
  <c r="DX68" i="65"/>
  <c r="DU84" i="65"/>
  <c r="DV100" i="65"/>
  <c r="DX132" i="65"/>
  <c r="DU148" i="65"/>
  <c r="DV164" i="65"/>
  <c r="DX196" i="65"/>
  <c r="DU212" i="65"/>
  <c r="DV228" i="65"/>
  <c r="DX57" i="65"/>
  <c r="DU78" i="65"/>
  <c r="DV99" i="65"/>
  <c r="DX142" i="65"/>
  <c r="DU163" i="65"/>
  <c r="DV185" i="65"/>
  <c r="DX227" i="65"/>
  <c r="DU246" i="65"/>
  <c r="DV262" i="65"/>
  <c r="DX63" i="65"/>
  <c r="DU85" i="65"/>
  <c r="DV106" i="65"/>
  <c r="DX149" i="65"/>
  <c r="DU170" i="65"/>
  <c r="DV191" i="65"/>
  <c r="DU234" i="65"/>
  <c r="DU251" i="65"/>
  <c r="DV267" i="65"/>
  <c r="DX315" i="65"/>
  <c r="DV331" i="65"/>
  <c r="DX363" i="65"/>
  <c r="DV379" i="65"/>
  <c r="DV395" i="65"/>
  <c r="DX427" i="65"/>
  <c r="DX443" i="65"/>
  <c r="DV459" i="65"/>
  <c r="DX491" i="65"/>
  <c r="DU507" i="65"/>
  <c r="DI15" i="65"/>
  <c r="DV15" i="65"/>
  <c r="DX91" i="65"/>
  <c r="DU134" i="65"/>
  <c r="DI177" i="65"/>
  <c r="DV177" i="65"/>
  <c r="DX256" i="65"/>
  <c r="DU281" i="65"/>
  <c r="DI302" i="65"/>
  <c r="DV302" i="65"/>
  <c r="DX345" i="65"/>
  <c r="DU366" i="65"/>
  <c r="DI388" i="65"/>
  <c r="DV388" i="65"/>
  <c r="DX430" i="65"/>
  <c r="DX452" i="65"/>
  <c r="DU516" i="65"/>
  <c r="DU5" i="65"/>
  <c r="DI328" i="65"/>
  <c r="DV328" i="65"/>
  <c r="DU413" i="65"/>
  <c r="DU456" i="65"/>
  <c r="DI498" i="65"/>
  <c r="DV498" i="65"/>
  <c r="DU93" i="65"/>
  <c r="DX135" i="65"/>
  <c r="DI178" i="65"/>
  <c r="DV178" i="65"/>
  <c r="DI257" i="65"/>
  <c r="DV257" i="65"/>
  <c r="DX282" i="65"/>
  <c r="DI304" i="65"/>
  <c r="DV304" i="65"/>
  <c r="DU346" i="65"/>
  <c r="DU368" i="65"/>
  <c r="DX432" i="65"/>
  <c r="DX453" i="65"/>
  <c r="DI474" i="65"/>
  <c r="DV474" i="65"/>
  <c r="DX517" i="65"/>
  <c r="DX29" i="65"/>
  <c r="DI75" i="65"/>
  <c r="DV75" i="65"/>
  <c r="DX161" i="65"/>
  <c r="DU203" i="65"/>
  <c r="DI244" i="65"/>
  <c r="DV244" i="65"/>
  <c r="DX294" i="65"/>
  <c r="DU316" i="65"/>
  <c r="DI337" i="65"/>
  <c r="DV337" i="65"/>
  <c r="DX380" i="65"/>
  <c r="DX401" i="65"/>
  <c r="DI465" i="65"/>
  <c r="DV465" i="65"/>
  <c r="DV486" i="65"/>
  <c r="DI508" i="65"/>
  <c r="DV508" i="65"/>
  <c r="DX55" i="65"/>
  <c r="DU98" i="65"/>
  <c r="DX226" i="65"/>
  <c r="DX261" i="65"/>
  <c r="DI290" i="65"/>
  <c r="DV290" i="65"/>
  <c r="DU408" i="65"/>
  <c r="DX31" i="65"/>
  <c r="DU40" i="65"/>
  <c r="DI72" i="65"/>
  <c r="DV72" i="65"/>
  <c r="DX136" i="65"/>
  <c r="DU168" i="65"/>
  <c r="DI200" i="65"/>
  <c r="DV200" i="65"/>
  <c r="DX62" i="65"/>
  <c r="DU105" i="65"/>
  <c r="DI147" i="65"/>
  <c r="DV147" i="65"/>
  <c r="DX233" i="65"/>
  <c r="DX266" i="65"/>
  <c r="DI69" i="65"/>
  <c r="DV69" i="65"/>
  <c r="DX133" i="65"/>
  <c r="DV197" i="65"/>
  <c r="DU303" i="65"/>
  <c r="DX335" i="65"/>
  <c r="DX431" i="65"/>
  <c r="DX463" i="65"/>
  <c r="DI145" i="65"/>
  <c r="DV145" i="65"/>
  <c r="DU230" i="65"/>
  <c r="DI286" i="65"/>
  <c r="DV286" i="65"/>
  <c r="DX393" i="65"/>
  <c r="DU436" i="65"/>
  <c r="DI478" i="65"/>
  <c r="DV478" i="65"/>
  <c r="DX466" i="65"/>
  <c r="DU103" i="65"/>
  <c r="DI231" i="65"/>
  <c r="DV231" i="65"/>
  <c r="DU416" i="65"/>
  <c r="DI480" i="65"/>
  <c r="DV480" i="65"/>
  <c r="DX278" i="65"/>
  <c r="DU364" i="65"/>
  <c r="DI428" i="65"/>
  <c r="DV428" i="65"/>
  <c r="DX16" i="65"/>
  <c r="DU151" i="65"/>
  <c r="DU461" i="65"/>
  <c r="DV531" i="65"/>
  <c r="DI520" i="65"/>
  <c r="DV520" i="65"/>
  <c r="DI518" i="65"/>
  <c r="DV518" i="65"/>
  <c r="DI539" i="65"/>
  <c r="DV539" i="65"/>
  <c r="DI529" i="65"/>
  <c r="DV529" i="65"/>
  <c r="DI521" i="65"/>
  <c r="DV521" i="65"/>
  <c r="DV519" i="65"/>
  <c r="DI532" i="65"/>
  <c r="DV532" i="65"/>
  <c r="DI533" i="65"/>
  <c r="DV533" i="65"/>
  <c r="DI545" i="65"/>
  <c r="DV545" i="65"/>
  <c r="DV523" i="65"/>
  <c r="DI538" i="65"/>
  <c r="DV538" i="65"/>
  <c r="DV527" i="65"/>
  <c r="DI544" i="65"/>
  <c r="DV544" i="65"/>
  <c r="E136" i="64"/>
  <c r="O26" i="53"/>
  <c r="D136" i="64"/>
  <c r="F136" i="64"/>
  <c r="O17" i="66"/>
  <c r="DH531" i="65"/>
  <c r="DG531" i="65"/>
  <c r="DH519" i="65"/>
  <c r="DG519" i="65"/>
  <c r="DH523" i="65"/>
  <c r="DG523" i="65"/>
  <c r="DH527" i="65"/>
  <c r="DG527" i="65"/>
  <c r="DH441" i="65"/>
  <c r="DG441" i="65"/>
  <c r="DH505" i="65"/>
  <c r="DG505" i="65"/>
  <c r="DH157" i="65"/>
  <c r="DG157" i="65"/>
  <c r="DH357" i="65"/>
  <c r="DG357" i="65"/>
  <c r="DH421" i="65"/>
  <c r="DG421" i="65"/>
  <c r="DH485" i="65"/>
  <c r="DG485" i="65"/>
  <c r="DH433" i="65"/>
  <c r="DG433" i="65"/>
  <c r="DH497" i="65"/>
  <c r="DG497" i="65"/>
  <c r="DH245" i="65"/>
  <c r="DG245" i="65"/>
  <c r="DH330" i="65"/>
  <c r="DG330" i="65"/>
  <c r="DH229" i="65"/>
  <c r="DG229" i="65"/>
  <c r="DH445" i="65"/>
  <c r="DG445" i="65"/>
  <c r="DH277" i="65"/>
  <c r="DG277" i="65"/>
  <c r="DH341" i="65"/>
  <c r="DG341" i="65"/>
  <c r="DH405" i="65"/>
  <c r="DG405" i="65"/>
  <c r="DH469" i="65"/>
  <c r="DG469" i="65"/>
  <c r="DH481" i="65"/>
  <c r="DG481" i="65"/>
  <c r="DH218" i="65"/>
  <c r="DG218" i="65"/>
  <c r="DH383" i="65"/>
  <c r="DG383" i="65"/>
  <c r="DH479" i="65"/>
  <c r="DG479" i="65"/>
  <c r="DH500" i="65"/>
  <c r="DG500" i="65"/>
  <c r="DH189" i="65"/>
  <c r="DG189" i="65"/>
  <c r="DH269" i="65"/>
  <c r="DG269" i="65"/>
  <c r="DH452" i="65"/>
  <c r="DG452" i="65"/>
  <c r="DH413" i="65"/>
  <c r="DG413" i="65"/>
  <c r="DH135" i="65"/>
  <c r="DG135" i="65"/>
  <c r="DH325" i="65"/>
  <c r="DG325" i="65"/>
  <c r="DH389" i="65"/>
  <c r="DG389" i="65"/>
  <c r="DH453" i="65"/>
  <c r="DG453" i="65"/>
  <c r="DH29" i="65"/>
  <c r="DG29" i="65"/>
  <c r="DH266" i="65"/>
  <c r="DG266" i="65"/>
  <c r="DH271" i="65"/>
  <c r="DG271" i="65"/>
  <c r="DH367" i="65"/>
  <c r="DG367" i="65"/>
  <c r="DH373" i="65"/>
  <c r="DG373" i="65"/>
  <c r="DH237" i="65"/>
  <c r="DG237" i="65"/>
  <c r="DH333" i="65"/>
  <c r="DG333" i="65"/>
  <c r="DH461" i="65"/>
  <c r="DG461" i="65"/>
  <c r="DG520" i="65"/>
  <c r="DG518" i="65"/>
  <c r="DG538" i="65"/>
  <c r="DG532" i="65"/>
  <c r="DH545" i="65"/>
  <c r="DG545" i="65"/>
  <c r="DH529" i="65"/>
  <c r="DG529" i="65"/>
  <c r="DG544" i="65"/>
  <c r="DG19" i="65"/>
  <c r="DH35" i="65"/>
  <c r="DG35" i="65"/>
  <c r="DG28" i="65"/>
  <c r="DG44" i="65"/>
  <c r="DG60" i="65"/>
  <c r="DG76" i="65"/>
  <c r="DG92" i="65"/>
  <c r="DG108" i="65"/>
  <c r="DG124" i="65"/>
  <c r="DG140" i="65"/>
  <c r="DG156" i="65"/>
  <c r="DG172" i="65"/>
  <c r="DG188" i="65"/>
  <c r="DG204" i="65"/>
  <c r="DG220" i="65"/>
  <c r="DG236" i="65"/>
  <c r="DG46" i="65"/>
  <c r="DG67" i="65"/>
  <c r="DG89" i="65"/>
  <c r="DG110" i="65"/>
  <c r="DG131" i="65"/>
  <c r="DG153" i="65"/>
  <c r="DG174" i="65"/>
  <c r="DG195" i="65"/>
  <c r="DG217" i="65"/>
  <c r="DG238" i="65"/>
  <c r="DG254" i="65"/>
  <c r="DG26" i="65"/>
  <c r="DG53" i="65"/>
  <c r="DG74" i="65"/>
  <c r="DG95" i="65"/>
  <c r="DG138" i="65"/>
  <c r="DG159" i="65"/>
  <c r="DG202" i="65"/>
  <c r="DG259" i="65"/>
  <c r="DG275" i="65"/>
  <c r="DG291" i="65"/>
  <c r="DG323" i="65"/>
  <c r="DG355" i="65"/>
  <c r="DG371" i="65"/>
  <c r="DG387" i="65"/>
  <c r="DG403" i="65"/>
  <c r="DG419" i="65"/>
  <c r="DG467" i="65"/>
  <c r="DG483" i="65"/>
  <c r="DG499" i="65"/>
  <c r="DG21" i="65"/>
  <c r="DG70" i="65"/>
  <c r="DG113" i="65"/>
  <c r="DG155" i="65"/>
  <c r="DG198" i="65"/>
  <c r="DG240" i="65"/>
  <c r="DG270" i="65"/>
  <c r="DG292" i="65"/>
  <c r="DG313" i="65"/>
  <c r="DG334" i="65"/>
  <c r="DG356" i="65"/>
  <c r="DG377" i="65"/>
  <c r="DG398" i="65"/>
  <c r="DG420" i="65"/>
  <c r="DG462" i="65"/>
  <c r="DG8" i="65"/>
  <c r="DG306" i="65"/>
  <c r="DG392" i="65"/>
  <c r="DG434" i="65"/>
  <c r="DG22" i="65"/>
  <c r="DG241" i="65"/>
  <c r="DG272" i="65"/>
  <c r="DG336" i="65"/>
  <c r="DG400" i="65"/>
  <c r="DG442" i="65"/>
  <c r="DG464" i="65"/>
  <c r="DG506" i="65"/>
  <c r="DG9" i="65"/>
  <c r="DG54" i="65"/>
  <c r="DG97" i="65"/>
  <c r="DG139" i="65"/>
  <c r="DG182" i="65"/>
  <c r="DH526" i="65"/>
  <c r="DG526" i="65"/>
  <c r="DH525" i="65"/>
  <c r="DG525" i="65"/>
  <c r="DH536" i="65"/>
  <c r="DG536" i="65"/>
  <c r="DH7" i="65"/>
  <c r="DG7" i="65"/>
  <c r="DH114" i="65"/>
  <c r="DG114" i="65"/>
  <c r="DH314" i="65"/>
  <c r="DG314" i="65"/>
  <c r="DH378" i="65"/>
  <c r="DG378" i="65"/>
  <c r="DH205" i="65"/>
  <c r="DG205" i="65"/>
  <c r="DH301" i="65"/>
  <c r="DG301" i="65"/>
  <c r="DH429" i="65"/>
  <c r="DG429" i="65"/>
  <c r="DH449" i="65"/>
  <c r="DG449" i="65"/>
  <c r="DH468" i="65"/>
  <c r="DG468" i="65"/>
  <c r="DH13" i="65"/>
  <c r="DG13" i="65"/>
  <c r="DH125" i="65"/>
  <c r="DG125" i="65"/>
  <c r="DH253" i="65"/>
  <c r="DG253" i="65"/>
  <c r="DH250" i="65"/>
  <c r="DG250" i="65"/>
  <c r="DH255" i="65"/>
  <c r="DG255" i="65"/>
  <c r="DH351" i="65"/>
  <c r="DG351" i="65"/>
  <c r="DH457" i="65"/>
  <c r="DG457" i="65"/>
  <c r="DH381" i="65"/>
  <c r="DG381" i="65"/>
  <c r="DH61" i="65"/>
  <c r="DG61" i="65"/>
  <c r="DH109" i="65"/>
  <c r="DG109" i="65"/>
  <c r="DH93" i="65"/>
  <c r="DG93" i="65"/>
  <c r="DH221" i="65"/>
  <c r="DG221" i="65"/>
  <c r="DH141" i="65"/>
  <c r="DG141" i="65"/>
  <c r="DH261" i="65"/>
  <c r="DG261" i="65"/>
  <c r="DH365" i="65"/>
  <c r="DG365" i="65"/>
  <c r="DH239" i="65"/>
  <c r="DG239" i="65"/>
  <c r="DH335" i="65"/>
  <c r="DG335" i="65"/>
  <c r="DH309" i="65"/>
  <c r="DG309" i="65"/>
  <c r="DH539" i="65"/>
  <c r="DG539" i="65"/>
  <c r="DG522" i="65"/>
  <c r="DG530" i="65"/>
  <c r="DG117" i="65"/>
  <c r="DG181" i="65"/>
  <c r="DG243" i="65"/>
  <c r="DH307" i="65"/>
  <c r="DG307" i="65"/>
  <c r="DG339" i="65"/>
  <c r="DH528" i="65"/>
  <c r="DG528" i="65"/>
  <c r="DH541" i="65"/>
  <c r="DG541" i="65"/>
  <c r="DH542" i="65"/>
  <c r="DG542" i="65"/>
  <c r="DH515" i="65"/>
  <c r="DG515" i="65"/>
  <c r="DH484" i="65"/>
  <c r="DG484" i="65"/>
  <c r="DH349" i="65"/>
  <c r="DG349" i="65"/>
  <c r="DH477" i="65"/>
  <c r="DG477" i="65"/>
  <c r="DH199" i="65"/>
  <c r="DG199" i="65"/>
  <c r="DH293" i="65"/>
  <c r="DG293" i="65"/>
  <c r="DH77" i="65"/>
  <c r="DG77" i="65"/>
  <c r="DH207" i="65"/>
  <c r="DG207" i="65"/>
  <c r="DH425" i="65"/>
  <c r="DG425" i="65"/>
  <c r="DH489" i="65"/>
  <c r="DG489" i="65"/>
  <c r="DH317" i="65"/>
  <c r="DG317" i="65"/>
  <c r="DH298" i="65"/>
  <c r="DG298" i="65"/>
  <c r="DH417" i="65"/>
  <c r="DG417" i="65"/>
  <c r="DH45" i="65"/>
  <c r="DG45" i="65"/>
  <c r="DH173" i="65"/>
  <c r="DG173" i="65"/>
  <c r="DH397" i="65"/>
  <c r="DG397" i="65"/>
  <c r="DH287" i="65"/>
  <c r="DG287" i="65"/>
  <c r="DH511" i="65"/>
  <c r="DG511" i="65"/>
  <c r="DH285" i="65"/>
  <c r="DG285" i="65"/>
  <c r="DH509" i="65"/>
  <c r="DG509" i="65"/>
  <c r="DH437" i="65"/>
  <c r="DG437" i="65"/>
  <c r="DH213" i="65"/>
  <c r="DG213" i="65"/>
  <c r="DH409" i="65"/>
  <c r="DG409" i="65"/>
  <c r="DH473" i="65"/>
  <c r="DG473" i="65"/>
  <c r="DH516" i="65"/>
  <c r="DG516" i="65"/>
  <c r="DH50" i="65"/>
  <c r="DG50" i="65"/>
  <c r="DH282" i="65"/>
  <c r="DG282" i="65"/>
  <c r="DH346" i="65"/>
  <c r="DG346" i="65"/>
  <c r="DH493" i="65"/>
  <c r="DG493" i="65"/>
  <c r="DH303" i="65"/>
  <c r="DG303" i="65"/>
  <c r="DH399" i="65"/>
  <c r="DG399" i="65"/>
  <c r="DH495" i="65"/>
  <c r="DG495" i="65"/>
  <c r="DH540" i="65"/>
  <c r="DG540" i="65"/>
  <c r="DH521" i="65"/>
  <c r="DG521" i="65"/>
  <c r="DH524" i="65"/>
  <c r="DG524" i="65"/>
  <c r="DG537" i="65"/>
  <c r="DG534" i="65"/>
  <c r="DG543" i="65"/>
  <c r="DG535" i="65"/>
  <c r="DG533" i="65"/>
  <c r="DH223" i="65"/>
  <c r="DG223" i="65"/>
  <c r="DG225" i="65"/>
  <c r="DG260" i="65"/>
  <c r="DG284" i="65"/>
  <c r="DG305" i="65"/>
  <c r="DG326" i="65"/>
  <c r="DG348" i="65"/>
  <c r="DG369" i="65"/>
  <c r="DG390" i="65"/>
  <c r="DG412" i="65"/>
  <c r="DG454" i="65"/>
  <c r="DG476" i="65"/>
  <c r="DG119" i="65"/>
  <c r="DG162" i="65"/>
  <c r="DG344" i="65"/>
  <c r="DG472" i="65"/>
  <c r="DG17" i="65"/>
  <c r="DG424" i="65"/>
  <c r="DG12" i="65"/>
  <c r="DG146" i="65"/>
  <c r="DG86" i="65"/>
  <c r="DG321" i="65"/>
  <c r="DG385" i="65"/>
  <c r="DG513" i="65"/>
  <c r="DG66" i="65"/>
  <c r="DG194" i="65"/>
  <c r="DG296" i="65"/>
  <c r="DG418" i="65"/>
  <c r="DG6" i="65"/>
  <c r="DG23" i="65"/>
  <c r="DG39" i="65"/>
  <c r="DG32" i="65"/>
  <c r="DG48" i="65"/>
  <c r="DG64" i="65"/>
  <c r="DG80" i="65"/>
  <c r="DG96" i="65"/>
  <c r="DG112" i="65"/>
  <c r="DG128" i="65"/>
  <c r="DG144" i="65"/>
  <c r="DG160" i="65"/>
  <c r="DG176" i="65"/>
  <c r="DG192" i="65"/>
  <c r="DG208" i="65"/>
  <c r="DG224" i="65"/>
  <c r="DG25" i="65"/>
  <c r="DG51" i="65"/>
  <c r="DG73" i="65"/>
  <c r="DG94" i="65"/>
  <c r="DH115" i="65"/>
  <c r="DG115" i="65"/>
  <c r="DG137" i="65"/>
  <c r="DH158" i="65"/>
  <c r="DG158" i="65"/>
  <c r="DG179" i="65"/>
  <c r="DH222" i="65"/>
  <c r="DG222" i="65"/>
  <c r="DG242" i="65"/>
  <c r="DG258" i="65"/>
  <c r="DG34" i="65"/>
  <c r="DG58" i="65"/>
  <c r="DG79" i="65"/>
  <c r="DG122" i="65"/>
  <c r="DG143" i="65"/>
  <c r="DG186" i="65"/>
  <c r="DG247" i="65"/>
  <c r="DG263" i="65"/>
  <c r="DH279" i="65"/>
  <c r="DG279" i="65"/>
  <c r="DH295" i="65"/>
  <c r="DG295" i="65"/>
  <c r="DG311" i="65"/>
  <c r="DG327" i="65"/>
  <c r="DG343" i="65"/>
  <c r="DG359" i="65"/>
  <c r="DG375" i="65"/>
  <c r="DG391" i="65"/>
  <c r="DH423" i="65"/>
  <c r="DG423" i="65"/>
  <c r="DG439" i="65"/>
  <c r="DG455" i="65"/>
  <c r="DG487" i="65"/>
  <c r="DG503" i="65"/>
  <c r="DG11" i="65"/>
  <c r="DG37" i="65"/>
  <c r="DH166" i="65"/>
  <c r="DG166" i="65"/>
  <c r="DG209" i="65"/>
  <c r="DG248" i="65"/>
  <c r="DG276" i="65"/>
  <c r="DG318" i="65"/>
  <c r="DG340" i="65"/>
  <c r="DG361" i="65"/>
  <c r="DG382" i="65"/>
  <c r="DG404" i="65"/>
  <c r="DG446" i="65"/>
  <c r="DG510" i="65"/>
  <c r="DG360" i="65"/>
  <c r="DH402" i="65"/>
  <c r="DG402" i="65"/>
  <c r="DG488" i="65"/>
  <c r="DG38" i="65"/>
  <c r="DG82" i="65"/>
  <c r="DG167" i="65"/>
  <c r="DG210" i="65"/>
  <c r="DG249" i="65"/>
  <c r="DG320" i="65"/>
  <c r="DG384" i="65"/>
  <c r="DG426" i="65"/>
  <c r="DG448" i="65"/>
  <c r="DG490" i="65"/>
  <c r="DG512" i="65"/>
  <c r="DH14" i="65"/>
  <c r="DG14" i="65"/>
  <c r="DG65" i="65"/>
  <c r="DG107" i="65"/>
  <c r="DG150" i="65"/>
  <c r="DG193" i="65"/>
  <c r="DG235" i="65"/>
  <c r="DG268" i="65"/>
  <c r="DG289" i="65"/>
  <c r="DH310" i="65"/>
  <c r="DG310" i="65"/>
  <c r="DG332" i="65"/>
  <c r="DG353" i="65"/>
  <c r="DH374" i="65"/>
  <c r="DG374" i="65"/>
  <c r="DG396" i="65"/>
  <c r="DH438" i="65"/>
  <c r="DG438" i="65"/>
  <c r="DG460" i="65"/>
  <c r="DH502" i="65"/>
  <c r="DG502" i="65"/>
  <c r="DG87" i="65"/>
  <c r="DG130" i="65"/>
  <c r="DG215" i="65"/>
  <c r="DG280" i="65"/>
  <c r="DG312" i="65"/>
  <c r="DG354" i="65"/>
  <c r="DG440" i="65"/>
  <c r="DG482" i="65"/>
  <c r="DG24" i="65"/>
  <c r="DG56" i="65"/>
  <c r="DG88" i="65"/>
  <c r="DG120" i="65"/>
  <c r="DG152" i="65"/>
  <c r="DG184" i="65"/>
  <c r="DG216" i="65"/>
  <c r="DG41" i="65"/>
  <c r="DG83" i="65"/>
  <c r="DG126" i="65"/>
  <c r="DG169" i="65"/>
  <c r="DG47" i="65"/>
  <c r="DG111" i="65"/>
  <c r="DG154" i="65"/>
  <c r="DG175" i="65"/>
  <c r="DG447" i="65"/>
  <c r="DG18" i="65"/>
  <c r="DG102" i="65"/>
  <c r="DG264" i="65"/>
  <c r="DG308" i="65"/>
  <c r="DH350" i="65"/>
  <c r="DG350" i="65"/>
  <c r="DG372" i="65"/>
  <c r="DG414" i="65"/>
  <c r="DG288" i="65"/>
  <c r="DH352" i="65"/>
  <c r="DG352" i="65"/>
  <c r="DH501" i="65"/>
  <c r="DG501" i="65"/>
  <c r="DG43" i="65"/>
  <c r="DG129" i="65"/>
  <c r="DG214" i="65"/>
  <c r="DG300" i="65"/>
  <c r="DG342" i="65"/>
  <c r="DG406" i="65"/>
  <c r="DG470" i="65"/>
  <c r="DG376" i="65"/>
  <c r="DG504" i="65"/>
  <c r="DG27" i="65"/>
  <c r="DG20" i="65"/>
  <c r="DG36" i="65"/>
  <c r="DG52" i="65"/>
  <c r="DG68" i="65"/>
  <c r="DG84" i="65"/>
  <c r="DG100" i="65"/>
  <c r="DG116" i="65"/>
  <c r="DG132" i="65"/>
  <c r="DG148" i="65"/>
  <c r="DG164" i="65"/>
  <c r="DG180" i="65"/>
  <c r="DG196" i="65"/>
  <c r="DG212" i="65"/>
  <c r="DG228" i="65"/>
  <c r="DG33" i="65"/>
  <c r="DG57" i="65"/>
  <c r="DH78" i="65"/>
  <c r="DG78" i="65"/>
  <c r="DG99" i="65"/>
  <c r="DG121" i="65"/>
  <c r="DG142" i="65"/>
  <c r="DG163" i="65"/>
  <c r="DG185" i="65"/>
  <c r="DG206" i="65"/>
  <c r="DG227" i="65"/>
  <c r="DG246" i="65"/>
  <c r="DG262" i="65"/>
  <c r="DG42" i="65"/>
  <c r="DG63" i="65"/>
  <c r="DG85" i="65"/>
  <c r="DG106" i="65"/>
  <c r="DG127" i="65"/>
  <c r="DG149" i="65"/>
  <c r="DG170" i="65"/>
  <c r="DG191" i="65"/>
  <c r="DH251" i="65"/>
  <c r="DG251" i="65"/>
  <c r="DH267" i="65"/>
  <c r="DG267" i="65"/>
  <c r="DG283" i="65"/>
  <c r="DG331" i="65"/>
  <c r="DG347" i="65"/>
  <c r="DG363" i="65"/>
  <c r="DH395" i="65"/>
  <c r="DG395" i="65"/>
  <c r="DG411" i="65"/>
  <c r="DG427" i="65"/>
  <c r="DG459" i="65"/>
  <c r="DG475" i="65"/>
  <c r="DG491" i="65"/>
  <c r="DH507" i="65"/>
  <c r="DG507" i="65"/>
  <c r="DG15" i="65"/>
  <c r="DG49" i="65"/>
  <c r="DG91" i="65"/>
  <c r="DG134" i="65"/>
  <c r="DG177" i="65"/>
  <c r="DG219" i="65"/>
  <c r="DG256" i="65"/>
  <c r="DG281" i="65"/>
  <c r="DH302" i="65"/>
  <c r="DG302" i="65"/>
  <c r="DG324" i="65"/>
  <c r="DG345" i="65"/>
  <c r="DH366" i="65"/>
  <c r="DG366" i="65"/>
  <c r="DG388" i="65"/>
  <c r="DH430" i="65"/>
  <c r="DG430" i="65"/>
  <c r="DH494" i="65"/>
  <c r="DG494" i="65"/>
  <c r="DH5" i="65"/>
  <c r="DG5" i="65"/>
  <c r="DG328" i="65"/>
  <c r="DG370" i="65"/>
  <c r="DG456" i="65"/>
  <c r="DG498" i="65"/>
  <c r="DG304" i="65"/>
  <c r="DG368" i="65"/>
  <c r="DG410" i="65"/>
  <c r="DG432" i="65"/>
  <c r="DG474" i="65"/>
  <c r="DG496" i="65"/>
  <c r="DG517" i="65"/>
  <c r="DG75" i="65"/>
  <c r="DG118" i="65"/>
  <c r="DG161" i="65"/>
  <c r="DG203" i="65"/>
  <c r="DG244" i="65"/>
  <c r="DH294" i="65"/>
  <c r="DG294" i="65"/>
  <c r="DG316" i="65"/>
  <c r="DG337" i="65"/>
  <c r="DG380" i="65"/>
  <c r="DG444" i="65"/>
  <c r="DG465" i="65"/>
  <c r="DG508" i="65"/>
  <c r="DG10" i="65"/>
  <c r="DG55" i="65"/>
  <c r="DG98" i="65"/>
  <c r="DG183" i="65"/>
  <c r="DG226" i="65"/>
  <c r="DG290" i="65"/>
  <c r="DH322" i="65"/>
  <c r="DG322" i="65"/>
  <c r="DH408" i="65"/>
  <c r="DG408" i="65"/>
  <c r="DG31" i="65"/>
  <c r="DG40" i="65"/>
  <c r="DG72" i="65"/>
  <c r="DG104" i="65"/>
  <c r="DG136" i="65"/>
  <c r="DH168" i="65"/>
  <c r="DG168" i="65"/>
  <c r="DG200" i="65"/>
  <c r="DH232" i="65"/>
  <c r="DG232" i="65"/>
  <c r="DG62" i="65"/>
  <c r="DG105" i="65"/>
  <c r="DH147" i="65"/>
  <c r="DG147" i="65"/>
  <c r="DH190" i="65"/>
  <c r="DG190" i="65"/>
  <c r="DG233" i="65"/>
  <c r="DG69" i="65"/>
  <c r="DG90" i="65"/>
  <c r="DG133" i="65"/>
  <c r="DG431" i="65"/>
  <c r="DH230" i="65"/>
  <c r="DG230" i="65"/>
  <c r="DG286" i="65"/>
  <c r="DG393" i="65"/>
  <c r="DG436" i="65"/>
  <c r="DH478" i="65"/>
  <c r="DG478" i="65"/>
  <c r="DH338" i="65"/>
  <c r="DG338" i="65"/>
  <c r="DH466" i="65"/>
  <c r="DG466" i="65"/>
  <c r="DG103" i="65"/>
  <c r="DG231" i="65"/>
  <c r="DG416" i="65"/>
  <c r="DH480" i="65"/>
  <c r="DG480" i="65"/>
  <c r="DG171" i="65"/>
  <c r="DG278" i="65"/>
  <c r="DG364" i="65"/>
  <c r="DG428" i="65"/>
  <c r="DG492" i="65"/>
  <c r="DG16" i="65"/>
  <c r="DG151" i="65"/>
  <c r="DI403" i="65"/>
  <c r="DI419" i="65"/>
  <c r="DI435" i="65"/>
  <c r="DI451" i="65"/>
  <c r="DI467" i="65"/>
  <c r="DI483" i="65"/>
  <c r="DI499" i="65"/>
  <c r="DI21" i="65"/>
  <c r="DI70" i="65"/>
  <c r="DI113" i="65"/>
  <c r="DI155" i="65"/>
  <c r="DI198" i="65"/>
  <c r="DI240" i="65"/>
  <c r="DI270" i="65"/>
  <c r="DI292" i="65"/>
  <c r="DI313" i="65"/>
  <c r="DI334" i="65"/>
  <c r="DI356" i="65"/>
  <c r="DI377" i="65"/>
  <c r="DI398" i="65"/>
  <c r="DI420" i="65"/>
  <c r="DI462" i="65"/>
  <c r="DI8" i="65"/>
  <c r="DI306" i="65"/>
  <c r="DI392" i="65"/>
  <c r="DI434" i="65"/>
  <c r="DI22" i="65"/>
  <c r="DI241" i="65"/>
  <c r="DI272" i="65"/>
  <c r="DI336" i="65"/>
  <c r="DI400" i="65"/>
  <c r="DI442" i="65"/>
  <c r="DI464" i="65"/>
  <c r="DI506" i="65"/>
  <c r="DI9" i="65"/>
  <c r="DI54" i="65"/>
  <c r="DI97" i="65"/>
  <c r="DI139" i="65"/>
  <c r="DI182" i="65"/>
  <c r="DI225" i="65"/>
  <c r="DI260" i="65"/>
  <c r="DI284" i="65"/>
  <c r="DI305" i="65"/>
  <c r="DI326" i="65"/>
  <c r="DI348" i="65"/>
  <c r="DI369" i="65"/>
  <c r="DI390" i="65"/>
  <c r="DI412" i="65"/>
  <c r="DI454" i="65"/>
  <c r="DI476" i="65"/>
  <c r="DI30" i="65"/>
  <c r="DI119" i="65"/>
  <c r="DI162" i="65"/>
  <c r="DI274" i="65"/>
  <c r="DI344" i="65"/>
  <c r="DG386" i="65"/>
  <c r="DI472" i="65"/>
  <c r="DH514" i="65"/>
  <c r="DG514" i="65"/>
  <c r="DI17" i="65"/>
  <c r="DI424" i="65"/>
  <c r="DI12" i="65"/>
  <c r="DI146" i="65"/>
  <c r="DG265" i="65"/>
  <c r="DH458" i="65"/>
  <c r="DG458" i="65"/>
  <c r="DI86" i="65"/>
  <c r="DI252" i="65"/>
  <c r="DI321" i="65"/>
  <c r="DI385" i="65"/>
  <c r="DI513" i="65"/>
  <c r="DI66" i="65"/>
  <c r="DI194" i="65"/>
  <c r="DI296" i="65"/>
  <c r="DI418" i="65"/>
  <c r="DI6" i="65"/>
  <c r="DI23" i="65"/>
  <c r="DI39" i="65"/>
  <c r="DI32" i="65"/>
  <c r="DI48" i="65"/>
  <c r="DI64" i="65"/>
  <c r="DI80" i="65"/>
  <c r="DI96" i="65"/>
  <c r="DI112" i="65"/>
  <c r="DI128" i="65"/>
  <c r="DI144" i="65"/>
  <c r="DI160" i="65"/>
  <c r="DI176" i="65"/>
  <c r="DI192" i="65"/>
  <c r="DI208" i="65"/>
  <c r="DI224" i="65"/>
  <c r="DI25" i="65"/>
  <c r="DI51" i="65"/>
  <c r="DI73" i="65"/>
  <c r="DI94" i="65"/>
  <c r="DI115" i="65"/>
  <c r="DI137" i="65"/>
  <c r="DI158" i="65"/>
  <c r="DI179" i="65"/>
  <c r="DH201" i="65"/>
  <c r="DG201" i="65"/>
  <c r="DI222" i="65"/>
  <c r="DI242" i="65"/>
  <c r="DI258" i="65"/>
  <c r="DI34" i="65"/>
  <c r="DI58" i="65"/>
  <c r="DI79" i="65"/>
  <c r="DH101" i="65"/>
  <c r="DG101" i="65"/>
  <c r="DI122" i="65"/>
  <c r="DI143" i="65"/>
  <c r="DH165" i="65"/>
  <c r="DG165" i="65"/>
  <c r="DI186" i="65"/>
  <c r="DI247" i="65"/>
  <c r="DI263" i="65"/>
  <c r="DI279" i="65"/>
  <c r="DI295" i="65"/>
  <c r="DI311" i="65"/>
  <c r="DI327" i="65"/>
  <c r="DI343" i="65"/>
  <c r="DI359" i="65"/>
  <c r="DI375" i="65"/>
  <c r="DI391" i="65"/>
  <c r="DH407" i="65"/>
  <c r="DG407" i="65"/>
  <c r="DI423" i="65"/>
  <c r="DI439" i="65"/>
  <c r="DI455" i="65"/>
  <c r="DG471" i="65"/>
  <c r="DI487" i="65"/>
  <c r="DI503" i="65"/>
  <c r="DI11" i="65"/>
  <c r="DI37" i="65"/>
  <c r="DH81" i="65"/>
  <c r="DG81" i="65"/>
  <c r="DH123" i="65"/>
  <c r="DG123" i="65"/>
  <c r="DI166" i="65"/>
  <c r="DI209" i="65"/>
  <c r="DI248" i="65"/>
  <c r="DI276" i="65"/>
  <c r="DG297" i="65"/>
  <c r="DI318" i="65"/>
  <c r="DI340" i="65"/>
  <c r="DI361" i="65"/>
  <c r="DI382" i="65"/>
  <c r="DI404" i="65"/>
  <c r="DI446" i="65"/>
  <c r="DI510" i="65"/>
  <c r="DI360" i="65"/>
  <c r="DI402" i="65"/>
  <c r="DI488" i="65"/>
  <c r="DI38" i="65"/>
  <c r="DI82" i="65"/>
  <c r="DI362" i="65"/>
  <c r="DH211" i="65"/>
  <c r="DG211" i="65"/>
  <c r="DG415" i="65"/>
  <c r="DH187" i="65"/>
  <c r="DG187" i="65"/>
  <c r="DI142" i="65"/>
  <c r="DI163" i="65"/>
  <c r="DI185" i="65"/>
  <c r="DI206" i="65"/>
  <c r="DI42" i="65"/>
  <c r="DI85" i="65"/>
  <c r="DI106" i="65"/>
  <c r="DI127" i="65"/>
  <c r="DI267" i="65"/>
  <c r="DI283" i="65"/>
  <c r="DG299" i="65"/>
  <c r="DH315" i="65"/>
  <c r="DG315" i="65"/>
  <c r="DI331" i="65"/>
  <c r="DI347" i="65"/>
  <c r="DI363" i="65"/>
  <c r="DH379" i="65"/>
  <c r="DG379" i="65"/>
  <c r="DI395" i="65"/>
  <c r="DI411" i="65"/>
  <c r="DI427" i="65"/>
  <c r="DH443" i="65"/>
  <c r="DG443" i="65"/>
  <c r="DI459" i="65"/>
  <c r="DI507" i="65"/>
  <c r="DH257" i="65"/>
  <c r="DG257" i="65"/>
  <c r="DH273" i="65"/>
  <c r="DG273" i="65"/>
  <c r="DG358" i="65"/>
  <c r="DH401" i="65"/>
  <c r="DG401" i="65"/>
  <c r="DH422" i="65"/>
  <c r="DG422" i="65"/>
  <c r="DG486" i="65"/>
  <c r="DH450" i="65"/>
  <c r="DG450" i="65"/>
  <c r="DG197" i="65"/>
  <c r="DG59" i="65"/>
  <c r="DH145" i="65"/>
  <c r="DG145" i="65"/>
  <c r="DH329" i="65"/>
  <c r="DG329" i="65"/>
  <c r="DH71" i="65"/>
  <c r="DG71" i="65"/>
  <c r="DH394" i="65"/>
  <c r="DG394" i="65"/>
  <c r="DG362" i="65"/>
  <c r="DG319" i="65"/>
  <c r="DG234" i="65"/>
  <c r="DG178" i="65"/>
  <c r="DG463" i="65"/>
  <c r="DI519" i="65"/>
  <c r="DI523" i="65"/>
  <c r="DI527" i="65"/>
  <c r="DH520" i="65"/>
  <c r="DH518" i="65"/>
  <c r="DH538" i="65"/>
  <c r="DH532" i="65"/>
  <c r="DH544" i="65"/>
  <c r="DH19" i="65"/>
  <c r="DH28" i="65"/>
  <c r="DH44" i="65"/>
  <c r="DH60" i="65"/>
  <c r="DH76" i="65"/>
  <c r="DH92" i="65"/>
  <c r="DH108" i="65"/>
  <c r="DH124" i="65"/>
  <c r="DH140" i="65"/>
  <c r="DH156" i="65"/>
  <c r="DH172" i="65"/>
  <c r="DH188" i="65"/>
  <c r="DH204" i="65"/>
  <c r="DH220" i="65"/>
  <c r="DH236" i="65"/>
  <c r="DH46" i="65"/>
  <c r="DH67" i="65"/>
  <c r="DH89" i="65"/>
  <c r="DH110" i="65"/>
  <c r="DH131" i="65"/>
  <c r="DH153" i="65"/>
  <c r="DH174" i="65"/>
  <c r="DH195" i="65"/>
  <c r="DH217" i="65"/>
  <c r="DH238" i="65"/>
  <c r="DH254" i="65"/>
  <c r="DH26" i="65"/>
  <c r="DH53" i="65"/>
  <c r="DH74" i="65"/>
  <c r="DH95" i="65"/>
  <c r="DI117" i="65"/>
  <c r="DH138" i="65"/>
  <c r="DH159" i="65"/>
  <c r="DI181" i="65"/>
  <c r="DH202" i="65"/>
  <c r="DI243" i="65"/>
  <c r="DH259" i="65"/>
  <c r="DH275" i="65"/>
  <c r="DH291" i="65"/>
  <c r="DI307" i="65"/>
  <c r="DH323" i="65"/>
  <c r="DI339" i="65"/>
  <c r="DH355" i="65"/>
  <c r="DH371" i="65"/>
  <c r="DH387" i="65"/>
  <c r="DH403" i="65"/>
  <c r="DH419" i="65"/>
  <c r="DH435" i="65"/>
  <c r="DH451" i="65"/>
  <c r="DH467" i="65"/>
  <c r="DH483" i="65"/>
  <c r="DH499" i="65"/>
  <c r="DH21" i="65"/>
  <c r="DH70" i="65"/>
  <c r="DH113" i="65"/>
  <c r="DH155" i="65"/>
  <c r="DH198" i="65"/>
  <c r="DH240" i="65"/>
  <c r="DH270" i="65"/>
  <c r="DH292" i="65"/>
  <c r="DH313" i="65"/>
  <c r="DH334" i="65"/>
  <c r="DH356" i="65"/>
  <c r="DH377" i="65"/>
  <c r="DH398" i="65"/>
  <c r="DH420" i="65"/>
  <c r="DH462" i="65"/>
  <c r="DH8" i="65"/>
  <c r="DH306" i="65"/>
  <c r="DH392" i="65"/>
  <c r="DH434" i="65"/>
  <c r="DH22" i="65"/>
  <c r="DH241" i="65"/>
  <c r="DH272" i="65"/>
  <c r="DH336" i="65"/>
  <c r="DH400" i="65"/>
  <c r="DH442" i="65"/>
  <c r="DH464" i="65"/>
  <c r="DH506" i="65"/>
  <c r="DH9" i="65"/>
  <c r="DH54" i="65"/>
  <c r="DH97" i="65"/>
  <c r="DH139" i="65"/>
  <c r="DH182" i="65"/>
  <c r="DH225" i="65"/>
  <c r="DH260" i="65"/>
  <c r="DH284" i="65"/>
  <c r="DH305" i="65"/>
  <c r="DH326" i="65"/>
  <c r="DH348" i="65"/>
  <c r="DH369" i="65"/>
  <c r="DH390" i="65"/>
  <c r="DH412" i="65"/>
  <c r="DH454" i="65"/>
  <c r="DH476" i="65"/>
  <c r="DH30" i="65"/>
  <c r="DH119" i="65"/>
  <c r="DH162" i="65"/>
  <c r="DH274" i="65"/>
  <c r="DH344" i="65"/>
  <c r="DI386" i="65"/>
  <c r="DI429" i="65"/>
  <c r="DH472" i="65"/>
  <c r="DI514" i="65"/>
  <c r="DH17" i="65"/>
  <c r="DH424" i="65"/>
  <c r="DH12" i="65"/>
  <c r="DH146" i="65"/>
  <c r="DI265" i="65"/>
  <c r="DH86" i="65"/>
  <c r="DH252" i="65"/>
  <c r="DH321" i="65"/>
  <c r="DH385" i="65"/>
  <c r="DH513" i="65"/>
  <c r="DH66" i="65"/>
  <c r="DH194" i="65"/>
  <c r="DH296" i="65"/>
  <c r="DH418" i="65"/>
  <c r="DH6" i="65"/>
  <c r="DH23" i="65"/>
  <c r="DH39" i="65"/>
  <c r="DH32" i="65"/>
  <c r="DH48" i="65"/>
  <c r="DH64" i="65"/>
  <c r="DH80" i="65"/>
  <c r="DH96" i="65"/>
  <c r="DH112" i="65"/>
  <c r="DH128" i="65"/>
  <c r="DH144" i="65"/>
  <c r="DH160" i="65"/>
  <c r="DH176" i="65"/>
  <c r="DH192" i="65"/>
  <c r="DH208" i="65"/>
  <c r="DH224" i="65"/>
  <c r="DH25" i="65"/>
  <c r="DH51" i="65"/>
  <c r="DH73" i="65"/>
  <c r="DH94" i="65"/>
  <c r="DH137" i="65"/>
  <c r="DH179" i="65"/>
  <c r="DH242" i="65"/>
  <c r="DH258" i="65"/>
  <c r="DH34" i="65"/>
  <c r="DH58" i="65"/>
  <c r="DH79" i="65"/>
  <c r="DH122" i="65"/>
  <c r="DH143" i="65"/>
  <c r="DH186" i="65"/>
  <c r="DI229" i="65"/>
  <c r="DH247" i="65"/>
  <c r="DH263" i="65"/>
  <c r="DH311" i="65"/>
  <c r="DH327" i="65"/>
  <c r="DH343" i="65"/>
  <c r="DH359" i="65"/>
  <c r="DH375" i="65"/>
  <c r="DH391" i="65"/>
  <c r="DI407" i="65"/>
  <c r="DH439" i="65"/>
  <c r="DH455" i="65"/>
  <c r="DI471" i="65"/>
  <c r="DH487" i="65"/>
  <c r="DH503" i="65"/>
  <c r="DH11" i="65"/>
  <c r="DH37" i="65"/>
  <c r="DH209" i="65"/>
  <c r="DH248" i="65"/>
  <c r="DH276" i="65"/>
  <c r="DI297" i="65"/>
  <c r="DH318" i="65"/>
  <c r="DH340" i="65"/>
  <c r="DH361" i="65"/>
  <c r="DH382" i="65"/>
  <c r="DH404" i="65"/>
  <c r="DH446" i="65"/>
  <c r="DH510" i="65"/>
  <c r="DH360" i="65"/>
  <c r="DH488" i="65"/>
  <c r="DH38" i="65"/>
  <c r="DH82" i="65"/>
  <c r="DH167" i="65"/>
  <c r="DI531" i="65"/>
  <c r="DH530" i="65"/>
  <c r="DH181" i="65"/>
  <c r="DH243" i="65"/>
  <c r="DH339" i="65"/>
  <c r="DI515" i="65"/>
  <c r="DI441" i="65"/>
  <c r="DI484" i="65"/>
  <c r="DI505" i="65"/>
  <c r="DI349" i="65"/>
  <c r="DI477" i="65"/>
  <c r="DI114" i="65"/>
  <c r="DI157" i="65"/>
  <c r="DI199" i="65"/>
  <c r="DI314" i="65"/>
  <c r="DI357" i="65"/>
  <c r="DI378" i="65"/>
  <c r="DI421" i="65"/>
  <c r="DI485" i="65"/>
  <c r="DI433" i="65"/>
  <c r="DI497" i="65"/>
  <c r="DI77" i="65"/>
  <c r="DI205" i="65"/>
  <c r="DI245" i="65"/>
  <c r="DI301" i="65"/>
  <c r="DH386" i="65"/>
  <c r="DH265" i="65"/>
  <c r="DI330" i="65"/>
  <c r="DI449" i="65"/>
  <c r="DI207" i="65"/>
  <c r="DH471" i="65"/>
  <c r="DH297" i="65"/>
  <c r="DI425" i="65"/>
  <c r="DI468" i="65"/>
  <c r="DI489" i="65"/>
  <c r="DI13" i="65"/>
  <c r="DI317" i="65"/>
  <c r="DI445" i="65"/>
  <c r="DH522" i="65"/>
  <c r="DH537" i="65"/>
  <c r="DH534" i="65"/>
  <c r="DH117" i="65"/>
  <c r="DI7" i="65"/>
  <c r="DI293" i="65"/>
  <c r="DH543" i="65"/>
  <c r="DH535" i="65"/>
  <c r="DH533" i="65"/>
  <c r="DH210" i="65"/>
  <c r="DH249" i="65"/>
  <c r="DH320" i="65"/>
  <c r="DI341" i="65"/>
  <c r="DH384" i="65"/>
  <c r="DH426" i="65"/>
  <c r="DH448" i="65"/>
  <c r="DH490" i="65"/>
  <c r="DH512" i="65"/>
  <c r="DH65" i="65"/>
  <c r="DH107" i="65"/>
  <c r="DH150" i="65"/>
  <c r="DH193" i="65"/>
  <c r="DH235" i="65"/>
  <c r="DH268" i="65"/>
  <c r="DH289" i="65"/>
  <c r="DH332" i="65"/>
  <c r="DH353" i="65"/>
  <c r="DH396" i="65"/>
  <c r="DH460" i="65"/>
  <c r="DH87" i="65"/>
  <c r="DH130" i="65"/>
  <c r="DH215" i="65"/>
  <c r="DH280" i="65"/>
  <c r="DH312" i="65"/>
  <c r="DH354" i="65"/>
  <c r="DH440" i="65"/>
  <c r="DH482" i="65"/>
  <c r="DH24" i="65"/>
  <c r="DH56" i="65"/>
  <c r="DH88" i="65"/>
  <c r="DH120" i="65"/>
  <c r="DH152" i="65"/>
  <c r="DH184" i="65"/>
  <c r="DH216" i="65"/>
  <c r="DH41" i="65"/>
  <c r="DH83" i="65"/>
  <c r="DH126" i="65"/>
  <c r="DH169" i="65"/>
  <c r="DH47" i="65"/>
  <c r="DH111" i="65"/>
  <c r="DH154" i="65"/>
  <c r="DH175" i="65"/>
  <c r="DI351" i="65"/>
  <c r="DH447" i="65"/>
  <c r="DH18" i="65"/>
  <c r="DH102" i="65"/>
  <c r="DH264" i="65"/>
  <c r="DH308" i="65"/>
  <c r="DH372" i="65"/>
  <c r="DH414" i="65"/>
  <c r="DI285" i="65"/>
  <c r="DH288" i="65"/>
  <c r="DI437" i="65"/>
  <c r="DH43" i="65"/>
  <c r="DH129" i="65"/>
  <c r="DH214" i="65"/>
  <c r="DH300" i="65"/>
  <c r="DH342" i="65"/>
  <c r="DH406" i="65"/>
  <c r="DH470" i="65"/>
  <c r="DH376" i="65"/>
  <c r="DH504" i="65"/>
  <c r="DH27" i="65"/>
  <c r="DH20" i="65"/>
  <c r="DH36" i="65"/>
  <c r="DH52" i="65"/>
  <c r="DH68" i="65"/>
  <c r="DH84" i="65"/>
  <c r="DH100" i="65"/>
  <c r="DH116" i="65"/>
  <c r="DH132" i="65"/>
  <c r="DH148" i="65"/>
  <c r="DH164" i="65"/>
  <c r="DH180" i="65"/>
  <c r="DH196" i="65"/>
  <c r="DH212" i="65"/>
  <c r="DH228" i="65"/>
  <c r="DH33" i="65"/>
  <c r="DH57" i="65"/>
  <c r="DH99" i="65"/>
  <c r="DH121" i="65"/>
  <c r="DH142" i="65"/>
  <c r="DH163" i="65"/>
  <c r="DH185" i="65"/>
  <c r="DH206" i="65"/>
  <c r="DH227" i="65"/>
  <c r="DH246" i="65"/>
  <c r="DH262" i="65"/>
  <c r="DH42" i="65"/>
  <c r="DH63" i="65"/>
  <c r="DH85" i="65"/>
  <c r="DH106" i="65"/>
  <c r="DH127" i="65"/>
  <c r="DH149" i="65"/>
  <c r="DH170" i="65"/>
  <c r="DH191" i="65"/>
  <c r="DI213" i="65"/>
  <c r="DH283" i="65"/>
  <c r="DI299" i="65"/>
  <c r="DH331" i="65"/>
  <c r="DH347" i="65"/>
  <c r="DH363" i="65"/>
  <c r="DI379" i="65"/>
  <c r="DH411" i="65"/>
  <c r="DH427" i="65"/>
  <c r="DH459" i="65"/>
  <c r="DH475" i="65"/>
  <c r="DH491" i="65"/>
  <c r="DH15" i="65"/>
  <c r="DH49" i="65"/>
  <c r="DH91" i="65"/>
  <c r="DH134" i="65"/>
  <c r="DH177" i="65"/>
  <c r="DH219" i="65"/>
  <c r="DH256" i="65"/>
  <c r="DH281" i="65"/>
  <c r="DH324" i="65"/>
  <c r="DH345" i="65"/>
  <c r="DH388" i="65"/>
  <c r="DH328" i="65"/>
  <c r="DH370" i="65"/>
  <c r="DH456" i="65"/>
  <c r="DH498" i="65"/>
  <c r="DH304" i="65"/>
  <c r="DH368" i="65"/>
  <c r="DH410" i="65"/>
  <c r="DH432" i="65"/>
  <c r="DH474" i="65"/>
  <c r="DH496" i="65"/>
  <c r="DH517" i="65"/>
  <c r="DH75" i="65"/>
  <c r="DH118" i="65"/>
  <c r="DH161" i="65"/>
  <c r="DH203" i="65"/>
  <c r="DH244" i="65"/>
  <c r="DH316" i="65"/>
  <c r="DH337" i="65"/>
  <c r="DI358" i="65"/>
  <c r="DH380" i="65"/>
  <c r="DI422" i="65"/>
  <c r="DH444" i="65"/>
  <c r="DH465" i="65"/>
  <c r="DI486" i="65"/>
  <c r="DH508" i="65"/>
  <c r="DH10" i="65"/>
  <c r="DH55" i="65"/>
  <c r="DH98" i="65"/>
  <c r="DH183" i="65"/>
  <c r="DH226" i="65"/>
  <c r="DH290" i="65"/>
  <c r="DI365" i="65"/>
  <c r="DI450" i="65"/>
  <c r="DI493" i="65"/>
  <c r="DH31" i="65"/>
  <c r="DH40" i="65"/>
  <c r="DH72" i="65"/>
  <c r="DH104" i="65"/>
  <c r="DH136" i="65"/>
  <c r="DH200" i="65"/>
  <c r="DH62" i="65"/>
  <c r="DH105" i="65"/>
  <c r="DH233" i="65"/>
  <c r="DH69" i="65"/>
  <c r="DH90" i="65"/>
  <c r="DH133" i="65"/>
  <c r="DI197" i="65"/>
  <c r="DH431" i="65"/>
  <c r="DI59" i="65"/>
  <c r="DH286" i="65"/>
  <c r="DH393" i="65"/>
  <c r="DH436" i="65"/>
  <c r="DH103" i="65"/>
  <c r="DH231" i="65"/>
  <c r="DI373" i="65"/>
  <c r="DH416" i="65"/>
  <c r="DH171" i="65"/>
  <c r="DH278" i="65"/>
  <c r="DH364" i="65"/>
  <c r="DH428" i="65"/>
  <c r="DH492" i="65"/>
  <c r="DH16" i="65"/>
  <c r="DH151" i="65"/>
  <c r="DI125" i="65"/>
  <c r="DI167" i="65"/>
  <c r="DI210" i="65"/>
  <c r="DI249" i="65"/>
  <c r="DI277" i="65"/>
  <c r="DI298" i="65"/>
  <c r="DI320" i="65"/>
  <c r="DI384" i="65"/>
  <c r="DI405" i="65"/>
  <c r="DI426" i="65"/>
  <c r="DI448" i="65"/>
  <c r="DI469" i="65"/>
  <c r="DI490" i="65"/>
  <c r="DI512" i="65"/>
  <c r="DI14" i="65"/>
  <c r="DI65" i="65"/>
  <c r="DI107" i="65"/>
  <c r="DI150" i="65"/>
  <c r="DI193" i="65"/>
  <c r="DI235" i="65"/>
  <c r="DI268" i="65"/>
  <c r="DI289" i="65"/>
  <c r="DI310" i="65"/>
  <c r="DI332" i="65"/>
  <c r="DI353" i="65"/>
  <c r="DI374" i="65"/>
  <c r="DI396" i="65"/>
  <c r="DI417" i="65"/>
  <c r="DI438" i="65"/>
  <c r="DI460" i="65"/>
  <c r="DI481" i="65"/>
  <c r="DI502" i="65"/>
  <c r="DI45" i="65"/>
  <c r="DI87" i="65"/>
  <c r="DI130" i="65"/>
  <c r="DI173" i="65"/>
  <c r="DI215" i="65"/>
  <c r="DI253" i="65"/>
  <c r="DI280" i="65"/>
  <c r="DI312" i="65"/>
  <c r="DI354" i="65"/>
  <c r="DI397" i="65"/>
  <c r="DI440" i="65"/>
  <c r="DI482" i="65"/>
  <c r="DI24" i="65"/>
  <c r="DI56" i="65"/>
  <c r="DI88" i="65"/>
  <c r="DI120" i="65"/>
  <c r="DI152" i="65"/>
  <c r="DI184" i="65"/>
  <c r="DI216" i="65"/>
  <c r="DI41" i="65"/>
  <c r="DI83" i="65"/>
  <c r="DI126" i="65"/>
  <c r="DI169" i="65"/>
  <c r="DI250" i="65"/>
  <c r="DI47" i="65"/>
  <c r="DI111" i="65"/>
  <c r="DI154" i="65"/>
  <c r="DI175" i="65"/>
  <c r="DI218" i="65"/>
  <c r="DI255" i="65"/>
  <c r="DI287" i="65"/>
  <c r="DI383" i="65"/>
  <c r="DH415" i="65"/>
  <c r="DI447" i="65"/>
  <c r="DI479" i="65"/>
  <c r="DI511" i="65"/>
  <c r="DI18" i="65"/>
  <c r="DI102" i="65"/>
  <c r="DI264" i="65"/>
  <c r="DI308" i="65"/>
  <c r="DI350" i="65"/>
  <c r="DI372" i="65"/>
  <c r="DI414" i="65"/>
  <c r="DI457" i="65"/>
  <c r="DI500" i="65"/>
  <c r="DI381" i="65"/>
  <c r="DI509" i="65"/>
  <c r="DI61" i="65"/>
  <c r="DI189" i="65"/>
  <c r="DI288" i="65"/>
  <c r="DI352" i="65"/>
  <c r="DI43" i="65"/>
  <c r="DI129" i="65"/>
  <c r="DI214" i="65"/>
  <c r="DI300" i="65"/>
  <c r="DI342" i="65"/>
  <c r="DI406" i="65"/>
  <c r="DI470" i="65"/>
  <c r="DI109" i="65"/>
  <c r="DI269" i="65"/>
  <c r="DI376" i="65"/>
  <c r="DI504" i="65"/>
  <c r="DI27" i="65"/>
  <c r="DI20" i="65"/>
  <c r="DI36" i="65"/>
  <c r="DI52" i="65"/>
  <c r="DI68" i="65"/>
  <c r="DI84" i="65"/>
  <c r="DI100" i="65"/>
  <c r="DI116" i="65"/>
  <c r="DI132" i="65"/>
  <c r="DI148" i="65"/>
  <c r="DI164" i="65"/>
  <c r="DI180" i="65"/>
  <c r="DI196" i="65"/>
  <c r="DI212" i="65"/>
  <c r="DI228" i="65"/>
  <c r="DI33" i="65"/>
  <c r="DI57" i="65"/>
  <c r="DI78" i="65"/>
  <c r="DI99" i="65"/>
  <c r="DI121" i="65"/>
  <c r="DI227" i="65"/>
  <c r="DI246" i="65"/>
  <c r="DI262" i="65"/>
  <c r="DI63" i="65"/>
  <c r="DI149" i="65"/>
  <c r="DI170" i="65"/>
  <c r="DI191" i="65"/>
  <c r="DI251" i="65"/>
  <c r="DH299" i="65"/>
  <c r="DI409" i="65"/>
  <c r="DI452" i="65"/>
  <c r="DI473" i="65"/>
  <c r="DI516" i="65"/>
  <c r="DI413" i="65"/>
  <c r="DI50" i="65"/>
  <c r="DI93" i="65"/>
  <c r="DI135" i="65"/>
  <c r="DI221" i="65"/>
  <c r="DI282" i="65"/>
  <c r="DI325" i="65"/>
  <c r="DI346" i="65"/>
  <c r="DI389" i="65"/>
  <c r="DI453" i="65"/>
  <c r="DI29" i="65"/>
  <c r="DH358" i="65"/>
  <c r="DH486" i="65"/>
  <c r="DI141" i="65"/>
  <c r="DI261" i="65"/>
  <c r="DI266" i="65"/>
  <c r="DH197" i="65"/>
  <c r="DI239" i="65"/>
  <c r="DI271" i="65"/>
  <c r="DI303" i="65"/>
  <c r="DI335" i="65"/>
  <c r="DI367" i="65"/>
  <c r="DI399" i="65"/>
  <c r="DI495" i="65"/>
  <c r="DH59" i="65"/>
  <c r="DI309" i="65"/>
  <c r="DI237" i="65"/>
  <c r="DI333" i="65"/>
  <c r="DI461" i="65"/>
  <c r="DI526" i="65"/>
  <c r="DI528" i="65"/>
  <c r="DI540" i="65"/>
  <c r="DI541" i="65"/>
  <c r="DI543" i="65"/>
  <c r="DI522" i="65"/>
  <c r="DI535" i="65"/>
  <c r="DI530" i="65"/>
  <c r="DI524" i="65"/>
  <c r="DI525" i="65"/>
  <c r="DI537" i="65"/>
  <c r="DI536" i="65"/>
  <c r="DI542" i="65"/>
  <c r="DI534" i="65"/>
  <c r="DH362" i="65"/>
  <c r="DH319" i="65"/>
  <c r="DI415" i="65"/>
  <c r="DH234" i="65"/>
  <c r="DI443" i="65"/>
  <c r="DH178" i="65"/>
  <c r="DH463" i="65"/>
  <c r="DT528" i="65"/>
  <c r="DT541" i="65"/>
  <c r="DT525" i="65"/>
  <c r="DT536" i="65"/>
  <c r="DT542" i="65"/>
  <c r="DT515" i="65"/>
  <c r="DT7" i="65"/>
  <c r="DT441" i="65"/>
  <c r="DT484" i="65"/>
  <c r="DT505" i="65"/>
  <c r="DT349" i="65"/>
  <c r="DT477" i="65"/>
  <c r="DT114" i="65"/>
  <c r="DT157" i="65"/>
  <c r="DT199" i="65"/>
  <c r="DT293" i="65"/>
  <c r="DT314" i="65"/>
  <c r="DT357" i="65"/>
  <c r="DT378" i="65"/>
  <c r="DT421" i="65"/>
  <c r="DT485" i="65"/>
  <c r="DT433" i="65"/>
  <c r="DT497" i="65"/>
  <c r="DT77" i="65"/>
  <c r="DT205" i="65"/>
  <c r="DT245" i="65"/>
  <c r="DT301" i="65"/>
  <c r="DT429" i="65"/>
  <c r="DT330" i="65"/>
  <c r="DT449" i="65"/>
  <c r="DT207" i="65"/>
  <c r="DT229" i="65"/>
  <c r="DT425" i="65"/>
  <c r="DT468" i="65"/>
  <c r="DT489" i="65"/>
  <c r="DT13" i="65"/>
  <c r="DT317" i="65"/>
  <c r="DT445" i="65"/>
  <c r="DT125" i="65"/>
  <c r="DT277" i="65"/>
  <c r="DT298" i="65"/>
  <c r="DT341" i="65"/>
  <c r="DT405" i="65"/>
  <c r="DT469" i="65"/>
  <c r="DT417" i="65"/>
  <c r="DT481" i="65"/>
  <c r="DT45" i="65"/>
  <c r="DT173" i="65"/>
  <c r="DT253" i="65"/>
  <c r="DT397" i="65"/>
  <c r="DT250" i="65"/>
  <c r="DT218" i="65"/>
  <c r="DT255" i="65"/>
  <c r="DT287" i="65"/>
  <c r="DT351" i="65"/>
  <c r="DT383" i="65"/>
  <c r="DT479" i="65"/>
  <c r="DT511" i="65"/>
  <c r="DT457" i="65"/>
  <c r="DT500" i="65"/>
  <c r="DT285" i="65"/>
  <c r="DT381" i="65"/>
  <c r="DT509" i="65"/>
  <c r="DT61" i="65"/>
  <c r="DT189" i="65"/>
  <c r="DT437" i="65"/>
  <c r="DT109" i="65"/>
  <c r="DT269" i="65"/>
  <c r="DT213" i="65"/>
  <c r="DT409" i="65"/>
  <c r="DT452" i="65"/>
  <c r="DT473" i="65"/>
  <c r="DT516" i="65"/>
  <c r="DT413" i="65"/>
  <c r="DT50" i="65"/>
  <c r="DT93" i="65"/>
  <c r="DT135" i="65"/>
  <c r="DT221" i="65"/>
  <c r="DT282" i="65"/>
  <c r="DT325" i="65"/>
  <c r="DT346" i="65"/>
  <c r="DT389" i="65"/>
  <c r="DT453" i="65"/>
  <c r="DT29" i="65"/>
  <c r="DT141" i="65"/>
  <c r="DT261" i="65"/>
  <c r="DT365" i="65"/>
  <c r="DT493" i="65"/>
  <c r="DT266" i="65"/>
  <c r="DT239" i="65"/>
  <c r="DT271" i="65"/>
  <c r="DT303" i="65"/>
  <c r="DT335" i="65"/>
  <c r="DT367" i="65"/>
  <c r="DT399" i="65"/>
  <c r="DT495" i="65"/>
  <c r="DT309" i="65"/>
  <c r="DT373" i="65"/>
  <c r="DT237" i="65"/>
  <c r="DT333" i="65"/>
  <c r="DT520" i="65"/>
  <c r="DT532" i="65"/>
  <c r="DT544" i="65"/>
  <c r="DT543" i="65"/>
  <c r="DT535" i="65"/>
  <c r="DT501" i="65"/>
  <c r="DT465" i="65"/>
  <c r="DT527" i="65"/>
  <c r="DT461" i="65"/>
  <c r="DT526" i="65"/>
  <c r="DT531" i="65"/>
  <c r="DT519" i="65"/>
  <c r="DT523" i="65"/>
  <c r="DT545" i="65"/>
  <c r="DT529" i="65"/>
  <c r="DT35" i="65"/>
  <c r="DT323" i="65"/>
  <c r="DT435" i="65"/>
  <c r="DT451" i="65"/>
  <c r="DT30" i="65"/>
  <c r="DT274" i="65"/>
  <c r="DT252" i="65"/>
  <c r="DT115" i="65"/>
  <c r="DT158" i="65"/>
  <c r="DT222" i="65"/>
  <c r="DT279" i="65"/>
  <c r="DT295" i="65"/>
  <c r="DT423" i="65"/>
  <c r="DT166" i="65"/>
  <c r="DT402" i="65"/>
  <c r="DT14" i="65"/>
  <c r="DT310" i="65"/>
  <c r="DT374" i="65"/>
  <c r="DT438" i="65"/>
  <c r="DT502" i="65"/>
  <c r="DT350" i="65"/>
  <c r="DT352" i="65"/>
  <c r="DT78" i="65"/>
  <c r="DT251" i="65"/>
  <c r="DT267" i="65"/>
  <c r="DT395" i="65"/>
  <c r="DT507" i="65"/>
  <c r="DT302" i="65"/>
  <c r="DT366" i="65"/>
  <c r="DT430" i="65"/>
  <c r="DT494" i="65"/>
  <c r="DT5" i="65"/>
  <c r="DT294" i="65"/>
  <c r="DT322" i="65"/>
  <c r="DT408" i="65"/>
  <c r="DT168" i="65"/>
  <c r="DT232" i="65"/>
  <c r="DT147" i="65"/>
  <c r="DT190" i="65"/>
  <c r="DT230" i="65"/>
  <c r="DT478" i="65"/>
  <c r="DT338" i="65"/>
  <c r="DT466" i="65"/>
  <c r="DT480" i="65"/>
  <c r="DT518" i="65"/>
  <c r="DT538" i="65"/>
  <c r="DT19" i="65"/>
  <c r="DT28" i="65"/>
  <c r="DT76" i="65"/>
  <c r="DT124" i="65"/>
  <c r="DT156" i="65"/>
  <c r="DT188" i="65"/>
  <c r="DT236" i="65"/>
  <c r="DT67" i="65"/>
  <c r="DT110" i="65"/>
  <c r="DT153" i="65"/>
  <c r="DT195" i="65"/>
  <c r="DT238" i="65"/>
  <c r="DT26" i="65"/>
  <c r="DT74" i="65"/>
  <c r="DT138" i="65"/>
  <c r="DT202" i="65"/>
  <c r="DT259" i="65"/>
  <c r="DT291" i="65"/>
  <c r="DT355" i="65"/>
  <c r="DT371" i="65"/>
  <c r="DT387" i="65"/>
  <c r="DT419" i="65"/>
  <c r="DT467" i="65"/>
  <c r="DT499" i="65"/>
  <c r="DT70" i="65"/>
  <c r="DT155" i="65"/>
  <c r="DT240" i="65"/>
  <c r="DT313" i="65"/>
  <c r="DT356" i="65"/>
  <c r="DT398" i="65"/>
  <c r="DT462" i="65"/>
  <c r="DT8" i="65"/>
  <c r="DT392" i="65"/>
  <c r="DT22" i="65"/>
  <c r="DT272" i="65"/>
  <c r="DT400" i="65"/>
  <c r="DT442" i="65"/>
  <c r="DT464" i="65"/>
  <c r="DT506" i="65"/>
  <c r="DT9" i="65"/>
  <c r="DT54" i="65"/>
  <c r="DT97" i="65"/>
  <c r="DT139" i="65"/>
  <c r="DT182" i="65"/>
  <c r="DT260" i="65"/>
  <c r="DT284" i="65"/>
  <c r="DT305" i="65"/>
  <c r="DT326" i="65"/>
  <c r="DT348" i="65"/>
  <c r="DT369" i="65"/>
  <c r="DT390" i="65"/>
  <c r="DT412" i="65"/>
  <c r="DT454" i="65"/>
  <c r="DT476" i="65"/>
  <c r="DT119" i="65"/>
  <c r="DT162" i="65"/>
  <c r="DT344" i="65"/>
  <c r="DT472" i="65"/>
  <c r="DT17" i="65"/>
  <c r="DT424" i="65"/>
  <c r="DT12" i="65"/>
  <c r="DT146" i="65"/>
  <c r="DT86" i="65"/>
  <c r="DT321" i="65"/>
  <c r="DT385" i="65"/>
  <c r="DT513" i="65"/>
  <c r="DT66" i="65"/>
  <c r="DT194" i="65"/>
  <c r="DT296" i="65"/>
  <c r="DT418" i="65"/>
  <c r="DT6" i="65"/>
  <c r="DT23" i="65"/>
  <c r="DT39" i="65"/>
  <c r="DT32" i="65"/>
  <c r="DT48" i="65"/>
  <c r="DT64" i="65"/>
  <c r="DT80" i="65"/>
  <c r="DT96" i="65"/>
  <c r="DT112" i="65"/>
  <c r="DT128" i="65"/>
  <c r="DT144" i="65"/>
  <c r="DT160" i="65"/>
  <c r="DT176" i="65"/>
  <c r="DT192" i="65"/>
  <c r="DT208" i="65"/>
  <c r="DT224" i="65"/>
  <c r="DT25" i="65"/>
  <c r="DT51" i="65"/>
  <c r="DT73" i="65"/>
  <c r="DT94" i="65"/>
  <c r="DT137" i="65"/>
  <c r="DT179" i="65"/>
  <c r="DT242" i="65"/>
  <c r="DT258" i="65"/>
  <c r="DT34" i="65"/>
  <c r="DT58" i="65"/>
  <c r="DT79" i="65"/>
  <c r="DT122" i="65"/>
  <c r="DT143" i="65"/>
  <c r="DT186" i="65"/>
  <c r="DT247" i="65"/>
  <c r="DT263" i="65"/>
  <c r="DT311" i="65"/>
  <c r="DT327" i="65"/>
  <c r="DT343" i="65"/>
  <c r="DT359" i="65"/>
  <c r="DT375" i="65"/>
  <c r="DT391" i="65"/>
  <c r="DT439" i="65"/>
  <c r="DT455" i="65"/>
  <c r="DT487" i="65"/>
  <c r="DT503" i="65"/>
  <c r="DT11" i="65"/>
  <c r="DT37" i="65"/>
  <c r="DT209" i="65"/>
  <c r="DT248" i="65"/>
  <c r="DT276" i="65"/>
  <c r="DT318" i="65"/>
  <c r="DT340" i="65"/>
  <c r="DT361" i="65"/>
  <c r="DT382" i="65"/>
  <c r="DT404" i="65"/>
  <c r="DT446" i="65"/>
  <c r="DT510" i="65"/>
  <c r="DT360" i="65"/>
  <c r="DT488" i="65"/>
  <c r="DT38" i="65"/>
  <c r="DT82" i="65"/>
  <c r="DT167" i="65"/>
  <c r="DT210" i="65"/>
  <c r="DT249" i="65"/>
  <c r="DT320" i="65"/>
  <c r="DT384" i="65"/>
  <c r="DT426" i="65"/>
  <c r="DT448" i="65"/>
  <c r="DT490" i="65"/>
  <c r="DT512" i="65"/>
  <c r="DT65" i="65"/>
  <c r="DT107" i="65"/>
  <c r="DT150" i="65"/>
  <c r="DT193" i="65"/>
  <c r="DT235" i="65"/>
  <c r="DT268" i="65"/>
  <c r="DT289" i="65"/>
  <c r="DT332" i="65"/>
  <c r="DT353" i="65"/>
  <c r="DT396" i="65"/>
  <c r="DT460" i="65"/>
  <c r="DT87" i="65"/>
  <c r="DT130" i="65"/>
  <c r="DT215" i="65"/>
  <c r="DT280" i="65"/>
  <c r="DT312" i="65"/>
  <c r="DT354" i="65"/>
  <c r="DT440" i="65"/>
  <c r="DT482" i="65"/>
  <c r="DT24" i="65"/>
  <c r="DT56" i="65"/>
  <c r="DT88" i="65"/>
  <c r="DT120" i="65"/>
  <c r="DT152" i="65"/>
  <c r="DT184" i="65"/>
  <c r="DT216" i="65"/>
  <c r="DT41" i="65"/>
  <c r="DT83" i="65"/>
  <c r="DT126" i="65"/>
  <c r="DT169" i="65"/>
  <c r="DT47" i="65"/>
  <c r="DT111" i="65"/>
  <c r="DT154" i="65"/>
  <c r="DT175" i="65"/>
  <c r="DT447" i="65"/>
  <c r="DT18" i="65"/>
  <c r="DT102" i="65"/>
  <c r="DT264" i="65"/>
  <c r="DT308" i="65"/>
  <c r="DT372" i="65"/>
  <c r="DT414" i="65"/>
  <c r="DT288" i="65"/>
  <c r="DT43" i="65"/>
  <c r="DT129" i="65"/>
  <c r="DT214" i="65"/>
  <c r="DT300" i="65"/>
  <c r="DT342" i="65"/>
  <c r="DT406" i="65"/>
  <c r="DT470" i="65"/>
  <c r="DT376" i="65"/>
  <c r="DT504" i="65"/>
  <c r="DT27" i="65"/>
  <c r="DT20" i="65"/>
  <c r="DT36" i="65"/>
  <c r="DT52" i="65"/>
  <c r="DT68" i="65"/>
  <c r="DT84" i="65"/>
  <c r="DT100" i="65"/>
  <c r="DT116" i="65"/>
  <c r="DT132" i="65"/>
  <c r="DT148" i="65"/>
  <c r="DT164" i="65"/>
  <c r="DT180" i="65"/>
  <c r="DT196" i="65"/>
  <c r="DT212" i="65"/>
  <c r="DT228" i="65"/>
  <c r="DT33" i="65"/>
  <c r="DT57" i="65"/>
  <c r="DT99" i="65"/>
  <c r="DT121" i="65"/>
  <c r="DT142" i="65"/>
  <c r="DT163" i="65"/>
  <c r="DT185" i="65"/>
  <c r="DT206" i="65"/>
  <c r="DT227" i="65"/>
  <c r="DT246" i="65"/>
  <c r="DT262" i="65"/>
  <c r="DT42" i="65"/>
  <c r="DT63" i="65"/>
  <c r="DT85" i="65"/>
  <c r="DT106" i="65"/>
  <c r="DT127" i="65"/>
  <c r="DT149" i="65"/>
  <c r="DT170" i="65"/>
  <c r="DT191" i="65"/>
  <c r="DT283" i="65"/>
  <c r="DT331" i="65"/>
  <c r="DT347" i="65"/>
  <c r="DT363" i="65"/>
  <c r="DT411" i="65"/>
  <c r="DT427" i="65"/>
  <c r="DT459" i="65"/>
  <c r="DT475" i="65"/>
  <c r="DT491" i="65"/>
  <c r="DT15" i="65"/>
  <c r="DT49" i="65"/>
  <c r="DT91" i="65"/>
  <c r="DT134" i="65"/>
  <c r="DT177" i="65"/>
  <c r="DT219" i="65"/>
  <c r="DT256" i="65"/>
  <c r="DT281" i="65"/>
  <c r="DT324" i="65"/>
  <c r="DT345" i="65"/>
  <c r="DT388" i="65"/>
  <c r="DT328" i="65"/>
  <c r="DT370" i="65"/>
  <c r="DT456" i="65"/>
  <c r="DT498" i="65"/>
  <c r="DT304" i="65"/>
  <c r="DT368" i="65"/>
  <c r="DT410" i="65"/>
  <c r="DT432" i="65"/>
  <c r="DT474" i="65"/>
  <c r="DT496" i="65"/>
  <c r="DT517" i="65"/>
  <c r="DT75" i="65"/>
  <c r="DT118" i="65"/>
  <c r="DT161" i="65"/>
  <c r="DT203" i="65"/>
  <c r="DT244" i="65"/>
  <c r="DT316" i="65"/>
  <c r="DT337" i="65"/>
  <c r="DT380" i="65"/>
  <c r="DT444" i="65"/>
  <c r="DT508" i="65"/>
  <c r="DT10" i="65"/>
  <c r="DT55" i="65"/>
  <c r="DT98" i="65"/>
  <c r="DT183" i="65"/>
  <c r="DT226" i="65"/>
  <c r="DT290" i="65"/>
  <c r="DT31" i="65"/>
  <c r="DT40" i="65"/>
  <c r="DT72" i="65"/>
  <c r="DT104" i="65"/>
  <c r="DT136" i="65"/>
  <c r="DT200" i="65"/>
  <c r="DT62" i="65"/>
  <c r="DT105" i="65"/>
  <c r="DT233" i="65"/>
  <c r="DT69" i="65"/>
  <c r="DT90" i="65"/>
  <c r="DT133" i="65"/>
  <c r="DT431" i="65"/>
  <c r="DT286" i="65"/>
  <c r="DT393" i="65"/>
  <c r="DT436" i="65"/>
  <c r="DT103" i="65"/>
  <c r="DT231" i="65"/>
  <c r="DT416" i="65"/>
  <c r="DT171" i="65"/>
  <c r="DT278" i="65"/>
  <c r="DT364" i="65"/>
  <c r="DT428" i="65"/>
  <c r="DT492" i="65"/>
  <c r="DT16" i="65"/>
  <c r="DT151" i="65"/>
  <c r="DT483" i="65"/>
  <c r="DT21" i="65"/>
  <c r="DT113" i="65"/>
  <c r="DT198" i="65"/>
  <c r="DT270" i="65"/>
  <c r="DT292" i="65"/>
  <c r="DT334" i="65"/>
  <c r="DT377" i="65"/>
  <c r="DT420" i="65"/>
  <c r="DT306" i="65"/>
  <c r="DT434" i="65"/>
  <c r="DT241" i="65"/>
  <c r="DT336" i="65"/>
  <c r="DT225" i="65"/>
  <c r="DT540" i="65"/>
  <c r="DT539" i="65"/>
  <c r="DT521" i="65"/>
  <c r="DT522" i="65"/>
  <c r="DT530" i="65"/>
  <c r="DT524" i="65"/>
  <c r="DT537" i="65"/>
  <c r="DT534" i="65"/>
  <c r="DT117" i="65"/>
  <c r="DT181" i="65"/>
  <c r="DT243" i="65"/>
  <c r="DT307" i="65"/>
  <c r="DT339" i="65"/>
  <c r="DT386" i="65"/>
  <c r="DT514" i="65"/>
  <c r="DT265" i="65"/>
  <c r="DT458" i="65"/>
  <c r="DT201" i="65"/>
  <c r="DT101" i="65"/>
  <c r="DT165" i="65"/>
  <c r="DT407" i="65"/>
  <c r="DT471" i="65"/>
  <c r="DT81" i="65"/>
  <c r="DT123" i="65"/>
  <c r="DT297" i="65"/>
  <c r="DT211" i="65"/>
  <c r="DT415" i="65"/>
  <c r="DT187" i="65"/>
  <c r="DT299" i="65"/>
  <c r="DT315" i="65"/>
  <c r="DT379" i="65"/>
  <c r="DT443" i="65"/>
  <c r="DT257" i="65"/>
  <c r="DT273" i="65"/>
  <c r="DT358" i="65"/>
  <c r="DT401" i="65"/>
  <c r="DT422" i="65"/>
  <c r="DT486" i="65"/>
  <c r="DT450" i="65"/>
  <c r="DT197" i="65"/>
  <c r="DT59" i="65"/>
  <c r="DT145" i="65"/>
  <c r="DT329" i="65"/>
  <c r="DT44" i="65"/>
  <c r="DT60" i="65"/>
  <c r="DT92" i="65"/>
  <c r="DT108" i="65"/>
  <c r="DT140" i="65"/>
  <c r="DT172" i="65"/>
  <c r="DT204" i="65"/>
  <c r="DT220" i="65"/>
  <c r="DT46" i="65"/>
  <c r="DT89" i="65"/>
  <c r="DT131" i="65"/>
  <c r="DT174" i="65"/>
  <c r="DT217" i="65"/>
  <c r="DT254" i="65"/>
  <c r="DT53" i="65"/>
  <c r="DT95" i="65"/>
  <c r="DT159" i="65"/>
  <c r="DT275" i="65"/>
  <c r="DT403" i="65"/>
  <c r="DT533" i="65"/>
  <c r="DT223" i="65"/>
  <c r="DT71" i="65"/>
  <c r="DT394" i="65"/>
  <c r="DT362" i="65"/>
  <c r="DT319" i="65"/>
  <c r="DT234" i="65"/>
  <c r="DT178" i="65"/>
  <c r="DT463" i="65"/>
  <c r="CR540" i="65"/>
  <c r="DL540" i="65"/>
  <c r="DM540" i="65"/>
  <c r="CR543" i="65"/>
  <c r="DM543" i="65"/>
  <c r="DL543" i="65"/>
  <c r="DM524" i="65"/>
  <c r="DL524" i="65"/>
  <c r="CR223" i="65"/>
  <c r="DM223" i="65"/>
  <c r="DL223" i="65"/>
  <c r="CR323" i="65"/>
  <c r="DM323" i="65"/>
  <c r="DL323" i="65"/>
  <c r="CR435" i="65"/>
  <c r="DM435" i="65"/>
  <c r="DL435" i="65"/>
  <c r="CR71" i="65"/>
  <c r="DM71" i="65"/>
  <c r="DL71" i="65"/>
  <c r="CS30" i="65"/>
  <c r="DM30" i="65"/>
  <c r="DL30" i="65"/>
  <c r="CR514" i="65"/>
  <c r="DM514" i="65"/>
  <c r="DL514" i="65"/>
  <c r="CR394" i="65"/>
  <c r="DM394" i="65"/>
  <c r="DL394" i="65"/>
  <c r="CW81" i="65"/>
  <c r="CV81" i="65"/>
  <c r="CW123" i="65"/>
  <c r="CV123" i="65"/>
  <c r="DM402" i="65"/>
  <c r="DL402" i="65"/>
  <c r="DM362" i="65"/>
  <c r="DL362" i="65"/>
  <c r="DL14" i="65"/>
  <c r="DM14" i="65"/>
  <c r="CR374" i="65"/>
  <c r="DM374" i="65"/>
  <c r="DL374" i="65"/>
  <c r="CR502" i="65"/>
  <c r="DM502" i="65"/>
  <c r="DL502" i="65"/>
  <c r="CR211" i="65"/>
  <c r="DM211" i="65"/>
  <c r="DL211" i="65"/>
  <c r="CR350" i="65"/>
  <c r="DM350" i="65"/>
  <c r="DL350" i="65"/>
  <c r="DL541" i="65"/>
  <c r="DM541" i="65"/>
  <c r="CR535" i="65"/>
  <c r="DM535" i="65"/>
  <c r="DL535" i="65"/>
  <c r="DL533" i="65"/>
  <c r="DM533" i="65"/>
  <c r="CR35" i="65"/>
  <c r="DM35" i="65"/>
  <c r="DL35" i="65"/>
  <c r="CR307" i="65"/>
  <c r="DM307" i="65"/>
  <c r="DL307" i="65"/>
  <c r="CR451" i="65"/>
  <c r="DM451" i="65"/>
  <c r="DL451" i="65"/>
  <c r="CS274" i="65"/>
  <c r="DL274" i="65"/>
  <c r="DM274" i="65"/>
  <c r="CW458" i="65"/>
  <c r="CV458" i="65"/>
  <c r="CS252" i="65"/>
  <c r="DL252" i="65"/>
  <c r="DM252" i="65"/>
  <c r="CR115" i="65"/>
  <c r="DM115" i="65"/>
  <c r="DL115" i="65"/>
  <c r="CR158" i="65"/>
  <c r="DM158" i="65"/>
  <c r="DL158" i="65"/>
  <c r="CW201" i="65"/>
  <c r="CV201" i="65"/>
  <c r="CS222" i="65"/>
  <c r="DM222" i="65"/>
  <c r="DL222" i="65"/>
  <c r="CW101" i="65"/>
  <c r="CV101" i="65"/>
  <c r="CW165" i="65"/>
  <c r="CV165" i="65"/>
  <c r="DM279" i="65"/>
  <c r="DL279" i="65"/>
  <c r="CS295" i="65"/>
  <c r="DM295" i="65"/>
  <c r="DL295" i="65"/>
  <c r="DM407" i="65"/>
  <c r="DL407" i="65"/>
  <c r="CS423" i="65"/>
  <c r="DL423" i="65"/>
  <c r="DM423" i="65"/>
  <c r="DL166" i="65"/>
  <c r="DM166" i="65"/>
  <c r="DL310" i="65"/>
  <c r="DM310" i="65"/>
  <c r="DM438" i="65"/>
  <c r="DL438" i="65"/>
  <c r="CR319" i="65"/>
  <c r="DM319" i="65"/>
  <c r="DL319" i="65"/>
  <c r="CS415" i="65"/>
  <c r="DM415" i="65"/>
  <c r="DL415" i="65"/>
  <c r="CS187" i="65"/>
  <c r="DM187" i="65"/>
  <c r="DL187" i="65"/>
  <c r="DL352" i="65"/>
  <c r="DM352" i="65"/>
  <c r="CW501" i="65"/>
  <c r="CV501" i="65"/>
  <c r="DM78" i="65"/>
  <c r="DL78" i="65"/>
  <c r="DM234" i="65"/>
  <c r="DL234" i="65"/>
  <c r="DM251" i="65"/>
  <c r="DL251" i="65"/>
  <c r="CS267" i="65"/>
  <c r="DM267" i="65"/>
  <c r="DL267" i="65"/>
  <c r="CW315" i="65"/>
  <c r="CV315" i="65"/>
  <c r="DL379" i="65"/>
  <c r="DM379" i="65"/>
  <c r="CS395" i="65"/>
  <c r="DL395" i="65"/>
  <c r="DM395" i="65"/>
  <c r="DL443" i="65"/>
  <c r="DM443" i="65"/>
  <c r="DL507" i="65"/>
  <c r="DM507" i="65"/>
  <c r="DL302" i="65"/>
  <c r="DM302" i="65"/>
  <c r="DM366" i="65"/>
  <c r="DL366" i="65"/>
  <c r="DM430" i="65"/>
  <c r="DL430" i="65"/>
  <c r="DM494" i="65"/>
  <c r="DL494" i="65"/>
  <c r="DM5" i="65"/>
  <c r="DL5" i="65"/>
  <c r="DM178" i="65"/>
  <c r="DL178" i="65"/>
  <c r="CW257" i="65"/>
  <c r="CV257" i="65"/>
  <c r="CW273" i="65"/>
  <c r="CV273" i="65"/>
  <c r="DL294" i="65"/>
  <c r="DM294" i="65"/>
  <c r="CW401" i="65"/>
  <c r="CV401" i="65"/>
  <c r="DM422" i="65"/>
  <c r="DL422" i="65"/>
  <c r="CW465" i="65"/>
  <c r="CV465" i="65"/>
  <c r="DM322" i="65"/>
  <c r="DL322" i="65"/>
  <c r="CS408" i="65"/>
  <c r="DM408" i="65"/>
  <c r="DL408" i="65"/>
  <c r="DM450" i="65"/>
  <c r="DL450" i="65"/>
  <c r="CS168" i="65"/>
  <c r="DM168" i="65"/>
  <c r="DL168" i="65"/>
  <c r="DL232" i="65"/>
  <c r="DM232" i="65"/>
  <c r="DM147" i="65"/>
  <c r="DL147" i="65"/>
  <c r="DM190" i="65"/>
  <c r="DL190" i="65"/>
  <c r="CR463" i="65"/>
  <c r="DM463" i="65"/>
  <c r="DL463" i="65"/>
  <c r="CW145" i="65"/>
  <c r="CV145" i="65"/>
  <c r="CR230" i="65"/>
  <c r="DL230" i="65"/>
  <c r="DM230" i="65"/>
  <c r="CW329" i="65"/>
  <c r="CV329" i="65"/>
  <c r="CR478" i="65"/>
  <c r="DM478" i="65"/>
  <c r="DL478" i="65"/>
  <c r="CR338" i="65"/>
  <c r="DM338" i="65"/>
  <c r="DL338" i="65"/>
  <c r="CR466" i="65"/>
  <c r="DM466" i="65"/>
  <c r="DL466" i="65"/>
  <c r="DL480" i="65"/>
  <c r="DM480" i="65"/>
  <c r="CV531" i="65"/>
  <c r="CW531" i="65"/>
  <c r="CV520" i="65"/>
  <c r="CW520" i="65"/>
  <c r="CW518" i="65"/>
  <c r="CV518" i="65"/>
  <c r="CW539" i="65"/>
  <c r="CV539" i="65"/>
  <c r="CW529" i="65"/>
  <c r="CV529" i="65"/>
  <c r="CW521" i="65"/>
  <c r="CV521" i="65"/>
  <c r="CV519" i="65"/>
  <c r="CW519" i="65"/>
  <c r="CV532" i="65"/>
  <c r="CW532" i="65"/>
  <c r="CW533" i="65"/>
  <c r="CV533" i="65"/>
  <c r="CW545" i="65"/>
  <c r="CV545" i="65"/>
  <c r="CW523" i="65"/>
  <c r="CV523" i="65"/>
  <c r="CW538" i="65"/>
  <c r="CV538" i="65"/>
  <c r="CW527" i="65"/>
  <c r="CV527" i="65"/>
  <c r="CV544" i="65"/>
  <c r="CW544" i="65"/>
  <c r="CR531" i="65"/>
  <c r="DM531" i="65"/>
  <c r="DL531" i="65"/>
  <c r="DL521" i="65"/>
  <c r="DM521" i="65"/>
  <c r="CR519" i="65"/>
  <c r="DL519" i="65"/>
  <c r="DM519" i="65"/>
  <c r="CR525" i="65"/>
  <c r="DL525" i="65"/>
  <c r="DM525" i="65"/>
  <c r="DM527" i="65"/>
  <c r="DL527" i="65"/>
  <c r="CR534" i="65"/>
  <c r="DM534" i="65"/>
  <c r="DL534" i="65"/>
  <c r="CW181" i="65"/>
  <c r="CV181" i="65"/>
  <c r="CW429" i="65"/>
  <c r="CV429" i="65"/>
  <c r="CV514" i="65"/>
  <c r="CW514" i="65"/>
  <c r="CW229" i="65"/>
  <c r="CV229" i="65"/>
  <c r="CV407" i="65"/>
  <c r="CW407" i="65"/>
  <c r="CV471" i="65"/>
  <c r="CW471" i="65"/>
  <c r="CW341" i="65"/>
  <c r="CV341" i="65"/>
  <c r="CV211" i="65"/>
  <c r="CW211" i="65"/>
  <c r="CW187" i="65"/>
  <c r="CV187" i="65"/>
  <c r="CW437" i="65"/>
  <c r="CV437" i="65"/>
  <c r="CW213" i="65"/>
  <c r="CV213" i="65"/>
  <c r="CW358" i="65"/>
  <c r="CV358" i="65"/>
  <c r="CW422" i="65"/>
  <c r="CV422" i="65"/>
  <c r="CW486" i="65"/>
  <c r="CV486" i="65"/>
  <c r="CW365" i="65"/>
  <c r="CV365" i="65"/>
  <c r="CV450" i="65"/>
  <c r="CW450" i="65"/>
  <c r="CW493" i="65"/>
  <c r="CV493" i="65"/>
  <c r="CW197" i="65"/>
  <c r="CV197" i="65"/>
  <c r="CW59" i="65"/>
  <c r="CV59" i="65"/>
  <c r="CW373" i="65"/>
  <c r="CV373" i="65"/>
  <c r="CR526" i="65"/>
  <c r="DM526" i="65"/>
  <c r="DL526" i="65"/>
  <c r="CR528" i="65"/>
  <c r="DL528" i="65"/>
  <c r="DM528" i="65"/>
  <c r="DL545" i="65"/>
  <c r="DM545" i="65"/>
  <c r="CR529" i="65"/>
  <c r="DL529" i="65"/>
  <c r="DM529" i="65"/>
  <c r="DM536" i="65"/>
  <c r="DL536" i="65"/>
  <c r="CW19" i="65"/>
  <c r="CV19" i="65"/>
  <c r="CW35" i="65"/>
  <c r="CV35" i="65"/>
  <c r="CW28" i="65"/>
  <c r="CV28" i="65"/>
  <c r="CW44" i="65"/>
  <c r="CV44" i="65"/>
  <c r="CW60" i="65"/>
  <c r="CV60" i="65"/>
  <c r="CW76" i="65"/>
  <c r="CV76" i="65"/>
  <c r="CW92" i="65"/>
  <c r="CV92" i="65"/>
  <c r="CW108" i="65"/>
  <c r="CV108" i="65"/>
  <c r="CW124" i="65"/>
  <c r="CV124" i="65"/>
  <c r="CW140" i="65"/>
  <c r="CV140" i="65"/>
  <c r="CW156" i="65"/>
  <c r="CV156" i="65"/>
  <c r="CV172" i="65"/>
  <c r="CW172" i="65"/>
  <c r="CV188" i="65"/>
  <c r="CW188" i="65"/>
  <c r="CV204" i="65"/>
  <c r="CW204" i="65"/>
  <c r="CV220" i="65"/>
  <c r="CW220" i="65"/>
  <c r="CV236" i="65"/>
  <c r="CW236" i="65"/>
  <c r="CW46" i="65"/>
  <c r="CV46" i="65"/>
  <c r="CW67" i="65"/>
  <c r="CV67" i="65"/>
  <c r="CW89" i="65"/>
  <c r="CV89" i="65"/>
  <c r="CW110" i="65"/>
  <c r="CV110" i="65"/>
  <c r="CW131" i="65"/>
  <c r="CV131" i="65"/>
  <c r="CW153" i="65"/>
  <c r="CV153" i="65"/>
  <c r="CV174" i="65"/>
  <c r="CW174" i="65"/>
  <c r="CV195" i="65"/>
  <c r="CW195" i="65"/>
  <c r="CW217" i="65"/>
  <c r="CV217" i="65"/>
  <c r="CV238" i="65"/>
  <c r="CW238" i="65"/>
  <c r="CV254" i="65"/>
  <c r="CW254" i="65"/>
  <c r="CV26" i="65"/>
  <c r="CW26" i="65"/>
  <c r="CW53" i="65"/>
  <c r="CV53" i="65"/>
  <c r="CW74" i="65"/>
  <c r="CV74" i="65"/>
  <c r="CW95" i="65"/>
  <c r="CV95" i="65"/>
  <c r="CW138" i="65"/>
  <c r="CV138" i="65"/>
  <c r="CW159" i="65"/>
  <c r="CV159" i="65"/>
  <c r="CW202" i="65"/>
  <c r="CV202" i="65"/>
  <c r="CW223" i="65"/>
  <c r="CV223" i="65"/>
  <c r="CV259" i="65"/>
  <c r="CW259" i="65"/>
  <c r="CV275" i="65"/>
  <c r="CW275" i="65"/>
  <c r="CV291" i="65"/>
  <c r="CW291" i="65"/>
  <c r="CV323" i="65"/>
  <c r="CW323" i="65"/>
  <c r="CV355" i="65"/>
  <c r="CW355" i="65"/>
  <c r="CV371" i="65"/>
  <c r="CW371" i="65"/>
  <c r="CV387" i="65"/>
  <c r="CW387" i="65"/>
  <c r="CV403" i="65"/>
  <c r="CW403" i="65"/>
  <c r="CV419" i="65"/>
  <c r="CW419" i="65"/>
  <c r="CV435" i="65"/>
  <c r="CW435" i="65"/>
  <c r="CV451" i="65"/>
  <c r="CW451" i="65"/>
  <c r="CV467" i="65"/>
  <c r="CW467" i="65"/>
  <c r="CV483" i="65"/>
  <c r="CW483" i="65"/>
  <c r="CV499" i="65"/>
  <c r="CW499" i="65"/>
  <c r="CV515" i="65"/>
  <c r="CW515" i="65"/>
  <c r="CV7" i="65"/>
  <c r="CW7" i="65"/>
  <c r="CW21" i="65"/>
  <c r="CV21" i="65"/>
  <c r="CW70" i="65"/>
  <c r="CV70" i="65"/>
  <c r="CW113" i="65"/>
  <c r="CV113" i="65"/>
  <c r="CW155" i="65"/>
  <c r="CV155" i="65"/>
  <c r="CW198" i="65"/>
  <c r="CV198" i="65"/>
  <c r="CV240" i="65"/>
  <c r="CW240" i="65"/>
  <c r="CV270" i="65"/>
  <c r="CW270" i="65"/>
  <c r="CV292" i="65"/>
  <c r="CW292" i="65"/>
  <c r="CW313" i="65"/>
  <c r="CV313" i="65"/>
  <c r="CV334" i="65"/>
  <c r="CW334" i="65"/>
  <c r="CV356" i="65"/>
  <c r="CW356" i="65"/>
  <c r="CW377" i="65"/>
  <c r="CV377" i="65"/>
  <c r="CV398" i="65"/>
  <c r="CW398" i="65"/>
  <c r="CV420" i="65"/>
  <c r="CW420" i="65"/>
  <c r="CW441" i="65"/>
  <c r="CV441" i="65"/>
  <c r="CV462" i="65"/>
  <c r="CW462" i="65"/>
  <c r="CV484" i="65"/>
  <c r="CW484" i="65"/>
  <c r="CW505" i="65"/>
  <c r="CV505" i="65"/>
  <c r="CW8" i="65"/>
  <c r="CV8" i="65"/>
  <c r="CV306" i="65"/>
  <c r="CW306" i="65"/>
  <c r="CW349" i="65"/>
  <c r="CV349" i="65"/>
  <c r="CV392" i="65"/>
  <c r="CW392" i="65"/>
  <c r="CV434" i="65"/>
  <c r="CW434" i="65"/>
  <c r="CW477" i="65"/>
  <c r="CV477" i="65"/>
  <c r="CW22" i="65"/>
  <c r="CV22" i="65"/>
  <c r="CV71" i="65"/>
  <c r="CW71" i="65"/>
  <c r="CV114" i="65"/>
  <c r="CW114" i="65"/>
  <c r="CV157" i="65"/>
  <c r="CW157" i="65"/>
  <c r="CV199" i="65"/>
  <c r="CW199" i="65"/>
  <c r="CW241" i="65"/>
  <c r="CV241" i="65"/>
  <c r="CV272" i="65"/>
  <c r="CW272" i="65"/>
  <c r="CW293" i="65"/>
  <c r="CV293" i="65"/>
  <c r="CW314" i="65"/>
  <c r="CV314" i="65"/>
  <c r="CV336" i="65"/>
  <c r="CW336" i="65"/>
  <c r="CW357" i="65"/>
  <c r="CV357" i="65"/>
  <c r="CW378" i="65"/>
  <c r="CV378" i="65"/>
  <c r="CV400" i="65"/>
  <c r="CW400" i="65"/>
  <c r="CW421" i="65"/>
  <c r="CV421" i="65"/>
  <c r="CW442" i="65"/>
  <c r="CV442" i="65"/>
  <c r="CV464" i="65"/>
  <c r="CW464" i="65"/>
  <c r="CW485" i="65"/>
  <c r="CV485" i="65"/>
  <c r="CW506" i="65"/>
  <c r="CV506" i="65"/>
  <c r="CW9" i="65"/>
  <c r="CV9" i="65"/>
  <c r="CW54" i="65"/>
  <c r="CV54" i="65"/>
  <c r="CW97" i="65"/>
  <c r="CV97" i="65"/>
  <c r="CW139" i="65"/>
  <c r="CV139" i="65"/>
  <c r="CW182" i="65"/>
  <c r="CV182" i="65"/>
  <c r="CW225" i="65"/>
  <c r="CV225" i="65"/>
  <c r="CV260" i="65"/>
  <c r="CW260" i="65"/>
  <c r="CV284" i="65"/>
  <c r="CW284" i="65"/>
  <c r="CW305" i="65"/>
  <c r="CV305" i="65"/>
  <c r="CW326" i="65"/>
  <c r="CV326" i="65"/>
  <c r="CV348" i="65"/>
  <c r="CW348" i="65"/>
  <c r="CW369" i="65"/>
  <c r="CV369" i="65"/>
  <c r="CW390" i="65"/>
  <c r="CV390" i="65"/>
  <c r="CV412" i="65"/>
  <c r="CW412" i="65"/>
  <c r="CW433" i="65"/>
  <c r="CV433" i="65"/>
  <c r="CW454" i="65"/>
  <c r="CV454" i="65"/>
  <c r="CV476" i="65"/>
  <c r="CW476" i="65"/>
  <c r="CW497" i="65"/>
  <c r="CV497" i="65"/>
  <c r="CW30" i="65"/>
  <c r="CV30" i="65"/>
  <c r="CW77" i="65"/>
  <c r="CV77" i="65"/>
  <c r="CW119" i="65"/>
  <c r="CV119" i="65"/>
  <c r="CW162" i="65"/>
  <c r="CV162" i="65"/>
  <c r="CW205" i="65"/>
  <c r="CV205" i="65"/>
  <c r="CW245" i="65"/>
  <c r="CV245" i="65"/>
  <c r="CV274" i="65"/>
  <c r="CW274" i="65"/>
  <c r="CW301" i="65"/>
  <c r="CV301" i="65"/>
  <c r="CV344" i="65"/>
  <c r="CW344" i="65"/>
  <c r="CV472" i="65"/>
  <c r="CW472" i="65"/>
  <c r="CW17" i="65"/>
  <c r="CV17" i="65"/>
  <c r="CV424" i="65"/>
  <c r="CW424" i="65"/>
  <c r="CW12" i="65"/>
  <c r="CV12" i="65"/>
  <c r="CV146" i="65"/>
  <c r="CW146" i="65"/>
  <c r="CW330" i="65"/>
  <c r="CV330" i="65"/>
  <c r="CW394" i="65"/>
  <c r="CV394" i="65"/>
  <c r="CW86" i="65"/>
  <c r="CV86" i="65"/>
  <c r="CV252" i="65"/>
  <c r="CW252" i="65"/>
  <c r="CW321" i="65"/>
  <c r="CV321" i="65"/>
  <c r="CW385" i="65"/>
  <c r="CV385" i="65"/>
  <c r="CW449" i="65"/>
  <c r="CV449" i="65"/>
  <c r="CW513" i="65"/>
  <c r="CV513" i="65"/>
  <c r="CV66" i="65"/>
  <c r="CW66" i="65"/>
  <c r="CV194" i="65"/>
  <c r="CW194" i="65"/>
  <c r="CV296" i="65"/>
  <c r="CW296" i="65"/>
  <c r="CV418" i="65"/>
  <c r="CW418" i="65"/>
  <c r="CW6" i="65"/>
  <c r="CV6" i="65"/>
  <c r="CV23" i="65"/>
  <c r="CW23" i="65"/>
  <c r="CV39" i="65"/>
  <c r="CW39" i="65"/>
  <c r="CW32" i="65"/>
  <c r="CV32" i="65"/>
  <c r="CW48" i="65"/>
  <c r="CV48" i="65"/>
  <c r="CW64" i="65"/>
  <c r="CV64" i="65"/>
  <c r="CW80" i="65"/>
  <c r="CV80" i="65"/>
  <c r="CW96" i="65"/>
  <c r="CV96" i="65"/>
  <c r="CW112" i="65"/>
  <c r="CV112" i="65"/>
  <c r="CW128" i="65"/>
  <c r="CV128" i="65"/>
  <c r="CW144" i="65"/>
  <c r="CV144" i="65"/>
  <c r="CW160" i="65"/>
  <c r="CV160" i="65"/>
  <c r="CV176" i="65"/>
  <c r="CW176" i="65"/>
  <c r="CV192" i="65"/>
  <c r="CW192" i="65"/>
  <c r="CV208" i="65"/>
  <c r="CW208" i="65"/>
  <c r="CV224" i="65"/>
  <c r="CW224" i="65"/>
  <c r="CW25" i="65"/>
  <c r="CV25" i="65"/>
  <c r="CW51" i="65"/>
  <c r="CV51" i="65"/>
  <c r="CW73" i="65"/>
  <c r="CV73" i="65"/>
  <c r="CW94" i="65"/>
  <c r="CV94" i="65"/>
  <c r="CW115" i="65"/>
  <c r="CV115" i="65"/>
  <c r="CW137" i="65"/>
  <c r="CV137" i="65"/>
  <c r="CW158" i="65"/>
  <c r="CV158" i="65"/>
  <c r="CV179" i="65"/>
  <c r="CW179" i="65"/>
  <c r="CV222" i="65"/>
  <c r="CW222" i="65"/>
  <c r="CV242" i="65"/>
  <c r="CW242" i="65"/>
  <c r="CV258" i="65"/>
  <c r="CW258" i="65"/>
  <c r="CW34" i="65"/>
  <c r="CV34" i="65"/>
  <c r="CW58" i="65"/>
  <c r="CV58" i="65"/>
  <c r="CW79" i="65"/>
  <c r="CV79" i="65"/>
  <c r="CW122" i="65"/>
  <c r="CV122" i="65"/>
  <c r="CW143" i="65"/>
  <c r="CV143" i="65"/>
  <c r="CW186" i="65"/>
  <c r="CV186" i="65"/>
  <c r="CW207" i="65"/>
  <c r="CV207" i="65"/>
  <c r="CV247" i="65"/>
  <c r="CW247" i="65"/>
  <c r="CV263" i="65"/>
  <c r="CW263" i="65"/>
  <c r="CV279" i="65"/>
  <c r="CW279" i="65"/>
  <c r="CV295" i="65"/>
  <c r="CW295" i="65"/>
  <c r="CV311" i="65"/>
  <c r="CW311" i="65"/>
  <c r="CV327" i="65"/>
  <c r="CW327" i="65"/>
  <c r="CV343" i="65"/>
  <c r="CW343" i="65"/>
  <c r="CV359" i="65"/>
  <c r="CW359" i="65"/>
  <c r="CV375" i="65"/>
  <c r="CW375" i="65"/>
  <c r="CV391" i="65"/>
  <c r="CW391" i="65"/>
  <c r="CV423" i="65"/>
  <c r="CW423" i="65"/>
  <c r="CV439" i="65"/>
  <c r="CW439" i="65"/>
  <c r="CV455" i="65"/>
  <c r="CW455" i="65"/>
  <c r="CV487" i="65"/>
  <c r="CW487" i="65"/>
  <c r="CV503" i="65"/>
  <c r="CW503" i="65"/>
  <c r="CW11" i="65"/>
  <c r="CV11" i="65"/>
  <c r="CW37" i="65"/>
  <c r="CV37" i="65"/>
  <c r="CW166" i="65"/>
  <c r="CV166" i="65"/>
  <c r="CW209" i="65"/>
  <c r="CV209" i="65"/>
  <c r="CV248" i="65"/>
  <c r="CW248" i="65"/>
  <c r="CV276" i="65"/>
  <c r="CW276" i="65"/>
  <c r="CV318" i="65"/>
  <c r="CW318" i="65"/>
  <c r="CV340" i="65"/>
  <c r="CW340" i="65"/>
  <c r="CW361" i="65"/>
  <c r="CV361" i="65"/>
  <c r="CV382" i="65"/>
  <c r="CW382" i="65"/>
  <c r="CV404" i="65"/>
  <c r="CW404" i="65"/>
  <c r="CW425" i="65"/>
  <c r="CV425" i="65"/>
  <c r="CV446" i="65"/>
  <c r="CW446" i="65"/>
  <c r="CV468" i="65"/>
  <c r="CW468" i="65"/>
  <c r="CW489" i="65"/>
  <c r="CV489" i="65"/>
  <c r="CV510" i="65"/>
  <c r="CW510" i="65"/>
  <c r="CW13" i="65"/>
  <c r="CV13" i="65"/>
  <c r="CW317" i="65"/>
  <c r="CV317" i="65"/>
  <c r="CV360" i="65"/>
  <c r="CW360" i="65"/>
  <c r="CV402" i="65"/>
  <c r="CW402" i="65"/>
  <c r="CW445" i="65"/>
  <c r="CV445" i="65"/>
  <c r="CV488" i="65"/>
  <c r="CW488" i="65"/>
  <c r="CW38" i="65"/>
  <c r="CV38" i="65"/>
  <c r="CV82" i="65"/>
  <c r="CW82" i="65"/>
  <c r="CV125" i="65"/>
  <c r="CW125" i="65"/>
  <c r="CV167" i="65"/>
  <c r="CW167" i="65"/>
  <c r="CV210" i="65"/>
  <c r="CW210" i="65"/>
  <c r="CW249" i="65"/>
  <c r="CV249" i="65"/>
  <c r="CW277" i="65"/>
  <c r="CV277" i="65"/>
  <c r="CW298" i="65"/>
  <c r="CV298" i="65"/>
  <c r="CV320" i="65"/>
  <c r="CW320" i="65"/>
  <c r="CW362" i="65"/>
  <c r="CV362" i="65"/>
  <c r="CV384" i="65"/>
  <c r="CW384" i="65"/>
  <c r="CW405" i="65"/>
  <c r="CV405" i="65"/>
  <c r="CW426" i="65"/>
  <c r="CV426" i="65"/>
  <c r="CV448" i="65"/>
  <c r="CW448" i="65"/>
  <c r="CW469" i="65"/>
  <c r="CV469" i="65"/>
  <c r="CW490" i="65"/>
  <c r="CV490" i="65"/>
  <c r="CV512" i="65"/>
  <c r="CW512" i="65"/>
  <c r="CW14" i="65"/>
  <c r="CV14" i="65"/>
  <c r="CW65" i="65"/>
  <c r="CV65" i="65"/>
  <c r="CW107" i="65"/>
  <c r="CV107" i="65"/>
  <c r="CW150" i="65"/>
  <c r="CV150" i="65"/>
  <c r="CW193" i="65"/>
  <c r="CV193" i="65"/>
  <c r="CW235" i="65"/>
  <c r="CV235" i="65"/>
  <c r="CV268" i="65"/>
  <c r="CW268" i="65"/>
  <c r="CW289" i="65"/>
  <c r="CV289" i="65"/>
  <c r="CW310" i="65"/>
  <c r="CV310" i="65"/>
  <c r="CV332" i="65"/>
  <c r="CW332" i="65"/>
  <c r="CW353" i="65"/>
  <c r="CV353" i="65"/>
  <c r="CW374" i="65"/>
  <c r="CV374" i="65"/>
  <c r="CV396" i="65"/>
  <c r="CW396" i="65"/>
  <c r="CW417" i="65"/>
  <c r="CV417" i="65"/>
  <c r="CW438" i="65"/>
  <c r="CV438" i="65"/>
  <c r="CV460" i="65"/>
  <c r="CW460" i="65"/>
  <c r="CW481" i="65"/>
  <c r="CV481" i="65"/>
  <c r="CW502" i="65"/>
  <c r="CV502" i="65"/>
  <c r="CV45" i="65"/>
  <c r="CW45" i="65"/>
  <c r="CV87" i="65"/>
  <c r="CW87" i="65"/>
  <c r="CV130" i="65"/>
  <c r="CW130" i="65"/>
  <c r="CW173" i="65"/>
  <c r="CV173" i="65"/>
  <c r="CV215" i="65"/>
  <c r="CW215" i="65"/>
  <c r="CW253" i="65"/>
  <c r="CV253" i="65"/>
  <c r="CV280" i="65"/>
  <c r="CW280" i="65"/>
  <c r="CV312" i="65"/>
  <c r="CW312" i="65"/>
  <c r="CV354" i="65"/>
  <c r="CW354" i="65"/>
  <c r="CW397" i="65"/>
  <c r="CV397" i="65"/>
  <c r="CV440" i="65"/>
  <c r="CW440" i="65"/>
  <c r="CV482" i="65"/>
  <c r="CW482" i="65"/>
  <c r="CW24" i="65"/>
  <c r="CV24" i="65"/>
  <c r="CW56" i="65"/>
  <c r="CV56" i="65"/>
  <c r="CW88" i="65"/>
  <c r="CV88" i="65"/>
  <c r="CW120" i="65"/>
  <c r="CV120" i="65"/>
  <c r="CW152" i="65"/>
  <c r="CV152" i="65"/>
  <c r="CV184" i="65"/>
  <c r="CW184" i="65"/>
  <c r="CV216" i="65"/>
  <c r="CW216" i="65"/>
  <c r="CW41" i="65"/>
  <c r="CV41" i="65"/>
  <c r="CW83" i="65"/>
  <c r="CV83" i="65"/>
  <c r="CW126" i="65"/>
  <c r="CV126" i="65"/>
  <c r="CW169" i="65"/>
  <c r="CV169" i="65"/>
  <c r="CW250" i="65"/>
  <c r="CV250" i="65"/>
  <c r="CV47" i="65"/>
  <c r="CW47" i="65"/>
  <c r="CV111" i="65"/>
  <c r="CW111" i="65"/>
  <c r="CV154" i="65"/>
  <c r="CW154" i="65"/>
  <c r="CW175" i="65"/>
  <c r="CV175" i="65"/>
  <c r="CW218" i="65"/>
  <c r="CV218" i="65"/>
  <c r="CW255" i="65"/>
  <c r="CV255" i="65"/>
  <c r="CW287" i="65"/>
  <c r="CV287" i="65"/>
  <c r="CW319" i="65"/>
  <c r="CV319" i="65"/>
  <c r="CW383" i="65"/>
  <c r="CV383" i="65"/>
  <c r="CW447" i="65"/>
  <c r="CV447" i="65"/>
  <c r="CW479" i="65"/>
  <c r="CV479" i="65"/>
  <c r="CW511" i="65"/>
  <c r="CV511" i="65"/>
  <c r="CV18" i="65"/>
  <c r="CW18" i="65"/>
  <c r="CW102" i="65"/>
  <c r="CV102" i="65"/>
  <c r="CV264" i="65"/>
  <c r="CW264" i="65"/>
  <c r="CV308" i="65"/>
  <c r="CW308" i="65"/>
  <c r="CV350" i="65"/>
  <c r="CW350" i="65"/>
  <c r="CV372" i="65"/>
  <c r="CW372" i="65"/>
  <c r="CV414" i="65"/>
  <c r="CW414" i="65"/>
  <c r="CW457" i="65"/>
  <c r="CV457" i="65"/>
  <c r="CV500" i="65"/>
  <c r="CW500" i="65"/>
  <c r="CW381" i="65"/>
  <c r="CV381" i="65"/>
  <c r="CW509" i="65"/>
  <c r="CV509" i="65"/>
  <c r="CV61" i="65"/>
  <c r="CW61" i="65"/>
  <c r="CW189" i="65"/>
  <c r="CV189" i="65"/>
  <c r="CV288" i="65"/>
  <c r="CW288" i="65"/>
  <c r="CV352" i="65"/>
  <c r="CW352" i="65"/>
  <c r="CW43" i="65"/>
  <c r="CV43" i="65"/>
  <c r="CW129" i="65"/>
  <c r="CV129" i="65"/>
  <c r="CW214" i="65"/>
  <c r="CV214" i="65"/>
  <c r="CV300" i="65"/>
  <c r="CW300" i="65"/>
  <c r="CW342" i="65"/>
  <c r="CV342" i="65"/>
  <c r="CW406" i="65"/>
  <c r="CV406" i="65"/>
  <c r="CW470" i="65"/>
  <c r="CV470" i="65"/>
  <c r="CV109" i="65"/>
  <c r="CW109" i="65"/>
  <c r="CW269" i="65"/>
  <c r="CV269" i="65"/>
  <c r="CV376" i="65"/>
  <c r="CW376" i="65"/>
  <c r="CV504" i="65"/>
  <c r="CW504" i="65"/>
  <c r="CW27" i="65"/>
  <c r="CV27" i="65"/>
  <c r="CW20" i="65"/>
  <c r="CV20" i="65"/>
  <c r="CW36" i="65"/>
  <c r="CV36" i="65"/>
  <c r="CW52" i="65"/>
  <c r="CV52" i="65"/>
  <c r="CW68" i="65"/>
  <c r="CV68" i="65"/>
  <c r="CW84" i="65"/>
  <c r="CV84" i="65"/>
  <c r="CW100" i="65"/>
  <c r="CV100" i="65"/>
  <c r="CW116" i="65"/>
  <c r="CV116" i="65"/>
  <c r="CW132" i="65"/>
  <c r="CV132" i="65"/>
  <c r="CW148" i="65"/>
  <c r="CV148" i="65"/>
  <c r="CW164" i="65"/>
  <c r="CV164" i="65"/>
  <c r="CV180" i="65"/>
  <c r="CW180" i="65"/>
  <c r="CV196" i="65"/>
  <c r="CW196" i="65"/>
  <c r="CV212" i="65"/>
  <c r="CW212" i="65"/>
  <c r="CV228" i="65"/>
  <c r="CW228" i="65"/>
  <c r="CW33" i="65"/>
  <c r="CV33" i="65"/>
  <c r="CW57" i="65"/>
  <c r="CV57" i="65"/>
  <c r="CW78" i="65"/>
  <c r="CV78" i="65"/>
  <c r="CW99" i="65"/>
  <c r="CV99" i="65"/>
  <c r="CW121" i="65"/>
  <c r="CV121" i="65"/>
  <c r="CW142" i="65"/>
  <c r="CV142" i="65"/>
  <c r="CW163" i="65"/>
  <c r="CV163" i="65"/>
  <c r="CW185" i="65"/>
  <c r="CV185" i="65"/>
  <c r="CV206" i="65"/>
  <c r="CW206" i="65"/>
  <c r="CV227" i="65"/>
  <c r="CW227" i="65"/>
  <c r="CW246" i="65"/>
  <c r="CV246" i="65"/>
  <c r="CW262" i="65"/>
  <c r="CV262" i="65"/>
  <c r="CW42" i="65"/>
  <c r="CV42" i="65"/>
  <c r="CW63" i="65"/>
  <c r="CV63" i="65"/>
  <c r="CW85" i="65"/>
  <c r="CV85" i="65"/>
  <c r="CW106" i="65"/>
  <c r="CV106" i="65"/>
  <c r="CW127" i="65"/>
  <c r="CV127" i="65"/>
  <c r="CW149" i="65"/>
  <c r="CV149" i="65"/>
  <c r="CW170" i="65"/>
  <c r="CV170" i="65"/>
  <c r="CW191" i="65"/>
  <c r="CV191" i="65"/>
  <c r="CW234" i="65"/>
  <c r="CV234" i="65"/>
  <c r="CW251" i="65"/>
  <c r="CV251" i="65"/>
  <c r="CW267" i="65"/>
  <c r="CV267" i="65"/>
  <c r="CW283" i="65"/>
  <c r="CV283" i="65"/>
  <c r="CW331" i="65"/>
  <c r="CV331" i="65"/>
  <c r="CW347" i="65"/>
  <c r="CV347" i="65"/>
  <c r="CW363" i="65"/>
  <c r="CV363" i="65"/>
  <c r="CW395" i="65"/>
  <c r="CV395" i="65"/>
  <c r="CW411" i="65"/>
  <c r="CV411" i="65"/>
  <c r="CW427" i="65"/>
  <c r="CV427" i="65"/>
  <c r="CW459" i="65"/>
  <c r="CV459" i="65"/>
  <c r="CW475" i="65"/>
  <c r="CV475" i="65"/>
  <c r="CW491" i="65"/>
  <c r="CV491" i="65"/>
  <c r="CW507" i="65"/>
  <c r="CV507" i="65"/>
  <c r="CW15" i="65"/>
  <c r="CV15" i="65"/>
  <c r="CW49" i="65"/>
  <c r="CV49" i="65"/>
  <c r="CW91" i="65"/>
  <c r="CV91" i="65"/>
  <c r="CW134" i="65"/>
  <c r="CV134" i="65"/>
  <c r="CW177" i="65"/>
  <c r="CV177" i="65"/>
  <c r="CW219" i="65"/>
  <c r="CV219" i="65"/>
  <c r="CV256" i="65"/>
  <c r="CW256" i="65"/>
  <c r="CW281" i="65"/>
  <c r="CV281" i="65"/>
  <c r="CV302" i="65"/>
  <c r="CW302" i="65"/>
  <c r="CV324" i="65"/>
  <c r="CW324" i="65"/>
  <c r="CW345" i="65"/>
  <c r="CV345" i="65"/>
  <c r="CV366" i="65"/>
  <c r="CW366" i="65"/>
  <c r="CV388" i="65"/>
  <c r="CW388" i="65"/>
  <c r="CW409" i="65"/>
  <c r="CV409" i="65"/>
  <c r="CV430" i="65"/>
  <c r="CW430" i="65"/>
  <c r="CV452" i="65"/>
  <c r="CW452" i="65"/>
  <c r="CW473" i="65"/>
  <c r="CV473" i="65"/>
  <c r="CV494" i="65"/>
  <c r="CW494" i="65"/>
  <c r="CV516" i="65"/>
  <c r="CW516" i="65"/>
  <c r="CV5" i="65"/>
  <c r="CW5" i="65"/>
  <c r="CV328" i="65"/>
  <c r="CW328" i="65"/>
  <c r="CV370" i="65"/>
  <c r="CW370" i="65"/>
  <c r="CW413" i="65"/>
  <c r="CV413" i="65"/>
  <c r="CV456" i="65"/>
  <c r="CW456" i="65"/>
  <c r="CV498" i="65"/>
  <c r="CW498" i="65"/>
  <c r="CV50" i="65"/>
  <c r="CW50" i="65"/>
  <c r="CV93" i="65"/>
  <c r="CW93" i="65"/>
  <c r="CV135" i="65"/>
  <c r="CW135" i="65"/>
  <c r="CV178" i="65"/>
  <c r="CW178" i="65"/>
  <c r="CW221" i="65"/>
  <c r="CV221" i="65"/>
  <c r="CW282" i="65"/>
  <c r="CV282" i="65"/>
  <c r="CV304" i="65"/>
  <c r="CW304" i="65"/>
  <c r="CW325" i="65"/>
  <c r="CV325" i="65"/>
  <c r="CW346" i="65"/>
  <c r="CV346" i="65"/>
  <c r="CV368" i="65"/>
  <c r="CW368" i="65"/>
  <c r="CW389" i="65"/>
  <c r="CV389" i="65"/>
  <c r="CW410" i="65"/>
  <c r="CV410" i="65"/>
  <c r="CV432" i="65"/>
  <c r="CW432" i="65"/>
  <c r="CW453" i="65"/>
  <c r="CV453" i="65"/>
  <c r="CW474" i="65"/>
  <c r="CV474" i="65"/>
  <c r="CV496" i="65"/>
  <c r="CW496" i="65"/>
  <c r="CW517" i="65"/>
  <c r="CV517" i="65"/>
  <c r="CV29" i="65"/>
  <c r="CW29" i="65"/>
  <c r="CW75" i="65"/>
  <c r="CV75" i="65"/>
  <c r="CW118" i="65"/>
  <c r="CV118" i="65"/>
  <c r="CW161" i="65"/>
  <c r="CV161" i="65"/>
  <c r="CW203" i="65"/>
  <c r="CV203" i="65"/>
  <c r="CV244" i="65"/>
  <c r="CW244" i="65"/>
  <c r="CW294" i="65"/>
  <c r="CV294" i="65"/>
  <c r="CV316" i="65"/>
  <c r="CW316" i="65"/>
  <c r="CW337" i="65"/>
  <c r="CV337" i="65"/>
  <c r="CV380" i="65"/>
  <c r="CW380" i="65"/>
  <c r="CV444" i="65"/>
  <c r="CW444" i="65"/>
  <c r="CV508" i="65"/>
  <c r="CW508" i="65"/>
  <c r="CW10" i="65"/>
  <c r="CV10" i="65"/>
  <c r="CW55" i="65"/>
  <c r="CV55" i="65"/>
  <c r="CW98" i="65"/>
  <c r="CV98" i="65"/>
  <c r="CW141" i="65"/>
  <c r="CV141" i="65"/>
  <c r="CV183" i="65"/>
  <c r="CW183" i="65"/>
  <c r="CV226" i="65"/>
  <c r="CW226" i="65"/>
  <c r="CW261" i="65"/>
  <c r="CV261" i="65"/>
  <c r="CV290" i="65"/>
  <c r="CW290" i="65"/>
  <c r="CV322" i="65"/>
  <c r="CW322" i="65"/>
  <c r="CV408" i="65"/>
  <c r="CW408" i="65"/>
  <c r="CW31" i="65"/>
  <c r="CV31" i="65"/>
  <c r="CW40" i="65"/>
  <c r="CV40" i="65"/>
  <c r="CW72" i="65"/>
  <c r="CV72" i="65"/>
  <c r="CW104" i="65"/>
  <c r="CV104" i="65"/>
  <c r="CW136" i="65"/>
  <c r="CV136" i="65"/>
  <c r="CW168" i="65"/>
  <c r="CV168" i="65"/>
  <c r="CV200" i="65"/>
  <c r="CW200" i="65"/>
  <c r="CV232" i="65"/>
  <c r="CW232" i="65"/>
  <c r="CW62" i="65"/>
  <c r="CV62" i="65"/>
  <c r="CW105" i="65"/>
  <c r="CV105" i="65"/>
  <c r="CW147" i="65"/>
  <c r="CV147" i="65"/>
  <c r="CV190" i="65"/>
  <c r="CW190" i="65"/>
  <c r="CW233" i="65"/>
  <c r="CV233" i="65"/>
  <c r="CW266" i="65"/>
  <c r="CV266" i="65"/>
  <c r="CV69" i="65"/>
  <c r="CW69" i="65"/>
  <c r="CV90" i="65"/>
  <c r="CW90" i="65"/>
  <c r="CV133" i="65"/>
  <c r="CW133" i="65"/>
  <c r="CW239" i="65"/>
  <c r="CV239" i="65"/>
  <c r="CW271" i="65"/>
  <c r="CV271" i="65"/>
  <c r="CW303" i="65"/>
  <c r="CV303" i="65"/>
  <c r="CW335" i="65"/>
  <c r="CV335" i="65"/>
  <c r="CW367" i="65"/>
  <c r="CV367" i="65"/>
  <c r="CW399" i="65"/>
  <c r="CV399" i="65"/>
  <c r="CW431" i="65"/>
  <c r="CV431" i="65"/>
  <c r="CW463" i="65"/>
  <c r="CV463" i="65"/>
  <c r="CW495" i="65"/>
  <c r="CV495" i="65"/>
  <c r="CW230" i="65"/>
  <c r="CV230" i="65"/>
  <c r="CV286" i="65"/>
  <c r="CW286" i="65"/>
  <c r="CW393" i="65"/>
  <c r="CV393" i="65"/>
  <c r="CV436" i="65"/>
  <c r="CW436" i="65"/>
  <c r="CV478" i="65"/>
  <c r="CW478" i="65"/>
  <c r="CV338" i="65"/>
  <c r="CW338" i="65"/>
  <c r="CV466" i="65"/>
  <c r="CW466" i="65"/>
  <c r="CV103" i="65"/>
  <c r="CW103" i="65"/>
  <c r="CV231" i="65"/>
  <c r="CW231" i="65"/>
  <c r="CW309" i="65"/>
  <c r="CV309" i="65"/>
  <c r="CV416" i="65"/>
  <c r="CW416" i="65"/>
  <c r="CV480" i="65"/>
  <c r="CW480" i="65"/>
  <c r="CW171" i="65"/>
  <c r="CV171" i="65"/>
  <c r="CW278" i="65"/>
  <c r="CV278" i="65"/>
  <c r="CV364" i="65"/>
  <c r="CW364" i="65"/>
  <c r="CV428" i="65"/>
  <c r="CW428" i="65"/>
  <c r="CV492" i="65"/>
  <c r="CW492" i="65"/>
  <c r="CW16" i="65"/>
  <c r="CV16" i="65"/>
  <c r="CV151" i="65"/>
  <c r="CW151" i="65"/>
  <c r="CW237" i="65"/>
  <c r="CV237" i="65"/>
  <c r="CW333" i="65"/>
  <c r="CV333" i="65"/>
  <c r="CW461" i="65"/>
  <c r="CV461" i="65"/>
  <c r="CV526" i="65"/>
  <c r="CW526" i="65"/>
  <c r="CV528" i="65"/>
  <c r="CW528" i="65"/>
  <c r="CV540" i="65"/>
  <c r="CW540" i="65"/>
  <c r="CW541" i="65"/>
  <c r="CV541" i="65"/>
  <c r="CW543" i="65"/>
  <c r="CV543" i="65"/>
  <c r="CW522" i="65"/>
  <c r="CV522" i="65"/>
  <c r="CV535" i="65"/>
  <c r="CW535" i="65"/>
  <c r="CV530" i="65"/>
  <c r="CW530" i="65"/>
  <c r="CV524" i="65"/>
  <c r="CW524" i="65"/>
  <c r="CW525" i="65"/>
  <c r="CV525" i="65"/>
  <c r="CW537" i="65"/>
  <c r="CV537" i="65"/>
  <c r="CV536" i="65"/>
  <c r="CW536" i="65"/>
  <c r="CV542" i="65"/>
  <c r="CW542" i="65"/>
  <c r="CW534" i="65"/>
  <c r="CV534" i="65"/>
  <c r="CR522" i="65"/>
  <c r="DM522" i="65"/>
  <c r="DL522" i="65"/>
  <c r="CR530" i="65"/>
  <c r="DM530" i="65"/>
  <c r="DL530" i="65"/>
  <c r="DL523" i="65"/>
  <c r="DM523" i="65"/>
  <c r="CW117" i="65"/>
  <c r="CV117" i="65"/>
  <c r="CV243" i="65"/>
  <c r="CW243" i="65"/>
  <c r="CV307" i="65"/>
  <c r="CW307" i="65"/>
  <c r="CV339" i="65"/>
  <c r="CW339" i="65"/>
  <c r="CV386" i="65"/>
  <c r="CW386" i="65"/>
  <c r="CW265" i="65"/>
  <c r="CV265" i="65"/>
  <c r="CW297" i="65"/>
  <c r="CV297" i="65"/>
  <c r="CW351" i="65"/>
  <c r="CV351" i="65"/>
  <c r="CW285" i="65"/>
  <c r="CV285" i="65"/>
  <c r="CW299" i="65"/>
  <c r="CV299" i="65"/>
  <c r="CW379" i="65"/>
  <c r="CV379" i="65"/>
  <c r="CR520" i="65"/>
  <c r="DM520" i="65"/>
  <c r="DL520" i="65"/>
  <c r="CR518" i="65"/>
  <c r="DM518" i="65"/>
  <c r="DL518" i="65"/>
  <c r="CS539" i="65"/>
  <c r="DL539" i="65"/>
  <c r="DM539" i="65"/>
  <c r="DM538" i="65"/>
  <c r="DL538" i="65"/>
  <c r="DM532" i="65"/>
  <c r="DL532" i="65"/>
  <c r="DL537" i="65"/>
  <c r="DM537" i="65"/>
  <c r="DM542" i="65"/>
  <c r="DL542" i="65"/>
  <c r="DL544" i="65"/>
  <c r="DM544" i="65"/>
  <c r="CR19" i="65"/>
  <c r="DM19" i="65"/>
  <c r="DL19" i="65"/>
  <c r="CR28" i="65"/>
  <c r="DM28" i="65"/>
  <c r="DL28" i="65"/>
  <c r="CR44" i="65"/>
  <c r="DM44" i="65"/>
  <c r="DL44" i="65"/>
  <c r="CR60" i="65"/>
  <c r="DL60" i="65"/>
  <c r="DM60" i="65"/>
  <c r="CR76" i="65"/>
  <c r="DM76" i="65"/>
  <c r="DL76" i="65"/>
  <c r="CR92" i="65"/>
  <c r="DM92" i="65"/>
  <c r="DL92" i="65"/>
  <c r="CR108" i="65"/>
  <c r="DM108" i="65"/>
  <c r="DL108" i="65"/>
  <c r="CR124" i="65"/>
  <c r="DL124" i="65"/>
  <c r="DM124" i="65"/>
  <c r="CR140" i="65"/>
  <c r="DL140" i="65"/>
  <c r="DM140" i="65"/>
  <c r="CS156" i="65"/>
  <c r="DM156" i="65"/>
  <c r="DL156" i="65"/>
  <c r="CR172" i="65"/>
  <c r="DM172" i="65"/>
  <c r="DL172" i="65"/>
  <c r="CR188" i="65"/>
  <c r="DL188" i="65"/>
  <c r="DM188" i="65"/>
  <c r="CR204" i="65"/>
  <c r="DL204" i="65"/>
  <c r="DM204" i="65"/>
  <c r="CR220" i="65"/>
  <c r="DM220" i="65"/>
  <c r="DL220" i="65"/>
  <c r="CS236" i="65"/>
  <c r="DM236" i="65"/>
  <c r="DL236" i="65"/>
  <c r="CR46" i="65"/>
  <c r="DM46" i="65"/>
  <c r="DL46" i="65"/>
  <c r="CR67" i="65"/>
  <c r="DM67" i="65"/>
  <c r="DL67" i="65"/>
  <c r="CR89" i="65"/>
  <c r="DL89" i="65"/>
  <c r="DM89" i="65"/>
  <c r="CR110" i="65"/>
  <c r="DL110" i="65"/>
  <c r="DM110" i="65"/>
  <c r="CR131" i="65"/>
  <c r="DM131" i="65"/>
  <c r="DL131" i="65"/>
  <c r="CR153" i="65"/>
  <c r="DL153" i="65"/>
  <c r="DM153" i="65"/>
  <c r="CS174" i="65"/>
  <c r="DL174" i="65"/>
  <c r="DM174" i="65"/>
  <c r="CR195" i="65"/>
  <c r="DM195" i="65"/>
  <c r="DL195" i="65"/>
  <c r="CR217" i="65"/>
  <c r="DL217" i="65"/>
  <c r="DM217" i="65"/>
  <c r="CR238" i="65"/>
  <c r="DL238" i="65"/>
  <c r="DM238" i="65"/>
  <c r="CR254" i="65"/>
  <c r="DM254" i="65"/>
  <c r="DL254" i="65"/>
  <c r="CR26" i="65"/>
  <c r="DM26" i="65"/>
  <c r="DL26" i="65"/>
  <c r="CR53" i="65"/>
  <c r="DL53" i="65"/>
  <c r="DM53" i="65"/>
  <c r="CS74" i="65"/>
  <c r="DM74" i="65"/>
  <c r="DL74" i="65"/>
  <c r="CR95" i="65"/>
  <c r="DM95" i="65"/>
  <c r="DL95" i="65"/>
  <c r="CR117" i="65"/>
  <c r="DM117" i="65"/>
  <c r="DL117" i="65"/>
  <c r="CR138" i="65"/>
  <c r="DM138" i="65"/>
  <c r="DL138" i="65"/>
  <c r="CR159" i="65"/>
  <c r="DM159" i="65"/>
  <c r="DL159" i="65"/>
  <c r="CR181" i="65"/>
  <c r="DM181" i="65"/>
  <c r="DL181" i="65"/>
  <c r="CR202" i="65"/>
  <c r="DM202" i="65"/>
  <c r="DL202" i="65"/>
  <c r="CR243" i="65"/>
  <c r="DM243" i="65"/>
  <c r="DL243" i="65"/>
  <c r="CR259" i="65"/>
  <c r="DM259" i="65"/>
  <c r="DL259" i="65"/>
  <c r="CR275" i="65"/>
  <c r="DM275" i="65"/>
  <c r="DL275" i="65"/>
  <c r="CR291" i="65"/>
  <c r="DM291" i="65"/>
  <c r="DL291" i="65"/>
  <c r="CR339" i="65"/>
  <c r="DM339" i="65"/>
  <c r="DL339" i="65"/>
  <c r="CR355" i="65"/>
  <c r="DM355" i="65"/>
  <c r="DL355" i="65"/>
  <c r="CR371" i="65"/>
  <c r="DM371" i="65"/>
  <c r="DL371" i="65"/>
  <c r="CS387" i="65"/>
  <c r="DM387" i="65"/>
  <c r="DL387" i="65"/>
  <c r="CS403" i="65"/>
  <c r="DM403" i="65"/>
  <c r="DL403" i="65"/>
  <c r="CR419" i="65"/>
  <c r="DM419" i="65"/>
  <c r="DL419" i="65"/>
  <c r="CR467" i="65"/>
  <c r="DM467" i="65"/>
  <c r="DL467" i="65"/>
  <c r="CR483" i="65"/>
  <c r="DM483" i="65"/>
  <c r="DL483" i="65"/>
  <c r="CR499" i="65"/>
  <c r="DM499" i="65"/>
  <c r="DL499" i="65"/>
  <c r="CR515" i="65"/>
  <c r="DM515" i="65"/>
  <c r="DL515" i="65"/>
  <c r="CR7" i="65"/>
  <c r="DM7" i="65"/>
  <c r="DL7" i="65"/>
  <c r="CR21" i="65"/>
  <c r="DL21" i="65"/>
  <c r="DM21" i="65"/>
  <c r="CS70" i="65"/>
  <c r="DL70" i="65"/>
  <c r="DM70" i="65"/>
  <c r="CR113" i="65"/>
  <c r="DL113" i="65"/>
  <c r="DM113" i="65"/>
  <c r="CR155" i="65"/>
  <c r="DM155" i="65"/>
  <c r="DL155" i="65"/>
  <c r="CR198" i="65"/>
  <c r="DM198" i="65"/>
  <c r="DL198" i="65"/>
  <c r="CR240" i="65"/>
  <c r="DM240" i="65"/>
  <c r="DL240" i="65"/>
  <c r="CR270" i="65"/>
  <c r="DM270" i="65"/>
  <c r="DL270" i="65"/>
  <c r="CR292" i="65"/>
  <c r="DM292" i="65"/>
  <c r="DL292" i="65"/>
  <c r="CR313" i="65"/>
  <c r="DL313" i="65"/>
  <c r="DM313" i="65"/>
  <c r="CS334" i="65"/>
  <c r="DM334" i="65"/>
  <c r="DL334" i="65"/>
  <c r="CR356" i="65"/>
  <c r="DM356" i="65"/>
  <c r="DL356" i="65"/>
  <c r="CR377" i="65"/>
  <c r="DL377" i="65"/>
  <c r="DM377" i="65"/>
  <c r="CS398" i="65"/>
  <c r="DM398" i="65"/>
  <c r="DL398" i="65"/>
  <c r="CR420" i="65"/>
  <c r="DM420" i="65"/>
  <c r="DL420" i="65"/>
  <c r="CR441" i="65"/>
  <c r="DL441" i="65"/>
  <c r="DM441" i="65"/>
  <c r="CS462" i="65"/>
  <c r="DM462" i="65"/>
  <c r="DL462" i="65"/>
  <c r="CR484" i="65"/>
  <c r="DM484" i="65"/>
  <c r="DL484" i="65"/>
  <c r="CR505" i="65"/>
  <c r="DL505" i="65"/>
  <c r="DM505" i="65"/>
  <c r="CR8" i="65"/>
  <c r="DM8" i="65"/>
  <c r="DL8" i="65"/>
  <c r="CR306" i="65"/>
  <c r="DM306" i="65"/>
  <c r="DL306" i="65"/>
  <c r="CR349" i="65"/>
  <c r="DL349" i="65"/>
  <c r="DM349" i="65"/>
  <c r="CR392" i="65"/>
  <c r="DM392" i="65"/>
  <c r="DL392" i="65"/>
  <c r="CR434" i="65"/>
  <c r="DM434" i="65"/>
  <c r="DL434" i="65"/>
  <c r="CR477" i="65"/>
  <c r="DL477" i="65"/>
  <c r="DM477" i="65"/>
  <c r="CR22" i="65"/>
  <c r="DL22" i="65"/>
  <c r="DM22" i="65"/>
  <c r="CR114" i="65"/>
  <c r="DM114" i="65"/>
  <c r="DL114" i="65"/>
  <c r="CR157" i="65"/>
  <c r="DL157" i="65"/>
  <c r="DM157" i="65"/>
  <c r="CR199" i="65"/>
  <c r="DM199" i="65"/>
  <c r="DL199" i="65"/>
  <c r="CR241" i="65"/>
  <c r="DL241" i="65"/>
  <c r="DM241" i="65"/>
  <c r="CR272" i="65"/>
  <c r="DM272" i="65"/>
  <c r="DL272" i="65"/>
  <c r="CR293" i="65"/>
  <c r="DM293" i="65"/>
  <c r="DL293" i="65"/>
  <c r="CR314" i="65"/>
  <c r="DM314" i="65"/>
  <c r="DL314" i="65"/>
  <c r="CR336" i="65"/>
  <c r="DL336" i="65"/>
  <c r="DM336" i="65"/>
  <c r="CR357" i="65"/>
  <c r="DL357" i="65"/>
  <c r="DM357" i="65"/>
  <c r="CR378" i="65"/>
  <c r="DM378" i="65"/>
  <c r="DL378" i="65"/>
  <c r="CS400" i="65"/>
  <c r="DL400" i="65"/>
  <c r="DM400" i="65"/>
  <c r="CR421" i="65"/>
  <c r="DL421" i="65"/>
  <c r="DM421" i="65"/>
  <c r="CR442" i="65"/>
  <c r="DM442" i="65"/>
  <c r="DL442" i="65"/>
  <c r="CR464" i="65"/>
  <c r="DL464" i="65"/>
  <c r="DM464" i="65"/>
  <c r="CR485" i="65"/>
  <c r="DL485" i="65"/>
  <c r="DM485" i="65"/>
  <c r="CR506" i="65"/>
  <c r="DM506" i="65"/>
  <c r="DL506" i="65"/>
  <c r="CR9" i="65"/>
  <c r="DL9" i="65"/>
  <c r="DM9" i="65"/>
  <c r="CR54" i="65"/>
  <c r="DM54" i="65"/>
  <c r="DL54" i="65"/>
  <c r="CR97" i="65"/>
  <c r="DL97" i="65"/>
  <c r="DM97" i="65"/>
  <c r="CR139" i="65"/>
  <c r="DM139" i="65"/>
  <c r="DL139" i="65"/>
  <c r="CR182" i="65"/>
  <c r="DL182" i="65"/>
  <c r="DM182" i="65"/>
  <c r="CR225" i="65"/>
  <c r="DL225" i="65"/>
  <c r="DM225" i="65"/>
  <c r="CR260" i="65"/>
  <c r="DL260" i="65"/>
  <c r="DM260" i="65"/>
  <c r="CS284" i="65"/>
  <c r="DM284" i="65"/>
  <c r="DL284" i="65"/>
  <c r="CR305" i="65"/>
  <c r="DL305" i="65"/>
  <c r="DM305" i="65"/>
  <c r="CR326" i="65"/>
  <c r="DM326" i="65"/>
  <c r="DL326" i="65"/>
  <c r="CR348" i="65"/>
  <c r="DL348" i="65"/>
  <c r="DM348" i="65"/>
  <c r="CS369" i="65"/>
  <c r="DL369" i="65"/>
  <c r="DM369" i="65"/>
  <c r="CR390" i="65"/>
  <c r="DM390" i="65"/>
  <c r="DL390" i="65"/>
  <c r="CS412" i="65"/>
  <c r="DL412" i="65"/>
  <c r="DM412" i="65"/>
  <c r="CR433" i="65"/>
  <c r="DL433" i="65"/>
  <c r="DM433" i="65"/>
  <c r="CR454" i="65"/>
  <c r="DM454" i="65"/>
  <c r="DL454" i="65"/>
  <c r="CR476" i="65"/>
  <c r="DL476" i="65"/>
  <c r="DM476" i="65"/>
  <c r="CR497" i="65"/>
  <c r="DL497" i="65"/>
  <c r="DM497" i="65"/>
  <c r="CS77" i="65"/>
  <c r="DM77" i="65"/>
  <c r="DL77" i="65"/>
  <c r="CR119" i="65"/>
  <c r="DM119" i="65"/>
  <c r="DL119" i="65"/>
  <c r="CR162" i="65"/>
  <c r="DM162" i="65"/>
  <c r="DL162" i="65"/>
  <c r="CR205" i="65"/>
  <c r="DL205" i="65"/>
  <c r="DM205" i="65"/>
  <c r="CR245" i="65"/>
  <c r="DM245" i="65"/>
  <c r="DL245" i="65"/>
  <c r="CR301" i="65"/>
  <c r="DL301" i="65"/>
  <c r="DM301" i="65"/>
  <c r="CR344" i="65"/>
  <c r="DM344" i="65"/>
  <c r="DL344" i="65"/>
  <c r="CR386" i="65"/>
  <c r="DM386" i="65"/>
  <c r="DL386" i="65"/>
  <c r="CR429" i="65"/>
  <c r="DL429" i="65"/>
  <c r="DM429" i="65"/>
  <c r="CR472" i="65"/>
  <c r="DM472" i="65"/>
  <c r="DL472" i="65"/>
  <c r="CR17" i="65"/>
  <c r="DL17" i="65"/>
  <c r="DM17" i="65"/>
  <c r="DM424" i="65"/>
  <c r="DL424" i="65"/>
  <c r="DM12" i="65"/>
  <c r="DL12" i="65"/>
  <c r="DL146" i="65"/>
  <c r="DM146" i="65"/>
  <c r="CS265" i="65"/>
  <c r="DL265" i="65"/>
  <c r="DM265" i="65"/>
  <c r="CR330" i="65"/>
  <c r="DM330" i="65"/>
  <c r="DL330" i="65"/>
  <c r="CR458" i="65"/>
  <c r="DM458" i="65"/>
  <c r="DL458" i="65"/>
  <c r="DL86" i="65"/>
  <c r="DM86" i="65"/>
  <c r="CS321" i="65"/>
  <c r="DL321" i="65"/>
  <c r="DM321" i="65"/>
  <c r="CR385" i="65"/>
  <c r="DL385" i="65"/>
  <c r="DM385" i="65"/>
  <c r="CR449" i="65"/>
  <c r="DL449" i="65"/>
  <c r="DM449" i="65"/>
  <c r="CR513" i="65"/>
  <c r="DL513" i="65"/>
  <c r="DM513" i="65"/>
  <c r="CS66" i="65"/>
  <c r="DM66" i="65"/>
  <c r="DL66" i="65"/>
  <c r="CR194" i="65"/>
  <c r="DL194" i="65"/>
  <c r="DM194" i="65"/>
  <c r="DM296" i="65"/>
  <c r="DL296" i="65"/>
  <c r="CR418" i="65"/>
  <c r="DM418" i="65"/>
  <c r="DL418" i="65"/>
  <c r="DM6" i="65"/>
  <c r="DL6" i="65"/>
  <c r="CR23" i="65"/>
  <c r="DM23" i="65"/>
  <c r="DL23" i="65"/>
  <c r="CR39" i="65"/>
  <c r="DM39" i="65"/>
  <c r="DL39" i="65"/>
  <c r="CR32" i="65"/>
  <c r="DL32" i="65"/>
  <c r="DM32" i="65"/>
  <c r="CS48" i="65"/>
  <c r="DM48" i="65"/>
  <c r="DL48" i="65"/>
  <c r="CR64" i="65"/>
  <c r="DM64" i="65"/>
  <c r="DL64" i="65"/>
  <c r="CS80" i="65"/>
  <c r="DL80" i="65"/>
  <c r="DM80" i="65"/>
  <c r="CR96" i="65"/>
  <c r="DM96" i="65"/>
  <c r="DL96" i="65"/>
  <c r="CR112" i="65"/>
  <c r="DM112" i="65"/>
  <c r="DL112" i="65"/>
  <c r="CR128" i="65"/>
  <c r="DM128" i="65"/>
  <c r="DL128" i="65"/>
  <c r="CR144" i="65"/>
  <c r="DM144" i="65"/>
  <c r="DL144" i="65"/>
  <c r="CR160" i="65"/>
  <c r="DM160" i="65"/>
  <c r="DL160" i="65"/>
  <c r="CS176" i="65"/>
  <c r="DM176" i="65"/>
  <c r="DL176" i="65"/>
  <c r="CR192" i="65"/>
  <c r="DM192" i="65"/>
  <c r="DL192" i="65"/>
  <c r="CS208" i="65"/>
  <c r="DM208" i="65"/>
  <c r="DL208" i="65"/>
  <c r="CR224" i="65"/>
  <c r="DM224" i="65"/>
  <c r="DL224" i="65"/>
  <c r="CR25" i="65"/>
  <c r="DL25" i="65"/>
  <c r="DM25" i="65"/>
  <c r="CR51" i="65"/>
  <c r="DM51" i="65"/>
  <c r="DL51" i="65"/>
  <c r="CR73" i="65"/>
  <c r="DL73" i="65"/>
  <c r="DM73" i="65"/>
  <c r="CS94" i="65"/>
  <c r="DM94" i="65"/>
  <c r="DL94" i="65"/>
  <c r="CR137" i="65"/>
  <c r="DL137" i="65"/>
  <c r="DM137" i="65"/>
  <c r="CR179" i="65"/>
  <c r="DM179" i="65"/>
  <c r="DL179" i="65"/>
  <c r="CR201" i="65"/>
  <c r="DL201" i="65"/>
  <c r="DM201" i="65"/>
  <c r="CS242" i="65"/>
  <c r="DM242" i="65"/>
  <c r="DL242" i="65"/>
  <c r="CS258" i="65"/>
  <c r="DL258" i="65"/>
  <c r="DM258" i="65"/>
  <c r="CR34" i="65"/>
  <c r="DM34" i="65"/>
  <c r="DL34" i="65"/>
  <c r="CR58" i="65"/>
  <c r="DM58" i="65"/>
  <c r="DL58" i="65"/>
  <c r="DM79" i="65"/>
  <c r="DL79" i="65"/>
  <c r="CR101" i="65"/>
  <c r="DM101" i="65"/>
  <c r="DL101" i="65"/>
  <c r="DM122" i="65"/>
  <c r="DL122" i="65"/>
  <c r="CR143" i="65"/>
  <c r="DM143" i="65"/>
  <c r="DL143" i="65"/>
  <c r="CS165" i="65"/>
  <c r="DM165" i="65"/>
  <c r="DL165" i="65"/>
  <c r="CR186" i="65"/>
  <c r="DM186" i="65"/>
  <c r="DL186" i="65"/>
  <c r="CS207" i="65"/>
  <c r="DM207" i="65"/>
  <c r="DL207" i="65"/>
  <c r="CR229" i="65"/>
  <c r="DM229" i="65"/>
  <c r="DL229" i="65"/>
  <c r="DM247" i="65"/>
  <c r="DL247" i="65"/>
  <c r="CR263" i="65"/>
  <c r="DM263" i="65"/>
  <c r="DL263" i="65"/>
  <c r="CS311" i="65"/>
  <c r="DM311" i="65"/>
  <c r="DL311" i="65"/>
  <c r="CR327" i="65"/>
  <c r="DL327" i="65"/>
  <c r="DM327" i="65"/>
  <c r="DL343" i="65"/>
  <c r="DM343" i="65"/>
  <c r="CR359" i="65"/>
  <c r="DL359" i="65"/>
  <c r="DM359" i="65"/>
  <c r="DL375" i="65"/>
  <c r="DM375" i="65"/>
  <c r="CR391" i="65"/>
  <c r="DL391" i="65"/>
  <c r="DM391" i="65"/>
  <c r="CS439" i="65"/>
  <c r="DM439" i="65"/>
  <c r="DL439" i="65"/>
  <c r="CR455" i="65"/>
  <c r="DL455" i="65"/>
  <c r="DM455" i="65"/>
  <c r="CS471" i="65"/>
  <c r="DM471" i="65"/>
  <c r="DL471" i="65"/>
  <c r="CR487" i="65"/>
  <c r="DL487" i="65"/>
  <c r="DM487" i="65"/>
  <c r="DM503" i="65"/>
  <c r="DL503" i="65"/>
  <c r="DM11" i="65"/>
  <c r="DL11" i="65"/>
  <c r="CR37" i="65"/>
  <c r="DL37" i="65"/>
  <c r="DM37" i="65"/>
  <c r="DL81" i="65"/>
  <c r="DM81" i="65"/>
  <c r="CS123" i="65"/>
  <c r="DM123" i="65"/>
  <c r="DL123" i="65"/>
  <c r="CR209" i="65"/>
  <c r="DL209" i="65"/>
  <c r="DM209" i="65"/>
  <c r="DM248" i="65"/>
  <c r="DL248" i="65"/>
  <c r="CR276" i="65"/>
  <c r="DM276" i="65"/>
  <c r="DL276" i="65"/>
  <c r="DL297" i="65"/>
  <c r="DM297" i="65"/>
  <c r="CS318" i="65"/>
  <c r="DM318" i="65"/>
  <c r="DL318" i="65"/>
  <c r="DM340" i="65"/>
  <c r="DL340" i="65"/>
  <c r="CS361" i="65"/>
  <c r="DL361" i="65"/>
  <c r="DM361" i="65"/>
  <c r="CS382" i="65"/>
  <c r="DM382" i="65"/>
  <c r="DL382" i="65"/>
  <c r="CR404" i="65"/>
  <c r="DM404" i="65"/>
  <c r="DL404" i="65"/>
  <c r="DL425" i="65"/>
  <c r="DM425" i="65"/>
  <c r="CS446" i="65"/>
  <c r="DM446" i="65"/>
  <c r="DL446" i="65"/>
  <c r="DM468" i="65"/>
  <c r="DL468" i="65"/>
  <c r="CS489" i="65"/>
  <c r="DL489" i="65"/>
  <c r="DM489" i="65"/>
  <c r="DM510" i="65"/>
  <c r="DL510" i="65"/>
  <c r="CR13" i="65"/>
  <c r="DM13" i="65"/>
  <c r="DL13" i="65"/>
  <c r="DL317" i="65"/>
  <c r="DM317" i="65"/>
  <c r="CR360" i="65"/>
  <c r="DM360" i="65"/>
  <c r="DL360" i="65"/>
  <c r="CR445" i="65"/>
  <c r="DL445" i="65"/>
  <c r="DM445" i="65"/>
  <c r="DM488" i="65"/>
  <c r="DL488" i="65"/>
  <c r="DL38" i="65"/>
  <c r="DM38" i="65"/>
  <c r="DM82" i="65"/>
  <c r="DL82" i="65"/>
  <c r="CS125" i="65"/>
  <c r="DL125" i="65"/>
  <c r="DM125" i="65"/>
  <c r="DM167" i="65"/>
  <c r="DL167" i="65"/>
  <c r="DL210" i="65"/>
  <c r="DM210" i="65"/>
  <c r="DL249" i="65"/>
  <c r="DM249" i="65"/>
  <c r="DM277" i="65"/>
  <c r="DL277" i="65"/>
  <c r="CS298" i="65"/>
  <c r="DM298" i="65"/>
  <c r="DL298" i="65"/>
  <c r="CS320" i="65"/>
  <c r="DL320" i="65"/>
  <c r="DM320" i="65"/>
  <c r="DL341" i="65"/>
  <c r="DM341" i="65"/>
  <c r="DL384" i="65"/>
  <c r="DM384" i="65"/>
  <c r="DL405" i="65"/>
  <c r="DM405" i="65"/>
  <c r="DM426" i="65"/>
  <c r="DL426" i="65"/>
  <c r="DL448" i="65"/>
  <c r="DM448" i="65"/>
  <c r="DL469" i="65"/>
  <c r="DM469" i="65"/>
  <c r="CS490" i="65"/>
  <c r="DM490" i="65"/>
  <c r="DL490" i="65"/>
  <c r="DL512" i="65"/>
  <c r="DM512" i="65"/>
  <c r="CR65" i="65"/>
  <c r="DL65" i="65"/>
  <c r="DM65" i="65"/>
  <c r="CS107" i="65"/>
  <c r="DM107" i="65"/>
  <c r="DL107" i="65"/>
  <c r="CR150" i="65"/>
  <c r="DL150" i="65"/>
  <c r="DM150" i="65"/>
  <c r="DL193" i="65"/>
  <c r="DM193" i="65"/>
  <c r="CR235" i="65"/>
  <c r="DM235" i="65"/>
  <c r="DL235" i="65"/>
  <c r="DL268" i="65"/>
  <c r="DM268" i="65"/>
  <c r="CR289" i="65"/>
  <c r="DL289" i="65"/>
  <c r="DM289" i="65"/>
  <c r="CR332" i="65"/>
  <c r="DL332" i="65"/>
  <c r="DM332" i="65"/>
  <c r="CS353" i="65"/>
  <c r="DL353" i="65"/>
  <c r="DM353" i="65"/>
  <c r="DL396" i="65"/>
  <c r="DM396" i="65"/>
  <c r="CR417" i="65"/>
  <c r="DL417" i="65"/>
  <c r="DM417" i="65"/>
  <c r="CR460" i="65"/>
  <c r="DM460" i="65"/>
  <c r="DL460" i="65"/>
  <c r="DL481" i="65"/>
  <c r="DM481" i="65"/>
  <c r="CS45" i="65"/>
  <c r="DM45" i="65"/>
  <c r="DL45" i="65"/>
  <c r="DM87" i="65"/>
  <c r="DL87" i="65"/>
  <c r="CS130" i="65"/>
  <c r="DL130" i="65"/>
  <c r="DM130" i="65"/>
  <c r="DL173" i="65"/>
  <c r="DM173" i="65"/>
  <c r="CR215" i="65"/>
  <c r="DM215" i="65"/>
  <c r="DL215" i="65"/>
  <c r="CS253" i="65"/>
  <c r="DL253" i="65"/>
  <c r="DM253" i="65"/>
  <c r="CR280" i="65"/>
  <c r="DM280" i="65"/>
  <c r="DL280" i="65"/>
  <c r="DM312" i="65"/>
  <c r="DL312" i="65"/>
  <c r="CS354" i="65"/>
  <c r="DM354" i="65"/>
  <c r="DL354" i="65"/>
  <c r="DL397" i="65"/>
  <c r="DM397" i="65"/>
  <c r="CR440" i="65"/>
  <c r="DM440" i="65"/>
  <c r="DL440" i="65"/>
  <c r="DM482" i="65"/>
  <c r="DL482" i="65"/>
  <c r="CR24" i="65"/>
  <c r="DM24" i="65"/>
  <c r="DL24" i="65"/>
  <c r="CR56" i="65"/>
  <c r="DM56" i="65"/>
  <c r="DL56" i="65"/>
  <c r="DM88" i="65"/>
  <c r="DL88" i="65"/>
  <c r="CS120" i="65"/>
  <c r="DM120" i="65"/>
  <c r="DL120" i="65"/>
  <c r="CS152" i="65"/>
  <c r="DM152" i="65"/>
  <c r="DL152" i="65"/>
  <c r="DM184" i="65"/>
  <c r="DL184" i="65"/>
  <c r="CR216" i="65"/>
  <c r="DL216" i="65"/>
  <c r="DM216" i="65"/>
  <c r="DM41" i="65"/>
  <c r="DL41" i="65"/>
  <c r="DM83" i="65"/>
  <c r="DL83" i="65"/>
  <c r="CR126" i="65"/>
  <c r="DM126" i="65"/>
  <c r="DL126" i="65"/>
  <c r="CS169" i="65"/>
  <c r="DL169" i="65"/>
  <c r="DM169" i="65"/>
  <c r="DM250" i="65"/>
  <c r="DL250" i="65"/>
  <c r="DM47" i="65"/>
  <c r="DL47" i="65"/>
  <c r="CR111" i="65"/>
  <c r="DM111" i="65"/>
  <c r="DL111" i="65"/>
  <c r="CR154" i="65"/>
  <c r="DM154" i="65"/>
  <c r="DL154" i="65"/>
  <c r="CS175" i="65"/>
  <c r="DM175" i="65"/>
  <c r="DL175" i="65"/>
  <c r="CR218" i="65"/>
  <c r="DM218" i="65"/>
  <c r="DL218" i="65"/>
  <c r="CS255" i="65"/>
  <c r="DM255" i="65"/>
  <c r="DL255" i="65"/>
  <c r="DM287" i="65"/>
  <c r="DL287" i="65"/>
  <c r="DM351" i="65"/>
  <c r="DL351" i="65"/>
  <c r="DM383" i="65"/>
  <c r="DL383" i="65"/>
  <c r="CW415" i="65"/>
  <c r="CV415" i="65"/>
  <c r="CS447" i="65"/>
  <c r="DM447" i="65"/>
  <c r="DL447" i="65"/>
  <c r="DM479" i="65"/>
  <c r="DL479" i="65"/>
  <c r="CR511" i="65"/>
  <c r="DM511" i="65"/>
  <c r="DL511" i="65"/>
  <c r="CR18" i="65"/>
  <c r="DM18" i="65"/>
  <c r="DL18" i="65"/>
  <c r="CR102" i="65"/>
  <c r="DL102" i="65"/>
  <c r="DM102" i="65"/>
  <c r="CS264" i="65"/>
  <c r="DM264" i="65"/>
  <c r="DL264" i="65"/>
  <c r="CR308" i="65"/>
  <c r="DM308" i="65"/>
  <c r="DL308" i="65"/>
  <c r="CR372" i="65"/>
  <c r="DM372" i="65"/>
  <c r="DL372" i="65"/>
  <c r="DM414" i="65"/>
  <c r="DL414" i="65"/>
  <c r="DL457" i="65"/>
  <c r="DM457" i="65"/>
  <c r="CR500" i="65"/>
  <c r="DM500" i="65"/>
  <c r="DL500" i="65"/>
  <c r="CR285" i="65"/>
  <c r="DL285" i="65"/>
  <c r="DM285" i="65"/>
  <c r="CR381" i="65"/>
  <c r="DL381" i="65"/>
  <c r="DM381" i="65"/>
  <c r="CS509" i="65"/>
  <c r="DL509" i="65"/>
  <c r="DM509" i="65"/>
  <c r="CS61" i="65"/>
  <c r="DM61" i="65"/>
  <c r="DL61" i="65"/>
  <c r="CR189" i="65"/>
  <c r="DL189" i="65"/>
  <c r="DM189" i="65"/>
  <c r="CS288" i="65"/>
  <c r="DM288" i="65"/>
  <c r="DL288" i="65"/>
  <c r="CR437" i="65"/>
  <c r="DL437" i="65"/>
  <c r="DM437" i="65"/>
  <c r="DL501" i="65"/>
  <c r="DM501" i="65"/>
  <c r="CS43" i="65"/>
  <c r="DM43" i="65"/>
  <c r="DL43" i="65"/>
  <c r="CR129" i="65"/>
  <c r="DL129" i="65"/>
  <c r="DM129" i="65"/>
  <c r="CS214" i="65"/>
  <c r="DL214" i="65"/>
  <c r="DM214" i="65"/>
  <c r="DM300" i="65"/>
  <c r="DL300" i="65"/>
  <c r="DM342" i="65"/>
  <c r="DL342" i="65"/>
  <c r="CR406" i="65"/>
  <c r="DM406" i="65"/>
  <c r="DL406" i="65"/>
  <c r="DM470" i="65"/>
  <c r="DL470" i="65"/>
  <c r="DL109" i="65"/>
  <c r="DM109" i="65"/>
  <c r="CR269" i="65"/>
  <c r="DL269" i="65"/>
  <c r="DM269" i="65"/>
  <c r="DM376" i="65"/>
  <c r="DL376" i="65"/>
  <c r="DM504" i="65"/>
  <c r="DL504" i="65"/>
  <c r="DM27" i="65"/>
  <c r="DL27" i="65"/>
  <c r="DM20" i="65"/>
  <c r="DL20" i="65"/>
  <c r="DM36" i="65"/>
  <c r="DL36" i="65"/>
  <c r="DM52" i="65"/>
  <c r="DL52" i="65"/>
  <c r="DL68" i="65"/>
  <c r="DM68" i="65"/>
  <c r="DM84" i="65"/>
  <c r="DL84" i="65"/>
  <c r="DM100" i="65"/>
  <c r="DL100" i="65"/>
  <c r="DM116" i="65"/>
  <c r="DL116" i="65"/>
  <c r="DL132" i="65"/>
  <c r="DM132" i="65"/>
  <c r="DM148" i="65"/>
  <c r="DL148" i="65"/>
  <c r="DM164" i="65"/>
  <c r="DL164" i="65"/>
  <c r="CS180" i="65"/>
  <c r="DM180" i="65"/>
  <c r="DL180" i="65"/>
  <c r="DM196" i="65"/>
  <c r="DL196" i="65"/>
  <c r="CS212" i="65"/>
  <c r="DM212" i="65"/>
  <c r="DL212" i="65"/>
  <c r="DM228" i="65"/>
  <c r="DL228" i="65"/>
  <c r="DM33" i="65"/>
  <c r="DL33" i="65"/>
  <c r="DL57" i="65"/>
  <c r="DM57" i="65"/>
  <c r="DM99" i="65"/>
  <c r="DL99" i="65"/>
  <c r="CS121" i="65"/>
  <c r="DL121" i="65"/>
  <c r="DM121" i="65"/>
  <c r="DM142" i="65"/>
  <c r="DL142" i="65"/>
  <c r="CS163" i="65"/>
  <c r="DM163" i="65"/>
  <c r="DL163" i="65"/>
  <c r="DL185" i="65"/>
  <c r="DM185" i="65"/>
  <c r="DM206" i="65"/>
  <c r="DL206" i="65"/>
  <c r="DM227" i="65"/>
  <c r="DL227" i="65"/>
  <c r="DL246" i="65"/>
  <c r="DM246" i="65"/>
  <c r="DM262" i="65"/>
  <c r="DL262" i="65"/>
  <c r="DM42" i="65"/>
  <c r="DL42" i="65"/>
  <c r="DM63" i="65"/>
  <c r="DL63" i="65"/>
  <c r="DL85" i="65"/>
  <c r="DM85" i="65"/>
  <c r="DM106" i="65"/>
  <c r="DL106" i="65"/>
  <c r="DM127" i="65"/>
  <c r="DL127" i="65"/>
  <c r="DM149" i="65"/>
  <c r="DL149" i="65"/>
  <c r="CS170" i="65"/>
  <c r="DM170" i="65"/>
  <c r="DL170" i="65"/>
  <c r="DM191" i="65"/>
  <c r="DL191" i="65"/>
  <c r="DM213" i="65"/>
  <c r="DL213" i="65"/>
  <c r="CS283" i="65"/>
  <c r="DM283" i="65"/>
  <c r="DL283" i="65"/>
  <c r="DM299" i="65"/>
  <c r="DL299" i="65"/>
  <c r="DL315" i="65"/>
  <c r="DM315" i="65"/>
  <c r="DL331" i="65"/>
  <c r="DM331" i="65"/>
  <c r="DL347" i="65"/>
  <c r="DM347" i="65"/>
  <c r="DL363" i="65"/>
  <c r="DM363" i="65"/>
  <c r="CS411" i="65"/>
  <c r="DL411" i="65"/>
  <c r="DM411" i="65"/>
  <c r="DL427" i="65"/>
  <c r="DM427" i="65"/>
  <c r="CW443" i="65"/>
  <c r="CV443" i="65"/>
  <c r="DL459" i="65"/>
  <c r="DM459" i="65"/>
  <c r="DL475" i="65"/>
  <c r="DM475" i="65"/>
  <c r="DL491" i="65"/>
  <c r="DM491" i="65"/>
  <c r="DM15" i="65"/>
  <c r="DL15" i="65"/>
  <c r="DL49" i="65"/>
  <c r="DM49" i="65"/>
  <c r="DM91" i="65"/>
  <c r="DL91" i="65"/>
  <c r="CS134" i="65"/>
  <c r="DM134" i="65"/>
  <c r="DL134" i="65"/>
  <c r="DL177" i="65"/>
  <c r="DM177" i="65"/>
  <c r="DM219" i="65"/>
  <c r="DL219" i="65"/>
  <c r="DM256" i="65"/>
  <c r="DL256" i="65"/>
  <c r="CS281" i="65"/>
  <c r="DL281" i="65"/>
  <c r="DM281" i="65"/>
  <c r="DM324" i="65"/>
  <c r="DL324" i="65"/>
  <c r="DL345" i="65"/>
  <c r="DM345" i="65"/>
  <c r="DM388" i="65"/>
  <c r="DL388" i="65"/>
  <c r="CS409" i="65"/>
  <c r="DL409" i="65"/>
  <c r="DM409" i="65"/>
  <c r="DM452" i="65"/>
  <c r="DL452" i="65"/>
  <c r="DL473" i="65"/>
  <c r="DM473" i="65"/>
  <c r="DM516" i="65"/>
  <c r="DL516" i="65"/>
  <c r="CR328" i="65"/>
  <c r="DM328" i="65"/>
  <c r="DL328" i="65"/>
  <c r="DM370" i="65"/>
  <c r="DL370" i="65"/>
  <c r="CR413" i="65"/>
  <c r="DL413" i="65"/>
  <c r="DM413" i="65"/>
  <c r="DM456" i="65"/>
  <c r="DL456" i="65"/>
  <c r="CR498" i="65"/>
  <c r="DM498" i="65"/>
  <c r="DL498" i="65"/>
  <c r="DM50" i="65"/>
  <c r="DL50" i="65"/>
  <c r="DL93" i="65"/>
  <c r="DM93" i="65"/>
  <c r="DM135" i="65"/>
  <c r="DL135" i="65"/>
  <c r="DL221" i="65"/>
  <c r="DM221" i="65"/>
  <c r="CS257" i="65"/>
  <c r="DL257" i="65"/>
  <c r="DM257" i="65"/>
  <c r="DM282" i="65"/>
  <c r="DL282" i="65"/>
  <c r="CS304" i="65"/>
  <c r="DM304" i="65"/>
  <c r="DL304" i="65"/>
  <c r="DL325" i="65"/>
  <c r="DM325" i="65"/>
  <c r="DM346" i="65"/>
  <c r="DL346" i="65"/>
  <c r="CS368" i="65"/>
  <c r="DL368" i="65"/>
  <c r="DM368" i="65"/>
  <c r="DL389" i="65"/>
  <c r="DM389" i="65"/>
  <c r="DM410" i="65"/>
  <c r="DL410" i="65"/>
  <c r="CS432" i="65"/>
  <c r="DL432" i="65"/>
  <c r="DM432" i="65"/>
  <c r="CS453" i="65"/>
  <c r="DL453" i="65"/>
  <c r="DM453" i="65"/>
  <c r="DM474" i="65"/>
  <c r="DL474" i="65"/>
  <c r="DL496" i="65"/>
  <c r="DM496" i="65"/>
  <c r="CS517" i="65"/>
  <c r="DL517" i="65"/>
  <c r="DM517" i="65"/>
  <c r="CR29" i="65"/>
  <c r="DM29" i="65"/>
  <c r="DL29" i="65"/>
  <c r="CS75" i="65"/>
  <c r="DM75" i="65"/>
  <c r="DL75" i="65"/>
  <c r="CR118" i="65"/>
  <c r="DL118" i="65"/>
  <c r="DM118" i="65"/>
  <c r="DL161" i="65"/>
  <c r="DM161" i="65"/>
  <c r="CR203" i="65"/>
  <c r="DM203" i="65"/>
  <c r="DL203" i="65"/>
  <c r="DM244" i="65"/>
  <c r="DL244" i="65"/>
  <c r="CR273" i="65"/>
  <c r="DL273" i="65"/>
  <c r="DM273" i="65"/>
  <c r="CR316" i="65"/>
  <c r="DL316" i="65"/>
  <c r="DM316" i="65"/>
  <c r="CS337" i="65"/>
  <c r="DL337" i="65"/>
  <c r="DM337" i="65"/>
  <c r="CR358" i="65"/>
  <c r="DM358" i="65"/>
  <c r="DL358" i="65"/>
  <c r="DL380" i="65"/>
  <c r="DM380" i="65"/>
  <c r="CR401" i="65"/>
  <c r="DL401" i="65"/>
  <c r="DM401" i="65"/>
  <c r="CS444" i="65"/>
  <c r="DL444" i="65"/>
  <c r="DM444" i="65"/>
  <c r="DL465" i="65"/>
  <c r="DM465" i="65"/>
  <c r="CR486" i="65"/>
  <c r="DM486" i="65"/>
  <c r="DL486" i="65"/>
  <c r="DL508" i="65"/>
  <c r="DM508" i="65"/>
  <c r="DM10" i="65"/>
  <c r="DL10" i="65"/>
  <c r="DM55" i="65"/>
  <c r="DL55" i="65"/>
  <c r="DM98" i="65"/>
  <c r="DL98" i="65"/>
  <c r="DL141" i="65"/>
  <c r="DM141" i="65"/>
  <c r="DM183" i="65"/>
  <c r="DL183" i="65"/>
  <c r="CS226" i="65"/>
  <c r="DM226" i="65"/>
  <c r="DL226" i="65"/>
  <c r="DM261" i="65"/>
  <c r="DL261" i="65"/>
  <c r="CS290" i="65"/>
  <c r="DM290" i="65"/>
  <c r="DL290" i="65"/>
  <c r="DL365" i="65"/>
  <c r="DM365" i="65"/>
  <c r="DL493" i="65"/>
  <c r="DM493" i="65"/>
  <c r="DM31" i="65"/>
  <c r="DL31" i="65"/>
  <c r="CR40" i="65"/>
  <c r="DM40" i="65"/>
  <c r="DL40" i="65"/>
  <c r="DM72" i="65"/>
  <c r="DL72" i="65"/>
  <c r="CR104" i="65"/>
  <c r="DL104" i="65"/>
  <c r="DM104" i="65"/>
  <c r="DM136" i="65"/>
  <c r="DL136" i="65"/>
  <c r="CS200" i="65"/>
  <c r="DM200" i="65"/>
  <c r="DL200" i="65"/>
  <c r="CR62" i="65"/>
  <c r="DM62" i="65"/>
  <c r="DL62" i="65"/>
  <c r="CR105" i="65"/>
  <c r="DL105" i="65"/>
  <c r="DM105" i="65"/>
  <c r="CS233" i="65"/>
  <c r="DL233" i="65"/>
  <c r="DM233" i="65"/>
  <c r="CR266" i="65"/>
  <c r="DM266" i="65"/>
  <c r="DL266" i="65"/>
  <c r="CS69" i="65"/>
  <c r="DM69" i="65"/>
  <c r="DL69" i="65"/>
  <c r="CR90" i="65"/>
  <c r="DM90" i="65"/>
  <c r="DL90" i="65"/>
  <c r="DM133" i="65"/>
  <c r="DL133" i="65"/>
  <c r="DM197" i="65"/>
  <c r="DL197" i="65"/>
  <c r="CR239" i="65"/>
  <c r="DM239" i="65"/>
  <c r="DL239" i="65"/>
  <c r="CR271" i="65"/>
  <c r="DM271" i="65"/>
  <c r="DL271" i="65"/>
  <c r="DM303" i="65"/>
  <c r="DL303" i="65"/>
  <c r="CR335" i="65"/>
  <c r="DM335" i="65"/>
  <c r="DL335" i="65"/>
  <c r="CS367" i="65"/>
  <c r="DM367" i="65"/>
  <c r="DL367" i="65"/>
  <c r="DM399" i="65"/>
  <c r="DL399" i="65"/>
  <c r="CS431" i="65"/>
  <c r="DM431" i="65"/>
  <c r="DL431" i="65"/>
  <c r="DM495" i="65"/>
  <c r="DL495" i="65"/>
  <c r="DM59" i="65"/>
  <c r="DL59" i="65"/>
  <c r="CS145" i="65"/>
  <c r="DL145" i="65"/>
  <c r="DM145" i="65"/>
  <c r="DM286" i="65"/>
  <c r="DL286" i="65"/>
  <c r="DL329" i="65"/>
  <c r="DM329" i="65"/>
  <c r="CS393" i="65"/>
  <c r="DL393" i="65"/>
  <c r="DM393" i="65"/>
  <c r="CR436" i="65"/>
  <c r="DM436" i="65"/>
  <c r="DL436" i="65"/>
  <c r="CR103" i="65"/>
  <c r="DM103" i="65"/>
  <c r="DL103" i="65"/>
  <c r="DM231" i="65"/>
  <c r="DL231" i="65"/>
  <c r="CR309" i="65"/>
  <c r="DM309" i="65"/>
  <c r="DL309" i="65"/>
  <c r="DL373" i="65"/>
  <c r="DM373" i="65"/>
  <c r="DL416" i="65"/>
  <c r="DM416" i="65"/>
  <c r="DM171" i="65"/>
  <c r="DL171" i="65"/>
  <c r="CR278" i="65"/>
  <c r="DL278" i="65"/>
  <c r="DM278" i="65"/>
  <c r="CR364" i="65"/>
  <c r="DL364" i="65"/>
  <c r="DM364" i="65"/>
  <c r="DM428" i="65"/>
  <c r="DL428" i="65"/>
  <c r="CR492" i="65"/>
  <c r="DM492" i="65"/>
  <c r="DL492" i="65"/>
  <c r="DM16" i="65"/>
  <c r="DL16" i="65"/>
  <c r="CR151" i="65"/>
  <c r="DM151" i="65"/>
  <c r="DL151" i="65"/>
  <c r="DL237" i="65"/>
  <c r="DM237" i="65"/>
  <c r="CR333" i="65"/>
  <c r="DL333" i="65"/>
  <c r="DM333" i="65"/>
  <c r="CS461" i="65"/>
  <c r="DL461" i="65"/>
  <c r="DM461" i="65"/>
  <c r="CR120" i="65"/>
  <c r="CR145" i="65"/>
  <c r="CR242" i="65"/>
  <c r="CR226" i="65"/>
  <c r="CR152" i="65"/>
  <c r="CR334" i="65"/>
  <c r="CR107" i="65"/>
  <c r="CR30" i="65"/>
  <c r="CR77" i="65"/>
  <c r="CR423" i="65"/>
  <c r="CR439" i="65"/>
  <c r="CR304" i="65"/>
  <c r="CR74" i="65"/>
  <c r="CR539" i="65"/>
  <c r="CR208" i="65"/>
  <c r="CR369" i="65"/>
  <c r="CR361" i="65"/>
  <c r="CR212" i="65"/>
  <c r="CR168" i="65"/>
  <c r="CR222" i="65"/>
  <c r="CR200" i="65"/>
  <c r="CR398" i="65"/>
  <c r="CS466" i="65"/>
  <c r="CR265" i="65"/>
  <c r="CR130" i="65"/>
  <c r="CR134" i="65"/>
  <c r="CR281" i="65"/>
  <c r="CS263" i="65"/>
  <c r="CS486" i="65"/>
  <c r="CS350" i="65"/>
  <c r="CR156" i="65"/>
  <c r="CR288" i="65"/>
  <c r="CS92" i="65"/>
  <c r="CS419" i="65"/>
  <c r="CS476" i="65"/>
  <c r="CS386" i="65"/>
  <c r="CR509" i="65"/>
  <c r="CR411" i="65"/>
  <c r="CR75" i="65"/>
  <c r="CR367" i="65"/>
  <c r="CS254" i="65"/>
  <c r="CS348" i="65"/>
  <c r="CS162" i="65"/>
  <c r="CS218" i="65"/>
  <c r="CS543" i="65"/>
  <c r="CR284" i="65"/>
  <c r="CR471" i="65"/>
  <c r="CR353" i="65"/>
  <c r="CR255" i="65"/>
  <c r="CR43" i="65"/>
  <c r="CR267" i="65"/>
  <c r="CR283" i="65"/>
  <c r="CR257" i="65"/>
  <c r="CR408" i="65"/>
  <c r="CR431" i="65"/>
  <c r="CS60" i="65"/>
  <c r="CS46" i="65"/>
  <c r="CS217" i="65"/>
  <c r="CS138" i="65"/>
  <c r="CS323" i="65"/>
  <c r="CS515" i="65"/>
  <c r="CS477" i="65"/>
  <c r="CS9" i="65"/>
  <c r="CS305" i="65"/>
  <c r="CS433" i="65"/>
  <c r="CS301" i="65"/>
  <c r="CS56" i="65"/>
  <c r="CS90" i="65"/>
  <c r="CS458" i="65"/>
  <c r="CS391" i="65"/>
  <c r="CS276" i="65"/>
  <c r="CR174" i="65"/>
  <c r="CR444" i="65"/>
  <c r="CS28" i="65"/>
  <c r="CS95" i="65"/>
  <c r="CS223" i="65"/>
  <c r="CS483" i="65"/>
  <c r="CS392" i="65"/>
  <c r="CS260" i="65"/>
  <c r="CS17" i="65"/>
  <c r="CS211" i="65"/>
  <c r="CS102" i="65"/>
  <c r="CS330" i="65"/>
  <c r="CS13" i="65"/>
  <c r="CS150" i="65"/>
  <c r="CS406" i="65"/>
  <c r="CS309" i="65"/>
  <c r="CS89" i="65"/>
  <c r="CS97" i="65"/>
  <c r="CR70" i="65"/>
  <c r="CR400" i="65"/>
  <c r="CR48" i="65"/>
  <c r="CR125" i="65"/>
  <c r="CR187" i="65"/>
  <c r="CR121" i="65"/>
  <c r="CR517" i="65"/>
  <c r="CR290" i="65"/>
  <c r="CR233" i="65"/>
  <c r="CR461" i="65"/>
  <c r="CS19" i="65"/>
  <c r="CS124" i="65"/>
  <c r="CS131" i="65"/>
  <c r="CS53" i="65"/>
  <c r="CS451" i="65"/>
  <c r="CS306" i="65"/>
  <c r="CS182" i="65"/>
  <c r="CS518" i="65"/>
  <c r="CS472" i="65"/>
  <c r="CS62" i="65"/>
  <c r="CS511" i="65"/>
  <c r="CS436" i="65"/>
  <c r="CS189" i="65"/>
  <c r="CS374" i="65"/>
  <c r="CS498" i="65"/>
  <c r="CS29" i="65"/>
  <c r="CS111" i="65"/>
  <c r="CS364" i="65"/>
  <c r="CR79" i="65"/>
  <c r="CS79" i="65"/>
  <c r="CR122" i="65"/>
  <c r="CS122" i="65"/>
  <c r="CR396" i="65"/>
  <c r="CS396" i="65"/>
  <c r="CR481" i="65"/>
  <c r="CS481" i="65"/>
  <c r="CR352" i="65"/>
  <c r="CS352" i="65"/>
  <c r="CR142" i="65"/>
  <c r="CS142" i="65"/>
  <c r="CR315" i="65"/>
  <c r="CS315" i="65"/>
  <c r="CR363" i="65"/>
  <c r="CS363" i="65"/>
  <c r="CR324" i="65"/>
  <c r="CS324" i="65"/>
  <c r="CR389" i="65"/>
  <c r="CS389" i="65"/>
  <c r="CR190" i="65"/>
  <c r="CS190" i="65"/>
  <c r="CS181" i="65"/>
  <c r="CS245" i="65"/>
  <c r="CR545" i="65"/>
  <c r="CS545" i="65"/>
  <c r="CR536" i="65"/>
  <c r="CS536" i="65"/>
  <c r="CR236" i="65"/>
  <c r="CR412" i="65"/>
  <c r="CR252" i="65"/>
  <c r="CR321" i="65"/>
  <c r="CR80" i="65"/>
  <c r="CR94" i="65"/>
  <c r="CR258" i="65"/>
  <c r="CR165" i="65"/>
  <c r="CR295" i="65"/>
  <c r="CR311" i="65"/>
  <c r="CR343" i="65"/>
  <c r="CS343" i="65"/>
  <c r="CR375" i="65"/>
  <c r="CS375" i="65"/>
  <c r="CR123" i="65"/>
  <c r="CR248" i="65"/>
  <c r="CS248" i="65"/>
  <c r="CR297" i="65"/>
  <c r="CS297" i="65"/>
  <c r="CR446" i="65"/>
  <c r="CR468" i="65"/>
  <c r="CS468" i="65"/>
  <c r="CR298" i="65"/>
  <c r="CR320" i="65"/>
  <c r="CR341" i="65"/>
  <c r="CS341" i="65"/>
  <c r="CR384" i="65"/>
  <c r="CS384" i="65"/>
  <c r="CR405" i="65"/>
  <c r="CS405" i="65"/>
  <c r="CR426" i="65"/>
  <c r="CS426" i="65"/>
  <c r="CR448" i="65"/>
  <c r="CS448" i="65"/>
  <c r="CR469" i="65"/>
  <c r="CS469" i="65"/>
  <c r="CR438" i="65"/>
  <c r="CS438" i="65"/>
  <c r="CR312" i="65"/>
  <c r="CS312" i="65"/>
  <c r="CR169" i="65"/>
  <c r="CR250" i="65"/>
  <c r="CS250" i="65"/>
  <c r="CR47" i="65"/>
  <c r="CS47" i="65"/>
  <c r="CR415" i="65"/>
  <c r="CR447" i="65"/>
  <c r="CR479" i="65"/>
  <c r="CS479" i="65"/>
  <c r="CR264" i="65"/>
  <c r="CR214" i="65"/>
  <c r="CR300" i="65"/>
  <c r="CS300" i="65"/>
  <c r="CR342" i="65"/>
  <c r="CS342" i="65"/>
  <c r="CR470" i="65"/>
  <c r="CS470" i="65"/>
  <c r="CR109" i="65"/>
  <c r="CS109" i="65"/>
  <c r="CR376" i="65"/>
  <c r="CS376" i="65"/>
  <c r="CR504" i="65"/>
  <c r="CS504" i="65"/>
  <c r="CR27" i="65"/>
  <c r="CS27" i="65"/>
  <c r="CR20" i="65"/>
  <c r="CS20" i="65"/>
  <c r="CR36" i="65"/>
  <c r="CS36" i="65"/>
  <c r="CR52" i="65"/>
  <c r="CS52" i="65"/>
  <c r="CR68" i="65"/>
  <c r="CS68" i="65"/>
  <c r="CR84" i="65"/>
  <c r="CS84" i="65"/>
  <c r="CR100" i="65"/>
  <c r="CS100" i="65"/>
  <c r="CR116" i="65"/>
  <c r="CS116" i="65"/>
  <c r="CR132" i="65"/>
  <c r="CS132" i="65"/>
  <c r="CR148" i="65"/>
  <c r="CS148" i="65"/>
  <c r="CR164" i="65"/>
  <c r="CS164" i="65"/>
  <c r="CR163" i="65"/>
  <c r="CR185" i="65"/>
  <c r="CS185" i="65"/>
  <c r="CR206" i="65"/>
  <c r="CS206" i="65"/>
  <c r="CR227" i="65"/>
  <c r="CS227" i="65"/>
  <c r="CR246" i="65"/>
  <c r="CS246" i="65"/>
  <c r="CR262" i="65"/>
  <c r="CS262" i="65"/>
  <c r="CR42" i="65"/>
  <c r="CS42" i="65"/>
  <c r="CR63" i="65"/>
  <c r="CS63" i="65"/>
  <c r="CR85" i="65"/>
  <c r="CS85" i="65"/>
  <c r="CR106" i="65"/>
  <c r="CS106" i="65"/>
  <c r="CR127" i="65"/>
  <c r="CS127" i="65"/>
  <c r="CR149" i="65"/>
  <c r="CS149" i="65"/>
  <c r="CR379" i="65"/>
  <c r="CS379" i="65"/>
  <c r="CR302" i="65"/>
  <c r="CS302" i="65"/>
  <c r="CR366" i="65"/>
  <c r="CS366" i="65"/>
  <c r="CR409" i="65"/>
  <c r="CR452" i="65"/>
  <c r="CS452" i="65"/>
  <c r="CR473" i="65"/>
  <c r="CS473" i="65"/>
  <c r="CR516" i="65"/>
  <c r="CS516" i="65"/>
  <c r="CR370" i="65"/>
  <c r="CS370" i="65"/>
  <c r="CR456" i="65"/>
  <c r="CS456" i="65"/>
  <c r="CR50" i="65"/>
  <c r="CS50" i="65"/>
  <c r="CR93" i="65"/>
  <c r="CS93" i="65"/>
  <c r="CR135" i="65"/>
  <c r="CS135" i="65"/>
  <c r="CR221" i="65"/>
  <c r="CS221" i="65"/>
  <c r="CR432" i="65"/>
  <c r="CR453" i="65"/>
  <c r="CR294" i="65"/>
  <c r="CS294" i="65"/>
  <c r="CR337" i="65"/>
  <c r="CR380" i="65"/>
  <c r="CS380" i="65"/>
  <c r="CR322" i="65"/>
  <c r="CS322" i="65"/>
  <c r="CR493" i="65"/>
  <c r="CS493" i="65"/>
  <c r="CR31" i="65"/>
  <c r="CS31" i="65"/>
  <c r="CR72" i="65"/>
  <c r="CS72" i="65"/>
  <c r="CR136" i="65"/>
  <c r="CS136" i="65"/>
  <c r="CR69" i="65"/>
  <c r="CR133" i="65"/>
  <c r="CS133" i="65"/>
  <c r="CR197" i="65"/>
  <c r="CS197" i="65"/>
  <c r="CR303" i="65"/>
  <c r="CS303" i="65"/>
  <c r="CR393" i="65"/>
  <c r="CR231" i="65"/>
  <c r="CS231" i="65"/>
  <c r="CS21" i="65"/>
  <c r="CS113" i="65"/>
  <c r="CS198" i="65"/>
  <c r="CS270" i="65"/>
  <c r="CS313" i="65"/>
  <c r="CS356" i="65"/>
  <c r="CS441" i="65"/>
  <c r="CS484" i="65"/>
  <c r="CS526" i="65"/>
  <c r="CS71" i="65"/>
  <c r="CS157" i="65"/>
  <c r="CS293" i="65"/>
  <c r="CS336" i="65"/>
  <c r="CS378" i="65"/>
  <c r="CS421" i="65"/>
  <c r="CS464" i="65"/>
  <c r="CS506" i="65"/>
  <c r="CS540" i="65"/>
  <c r="CS385" i="65"/>
  <c r="CS513" i="65"/>
  <c r="CS151" i="65"/>
  <c r="CS333" i="65"/>
  <c r="CS23" i="65"/>
  <c r="CS32" i="65"/>
  <c r="CS64" i="65"/>
  <c r="CS96" i="65"/>
  <c r="CS128" i="65"/>
  <c r="CS160" i="65"/>
  <c r="CS192" i="65"/>
  <c r="CS224" i="65"/>
  <c r="CS51" i="65"/>
  <c r="CS137" i="65"/>
  <c r="CS179" i="65"/>
  <c r="CS58" i="65"/>
  <c r="CS229" i="65"/>
  <c r="CS359" i="65"/>
  <c r="CS487" i="65"/>
  <c r="CS535" i="65"/>
  <c r="CS209" i="65"/>
  <c r="CS404" i="65"/>
  <c r="CS530" i="65"/>
  <c r="CS65" i="65"/>
  <c r="CS332" i="65"/>
  <c r="CS502" i="65"/>
  <c r="CS215" i="65"/>
  <c r="CS525" i="65"/>
  <c r="CS230" i="65"/>
  <c r="CS278" i="65"/>
  <c r="CS413" i="65"/>
  <c r="CS273" i="65"/>
  <c r="CS40" i="65"/>
  <c r="CS103" i="65"/>
  <c r="CS418" i="65"/>
  <c r="CR521" i="65"/>
  <c r="CS521" i="65"/>
  <c r="CR523" i="65"/>
  <c r="CS523" i="65"/>
  <c r="CR527" i="65"/>
  <c r="CS527" i="65"/>
  <c r="CR11" i="65"/>
  <c r="CS11" i="65"/>
  <c r="CR457" i="65"/>
  <c r="CS457" i="65"/>
  <c r="CR78" i="65"/>
  <c r="CS78" i="65"/>
  <c r="CR331" i="65"/>
  <c r="CS331" i="65"/>
  <c r="CR410" i="65"/>
  <c r="CS410" i="65"/>
  <c r="CR147" i="65"/>
  <c r="CS147" i="65"/>
  <c r="CR329" i="65"/>
  <c r="CS329" i="65"/>
  <c r="CS188" i="65"/>
  <c r="CS259" i="65"/>
  <c r="CS355" i="65"/>
  <c r="CS280" i="65"/>
  <c r="CS316" i="65"/>
  <c r="CR538" i="65"/>
  <c r="CS538" i="65"/>
  <c r="CR532" i="65"/>
  <c r="CS532" i="65"/>
  <c r="CR537" i="65"/>
  <c r="CS537" i="65"/>
  <c r="CR542" i="65"/>
  <c r="CS542" i="65"/>
  <c r="CR544" i="65"/>
  <c r="CS544" i="65"/>
  <c r="CR387" i="65"/>
  <c r="CR403" i="65"/>
  <c r="CR462" i="65"/>
  <c r="CR274" i="65"/>
  <c r="CR424" i="65"/>
  <c r="CS424" i="65"/>
  <c r="CR12" i="65"/>
  <c r="CS12" i="65"/>
  <c r="CR146" i="65"/>
  <c r="CS146" i="65"/>
  <c r="CR66" i="65"/>
  <c r="CR296" i="65"/>
  <c r="CS296" i="65"/>
  <c r="CR176" i="65"/>
  <c r="CR207" i="65"/>
  <c r="CR407" i="65"/>
  <c r="CS407" i="65"/>
  <c r="CR166" i="65"/>
  <c r="CS166" i="65"/>
  <c r="CR318" i="65"/>
  <c r="CR340" i="65"/>
  <c r="CS340" i="65"/>
  <c r="CR489" i="65"/>
  <c r="CR510" i="65"/>
  <c r="CS510" i="65"/>
  <c r="CR317" i="65"/>
  <c r="CS317" i="65"/>
  <c r="CR488" i="65"/>
  <c r="CS488" i="65"/>
  <c r="CR38" i="65"/>
  <c r="CS38" i="65"/>
  <c r="CR82" i="65"/>
  <c r="CS82" i="65"/>
  <c r="CR362" i="65"/>
  <c r="CS362" i="65"/>
  <c r="CR490" i="65"/>
  <c r="CR512" i="65"/>
  <c r="CS512" i="65"/>
  <c r="CR45" i="65"/>
  <c r="CR87" i="65"/>
  <c r="CS87" i="65"/>
  <c r="CR354" i="65"/>
  <c r="CR397" i="65"/>
  <c r="CS397" i="65"/>
  <c r="CR482" i="65"/>
  <c r="CS482" i="65"/>
  <c r="CR88" i="65"/>
  <c r="CS88" i="65"/>
  <c r="CR175" i="65"/>
  <c r="CR61" i="65"/>
  <c r="CR180" i="65"/>
  <c r="CR196" i="65"/>
  <c r="CS196" i="65"/>
  <c r="CR170" i="65"/>
  <c r="CR191" i="65"/>
  <c r="CS191" i="65"/>
  <c r="CR213" i="65"/>
  <c r="CS213" i="65"/>
  <c r="CR395" i="65"/>
  <c r="CR427" i="65"/>
  <c r="CS427" i="65"/>
  <c r="CR459" i="65"/>
  <c r="CS459" i="65"/>
  <c r="CR475" i="65"/>
  <c r="CS475" i="65"/>
  <c r="CR491" i="65"/>
  <c r="CS491" i="65"/>
  <c r="CR15" i="65"/>
  <c r="CS15" i="65"/>
  <c r="CR49" i="65"/>
  <c r="CS49" i="65"/>
  <c r="CR91" i="65"/>
  <c r="CS91" i="65"/>
  <c r="CR430" i="65"/>
  <c r="CS430" i="65"/>
  <c r="CR494" i="65"/>
  <c r="CS494" i="65"/>
  <c r="CR5" i="65"/>
  <c r="CS5" i="65"/>
  <c r="CR178" i="65"/>
  <c r="CS178" i="65"/>
  <c r="CR282" i="65"/>
  <c r="CS282" i="65"/>
  <c r="CR474" i="65"/>
  <c r="CS474" i="65"/>
  <c r="CR496" i="65"/>
  <c r="CS496" i="65"/>
  <c r="CR422" i="65"/>
  <c r="CS422" i="65"/>
  <c r="CR465" i="65"/>
  <c r="CS465" i="65"/>
  <c r="CR508" i="65"/>
  <c r="CS508" i="65"/>
  <c r="CR10" i="65"/>
  <c r="CS10" i="65"/>
  <c r="CR55" i="65"/>
  <c r="CS55" i="65"/>
  <c r="CR98" i="65"/>
  <c r="CS98" i="65"/>
  <c r="CR141" i="65"/>
  <c r="CS141" i="65"/>
  <c r="CR183" i="65"/>
  <c r="CS183" i="65"/>
  <c r="CR450" i="65"/>
  <c r="CS450" i="65"/>
  <c r="CR399" i="65"/>
  <c r="CS399" i="65"/>
  <c r="CR373" i="65"/>
  <c r="CS373" i="65"/>
  <c r="CR416" i="65"/>
  <c r="CS416" i="65"/>
  <c r="CR171" i="65"/>
  <c r="CS171" i="65"/>
  <c r="CR428" i="65"/>
  <c r="CS428" i="65"/>
  <c r="CR16" i="65"/>
  <c r="CS16" i="65"/>
  <c r="CR237" i="65"/>
  <c r="CS237" i="65"/>
  <c r="CS35" i="65"/>
  <c r="CS44" i="65"/>
  <c r="CS76" i="65"/>
  <c r="CS108" i="65"/>
  <c r="CS140" i="65"/>
  <c r="CS172" i="65"/>
  <c r="CS204" i="65"/>
  <c r="CS67" i="65"/>
  <c r="CS110" i="65"/>
  <c r="CS153" i="65"/>
  <c r="CS195" i="65"/>
  <c r="CS238" i="65"/>
  <c r="CS26" i="65"/>
  <c r="CS117" i="65"/>
  <c r="CS159" i="65"/>
  <c r="CS202" i="65"/>
  <c r="CS243" i="65"/>
  <c r="CS275" i="65"/>
  <c r="CS307" i="65"/>
  <c r="CS339" i="65"/>
  <c r="CS371" i="65"/>
  <c r="CS435" i="65"/>
  <c r="CS467" i="65"/>
  <c r="CS499" i="65"/>
  <c r="CS531" i="65"/>
  <c r="CS8" i="65"/>
  <c r="CS349" i="65"/>
  <c r="CS434" i="65"/>
  <c r="CS520" i="65"/>
  <c r="CS54" i="65"/>
  <c r="CS139" i="65"/>
  <c r="CS225" i="65"/>
  <c r="CS326" i="65"/>
  <c r="CS454" i="65"/>
  <c r="CS497" i="65"/>
  <c r="CS119" i="65"/>
  <c r="CS205" i="65"/>
  <c r="CS344" i="65"/>
  <c r="CS429" i="65"/>
  <c r="CS514" i="65"/>
  <c r="CS24" i="65"/>
  <c r="CS104" i="65"/>
  <c r="CS126" i="65"/>
  <c r="CS266" i="65"/>
  <c r="CS154" i="65"/>
  <c r="CS271" i="65"/>
  <c r="CS463" i="65"/>
  <c r="CS18" i="65"/>
  <c r="CS372" i="65"/>
  <c r="CS500" i="65"/>
  <c r="CS338" i="65"/>
  <c r="CS394" i="65"/>
  <c r="CS522" i="65"/>
  <c r="CS186" i="65"/>
  <c r="CS327" i="65"/>
  <c r="CS455" i="65"/>
  <c r="CS445" i="65"/>
  <c r="CS289" i="65"/>
  <c r="CS460" i="65"/>
  <c r="CS440" i="65"/>
  <c r="CS328" i="65"/>
  <c r="CS203" i="65"/>
  <c r="CS401" i="65"/>
  <c r="CS105" i="65"/>
  <c r="CS335" i="65"/>
  <c r="CS381" i="65"/>
  <c r="CS194" i="65"/>
  <c r="CR541" i="65"/>
  <c r="CS541" i="65"/>
  <c r="CR279" i="65"/>
  <c r="CS279" i="65"/>
  <c r="CR503" i="65"/>
  <c r="CS503" i="65"/>
  <c r="CR81" i="65"/>
  <c r="CS81" i="65"/>
  <c r="CR425" i="65"/>
  <c r="CS425" i="65"/>
  <c r="CR310" i="65"/>
  <c r="CS310" i="65"/>
  <c r="CR184" i="65"/>
  <c r="CS184" i="65"/>
  <c r="CR41" i="65"/>
  <c r="CS41" i="65"/>
  <c r="CR83" i="65"/>
  <c r="CS83" i="65"/>
  <c r="CR414" i="65"/>
  <c r="CS414" i="65"/>
  <c r="CR299" i="65"/>
  <c r="CS299" i="65"/>
  <c r="CR347" i="65"/>
  <c r="CS347" i="65"/>
  <c r="CR345" i="65"/>
  <c r="CS345" i="65"/>
  <c r="CR388" i="65"/>
  <c r="CS388" i="65"/>
  <c r="CR161" i="65"/>
  <c r="CS161" i="65"/>
  <c r="CR244" i="65"/>
  <c r="CS244" i="65"/>
  <c r="CR365" i="65"/>
  <c r="CS365" i="65"/>
  <c r="CR232" i="65"/>
  <c r="CS232" i="65"/>
  <c r="CR286" i="65"/>
  <c r="CS286" i="65"/>
  <c r="CS220" i="65"/>
  <c r="CS291" i="65"/>
  <c r="CS390" i="65"/>
  <c r="CS319" i="65"/>
  <c r="CS308" i="65"/>
  <c r="CS285" i="65"/>
  <c r="CS101" i="65"/>
  <c r="CS519" i="65"/>
  <c r="CR533" i="65"/>
  <c r="CS533" i="65"/>
  <c r="CR524" i="65"/>
  <c r="CS524" i="65"/>
  <c r="CR86" i="65"/>
  <c r="CS86" i="65"/>
  <c r="CR6" i="65"/>
  <c r="CS6" i="65"/>
  <c r="CR247" i="65"/>
  <c r="CS247" i="65"/>
  <c r="CR382" i="65"/>
  <c r="CR402" i="65"/>
  <c r="CS402" i="65"/>
  <c r="CR167" i="65"/>
  <c r="CS167" i="65"/>
  <c r="CR210" i="65"/>
  <c r="CS210" i="65"/>
  <c r="CR249" i="65"/>
  <c r="CS249" i="65"/>
  <c r="CR277" i="65"/>
  <c r="CS277" i="65"/>
  <c r="CR14" i="65"/>
  <c r="CS14" i="65"/>
  <c r="CR193" i="65"/>
  <c r="CS193" i="65"/>
  <c r="CR268" i="65"/>
  <c r="CS268" i="65"/>
  <c r="CR173" i="65"/>
  <c r="CS173" i="65"/>
  <c r="CR253" i="65"/>
  <c r="CR287" i="65"/>
  <c r="CS287" i="65"/>
  <c r="CR351" i="65"/>
  <c r="CS351" i="65"/>
  <c r="CR383" i="65"/>
  <c r="CS383" i="65"/>
  <c r="CR501" i="65"/>
  <c r="CS501" i="65"/>
  <c r="CR228" i="65"/>
  <c r="CS228" i="65"/>
  <c r="CR33" i="65"/>
  <c r="CS33" i="65"/>
  <c r="CR57" i="65"/>
  <c r="CS57" i="65"/>
  <c r="CR99" i="65"/>
  <c r="CS99" i="65"/>
  <c r="CR234" i="65"/>
  <c r="CS234" i="65"/>
  <c r="CR251" i="65"/>
  <c r="CS251" i="65"/>
  <c r="CR443" i="65"/>
  <c r="CS443" i="65"/>
  <c r="CR507" i="65"/>
  <c r="CS507" i="65"/>
  <c r="CR177" i="65"/>
  <c r="CS177" i="65"/>
  <c r="CR219" i="65"/>
  <c r="CS219" i="65"/>
  <c r="CR256" i="65"/>
  <c r="CS256" i="65"/>
  <c r="CR325" i="65"/>
  <c r="CS325" i="65"/>
  <c r="CR346" i="65"/>
  <c r="CS346" i="65"/>
  <c r="CR368" i="65"/>
  <c r="CR261" i="65"/>
  <c r="CS261" i="65"/>
  <c r="CR495" i="65"/>
  <c r="CS495" i="65"/>
  <c r="CR59" i="65"/>
  <c r="CS59" i="65"/>
  <c r="CR480" i="65"/>
  <c r="CS480" i="65"/>
  <c r="CS7" i="65"/>
  <c r="CS155" i="65"/>
  <c r="CS240" i="65"/>
  <c r="CS292" i="65"/>
  <c r="CS377" i="65"/>
  <c r="CS420" i="65"/>
  <c r="CS505" i="65"/>
  <c r="CS22" i="65"/>
  <c r="CS114" i="65"/>
  <c r="CS199" i="65"/>
  <c r="CS272" i="65"/>
  <c r="CS314" i="65"/>
  <c r="CS357" i="65"/>
  <c r="CS442" i="65"/>
  <c r="CS485" i="65"/>
  <c r="CS528" i="65"/>
  <c r="CS129" i="65"/>
  <c r="CS449" i="65"/>
  <c r="CS269" i="65"/>
  <c r="CS39" i="65"/>
  <c r="CS112" i="65"/>
  <c r="CS144" i="65"/>
  <c r="CS25" i="65"/>
  <c r="CS73" i="65"/>
  <c r="CS115" i="65"/>
  <c r="CS158" i="65"/>
  <c r="CS201" i="65"/>
  <c r="CS34" i="65"/>
  <c r="CS143" i="65"/>
  <c r="CS37" i="65"/>
  <c r="CS360" i="65"/>
  <c r="CS235" i="65"/>
  <c r="CS417" i="65"/>
  <c r="CS478" i="65"/>
  <c r="CS534" i="65"/>
  <c r="CS118" i="65"/>
  <c r="CS358" i="65"/>
  <c r="CS529" i="65"/>
  <c r="CS216" i="65"/>
  <c r="CS239" i="65"/>
  <c r="CS437" i="65"/>
  <c r="CS492" i="65"/>
  <c r="O54" i="53" l="1"/>
  <c r="G136" i="64"/>
  <c r="J136" i="64" s="1"/>
  <c r="O45" i="66"/>
  <c r="DN16" i="65"/>
  <c r="DN59" i="65"/>
  <c r="DS399" i="65"/>
  <c r="DQ399" i="65"/>
  <c r="DR399" i="65"/>
  <c r="DQ303" i="65"/>
  <c r="DR197" i="65"/>
  <c r="DS197" i="65"/>
  <c r="DQ197" i="65"/>
  <c r="DS90" i="65"/>
  <c r="DR90" i="65"/>
  <c r="DQ90" i="65"/>
  <c r="DS233" i="65"/>
  <c r="DR233" i="65"/>
  <c r="DQ233" i="65"/>
  <c r="DS40" i="65"/>
  <c r="DQ40" i="65"/>
  <c r="DR40" i="65"/>
  <c r="DN290" i="65"/>
  <c r="DN183" i="65"/>
  <c r="DN10" i="65"/>
  <c r="DQ401" i="65"/>
  <c r="DR337" i="65"/>
  <c r="DS337" i="65"/>
  <c r="DQ337" i="65"/>
  <c r="DQ75" i="65"/>
  <c r="DQ496" i="65"/>
  <c r="DR453" i="65"/>
  <c r="DS453" i="65"/>
  <c r="DQ453" i="65"/>
  <c r="DN432" i="65"/>
  <c r="DQ389" i="65"/>
  <c r="DN325" i="65"/>
  <c r="DN282" i="65"/>
  <c r="DQ135" i="65"/>
  <c r="DQ409" i="65"/>
  <c r="DN459" i="65"/>
  <c r="DR269" i="65"/>
  <c r="DS269" i="65"/>
  <c r="DQ269" i="65"/>
  <c r="DN109" i="65"/>
  <c r="DQ406" i="65"/>
  <c r="DN300" i="65"/>
  <c r="DN501" i="65"/>
  <c r="DN285" i="65"/>
  <c r="DQ414" i="65"/>
  <c r="DS264" i="65"/>
  <c r="DQ264" i="65"/>
  <c r="DR264" i="65"/>
  <c r="DN511" i="65"/>
  <c r="DQ47" i="65"/>
  <c r="DN169" i="65"/>
  <c r="DS41" i="65"/>
  <c r="DR41" i="65"/>
  <c r="DQ41" i="65"/>
  <c r="DN88" i="65"/>
  <c r="DN482" i="65"/>
  <c r="DS354" i="65"/>
  <c r="DR354" i="65"/>
  <c r="DQ354" i="65"/>
  <c r="DN280" i="65"/>
  <c r="DN253" i="65"/>
  <c r="DN130" i="65"/>
  <c r="DN45" i="65"/>
  <c r="DN481" i="65"/>
  <c r="DQ417" i="65"/>
  <c r="DN396" i="65"/>
  <c r="DS332" i="65"/>
  <c r="DR332" i="65"/>
  <c r="DQ332" i="65"/>
  <c r="DN289" i="65"/>
  <c r="DN235" i="65"/>
  <c r="DN193" i="65"/>
  <c r="DN107" i="65"/>
  <c r="DN65" i="65"/>
  <c r="DN490" i="65"/>
  <c r="DN469" i="65"/>
  <c r="DS426" i="65"/>
  <c r="DR426" i="65"/>
  <c r="DQ426" i="65"/>
  <c r="DN384" i="65"/>
  <c r="DN320" i="65"/>
  <c r="DN249" i="65"/>
  <c r="DQ167" i="65"/>
  <c r="DN82" i="65"/>
  <c r="DN488" i="65"/>
  <c r="DR317" i="65"/>
  <c r="DS317" i="65"/>
  <c r="DQ317" i="65"/>
  <c r="DN489" i="65"/>
  <c r="DN446" i="65"/>
  <c r="DN425" i="65"/>
  <c r="DN382" i="65"/>
  <c r="DN361" i="65"/>
  <c r="DN318" i="65"/>
  <c r="DN297" i="65"/>
  <c r="DN248" i="65"/>
  <c r="DR81" i="65"/>
  <c r="DS81" i="65"/>
  <c r="DQ81" i="65"/>
  <c r="DQ503" i="65"/>
  <c r="DN471" i="65"/>
  <c r="DN455" i="65"/>
  <c r="DS375" i="65"/>
  <c r="DQ375" i="65"/>
  <c r="DR375" i="65"/>
  <c r="DN327" i="65"/>
  <c r="DN247" i="65"/>
  <c r="DN186" i="65"/>
  <c r="DR101" i="65"/>
  <c r="DS101" i="65"/>
  <c r="DQ101" i="65"/>
  <c r="DN58" i="65"/>
  <c r="DS34" i="65"/>
  <c r="DR34" i="65"/>
  <c r="DQ34" i="65"/>
  <c r="DS201" i="65"/>
  <c r="DR201" i="65"/>
  <c r="DQ201" i="65"/>
  <c r="DQ179" i="65"/>
  <c r="DS73" i="65"/>
  <c r="DR73" i="65"/>
  <c r="DQ73" i="65"/>
  <c r="DQ51" i="65"/>
  <c r="DN208" i="65"/>
  <c r="DS192" i="65"/>
  <c r="DQ192" i="65"/>
  <c r="DR192" i="65"/>
  <c r="DN144" i="65"/>
  <c r="DS128" i="65"/>
  <c r="DR128" i="65"/>
  <c r="DQ128" i="65"/>
  <c r="DS80" i="65"/>
  <c r="DR80" i="65"/>
  <c r="DQ80" i="65"/>
  <c r="DS64" i="65"/>
  <c r="DQ64" i="65"/>
  <c r="DR64" i="65"/>
  <c r="DN39" i="65"/>
  <c r="DQ23" i="65"/>
  <c r="DN418" i="65"/>
  <c r="DS296" i="65"/>
  <c r="DQ296" i="65"/>
  <c r="DR296" i="65"/>
  <c r="DN66" i="65"/>
  <c r="DN513" i="65"/>
  <c r="DQ321" i="65"/>
  <c r="DN86" i="65"/>
  <c r="DN330" i="65"/>
  <c r="DN265" i="65"/>
  <c r="DN12" i="65"/>
  <c r="DR17" i="65"/>
  <c r="DQ17" i="65"/>
  <c r="DS17" i="65"/>
  <c r="DQ472" i="65"/>
  <c r="DN344" i="65"/>
  <c r="DN301" i="65"/>
  <c r="DN162" i="65"/>
  <c r="DQ119" i="65"/>
  <c r="DS476" i="65"/>
  <c r="DR476" i="65"/>
  <c r="DQ476" i="65"/>
  <c r="DS454" i="65"/>
  <c r="DR454" i="65"/>
  <c r="DQ454" i="65"/>
  <c r="DN390" i="65"/>
  <c r="DN369" i="65"/>
  <c r="DR305" i="65"/>
  <c r="DS305" i="65"/>
  <c r="DQ305" i="65"/>
  <c r="DQ284" i="65"/>
  <c r="DS182" i="65"/>
  <c r="DR182" i="65"/>
  <c r="DQ182" i="65"/>
  <c r="DQ139" i="65"/>
  <c r="DS9" i="65"/>
  <c r="DR9" i="65"/>
  <c r="DQ9" i="65"/>
  <c r="DS506" i="65"/>
  <c r="DR506" i="65"/>
  <c r="DQ506" i="65"/>
  <c r="DN442" i="65"/>
  <c r="DN421" i="65"/>
  <c r="DQ357" i="65"/>
  <c r="DN336" i="65"/>
  <c r="DN272" i="65"/>
  <c r="DN241" i="65"/>
  <c r="DN114" i="65"/>
  <c r="DN22" i="65"/>
  <c r="DN392" i="65"/>
  <c r="DN349" i="65"/>
  <c r="DS505" i="65"/>
  <c r="DR505" i="65"/>
  <c r="DQ505" i="65"/>
  <c r="DS484" i="65"/>
  <c r="DR484" i="65"/>
  <c r="DQ484" i="65"/>
  <c r="DN420" i="65"/>
  <c r="DN313" i="65"/>
  <c r="DN240" i="65"/>
  <c r="DN21" i="65"/>
  <c r="DN499" i="65"/>
  <c r="DS387" i="65"/>
  <c r="DR387" i="65"/>
  <c r="DQ387" i="65"/>
  <c r="DN339" i="65"/>
  <c r="DS202" i="65"/>
  <c r="DR202" i="65"/>
  <c r="DQ202" i="65"/>
  <c r="DN138" i="65"/>
  <c r="DS26" i="65"/>
  <c r="DR26" i="65"/>
  <c r="DQ26" i="65"/>
  <c r="DN131" i="65"/>
  <c r="DN46" i="65"/>
  <c r="DS236" i="65"/>
  <c r="DR236" i="65"/>
  <c r="DQ236" i="65"/>
  <c r="DQ188" i="65"/>
  <c r="DQ172" i="65"/>
  <c r="DQ124" i="65"/>
  <c r="DQ60" i="65"/>
  <c r="DR530" i="65"/>
  <c r="DS530" i="65"/>
  <c r="DQ530" i="65"/>
  <c r="DN529" i="65"/>
  <c r="DS528" i="65"/>
  <c r="DR528" i="65"/>
  <c r="DQ528" i="65"/>
  <c r="DS526" i="65"/>
  <c r="DR526" i="65"/>
  <c r="DQ526" i="65"/>
  <c r="DN525" i="65"/>
  <c r="DN466" i="65"/>
  <c r="DS338" i="65"/>
  <c r="DR338" i="65"/>
  <c r="DQ338" i="65"/>
  <c r="DN230" i="65"/>
  <c r="DN463" i="65"/>
  <c r="DS190" i="65"/>
  <c r="DR190" i="65"/>
  <c r="DQ190" i="65"/>
  <c r="DN232" i="65"/>
  <c r="DN450" i="65"/>
  <c r="DS178" i="65"/>
  <c r="DR178" i="65"/>
  <c r="DQ178" i="65"/>
  <c r="DS494" i="65"/>
  <c r="DR494" i="65"/>
  <c r="DQ494" i="65"/>
  <c r="DQ366" i="65"/>
  <c r="DN507" i="65"/>
  <c r="DN395" i="65"/>
  <c r="DS234" i="65"/>
  <c r="DR234" i="65"/>
  <c r="DQ234" i="65"/>
  <c r="DQ187" i="65"/>
  <c r="DN438" i="65"/>
  <c r="DS166" i="65"/>
  <c r="DR166" i="65"/>
  <c r="DQ166" i="65"/>
  <c r="DQ295" i="65"/>
  <c r="DN222" i="65"/>
  <c r="DN115" i="65"/>
  <c r="DN252" i="65"/>
  <c r="DS274" i="65"/>
  <c r="DR274" i="65"/>
  <c r="DQ274" i="65"/>
  <c r="DQ451" i="65"/>
  <c r="DR533" i="65"/>
  <c r="DS533" i="65"/>
  <c r="DQ533" i="65"/>
  <c r="DQ350" i="65"/>
  <c r="DN374" i="65"/>
  <c r="DN14" i="65"/>
  <c r="DS402" i="65"/>
  <c r="DR402" i="65"/>
  <c r="DQ402" i="65"/>
  <c r="DN514" i="65"/>
  <c r="DS30" i="65"/>
  <c r="DR30" i="65"/>
  <c r="DQ30" i="65"/>
  <c r="DN323" i="65"/>
  <c r="DQ223" i="65"/>
  <c r="DN543" i="65"/>
  <c r="DN540" i="65"/>
  <c r="DR333" i="65"/>
  <c r="DS333" i="65"/>
  <c r="DQ333" i="65"/>
  <c r="DN237" i="65"/>
  <c r="DN364" i="65"/>
  <c r="DN416" i="65"/>
  <c r="DR309" i="65"/>
  <c r="DS309" i="65"/>
  <c r="DQ309" i="65"/>
  <c r="DN103" i="65"/>
  <c r="DS436" i="65"/>
  <c r="DR436" i="65"/>
  <c r="DQ436" i="65"/>
  <c r="DS286" i="65"/>
  <c r="DR286" i="65"/>
  <c r="DQ286" i="65"/>
  <c r="DN431" i="65"/>
  <c r="DN335" i="65"/>
  <c r="DN239" i="65"/>
  <c r="DN105" i="65"/>
  <c r="DN136" i="65"/>
  <c r="DR493" i="65"/>
  <c r="DS493" i="65"/>
  <c r="DQ493" i="65"/>
  <c r="DR261" i="65"/>
  <c r="DQ261" i="65"/>
  <c r="DS261" i="65"/>
  <c r="DN98" i="65"/>
  <c r="DN486" i="65"/>
  <c r="DN465" i="65"/>
  <c r="DN380" i="65"/>
  <c r="DN316" i="65"/>
  <c r="DQ203" i="65"/>
  <c r="DS118" i="65"/>
  <c r="DR118" i="65"/>
  <c r="DQ118" i="65"/>
  <c r="DS50" i="65"/>
  <c r="DR50" i="65"/>
  <c r="DQ50" i="65"/>
  <c r="DN456" i="65"/>
  <c r="DS328" i="65"/>
  <c r="DQ328" i="65"/>
  <c r="DR328" i="65"/>
  <c r="DS473" i="65"/>
  <c r="DR473" i="65"/>
  <c r="DQ473" i="65"/>
  <c r="DS388" i="65"/>
  <c r="DR388" i="65"/>
  <c r="DQ388" i="65"/>
  <c r="DQ324" i="65"/>
  <c r="DN256" i="65"/>
  <c r="DR177" i="65"/>
  <c r="DS177" i="65"/>
  <c r="DQ177" i="65"/>
  <c r="DN49" i="65"/>
  <c r="DN491" i="65"/>
  <c r="DN427" i="65"/>
  <c r="DS363" i="65"/>
  <c r="DR363" i="65"/>
  <c r="DQ363" i="65"/>
  <c r="DS331" i="65"/>
  <c r="DR331" i="65"/>
  <c r="DQ331" i="65"/>
  <c r="DN299" i="65"/>
  <c r="DQ191" i="65"/>
  <c r="DN149" i="65"/>
  <c r="DN106" i="65"/>
  <c r="DN63" i="65"/>
  <c r="DN262" i="65"/>
  <c r="DN227" i="65"/>
  <c r="DS185" i="65"/>
  <c r="DR185" i="65"/>
  <c r="DQ185" i="65"/>
  <c r="DN121" i="65"/>
  <c r="DS57" i="65"/>
  <c r="DR57" i="65"/>
  <c r="DQ57" i="65"/>
  <c r="DN228" i="65"/>
  <c r="DQ180" i="65"/>
  <c r="DN148" i="65"/>
  <c r="DN116" i="65"/>
  <c r="DN84" i="65"/>
  <c r="DN52" i="65"/>
  <c r="DN20" i="65"/>
  <c r="DN504" i="65"/>
  <c r="DN43" i="65"/>
  <c r="DN288" i="65"/>
  <c r="DN189" i="65"/>
  <c r="DQ381" i="65"/>
  <c r="DN308" i="65"/>
  <c r="DQ479" i="65"/>
  <c r="DN351" i="65"/>
  <c r="DN255" i="65"/>
  <c r="DS218" i="65"/>
  <c r="DR218" i="65"/>
  <c r="DQ218" i="65"/>
  <c r="DN111" i="65"/>
  <c r="DN184" i="65"/>
  <c r="DR165" i="65"/>
  <c r="DS165" i="65"/>
  <c r="DQ165" i="65"/>
  <c r="DQ398" i="65"/>
  <c r="DN334" i="65"/>
  <c r="DS198" i="65"/>
  <c r="DR198" i="65"/>
  <c r="DQ198" i="65"/>
  <c r="DS70" i="65"/>
  <c r="DR70" i="65"/>
  <c r="DQ70" i="65"/>
  <c r="DQ483" i="65"/>
  <c r="DN403" i="65"/>
  <c r="DQ291" i="65"/>
  <c r="DN243" i="65"/>
  <c r="DR117" i="65"/>
  <c r="DS117" i="65"/>
  <c r="DQ117" i="65"/>
  <c r="DQ53" i="65"/>
  <c r="DR53" i="65"/>
  <c r="DS53" i="65"/>
  <c r="DS217" i="65"/>
  <c r="DR217" i="65"/>
  <c r="DQ217" i="65"/>
  <c r="DQ195" i="65"/>
  <c r="DN110" i="65"/>
  <c r="DQ108" i="65"/>
  <c r="DQ44" i="65"/>
  <c r="DS544" i="65"/>
  <c r="DR544" i="65"/>
  <c r="DQ544" i="65"/>
  <c r="DQ537" i="65"/>
  <c r="DN538" i="65"/>
  <c r="DN520" i="65"/>
  <c r="DQ531" i="65"/>
  <c r="DR461" i="65"/>
  <c r="DS461" i="65"/>
  <c r="DQ461" i="65"/>
  <c r="DN333" i="65"/>
  <c r="DN151" i="65"/>
  <c r="DS16" i="65"/>
  <c r="DQ16" i="65"/>
  <c r="DR16" i="65"/>
  <c r="DN428" i="65"/>
  <c r="DN171" i="65"/>
  <c r="DQ373" i="65"/>
  <c r="DQ103" i="65"/>
  <c r="DQ329" i="65"/>
  <c r="DR145" i="65"/>
  <c r="DS145" i="65"/>
  <c r="DQ145" i="65"/>
  <c r="DQ59" i="65"/>
  <c r="DS431" i="65"/>
  <c r="DQ431" i="65"/>
  <c r="DR431" i="65"/>
  <c r="DN367" i="65"/>
  <c r="DQ335" i="65"/>
  <c r="DN271" i="65"/>
  <c r="DS239" i="65"/>
  <c r="DQ239" i="65"/>
  <c r="DR239" i="65"/>
  <c r="DN133" i="65"/>
  <c r="DN266" i="65"/>
  <c r="DN233" i="65"/>
  <c r="DN200" i="65"/>
  <c r="DS136" i="65"/>
  <c r="DQ136" i="65"/>
  <c r="DR136" i="65"/>
  <c r="DN72" i="65"/>
  <c r="DN493" i="65"/>
  <c r="DS290" i="65"/>
  <c r="DR290" i="65"/>
  <c r="DQ290" i="65"/>
  <c r="DN226" i="65"/>
  <c r="DQ183" i="65"/>
  <c r="DS98" i="65"/>
  <c r="DR98" i="65"/>
  <c r="DQ98" i="65"/>
  <c r="DS10" i="65"/>
  <c r="DR10" i="65"/>
  <c r="DQ10" i="65"/>
  <c r="DS486" i="65"/>
  <c r="DR486" i="65"/>
  <c r="DQ486" i="65"/>
  <c r="DS444" i="65"/>
  <c r="DR444" i="65"/>
  <c r="DQ444" i="65"/>
  <c r="DN401" i="65"/>
  <c r="DN358" i="65"/>
  <c r="DN337" i="65"/>
  <c r="DN244" i="65"/>
  <c r="DN118" i="65"/>
  <c r="DQ517" i="65"/>
  <c r="DN496" i="65"/>
  <c r="DN453" i="65"/>
  <c r="DN389" i="65"/>
  <c r="DN346" i="65"/>
  <c r="DN304" i="65"/>
  <c r="DS282" i="65"/>
  <c r="DR282" i="65"/>
  <c r="DQ282" i="65"/>
  <c r="DR221" i="65"/>
  <c r="DS221" i="65"/>
  <c r="DQ221" i="65"/>
  <c r="DS93" i="65"/>
  <c r="DR93" i="65"/>
  <c r="DQ93" i="65"/>
  <c r="DN498" i="65"/>
  <c r="DQ456" i="65"/>
  <c r="DN370" i="65"/>
  <c r="DN473" i="65"/>
  <c r="DN409" i="65"/>
  <c r="DS345" i="65"/>
  <c r="DR345" i="65"/>
  <c r="DQ345" i="65"/>
  <c r="DS281" i="65"/>
  <c r="DR281" i="65"/>
  <c r="DQ281" i="65"/>
  <c r="DS256" i="65"/>
  <c r="DQ256" i="65"/>
  <c r="DR256" i="65"/>
  <c r="DN177" i="65"/>
  <c r="DN91" i="65"/>
  <c r="DN15" i="65"/>
  <c r="DQ475" i="65"/>
  <c r="DS411" i="65"/>
  <c r="DR411" i="65"/>
  <c r="DQ411" i="65"/>
  <c r="DN363" i="65"/>
  <c r="DN331" i="65"/>
  <c r="DQ299" i="65"/>
  <c r="DN213" i="65"/>
  <c r="DN170" i="65"/>
  <c r="DR149" i="65"/>
  <c r="DS149" i="65"/>
  <c r="DQ149" i="65"/>
  <c r="DS106" i="65"/>
  <c r="DR106" i="65"/>
  <c r="DQ106" i="65"/>
  <c r="DQ63" i="65"/>
  <c r="DS262" i="65"/>
  <c r="DR262" i="65"/>
  <c r="DQ262" i="65"/>
  <c r="DQ227" i="65"/>
  <c r="DN185" i="65"/>
  <c r="DN142" i="65"/>
  <c r="DN57" i="65"/>
  <c r="DQ228" i="65"/>
  <c r="DN196" i="65"/>
  <c r="DQ148" i="65"/>
  <c r="DQ116" i="65"/>
  <c r="DQ84" i="65"/>
  <c r="DQ52" i="65"/>
  <c r="DQ20" i="65"/>
  <c r="DQ504" i="65"/>
  <c r="DN269" i="65"/>
  <c r="DN470" i="65"/>
  <c r="DQ300" i="65"/>
  <c r="DR129" i="65"/>
  <c r="DS129" i="65"/>
  <c r="DQ129" i="65"/>
  <c r="DQ43" i="65"/>
  <c r="DR437" i="65"/>
  <c r="DS437" i="65"/>
  <c r="DQ437" i="65"/>
  <c r="DS288" i="65"/>
  <c r="DQ288" i="65"/>
  <c r="DR288" i="65"/>
  <c r="DR509" i="65"/>
  <c r="DS509" i="65"/>
  <c r="DQ509" i="65"/>
  <c r="DN381" i="65"/>
  <c r="DS457" i="65"/>
  <c r="DR457" i="65"/>
  <c r="DQ457" i="65"/>
  <c r="DN372" i="65"/>
  <c r="DQ308" i="65"/>
  <c r="DN18" i="65"/>
  <c r="DQ511" i="65"/>
  <c r="DN447" i="65"/>
  <c r="DS351" i="65"/>
  <c r="DQ351" i="65"/>
  <c r="DR351" i="65"/>
  <c r="DQ255" i="65"/>
  <c r="DN154" i="65"/>
  <c r="DQ111" i="65"/>
  <c r="DN250" i="65"/>
  <c r="DN83" i="65"/>
  <c r="DS216" i="65"/>
  <c r="DQ216" i="65"/>
  <c r="DR216" i="65"/>
  <c r="DS184" i="65"/>
  <c r="DQ184" i="65"/>
  <c r="DR184" i="65"/>
  <c r="DN120" i="65"/>
  <c r="DS88" i="65"/>
  <c r="DR88" i="65"/>
  <c r="DQ88" i="65"/>
  <c r="DN24" i="65"/>
  <c r="DS482" i="65"/>
  <c r="DR482" i="65"/>
  <c r="DQ482" i="65"/>
  <c r="DQ397" i="65"/>
  <c r="DS280" i="65"/>
  <c r="DQ280" i="65"/>
  <c r="DR280" i="65"/>
  <c r="DR173" i="65"/>
  <c r="DS173" i="65"/>
  <c r="DQ173" i="65"/>
  <c r="DS45" i="65"/>
  <c r="DQ45" i="65"/>
  <c r="DR45" i="65"/>
  <c r="DN460" i="65"/>
  <c r="DN417" i="65"/>
  <c r="DQ353" i="65"/>
  <c r="DN332" i="65"/>
  <c r="DS235" i="65"/>
  <c r="DR235" i="65"/>
  <c r="DQ235" i="65"/>
  <c r="DS150" i="65"/>
  <c r="DR150" i="65"/>
  <c r="DQ150" i="65"/>
  <c r="DQ107" i="65"/>
  <c r="DS490" i="65"/>
  <c r="DR490" i="65"/>
  <c r="DQ490" i="65"/>
  <c r="DQ448" i="65"/>
  <c r="DQ405" i="65"/>
  <c r="DQ341" i="65"/>
  <c r="DN277" i="65"/>
  <c r="DS210" i="65"/>
  <c r="DR210" i="65"/>
  <c r="DQ210" i="65"/>
  <c r="DS125" i="65"/>
  <c r="DR125" i="65"/>
  <c r="DQ125" i="65"/>
  <c r="DS82" i="65"/>
  <c r="DR82" i="65"/>
  <c r="DQ82" i="65"/>
  <c r="DQ488" i="65"/>
  <c r="DN360" i="65"/>
  <c r="DN317" i="65"/>
  <c r="DN510" i="65"/>
  <c r="DS446" i="65"/>
  <c r="DR446" i="65"/>
  <c r="DQ446" i="65"/>
  <c r="DN404" i="65"/>
  <c r="DQ382" i="65"/>
  <c r="DS318" i="65"/>
  <c r="DR318" i="65"/>
  <c r="DQ318" i="65"/>
  <c r="DN276" i="65"/>
  <c r="DS248" i="65"/>
  <c r="DQ248" i="65"/>
  <c r="DR248" i="65"/>
  <c r="DN123" i="65"/>
  <c r="DN81" i="65"/>
  <c r="DN11" i="65"/>
  <c r="DQ487" i="65"/>
  <c r="DQ471" i="65"/>
  <c r="DS391" i="65"/>
  <c r="DQ391" i="65"/>
  <c r="DR391" i="65"/>
  <c r="DN375" i="65"/>
  <c r="DQ343" i="65"/>
  <c r="DN263" i="65"/>
  <c r="DS247" i="65"/>
  <c r="DQ247" i="65"/>
  <c r="DR247" i="65"/>
  <c r="DN207" i="65"/>
  <c r="DS186" i="65"/>
  <c r="DR186" i="65"/>
  <c r="DQ186" i="65"/>
  <c r="DN122" i="65"/>
  <c r="DS58" i="65"/>
  <c r="DR58" i="65"/>
  <c r="DQ58" i="65"/>
  <c r="DN242" i="65"/>
  <c r="DN201" i="65"/>
  <c r="DN94" i="65"/>
  <c r="DN73" i="65"/>
  <c r="DN224" i="65"/>
  <c r="DS208" i="65"/>
  <c r="DQ208" i="65"/>
  <c r="DR208" i="65"/>
  <c r="DN160" i="65"/>
  <c r="DS144" i="65"/>
  <c r="DR144" i="65"/>
  <c r="DQ144" i="65"/>
  <c r="DN96" i="65"/>
  <c r="DN80" i="65"/>
  <c r="DS32" i="65"/>
  <c r="DQ32" i="65"/>
  <c r="DR32" i="65"/>
  <c r="DQ39" i="65"/>
  <c r="DQ418" i="65"/>
  <c r="DS194" i="65"/>
  <c r="DR194" i="65"/>
  <c r="DQ194" i="65"/>
  <c r="DS66" i="65"/>
  <c r="DR66" i="65"/>
  <c r="DQ66" i="65"/>
  <c r="DQ385" i="65"/>
  <c r="DN321" i="65"/>
  <c r="DN458" i="65"/>
  <c r="DS330" i="65"/>
  <c r="DR330" i="65"/>
  <c r="DQ330" i="65"/>
  <c r="DQ12" i="65"/>
  <c r="DN17" i="65"/>
  <c r="DN386" i="65"/>
  <c r="DQ344" i="65"/>
  <c r="DR205" i="65"/>
  <c r="DS205" i="65"/>
  <c r="DQ205" i="65"/>
  <c r="DS162" i="65"/>
  <c r="DR162" i="65"/>
  <c r="DQ162" i="65"/>
  <c r="DR497" i="65"/>
  <c r="DS497" i="65"/>
  <c r="DQ497" i="65"/>
  <c r="DN476" i="65"/>
  <c r="DS412" i="65"/>
  <c r="DR412" i="65"/>
  <c r="DQ412" i="65"/>
  <c r="DQ390" i="65"/>
  <c r="DN326" i="65"/>
  <c r="DN305" i="65"/>
  <c r="DR225" i="65"/>
  <c r="DS225" i="65"/>
  <c r="DQ225" i="65"/>
  <c r="DN182" i="65"/>
  <c r="DN54" i="65"/>
  <c r="DN9" i="65"/>
  <c r="DQ464" i="65"/>
  <c r="DQ442" i="65"/>
  <c r="DN378" i="65"/>
  <c r="DN357" i="65"/>
  <c r="DN293" i="65"/>
  <c r="DS272" i="65"/>
  <c r="DQ272" i="65"/>
  <c r="DR272" i="65"/>
  <c r="DR157" i="65"/>
  <c r="DS157" i="65"/>
  <c r="DQ157" i="65"/>
  <c r="DS114" i="65"/>
  <c r="DR114" i="65"/>
  <c r="DQ114" i="65"/>
  <c r="DN434" i="65"/>
  <c r="DS392" i="65"/>
  <c r="DQ392" i="65"/>
  <c r="DR392" i="65"/>
  <c r="DN8" i="65"/>
  <c r="DN505" i="65"/>
  <c r="DQ441" i="65"/>
  <c r="DS420" i="65"/>
  <c r="DR420" i="65"/>
  <c r="DQ420" i="65"/>
  <c r="DN356" i="65"/>
  <c r="DS334" i="65"/>
  <c r="DR334" i="65"/>
  <c r="DQ334" i="65"/>
  <c r="DN270" i="65"/>
  <c r="DS240" i="65"/>
  <c r="DQ240" i="65"/>
  <c r="DR240" i="65"/>
  <c r="DR113" i="65"/>
  <c r="DS113" i="65"/>
  <c r="DQ113" i="65"/>
  <c r="DN70" i="65"/>
  <c r="DN515" i="65"/>
  <c r="DQ499" i="65"/>
  <c r="DN419" i="65"/>
  <c r="DS403" i="65"/>
  <c r="DR403" i="65"/>
  <c r="DQ403" i="65"/>
  <c r="DN355" i="65"/>
  <c r="DS339" i="65"/>
  <c r="DR339" i="65"/>
  <c r="DQ339" i="65"/>
  <c r="DN259" i="65"/>
  <c r="DQ243" i="65"/>
  <c r="DN159" i="65"/>
  <c r="DS138" i="65"/>
  <c r="DR138" i="65"/>
  <c r="DQ138" i="65"/>
  <c r="DN74" i="65"/>
  <c r="DN53" i="65"/>
  <c r="DS238" i="65"/>
  <c r="DR238" i="65"/>
  <c r="DQ238" i="65"/>
  <c r="DN217" i="65"/>
  <c r="DS153" i="65"/>
  <c r="DR153" i="65"/>
  <c r="DQ153" i="65"/>
  <c r="DQ131" i="65"/>
  <c r="DN67" i="65"/>
  <c r="DS46" i="65"/>
  <c r="DR46" i="65"/>
  <c r="DQ46" i="65"/>
  <c r="DQ204" i="65"/>
  <c r="DN188" i="65"/>
  <c r="DQ140" i="65"/>
  <c r="DN124" i="65"/>
  <c r="DN76" i="65"/>
  <c r="DN60" i="65"/>
  <c r="DN19" i="65"/>
  <c r="DN544" i="65"/>
  <c r="DN537" i="65"/>
  <c r="DR538" i="65"/>
  <c r="DS538" i="65"/>
  <c r="DQ538" i="65"/>
  <c r="DN518" i="65"/>
  <c r="DQ520" i="65"/>
  <c r="DS523" i="65"/>
  <c r="DR523" i="65"/>
  <c r="DQ523" i="65"/>
  <c r="DN536" i="65"/>
  <c r="DN528" i="65"/>
  <c r="DN527" i="65"/>
  <c r="DQ521" i="65"/>
  <c r="DS466" i="65"/>
  <c r="DR466" i="65"/>
  <c r="DQ466" i="65"/>
  <c r="DQ463" i="65"/>
  <c r="DN147" i="65"/>
  <c r="DN168" i="65"/>
  <c r="DS450" i="65"/>
  <c r="DR450" i="65"/>
  <c r="DQ450" i="65"/>
  <c r="DN322" i="65"/>
  <c r="DN422" i="65"/>
  <c r="DS294" i="65"/>
  <c r="DR294" i="65"/>
  <c r="DQ294" i="65"/>
  <c r="DN5" i="65"/>
  <c r="DN430" i="65"/>
  <c r="DS302" i="65"/>
  <c r="DR302" i="65"/>
  <c r="DQ302" i="65"/>
  <c r="DS443" i="65"/>
  <c r="DR443" i="65"/>
  <c r="DQ443" i="65"/>
  <c r="DN251" i="65"/>
  <c r="DN78" i="65"/>
  <c r="DS352" i="65"/>
  <c r="DQ352" i="65"/>
  <c r="DR352" i="65"/>
  <c r="DN319" i="65"/>
  <c r="DS438" i="65"/>
  <c r="DR438" i="65"/>
  <c r="DQ438" i="65"/>
  <c r="DN166" i="65"/>
  <c r="DN407" i="65"/>
  <c r="DS222" i="65"/>
  <c r="DR222" i="65"/>
  <c r="DQ222" i="65"/>
  <c r="DN158" i="65"/>
  <c r="DQ115" i="65"/>
  <c r="DN274" i="65"/>
  <c r="DN35" i="65"/>
  <c r="DN533" i="65"/>
  <c r="DR541" i="65"/>
  <c r="DS541" i="65"/>
  <c r="DQ541" i="65"/>
  <c r="DN502" i="65"/>
  <c r="DQ374" i="65"/>
  <c r="DN362" i="65"/>
  <c r="DN394" i="65"/>
  <c r="DS514" i="65"/>
  <c r="DR514" i="65"/>
  <c r="DQ514" i="65"/>
  <c r="DN435" i="65"/>
  <c r="DS323" i="65"/>
  <c r="DR323" i="65"/>
  <c r="DQ323" i="65"/>
  <c r="DQ543" i="65"/>
  <c r="DN461" i="65"/>
  <c r="DQ151" i="65"/>
  <c r="DN492" i="65"/>
  <c r="DS428" i="65"/>
  <c r="DR428" i="65"/>
  <c r="DQ428" i="65"/>
  <c r="DS278" i="65"/>
  <c r="DR278" i="65"/>
  <c r="DQ278" i="65"/>
  <c r="DQ171" i="65"/>
  <c r="DN373" i="65"/>
  <c r="DN231" i="65"/>
  <c r="DQ393" i="65"/>
  <c r="DN329" i="65"/>
  <c r="DN145" i="65"/>
  <c r="DN495" i="65"/>
  <c r="DS367" i="65"/>
  <c r="DQ367" i="65"/>
  <c r="DR367" i="65"/>
  <c r="DQ271" i="65"/>
  <c r="DR133" i="65"/>
  <c r="DS133" i="65"/>
  <c r="DQ133" i="65"/>
  <c r="DN69" i="65"/>
  <c r="DS266" i="65"/>
  <c r="DR266" i="65"/>
  <c r="DQ266" i="65"/>
  <c r="DN62" i="65"/>
  <c r="DS200" i="65"/>
  <c r="DQ200" i="65"/>
  <c r="DR200" i="65"/>
  <c r="DS104" i="65"/>
  <c r="DQ104" i="65"/>
  <c r="DR104" i="65"/>
  <c r="DS72" i="65"/>
  <c r="DQ72" i="65"/>
  <c r="DR72" i="65"/>
  <c r="DN31" i="65"/>
  <c r="DQ365" i="65"/>
  <c r="DS226" i="65"/>
  <c r="DR226" i="65"/>
  <c r="DQ226" i="65"/>
  <c r="DS141" i="65"/>
  <c r="DR141" i="65"/>
  <c r="DQ141" i="65"/>
  <c r="DN55" i="65"/>
  <c r="DS508" i="65"/>
  <c r="DR508" i="65"/>
  <c r="DQ508" i="65"/>
  <c r="DN444" i="65"/>
  <c r="DQ358" i="65"/>
  <c r="DR273" i="65"/>
  <c r="DS273" i="65"/>
  <c r="DQ273" i="65"/>
  <c r="DS244" i="65"/>
  <c r="DR244" i="65"/>
  <c r="DQ244" i="65"/>
  <c r="DR161" i="65"/>
  <c r="DS161" i="65"/>
  <c r="DQ161" i="65"/>
  <c r="DN29" i="65"/>
  <c r="DN517" i="65"/>
  <c r="DN474" i="65"/>
  <c r="DN410" i="65"/>
  <c r="DS368" i="65"/>
  <c r="DQ368" i="65"/>
  <c r="DR368" i="65"/>
  <c r="DS346" i="65"/>
  <c r="DR346" i="65"/>
  <c r="DQ346" i="65"/>
  <c r="DS304" i="65"/>
  <c r="DQ304" i="65"/>
  <c r="DR304" i="65"/>
  <c r="DR257" i="65"/>
  <c r="DS257" i="65"/>
  <c r="DQ257" i="65"/>
  <c r="DN221" i="65"/>
  <c r="DN93" i="65"/>
  <c r="DS498" i="65"/>
  <c r="DR498" i="65"/>
  <c r="DQ498" i="65"/>
  <c r="DQ413" i="65"/>
  <c r="DS370" i="65"/>
  <c r="DR370" i="65"/>
  <c r="DQ370" i="65"/>
  <c r="DN516" i="65"/>
  <c r="DN452" i="65"/>
  <c r="DN345" i="65"/>
  <c r="DN281" i="65"/>
  <c r="DN219" i="65"/>
  <c r="DN134" i="65"/>
  <c r="DQ91" i="65"/>
  <c r="DQ15" i="65"/>
  <c r="DN475" i="65"/>
  <c r="DN411" i="65"/>
  <c r="DQ347" i="65"/>
  <c r="DQ315" i="65"/>
  <c r="DN283" i="65"/>
  <c r="DR213" i="65"/>
  <c r="DS213" i="65"/>
  <c r="DQ213" i="65"/>
  <c r="DS170" i="65"/>
  <c r="DR170" i="65"/>
  <c r="DQ170" i="65"/>
  <c r="DN127" i="65"/>
  <c r="DR85" i="65"/>
  <c r="DS85" i="65"/>
  <c r="DQ85" i="65"/>
  <c r="DN42" i="65"/>
  <c r="DQ246" i="65"/>
  <c r="DN206" i="65"/>
  <c r="DN163" i="65"/>
  <c r="DS142" i="65"/>
  <c r="DR142" i="65"/>
  <c r="DQ142" i="65"/>
  <c r="DN99" i="65"/>
  <c r="DN33" i="65"/>
  <c r="DN212" i="65"/>
  <c r="DQ196" i="65"/>
  <c r="DN164" i="65"/>
  <c r="DQ132" i="65"/>
  <c r="DN100" i="65"/>
  <c r="DQ68" i="65"/>
  <c r="DN36" i="65"/>
  <c r="DN27" i="65"/>
  <c r="DN376" i="65"/>
  <c r="DS470" i="65"/>
  <c r="DR470" i="65"/>
  <c r="DQ470" i="65"/>
  <c r="DN342" i="65"/>
  <c r="DS214" i="65"/>
  <c r="DR214" i="65"/>
  <c r="DQ214" i="65"/>
  <c r="DN129" i="65"/>
  <c r="DN437" i="65"/>
  <c r="DN61" i="65"/>
  <c r="DN509" i="65"/>
  <c r="DN500" i="65"/>
  <c r="DN457" i="65"/>
  <c r="DS372" i="65"/>
  <c r="DR372" i="65"/>
  <c r="DQ372" i="65"/>
  <c r="DS102" i="65"/>
  <c r="DR102" i="65"/>
  <c r="DQ102" i="65"/>
  <c r="DS18" i="65"/>
  <c r="DR18" i="65"/>
  <c r="DQ18" i="65"/>
  <c r="DQ447" i="65"/>
  <c r="DN383" i="65"/>
  <c r="DN287" i="65"/>
  <c r="DN175" i="65"/>
  <c r="DS154" i="65"/>
  <c r="DR154" i="65"/>
  <c r="DQ154" i="65"/>
  <c r="DS250" i="65"/>
  <c r="DR250" i="65"/>
  <c r="DQ250" i="65"/>
  <c r="DN126" i="65"/>
  <c r="DQ83" i="65"/>
  <c r="DN216" i="65"/>
  <c r="DN152" i="65"/>
  <c r="DS120" i="65"/>
  <c r="DR120" i="65"/>
  <c r="DQ120" i="65"/>
  <c r="DN56" i="65"/>
  <c r="DS24" i="65"/>
  <c r="DQ24" i="65"/>
  <c r="DR24" i="65"/>
  <c r="DN440" i="65"/>
  <c r="DN397" i="65"/>
  <c r="DN312" i="65"/>
  <c r="DN215" i="65"/>
  <c r="DN173" i="65"/>
  <c r="DN87" i="65"/>
  <c r="DS460" i="65"/>
  <c r="DR460" i="65"/>
  <c r="DQ460" i="65"/>
  <c r="DN353" i="65"/>
  <c r="DQ268" i="65"/>
  <c r="DN150" i="65"/>
  <c r="DQ512" i="65"/>
  <c r="DN448" i="65"/>
  <c r="DN405" i="65"/>
  <c r="DN341" i="65"/>
  <c r="DN298" i="65"/>
  <c r="DR277" i="65"/>
  <c r="DS277" i="65"/>
  <c r="DQ277" i="65"/>
  <c r="DN210" i="65"/>
  <c r="DN125" i="65"/>
  <c r="DS38" i="65"/>
  <c r="DR38" i="65"/>
  <c r="DQ38" i="65"/>
  <c r="DQ445" i="65"/>
  <c r="DS360" i="65"/>
  <c r="DQ360" i="65"/>
  <c r="DR360" i="65"/>
  <c r="DN13" i="65"/>
  <c r="DS510" i="65"/>
  <c r="DR510" i="65"/>
  <c r="DQ510" i="65"/>
  <c r="DN468" i="65"/>
  <c r="DS404" i="65"/>
  <c r="DR404" i="65"/>
  <c r="DQ404" i="65"/>
  <c r="DN340" i="65"/>
  <c r="DQ276" i="65"/>
  <c r="DR209" i="65"/>
  <c r="DS209" i="65"/>
  <c r="DQ209" i="65"/>
  <c r="DQ123" i="65"/>
  <c r="DQ37" i="65"/>
  <c r="DR37" i="65"/>
  <c r="DS37" i="65"/>
  <c r="DQ11" i="65"/>
  <c r="DN487" i="65"/>
  <c r="DN439" i="65"/>
  <c r="DN391" i="65"/>
  <c r="DS359" i="65"/>
  <c r="DQ359" i="65"/>
  <c r="DR359" i="65"/>
  <c r="DN343" i="65"/>
  <c r="DN311" i="65"/>
  <c r="DQ263" i="65"/>
  <c r="DN229" i="65"/>
  <c r="DQ207" i="65"/>
  <c r="DN143" i="65"/>
  <c r="DS122" i="65"/>
  <c r="DR122" i="65"/>
  <c r="DQ122" i="65"/>
  <c r="DN79" i="65"/>
  <c r="DS258" i="65"/>
  <c r="DR258" i="65"/>
  <c r="DQ258" i="65"/>
  <c r="DS242" i="65"/>
  <c r="DR242" i="65"/>
  <c r="DQ242" i="65"/>
  <c r="DS137" i="65"/>
  <c r="DR137" i="65"/>
  <c r="DQ137" i="65"/>
  <c r="DS94" i="65"/>
  <c r="DR94" i="65"/>
  <c r="DQ94" i="65"/>
  <c r="DS25" i="65"/>
  <c r="DR25" i="65"/>
  <c r="DQ25" i="65"/>
  <c r="DS224" i="65"/>
  <c r="DQ224" i="65"/>
  <c r="DR224" i="65"/>
  <c r="DN176" i="65"/>
  <c r="DQ160" i="65"/>
  <c r="DN112" i="65"/>
  <c r="DS96" i="65"/>
  <c r="DR96" i="65"/>
  <c r="DQ96" i="65"/>
  <c r="DN48" i="65"/>
  <c r="DN32" i="65"/>
  <c r="DN6" i="65"/>
  <c r="DN194" i="65"/>
  <c r="DR449" i="65"/>
  <c r="DS449" i="65"/>
  <c r="DQ449" i="65"/>
  <c r="DN385" i="65"/>
  <c r="DS458" i="65"/>
  <c r="DR458" i="65"/>
  <c r="DQ458" i="65"/>
  <c r="DS146" i="65"/>
  <c r="DR146" i="65"/>
  <c r="DQ146" i="65"/>
  <c r="DN424" i="65"/>
  <c r="DR429" i="65"/>
  <c r="DS429" i="65"/>
  <c r="DQ429" i="65"/>
  <c r="DS386" i="65"/>
  <c r="DR386" i="65"/>
  <c r="DQ386" i="65"/>
  <c r="DN245" i="65"/>
  <c r="DN205" i="65"/>
  <c r="DN77" i="65"/>
  <c r="DN497" i="65"/>
  <c r="DQ433" i="65"/>
  <c r="DN412" i="65"/>
  <c r="DS348" i="65"/>
  <c r="DR348" i="65"/>
  <c r="DQ348" i="65"/>
  <c r="DQ326" i="65"/>
  <c r="DQ260" i="65"/>
  <c r="DN225" i="65"/>
  <c r="DR97" i="65"/>
  <c r="DS97" i="65"/>
  <c r="DQ97" i="65"/>
  <c r="DS54" i="65"/>
  <c r="DR54" i="65"/>
  <c r="DQ54" i="65"/>
  <c r="DR485" i="65"/>
  <c r="DS485" i="65"/>
  <c r="DQ485" i="65"/>
  <c r="DN464" i="65"/>
  <c r="DS400" i="65"/>
  <c r="DQ400" i="65"/>
  <c r="DR400" i="65"/>
  <c r="DS378" i="65"/>
  <c r="DR378" i="65"/>
  <c r="DQ378" i="65"/>
  <c r="DN314" i="65"/>
  <c r="DR293" i="65"/>
  <c r="DS293" i="65"/>
  <c r="DQ293" i="65"/>
  <c r="DN199" i="65"/>
  <c r="DN157" i="65"/>
  <c r="DR477" i="65"/>
  <c r="DS477" i="65"/>
  <c r="DQ477" i="65"/>
  <c r="DS434" i="65"/>
  <c r="DR434" i="65"/>
  <c r="DQ434" i="65"/>
  <c r="DN306" i="65"/>
  <c r="DS8" i="65"/>
  <c r="DQ8" i="65"/>
  <c r="DR8" i="65"/>
  <c r="DN462" i="65"/>
  <c r="DN441" i="65"/>
  <c r="DQ377" i="65"/>
  <c r="DS356" i="65"/>
  <c r="DR356" i="65"/>
  <c r="DQ356" i="65"/>
  <c r="DN292" i="65"/>
  <c r="DS270" i="65"/>
  <c r="DR270" i="65"/>
  <c r="DQ270" i="65"/>
  <c r="DN155" i="65"/>
  <c r="DN113" i="65"/>
  <c r="DN7" i="65"/>
  <c r="DQ515" i="65"/>
  <c r="DN467" i="65"/>
  <c r="DQ419" i="65"/>
  <c r="DN371" i="65"/>
  <c r="DS355" i="65"/>
  <c r="DR355" i="65"/>
  <c r="DQ355" i="65"/>
  <c r="DN275" i="65"/>
  <c r="DQ259" i="65"/>
  <c r="DN181" i="65"/>
  <c r="DQ159" i="65"/>
  <c r="DN95" i="65"/>
  <c r="DS74" i="65"/>
  <c r="DR74" i="65"/>
  <c r="DQ74" i="65"/>
  <c r="DN254" i="65"/>
  <c r="DN238" i="65"/>
  <c r="DS174" i="65"/>
  <c r="DR174" i="65"/>
  <c r="DQ174" i="65"/>
  <c r="DN153" i="65"/>
  <c r="DS89" i="65"/>
  <c r="DR89" i="65"/>
  <c r="DQ89" i="65"/>
  <c r="DQ67" i="65"/>
  <c r="DN220" i="65"/>
  <c r="DN204" i="65"/>
  <c r="DN156" i="65"/>
  <c r="DN140" i="65"/>
  <c r="DN92" i="65"/>
  <c r="DQ76" i="65"/>
  <c r="DN28" i="65"/>
  <c r="DQ19" i="65"/>
  <c r="DN542" i="65"/>
  <c r="DN532" i="65"/>
  <c r="DQ539" i="65"/>
  <c r="DS518" i="65"/>
  <c r="DR518" i="65"/>
  <c r="DQ518" i="65"/>
  <c r="DN523" i="65"/>
  <c r="DN522" i="65"/>
  <c r="DS536" i="65"/>
  <c r="DR536" i="65"/>
  <c r="DQ536" i="65"/>
  <c r="DQ545" i="65"/>
  <c r="DN534" i="65"/>
  <c r="DS527" i="65"/>
  <c r="DR527" i="65"/>
  <c r="DQ527" i="65"/>
  <c r="DS519" i="65"/>
  <c r="DR519" i="65"/>
  <c r="DQ519" i="65"/>
  <c r="DN521" i="65"/>
  <c r="DQ480" i="65"/>
  <c r="DN478" i="65"/>
  <c r="DQ147" i="65"/>
  <c r="DS168" i="65"/>
  <c r="DQ168" i="65"/>
  <c r="DR168" i="65"/>
  <c r="DN408" i="65"/>
  <c r="DS322" i="65"/>
  <c r="DR322" i="65"/>
  <c r="DQ322" i="65"/>
  <c r="DQ422" i="65"/>
  <c r="DN294" i="65"/>
  <c r="DR5" i="65"/>
  <c r="DS5" i="65"/>
  <c r="DQ5" i="65"/>
  <c r="DS430" i="65"/>
  <c r="DR430" i="65"/>
  <c r="DQ430" i="65"/>
  <c r="DN302" i="65"/>
  <c r="DN443" i="65"/>
  <c r="DS379" i="65"/>
  <c r="DR379" i="65"/>
  <c r="DQ379" i="65"/>
  <c r="DN267" i="65"/>
  <c r="DQ251" i="65"/>
  <c r="DS78" i="65"/>
  <c r="DR78" i="65"/>
  <c r="DQ78" i="65"/>
  <c r="DN352" i="65"/>
  <c r="DN415" i="65"/>
  <c r="DQ319" i="65"/>
  <c r="DS310" i="65"/>
  <c r="DR310" i="65"/>
  <c r="DQ310" i="65"/>
  <c r="DQ423" i="65"/>
  <c r="DS407" i="65"/>
  <c r="DQ407" i="65"/>
  <c r="DR407" i="65"/>
  <c r="DN279" i="65"/>
  <c r="DS158" i="65"/>
  <c r="DR158" i="65"/>
  <c r="DQ158" i="65"/>
  <c r="DN307" i="65"/>
  <c r="DQ35" i="65"/>
  <c r="DN535" i="65"/>
  <c r="DN541" i="65"/>
  <c r="DN211" i="65"/>
  <c r="DS502" i="65"/>
  <c r="DR502" i="65"/>
  <c r="DQ502" i="65"/>
  <c r="DS362" i="65"/>
  <c r="DR362" i="65"/>
  <c r="DQ362" i="65"/>
  <c r="DS394" i="65"/>
  <c r="DR394" i="65"/>
  <c r="DQ394" i="65"/>
  <c r="DN71" i="65"/>
  <c r="DS435" i="65"/>
  <c r="DR435" i="65"/>
  <c r="DQ435" i="65"/>
  <c r="DN524" i="65"/>
  <c r="DQ237" i="65"/>
  <c r="DS492" i="65"/>
  <c r="DR492" i="65"/>
  <c r="DQ492" i="65"/>
  <c r="DS364" i="65"/>
  <c r="DR364" i="65"/>
  <c r="DQ364" i="65"/>
  <c r="DN278" i="65"/>
  <c r="DS416" i="65"/>
  <c r="DQ416" i="65"/>
  <c r="DR416" i="65"/>
  <c r="DN309" i="65"/>
  <c r="DQ231" i="65"/>
  <c r="DN436" i="65"/>
  <c r="DN393" i="65"/>
  <c r="DN286" i="65"/>
  <c r="DQ495" i="65"/>
  <c r="DN399" i="65"/>
  <c r="DN303" i="65"/>
  <c r="DN197" i="65"/>
  <c r="DN90" i="65"/>
  <c r="DQ69" i="65"/>
  <c r="DR69" i="65"/>
  <c r="DS69" i="65"/>
  <c r="DS105" i="65"/>
  <c r="DR105" i="65"/>
  <c r="DQ105" i="65"/>
  <c r="DS62" i="65"/>
  <c r="DR62" i="65"/>
  <c r="DQ62" i="65"/>
  <c r="DN104" i="65"/>
  <c r="DN40" i="65"/>
  <c r="DQ31" i="65"/>
  <c r="DN365" i="65"/>
  <c r="DN261" i="65"/>
  <c r="DN141" i="65"/>
  <c r="DQ55" i="65"/>
  <c r="DN508" i="65"/>
  <c r="DR465" i="65"/>
  <c r="DS465" i="65"/>
  <c r="DQ465" i="65"/>
  <c r="DS380" i="65"/>
  <c r="DR380" i="65"/>
  <c r="DQ380" i="65"/>
  <c r="DQ316" i="65"/>
  <c r="DN273" i="65"/>
  <c r="DN203" i="65"/>
  <c r="DN161" i="65"/>
  <c r="DN75" i="65"/>
  <c r="DS29" i="65"/>
  <c r="DQ29" i="65"/>
  <c r="DR29" i="65"/>
  <c r="DS474" i="65"/>
  <c r="DR474" i="65"/>
  <c r="DQ474" i="65"/>
  <c r="DS432" i="65"/>
  <c r="DQ432" i="65"/>
  <c r="DR432" i="65"/>
  <c r="DS410" i="65"/>
  <c r="DR410" i="65"/>
  <c r="DQ410" i="65"/>
  <c r="DN368" i="65"/>
  <c r="DQ325" i="65"/>
  <c r="DN257" i="65"/>
  <c r="DN135" i="65"/>
  <c r="DN50" i="65"/>
  <c r="DN413" i="65"/>
  <c r="DN328" i="65"/>
  <c r="DQ516" i="65"/>
  <c r="DS452" i="65"/>
  <c r="DR452" i="65"/>
  <c r="DQ452" i="65"/>
  <c r="DN388" i="65"/>
  <c r="DN324" i="65"/>
  <c r="DQ219" i="65"/>
  <c r="DS134" i="65"/>
  <c r="DR134" i="65"/>
  <c r="DQ134" i="65"/>
  <c r="DR49" i="65"/>
  <c r="DQ49" i="65"/>
  <c r="DS49" i="65"/>
  <c r="DQ491" i="65"/>
  <c r="DQ459" i="65"/>
  <c r="DQ427" i="65"/>
  <c r="DN347" i="65"/>
  <c r="DN315" i="65"/>
  <c r="DQ283" i="65"/>
  <c r="DN191" i="65"/>
  <c r="DQ127" i="65"/>
  <c r="DN85" i="65"/>
  <c r="DS42" i="65"/>
  <c r="DR42" i="65"/>
  <c r="DQ42" i="65"/>
  <c r="DN246" i="65"/>
  <c r="DS206" i="65"/>
  <c r="DR206" i="65"/>
  <c r="DQ206" i="65"/>
  <c r="DQ163" i="65"/>
  <c r="DS121" i="65"/>
  <c r="DR121" i="65"/>
  <c r="DQ121" i="65"/>
  <c r="DQ99" i="65"/>
  <c r="DR33" i="65"/>
  <c r="DQ33" i="65"/>
  <c r="DS33" i="65"/>
  <c r="DQ212" i="65"/>
  <c r="DN180" i="65"/>
  <c r="DQ164" i="65"/>
  <c r="DN132" i="65"/>
  <c r="DQ100" i="65"/>
  <c r="DN68" i="65"/>
  <c r="DQ36" i="65"/>
  <c r="DQ27" i="65"/>
  <c r="DS376" i="65"/>
  <c r="DQ376" i="65"/>
  <c r="DR376" i="65"/>
  <c r="DS109" i="65"/>
  <c r="DR109" i="65"/>
  <c r="DQ109" i="65"/>
  <c r="DN406" i="65"/>
  <c r="DS342" i="65"/>
  <c r="DR342" i="65"/>
  <c r="DQ342" i="65"/>
  <c r="DN214" i="65"/>
  <c r="DR501" i="65"/>
  <c r="DS501" i="65"/>
  <c r="DQ501" i="65"/>
  <c r="DR189" i="65"/>
  <c r="DS189" i="65"/>
  <c r="DQ189" i="65"/>
  <c r="DS61" i="65"/>
  <c r="DQ61" i="65"/>
  <c r="DR61" i="65"/>
  <c r="DR285" i="65"/>
  <c r="DS285" i="65"/>
  <c r="DQ285" i="65"/>
  <c r="DS500" i="65"/>
  <c r="DR500" i="65"/>
  <c r="DQ500" i="65"/>
  <c r="DN414" i="65"/>
  <c r="DN264" i="65"/>
  <c r="DN102" i="65"/>
  <c r="DN479" i="65"/>
  <c r="DS383" i="65"/>
  <c r="DQ383" i="65"/>
  <c r="DR383" i="65"/>
  <c r="DQ287" i="65"/>
  <c r="DN218" i="65"/>
  <c r="DQ175" i="65"/>
  <c r="DN47" i="65"/>
  <c r="DS169" i="65"/>
  <c r="DR169" i="65"/>
  <c r="DQ169" i="65"/>
  <c r="DS126" i="65"/>
  <c r="DR126" i="65"/>
  <c r="DQ126" i="65"/>
  <c r="DN41" i="65"/>
  <c r="DS152" i="65"/>
  <c r="DQ152" i="65"/>
  <c r="DR152" i="65"/>
  <c r="DS56" i="65"/>
  <c r="DQ56" i="65"/>
  <c r="DR56" i="65"/>
  <c r="DS440" i="65"/>
  <c r="DQ440" i="65"/>
  <c r="DR440" i="65"/>
  <c r="DN354" i="65"/>
  <c r="DS312" i="65"/>
  <c r="DQ312" i="65"/>
  <c r="DR312" i="65"/>
  <c r="DR253" i="65"/>
  <c r="DS253" i="65"/>
  <c r="DQ253" i="65"/>
  <c r="DQ215" i="65"/>
  <c r="DS130" i="65"/>
  <c r="DR130" i="65"/>
  <c r="DQ130" i="65"/>
  <c r="DQ87" i="65"/>
  <c r="DR481" i="65"/>
  <c r="DS481" i="65"/>
  <c r="DQ481" i="65"/>
  <c r="DS396" i="65"/>
  <c r="DR396" i="65"/>
  <c r="DQ396" i="65"/>
  <c r="DR289" i="65"/>
  <c r="DS289" i="65"/>
  <c r="DQ289" i="65"/>
  <c r="DN268" i="65"/>
  <c r="DR193" i="65"/>
  <c r="DS193" i="65"/>
  <c r="DQ193" i="65"/>
  <c r="DR65" i="65"/>
  <c r="DQ65" i="65"/>
  <c r="DS65" i="65"/>
  <c r="DN512" i="65"/>
  <c r="DR469" i="65"/>
  <c r="DS469" i="65"/>
  <c r="DQ469" i="65"/>
  <c r="DN426" i="65"/>
  <c r="DS384" i="65"/>
  <c r="DQ384" i="65"/>
  <c r="DR384" i="65"/>
  <c r="DQ320" i="65"/>
  <c r="DS298" i="65"/>
  <c r="DR298" i="65"/>
  <c r="DQ298" i="65"/>
  <c r="DQ249" i="65"/>
  <c r="DN167" i="65"/>
  <c r="DN38" i="65"/>
  <c r="DN445" i="65"/>
  <c r="DS13" i="65"/>
  <c r="DQ13" i="65"/>
  <c r="DR13" i="65"/>
  <c r="DS489" i="65"/>
  <c r="DR489" i="65"/>
  <c r="DQ489" i="65"/>
  <c r="DS468" i="65"/>
  <c r="DR468" i="65"/>
  <c r="DQ468" i="65"/>
  <c r="DS425" i="65"/>
  <c r="DR425" i="65"/>
  <c r="DQ425" i="65"/>
  <c r="DQ361" i="65"/>
  <c r="DS340" i="65"/>
  <c r="DR340" i="65"/>
  <c r="DQ340" i="65"/>
  <c r="DS297" i="65"/>
  <c r="DR297" i="65"/>
  <c r="DQ297" i="65"/>
  <c r="DN209" i="65"/>
  <c r="DN37" i="65"/>
  <c r="DN503" i="65"/>
  <c r="DQ455" i="65"/>
  <c r="DQ439" i="65"/>
  <c r="DN359" i="65"/>
  <c r="DS327" i="65"/>
  <c r="DQ327" i="65"/>
  <c r="DR327" i="65"/>
  <c r="DQ311" i="65"/>
  <c r="DR229" i="65"/>
  <c r="DS229" i="65"/>
  <c r="DQ229" i="65"/>
  <c r="DN165" i="65"/>
  <c r="DQ143" i="65"/>
  <c r="DN101" i="65"/>
  <c r="DQ79" i="65"/>
  <c r="DN34" i="65"/>
  <c r="DN258" i="65"/>
  <c r="DN179" i="65"/>
  <c r="DN137" i="65"/>
  <c r="DN51" i="65"/>
  <c r="DN25" i="65"/>
  <c r="DN192" i="65"/>
  <c r="DS176" i="65"/>
  <c r="DQ176" i="65"/>
  <c r="DR176" i="65"/>
  <c r="DN128" i="65"/>
  <c r="DS112" i="65"/>
  <c r="DR112" i="65"/>
  <c r="DQ112" i="65"/>
  <c r="DN64" i="65"/>
  <c r="DS48" i="65"/>
  <c r="DQ48" i="65"/>
  <c r="DR48" i="65"/>
  <c r="DN23" i="65"/>
  <c r="DS6" i="65"/>
  <c r="DR6" i="65"/>
  <c r="DQ6" i="65"/>
  <c r="DN296" i="65"/>
  <c r="DR513" i="65"/>
  <c r="DS513" i="65"/>
  <c r="DQ513" i="65"/>
  <c r="DN449" i="65"/>
  <c r="DS86" i="65"/>
  <c r="DR86" i="65"/>
  <c r="DQ86" i="65"/>
  <c r="DS265" i="65"/>
  <c r="DR265" i="65"/>
  <c r="DQ265" i="65"/>
  <c r="DN146" i="65"/>
  <c r="DQ424" i="65"/>
  <c r="DN472" i="65"/>
  <c r="DN429" i="65"/>
  <c r="DR301" i="65"/>
  <c r="DS301" i="65"/>
  <c r="DQ301" i="65"/>
  <c r="DQ245" i="65"/>
  <c r="DN119" i="65"/>
  <c r="DS77" i="65"/>
  <c r="DR77" i="65"/>
  <c r="DQ77" i="65"/>
  <c r="DN454" i="65"/>
  <c r="DN433" i="65"/>
  <c r="DQ369" i="65"/>
  <c r="DN348" i="65"/>
  <c r="DN284" i="65"/>
  <c r="DN260" i="65"/>
  <c r="DN139" i="65"/>
  <c r="DN97" i="65"/>
  <c r="DN506" i="65"/>
  <c r="DN485" i="65"/>
  <c r="DR421" i="65"/>
  <c r="DS421" i="65"/>
  <c r="DQ421" i="65"/>
  <c r="DN400" i="65"/>
  <c r="DS336" i="65"/>
  <c r="DQ336" i="65"/>
  <c r="DR336" i="65"/>
  <c r="DS314" i="65"/>
  <c r="DR314" i="65"/>
  <c r="DQ314" i="65"/>
  <c r="DR241" i="65"/>
  <c r="DS241" i="65"/>
  <c r="DQ241" i="65"/>
  <c r="DQ199" i="65"/>
  <c r="DS22" i="65"/>
  <c r="DR22" i="65"/>
  <c r="DQ22" i="65"/>
  <c r="DN477" i="65"/>
  <c r="DQ349" i="65"/>
  <c r="DS306" i="65"/>
  <c r="DR306" i="65"/>
  <c r="DQ306" i="65"/>
  <c r="DN484" i="65"/>
  <c r="DS462" i="65"/>
  <c r="DR462" i="65"/>
  <c r="DQ462" i="65"/>
  <c r="DN398" i="65"/>
  <c r="DN377" i="65"/>
  <c r="DS313" i="65"/>
  <c r="DR313" i="65"/>
  <c r="DQ313" i="65"/>
  <c r="DQ292" i="65"/>
  <c r="DN198" i="65"/>
  <c r="DQ155" i="65"/>
  <c r="DQ21" i="65"/>
  <c r="DR21" i="65"/>
  <c r="DS21" i="65"/>
  <c r="DQ7" i="65"/>
  <c r="DN483" i="65"/>
  <c r="DQ467" i="65"/>
  <c r="DN387" i="65"/>
  <c r="DS371" i="65"/>
  <c r="DR371" i="65"/>
  <c r="DQ371" i="65"/>
  <c r="DN291" i="65"/>
  <c r="DQ275" i="65"/>
  <c r="DN202" i="65"/>
  <c r="DR181" i="65"/>
  <c r="DS181" i="65"/>
  <c r="DQ181" i="65"/>
  <c r="DN117" i="65"/>
  <c r="DQ95" i="65"/>
  <c r="DN26" i="65"/>
  <c r="DS254" i="65"/>
  <c r="DR254" i="65"/>
  <c r="DQ254" i="65"/>
  <c r="DN195" i="65"/>
  <c r="DN174" i="65"/>
  <c r="DS110" i="65"/>
  <c r="DR110" i="65"/>
  <c r="DQ110" i="65"/>
  <c r="DN89" i="65"/>
  <c r="DN236" i="65"/>
  <c r="DQ220" i="65"/>
  <c r="DN172" i="65"/>
  <c r="DS156" i="65"/>
  <c r="DR156" i="65"/>
  <c r="DQ156" i="65"/>
  <c r="DN108" i="65"/>
  <c r="DQ92" i="65"/>
  <c r="DN44" i="65"/>
  <c r="DQ28" i="65"/>
  <c r="DS542" i="65"/>
  <c r="DR542" i="65"/>
  <c r="DQ542" i="65"/>
  <c r="DS532" i="65"/>
  <c r="DR532" i="65"/>
  <c r="DQ532" i="65"/>
  <c r="DN539" i="65"/>
  <c r="DN530" i="65"/>
  <c r="DQ522" i="65"/>
  <c r="DR529" i="65"/>
  <c r="DS529" i="65"/>
  <c r="DQ529" i="65"/>
  <c r="DN545" i="65"/>
  <c r="DN526" i="65"/>
  <c r="DS534" i="65"/>
  <c r="DR534" i="65"/>
  <c r="DQ534" i="65"/>
  <c r="DQ525" i="65"/>
  <c r="DN519" i="65"/>
  <c r="DN531" i="65"/>
  <c r="DN480" i="65"/>
  <c r="DN338" i="65"/>
  <c r="DS478" i="65"/>
  <c r="DR478" i="65"/>
  <c r="DQ478" i="65"/>
  <c r="DS230" i="65"/>
  <c r="DR230" i="65"/>
  <c r="DQ230" i="65"/>
  <c r="DN190" i="65"/>
  <c r="DS232" i="65"/>
  <c r="DQ232" i="65"/>
  <c r="DR232" i="65"/>
  <c r="DS408" i="65"/>
  <c r="DQ408" i="65"/>
  <c r="DR408" i="65"/>
  <c r="DN178" i="65"/>
  <c r="DN494" i="65"/>
  <c r="DN366" i="65"/>
  <c r="DQ507" i="65"/>
  <c r="DS395" i="65"/>
  <c r="DR395" i="65"/>
  <c r="DQ395" i="65"/>
  <c r="DN379" i="65"/>
  <c r="DQ267" i="65"/>
  <c r="DN234" i="65"/>
  <c r="DN187" i="65"/>
  <c r="DS415" i="65"/>
  <c r="DQ415" i="65"/>
  <c r="DR415" i="65"/>
  <c r="DN310" i="65"/>
  <c r="DN423" i="65"/>
  <c r="DN295" i="65"/>
  <c r="DQ279" i="65"/>
  <c r="DQ252" i="65"/>
  <c r="DN451" i="65"/>
  <c r="DQ307" i="65"/>
  <c r="DS535" i="65"/>
  <c r="DR535" i="65"/>
  <c r="DQ535" i="65"/>
  <c r="DN350" i="65"/>
  <c r="DQ211" i="65"/>
  <c r="DS14" i="65"/>
  <c r="DR14" i="65"/>
  <c r="DQ14" i="65"/>
  <c r="DN402" i="65"/>
  <c r="DN30" i="65"/>
  <c r="DQ71" i="65"/>
  <c r="DN223" i="65"/>
  <c r="DS524" i="65"/>
  <c r="DR524" i="65"/>
  <c r="DQ524" i="65"/>
  <c r="DQ540" i="65"/>
  <c r="X138" i="64" l="1"/>
  <c r="X141" i="64"/>
  <c r="X140" i="64"/>
  <c r="X145" i="64"/>
  <c r="X137" i="64"/>
  <c r="X144" i="64"/>
  <c r="X146" i="64"/>
  <c r="X142" i="64"/>
  <c r="X136" i="64"/>
  <c r="X143" i="64"/>
  <c r="X139" i="64"/>
  <c r="I136" i="64"/>
  <c r="L136" i="64" s="1"/>
  <c r="N54" i="53"/>
  <c r="H136" i="64"/>
  <c r="K136" i="64" s="1"/>
  <c r="N45" i="66"/>
  <c r="AG58" i="63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Y136" i="64" l="1"/>
  <c r="Y146" i="64"/>
  <c r="Y138" i="64"/>
  <c r="Y142" i="64"/>
  <c r="Y140" i="64"/>
  <c r="Y137" i="64"/>
  <c r="Y141" i="64"/>
  <c r="Y144" i="64"/>
  <c r="Y145" i="64"/>
  <c r="Y139" i="64"/>
  <c r="Y143" i="64"/>
  <c r="Z146" i="64"/>
  <c r="Z142" i="64"/>
  <c r="Z141" i="64"/>
  <c r="Z140" i="64"/>
  <c r="Z136" i="64"/>
  <c r="Z145" i="64"/>
  <c r="Z144" i="64"/>
  <c r="Z138" i="64"/>
  <c r="Z137" i="64"/>
  <c r="Z143" i="64"/>
  <c r="Z139" i="64"/>
  <c r="F147" i="64"/>
  <c r="O27" i="53"/>
  <c r="E147" i="64"/>
  <c r="D147" i="64"/>
  <c r="O18" i="66"/>
  <c r="O55" i="53" l="1"/>
  <c r="G147" i="64"/>
  <c r="J147" i="64" s="1"/>
  <c r="O46" i="66"/>
  <c r="T5" i="64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8" i="64"/>
  <c r="C39" i="64"/>
  <c r="C40" i="64"/>
  <c r="C41" i="64"/>
  <c r="C42" i="64"/>
  <c r="C43" i="64"/>
  <c r="C44" i="64"/>
  <c r="C45" i="64"/>
  <c r="C46" i="64"/>
  <c r="C47" i="64"/>
  <c r="C49" i="64"/>
  <c r="C50" i="64"/>
  <c r="C51" i="64"/>
  <c r="C52" i="64"/>
  <c r="C53" i="64"/>
  <c r="C54" i="64"/>
  <c r="C55" i="64"/>
  <c r="C56" i="64"/>
  <c r="C57" i="64"/>
  <c r="C58" i="64"/>
  <c r="C60" i="64"/>
  <c r="C61" i="64"/>
  <c r="C62" i="64"/>
  <c r="C63" i="64"/>
  <c r="C64" i="64"/>
  <c r="C65" i="64"/>
  <c r="C66" i="64"/>
  <c r="C67" i="64"/>
  <c r="C68" i="64"/>
  <c r="C69" i="64"/>
  <c r="C71" i="64"/>
  <c r="C72" i="64"/>
  <c r="C73" i="64"/>
  <c r="C74" i="64"/>
  <c r="C75" i="64"/>
  <c r="C76" i="64"/>
  <c r="C77" i="64"/>
  <c r="C78" i="64"/>
  <c r="C79" i="64"/>
  <c r="C80" i="64"/>
  <c r="C82" i="64"/>
  <c r="C83" i="64"/>
  <c r="C84" i="64"/>
  <c r="C85" i="64"/>
  <c r="C86" i="64"/>
  <c r="C87" i="64"/>
  <c r="C88" i="64"/>
  <c r="C89" i="64"/>
  <c r="C90" i="64"/>
  <c r="C91" i="64"/>
  <c r="C93" i="64"/>
  <c r="C94" i="64"/>
  <c r="C95" i="64"/>
  <c r="C96" i="64"/>
  <c r="C97" i="64"/>
  <c r="C98" i="64"/>
  <c r="C99" i="64"/>
  <c r="C100" i="64"/>
  <c r="C101" i="64"/>
  <c r="C102" i="64"/>
  <c r="C104" i="64"/>
  <c r="C105" i="64"/>
  <c r="C106" i="64"/>
  <c r="C107" i="64"/>
  <c r="C108" i="64"/>
  <c r="C109" i="64"/>
  <c r="C110" i="64"/>
  <c r="C111" i="64"/>
  <c r="C112" i="64"/>
  <c r="C113" i="64"/>
  <c r="C115" i="64"/>
  <c r="C116" i="64"/>
  <c r="C117" i="64"/>
  <c r="C118" i="64"/>
  <c r="C119" i="64"/>
  <c r="C120" i="64"/>
  <c r="C121" i="64"/>
  <c r="C122" i="64"/>
  <c r="C123" i="64"/>
  <c r="C124" i="64"/>
  <c r="C126" i="64"/>
  <c r="C127" i="64"/>
  <c r="C128" i="64"/>
  <c r="C129" i="64"/>
  <c r="C130" i="64"/>
  <c r="C131" i="64"/>
  <c r="C132" i="64"/>
  <c r="C133" i="64"/>
  <c r="C134" i="64"/>
  <c r="C135" i="64"/>
  <c r="C137" i="64"/>
  <c r="C138" i="64"/>
  <c r="C139" i="64"/>
  <c r="C140" i="64"/>
  <c r="C141" i="64"/>
  <c r="C142" i="64"/>
  <c r="C143" i="64"/>
  <c r="C144" i="64"/>
  <c r="C145" i="64"/>
  <c r="C146" i="64"/>
  <c r="C148" i="64"/>
  <c r="C149" i="64"/>
  <c r="C150" i="64"/>
  <c r="C151" i="64"/>
  <c r="C152" i="64"/>
  <c r="C153" i="64"/>
  <c r="C154" i="64"/>
  <c r="C155" i="64"/>
  <c r="C156" i="64"/>
  <c r="C157" i="64"/>
  <c r="C159" i="64"/>
  <c r="C160" i="64"/>
  <c r="C161" i="64"/>
  <c r="C162" i="64"/>
  <c r="C163" i="64"/>
  <c r="C164" i="64"/>
  <c r="C165" i="64"/>
  <c r="C166" i="64"/>
  <c r="C167" i="64"/>
  <c r="C168" i="64"/>
  <c r="C170" i="64"/>
  <c r="C171" i="64"/>
  <c r="C172" i="64"/>
  <c r="C173" i="64"/>
  <c r="C174" i="64"/>
  <c r="C175" i="64"/>
  <c r="C176" i="64"/>
  <c r="C177" i="64"/>
  <c r="C178" i="64"/>
  <c r="C179" i="64"/>
  <c r="C181" i="64"/>
  <c r="C182" i="64"/>
  <c r="C183" i="64"/>
  <c r="C184" i="64"/>
  <c r="C185" i="64"/>
  <c r="C186" i="64"/>
  <c r="C187" i="64"/>
  <c r="C5" i="64"/>
  <c r="X156" i="64" l="1"/>
  <c r="X153" i="64"/>
  <c r="X154" i="64"/>
  <c r="X157" i="64"/>
  <c r="X149" i="64"/>
  <c r="X148" i="64"/>
  <c r="X150" i="64"/>
  <c r="X152" i="64"/>
  <c r="X147" i="64"/>
  <c r="X155" i="64"/>
  <c r="X151" i="64"/>
  <c r="U5" i="64"/>
  <c r="Z5" i="64"/>
  <c r="Y5" i="64"/>
  <c r="H147" i="64"/>
  <c r="K147" i="64" s="1"/>
  <c r="I147" i="64"/>
  <c r="L147" i="64" s="1"/>
  <c r="N55" i="53"/>
  <c r="N46" i="66"/>
  <c r="G5" i="64"/>
  <c r="G14" i="64"/>
  <c r="G17" i="64"/>
  <c r="G13" i="64"/>
  <c r="G9" i="64"/>
  <c r="G18" i="64"/>
  <c r="G6" i="64"/>
  <c r="G16" i="64"/>
  <c r="G12" i="64"/>
  <c r="G8" i="64"/>
  <c r="G10" i="64"/>
  <c r="G15" i="64"/>
  <c r="G11" i="64"/>
  <c r="G7" i="64"/>
  <c r="G19" i="64"/>
  <c r="X5" i="64"/>
  <c r="AA5" i="64" l="1"/>
  <c r="Y149" i="64"/>
  <c r="Y152" i="64"/>
  <c r="Y153" i="64"/>
  <c r="Y157" i="64"/>
  <c r="Y156" i="64"/>
  <c r="Y154" i="64"/>
  <c r="Y148" i="64"/>
  <c r="Y150" i="64"/>
  <c r="Y155" i="64"/>
  <c r="Y151" i="64"/>
  <c r="Y147" i="64"/>
  <c r="Z148" i="64"/>
  <c r="Z154" i="64"/>
  <c r="Z149" i="64"/>
  <c r="Z156" i="64"/>
  <c r="Z152" i="64"/>
  <c r="Z150" i="64"/>
  <c r="Z153" i="64"/>
  <c r="Z157" i="64"/>
  <c r="Z151" i="64"/>
  <c r="Z155" i="64"/>
  <c r="Z147" i="64"/>
  <c r="F158" i="64"/>
  <c r="O28" i="53"/>
  <c r="E158" i="64"/>
  <c r="D158" i="64"/>
  <c r="O19" i="66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5" i="54"/>
  <c r="E5" i="58"/>
  <c r="E6" i="58"/>
  <c r="E7" i="58"/>
  <c r="E8" i="58"/>
  <c r="E9" i="58"/>
  <c r="E10" i="58"/>
  <c r="E11" i="58"/>
  <c r="E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" i="58"/>
  <c r="O56" i="53" l="1"/>
  <c r="G158" i="64"/>
  <c r="J158" i="64" s="1"/>
  <c r="O47" i="66"/>
  <c r="E42" i="54"/>
  <c r="E20" i="54"/>
  <c r="X162" i="64" l="1"/>
  <c r="X165" i="64"/>
  <c r="X166" i="64"/>
  <c r="X158" i="64"/>
  <c r="X160" i="64"/>
  <c r="X164" i="64"/>
  <c r="X168" i="64"/>
  <c r="X161" i="64"/>
  <c r="X163" i="64"/>
  <c r="X167" i="64"/>
  <c r="X159" i="64"/>
  <c r="H158" i="64"/>
  <c r="K158" i="64" s="1"/>
  <c r="I158" i="64"/>
  <c r="L158" i="64" s="1"/>
  <c r="N56" i="53"/>
  <c r="N47" i="66"/>
  <c r="AC58" i="63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Z168" i="64" l="1"/>
  <c r="Z164" i="64"/>
  <c r="Z162" i="64"/>
  <c r="Z158" i="64"/>
  <c r="Z161" i="64"/>
  <c r="Z165" i="64"/>
  <c r="Z160" i="64"/>
  <c r="Z166" i="64"/>
  <c r="Z159" i="64"/>
  <c r="Z167" i="64"/>
  <c r="Z163" i="64"/>
  <c r="Y168" i="64"/>
  <c r="Y166" i="64"/>
  <c r="Y161" i="64"/>
  <c r="Y165" i="64"/>
  <c r="Y160" i="64"/>
  <c r="Y162" i="64"/>
  <c r="Y164" i="64"/>
  <c r="Y158" i="64"/>
  <c r="Y167" i="64"/>
  <c r="Y163" i="64"/>
  <c r="Y159" i="64"/>
  <c r="O29" i="53"/>
  <c r="E169" i="64"/>
  <c r="F169" i="64"/>
  <c r="D169" i="64"/>
  <c r="O20" i="66"/>
  <c r="Y6" i="63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O57" i="53" l="1"/>
  <c r="G169" i="64"/>
  <c r="J169" i="64" s="1"/>
  <c r="O48" i="66"/>
  <c r="L4" i="63"/>
  <c r="X170" i="64" l="1"/>
  <c r="X173" i="64"/>
  <c r="X172" i="64"/>
  <c r="X175" i="64"/>
  <c r="X178" i="64"/>
  <c r="X176" i="64"/>
  <c r="X177" i="64"/>
  <c r="X174" i="64"/>
  <c r="X179" i="64"/>
  <c r="X169" i="64"/>
  <c r="X171" i="64"/>
  <c r="N57" i="53"/>
  <c r="H169" i="64"/>
  <c r="K169" i="64" s="1"/>
  <c r="I169" i="64"/>
  <c r="L169" i="64" s="1"/>
  <c r="N48" i="66"/>
  <c r="X6" i="63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Z178" i="64" l="1"/>
  <c r="Z174" i="64"/>
  <c r="Z177" i="64"/>
  <c r="Z169" i="64"/>
  <c r="Z173" i="64"/>
  <c r="Z172" i="64"/>
  <c r="Z179" i="64"/>
  <c r="Z175" i="64"/>
  <c r="Z170" i="64"/>
  <c r="Z176" i="64"/>
  <c r="Z171" i="64"/>
  <c r="Y170" i="64"/>
  <c r="Y174" i="64"/>
  <c r="Y178" i="64"/>
  <c r="Y176" i="64"/>
  <c r="Y172" i="64"/>
  <c r="Y169" i="64"/>
  <c r="Y175" i="64"/>
  <c r="Y173" i="64"/>
  <c r="Y177" i="64"/>
  <c r="Y179" i="64"/>
  <c r="Y171" i="64"/>
  <c r="O30" i="53"/>
  <c r="E188" i="64"/>
  <c r="E189" i="64"/>
  <c r="E180" i="64"/>
  <c r="E190" i="64"/>
  <c r="F188" i="64"/>
  <c r="F180" i="64"/>
  <c r="F190" i="64"/>
  <c r="F189" i="64"/>
  <c r="D189" i="64"/>
  <c r="D190" i="64"/>
  <c r="D180" i="64"/>
  <c r="D188" i="64"/>
  <c r="O21" i="66"/>
  <c r="Q833" i="63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O58" i="53" l="1"/>
  <c r="G189" i="64"/>
  <c r="J189" i="64" s="1"/>
  <c r="G190" i="64"/>
  <c r="J190" i="64" s="1"/>
  <c r="G180" i="64"/>
  <c r="J180" i="64" s="1"/>
  <c r="G188" i="64"/>
  <c r="J188" i="64" s="1"/>
  <c r="O49" i="66"/>
  <c r="N49" i="66"/>
  <c r="Y737" i="63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X188" i="64" l="1"/>
  <c r="X183" i="64"/>
  <c r="X185" i="64"/>
  <c r="X181" i="64"/>
  <c r="X180" i="64"/>
  <c r="X182" i="64"/>
  <c r="X190" i="64"/>
  <c r="X189" i="64"/>
  <c r="X184" i="64"/>
  <c r="X186" i="64"/>
  <c r="X187" i="64"/>
  <c r="N58" i="53"/>
  <c r="H188" i="64"/>
  <c r="K188" i="64" s="1"/>
  <c r="H190" i="64"/>
  <c r="K190" i="64" s="1"/>
  <c r="H189" i="64"/>
  <c r="K189" i="64" s="1"/>
  <c r="H180" i="64"/>
  <c r="K180" i="64" s="1"/>
  <c r="I180" i="64"/>
  <c r="L180" i="64" s="1"/>
  <c r="I188" i="64"/>
  <c r="L188" i="64" s="1"/>
  <c r="I190" i="64"/>
  <c r="L190" i="64" s="1"/>
  <c r="I189" i="64"/>
  <c r="L189" i="64" s="1"/>
  <c r="O22" i="66"/>
  <c r="U6" i="63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Z184" i="64" l="1"/>
  <c r="Z180" i="64"/>
  <c r="Z187" i="64"/>
  <c r="Z190" i="64"/>
  <c r="Z181" i="64"/>
  <c r="Z188" i="64"/>
  <c r="Z182" i="64"/>
  <c r="Z189" i="64"/>
  <c r="Z186" i="64"/>
  <c r="Z185" i="64"/>
  <c r="Z183" i="64"/>
  <c r="Y181" i="64"/>
  <c r="Y186" i="64"/>
  <c r="Y185" i="64"/>
  <c r="Y189" i="64"/>
  <c r="Y184" i="64"/>
  <c r="Y187" i="64"/>
  <c r="Y190" i="64"/>
  <c r="Y188" i="64"/>
  <c r="Y183" i="64"/>
  <c r="Y180" i="64"/>
  <c r="Y182" i="64"/>
  <c r="F201" i="64"/>
  <c r="F195" i="64"/>
  <c r="F194" i="64"/>
  <c r="F192" i="64"/>
  <c r="F199" i="64"/>
  <c r="F198" i="64"/>
  <c r="F191" i="64"/>
  <c r="F196" i="64"/>
  <c r="F193" i="64"/>
  <c r="F197" i="64"/>
  <c r="F200" i="64"/>
  <c r="D191" i="64"/>
  <c r="D198" i="64"/>
  <c r="D195" i="64"/>
  <c r="D200" i="64"/>
  <c r="D193" i="64"/>
  <c r="D201" i="64"/>
  <c r="D196" i="64"/>
  <c r="D197" i="64"/>
  <c r="D194" i="64"/>
  <c r="D192" i="64"/>
  <c r="D199" i="64"/>
  <c r="E191" i="64"/>
  <c r="E201" i="64"/>
  <c r="E196" i="64"/>
  <c r="E195" i="64"/>
  <c r="E199" i="64"/>
  <c r="E192" i="64"/>
  <c r="O31" i="53"/>
  <c r="E198" i="64"/>
  <c r="E193" i="64"/>
  <c r="E200" i="64"/>
  <c r="E194" i="64"/>
  <c r="E197" i="64"/>
  <c r="O50" i="66"/>
  <c r="U1" i="63"/>
  <c r="V43" i="63" s="1"/>
  <c r="B13" i="63"/>
  <c r="C16" i="63" s="1"/>
  <c r="O59" i="53" l="1"/>
  <c r="G194" i="64"/>
  <c r="J194" i="64" s="1"/>
  <c r="G200" i="64"/>
  <c r="J200" i="64" s="1"/>
  <c r="G199" i="64"/>
  <c r="J199" i="64" s="1"/>
  <c r="G196" i="64"/>
  <c r="J196" i="64" s="1"/>
  <c r="G193" i="64"/>
  <c r="J193" i="64" s="1"/>
  <c r="G198" i="64"/>
  <c r="J198" i="64" s="1"/>
  <c r="G197" i="64"/>
  <c r="J197" i="64" s="1"/>
  <c r="G195" i="64"/>
  <c r="J195" i="64" s="1"/>
  <c r="G192" i="64"/>
  <c r="J192" i="64" s="1"/>
  <c r="G191" i="64"/>
  <c r="J191" i="64" s="1"/>
  <c r="G201" i="64"/>
  <c r="J201" i="64" s="1"/>
  <c r="N50" i="66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X197" i="64" l="1"/>
  <c r="X194" i="64"/>
  <c r="X191" i="64"/>
  <c r="X192" i="64"/>
  <c r="X196" i="64"/>
  <c r="X200" i="64"/>
  <c r="X193" i="64"/>
  <c r="X198" i="64"/>
  <c r="X201" i="64"/>
  <c r="X199" i="64"/>
  <c r="X195" i="64"/>
  <c r="N59" i="53"/>
  <c r="H194" i="64"/>
  <c r="K194" i="64" s="1"/>
  <c r="H195" i="64"/>
  <c r="K195" i="64" s="1"/>
  <c r="H200" i="64"/>
  <c r="K200" i="64" s="1"/>
  <c r="H193" i="64"/>
  <c r="K193" i="64" s="1"/>
  <c r="H198" i="64"/>
  <c r="K198" i="64" s="1"/>
  <c r="H191" i="64"/>
  <c r="K191" i="64" s="1"/>
  <c r="H199" i="64"/>
  <c r="K199" i="64" s="1"/>
  <c r="H201" i="64"/>
  <c r="K201" i="64" s="1"/>
  <c r="H196" i="64"/>
  <c r="K196" i="64" s="1"/>
  <c r="H197" i="64"/>
  <c r="K197" i="64" s="1"/>
  <c r="H192" i="64"/>
  <c r="K192" i="64" s="1"/>
  <c r="I191" i="64"/>
  <c r="L191" i="64" s="1"/>
  <c r="I200" i="64"/>
  <c r="L200" i="64" s="1"/>
  <c r="I196" i="64"/>
  <c r="L196" i="64" s="1"/>
  <c r="I201" i="64"/>
  <c r="L201" i="64" s="1"/>
  <c r="I193" i="64"/>
  <c r="L193" i="64" s="1"/>
  <c r="I192" i="64"/>
  <c r="L192" i="64" s="1"/>
  <c r="I199" i="64"/>
  <c r="L199" i="64" s="1"/>
  <c r="I195" i="64"/>
  <c r="L195" i="64" s="1"/>
  <c r="I197" i="64"/>
  <c r="L197" i="64" s="1"/>
  <c r="I194" i="64"/>
  <c r="L194" i="64" s="1"/>
  <c r="I198" i="64"/>
  <c r="L198" i="64" s="1"/>
  <c r="O23" i="66"/>
  <c r="W771" i="63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Y198" i="64" l="1"/>
  <c r="Y194" i="64"/>
  <c r="Y193" i="64"/>
  <c r="Y191" i="64"/>
  <c r="Y197" i="64"/>
  <c r="Y192" i="64"/>
  <c r="Y201" i="64"/>
  <c r="Y196" i="64"/>
  <c r="Y199" i="64"/>
  <c r="Y195" i="64"/>
  <c r="Y200" i="64"/>
  <c r="Z200" i="64"/>
  <c r="Z201" i="64"/>
  <c r="Z199" i="64"/>
  <c r="Z195" i="64"/>
  <c r="Z198" i="64"/>
  <c r="Z191" i="64"/>
  <c r="Z197" i="64"/>
  <c r="Z192" i="64"/>
  <c r="Z194" i="64"/>
  <c r="Z193" i="64"/>
  <c r="Z196" i="64"/>
  <c r="E203" i="64"/>
  <c r="E212" i="64"/>
  <c r="E204" i="64"/>
  <c r="E208" i="64"/>
  <c r="E211" i="64"/>
  <c r="E207" i="64"/>
  <c r="E206" i="64"/>
  <c r="E202" i="64"/>
  <c r="E209" i="64"/>
  <c r="O32" i="53"/>
  <c r="E205" i="64"/>
  <c r="E210" i="64"/>
  <c r="F203" i="64"/>
  <c r="F212" i="64"/>
  <c r="F205" i="64"/>
  <c r="F206" i="64"/>
  <c r="F209" i="64"/>
  <c r="F207" i="64"/>
  <c r="F202" i="64"/>
  <c r="F208" i="64"/>
  <c r="F211" i="64"/>
  <c r="F204" i="64"/>
  <c r="F210" i="64"/>
  <c r="D203" i="64"/>
  <c r="D202" i="64"/>
  <c r="D210" i="64"/>
  <c r="D209" i="64"/>
  <c r="D204" i="64"/>
  <c r="D205" i="64"/>
  <c r="D207" i="64"/>
  <c r="D208" i="64"/>
  <c r="D206" i="64"/>
  <c r="D211" i="64"/>
  <c r="D212" i="64"/>
  <c r="O51" i="66"/>
  <c r="N51" i="66"/>
  <c r="F8" i="53"/>
  <c r="F7" i="53"/>
  <c r="G209" i="64" l="1"/>
  <c r="J209" i="64" s="1"/>
  <c r="G202" i="64"/>
  <c r="J202" i="64" s="1"/>
  <c r="G211" i="64"/>
  <c r="J211" i="64" s="1"/>
  <c r="G204" i="64"/>
  <c r="J204" i="64" s="1"/>
  <c r="G205" i="64"/>
  <c r="J205" i="64" s="1"/>
  <c r="G206" i="64"/>
  <c r="J206" i="64" s="1"/>
  <c r="G203" i="64"/>
  <c r="J203" i="64" s="1"/>
  <c r="G212" i="64"/>
  <c r="J212" i="64" s="1"/>
  <c r="G208" i="64"/>
  <c r="J208" i="64" s="1"/>
  <c r="G210" i="64"/>
  <c r="J210" i="64" s="1"/>
  <c r="G207" i="64"/>
  <c r="J207" i="64" s="1"/>
  <c r="O60" i="53"/>
  <c r="O24" i="66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5" i="54"/>
  <c r="X205" i="64" l="1"/>
  <c r="X206" i="64"/>
  <c r="X209" i="64"/>
  <c r="X210" i="64"/>
  <c r="X202" i="64"/>
  <c r="X204" i="64"/>
  <c r="X207" i="64"/>
  <c r="X212" i="64"/>
  <c r="X208" i="64"/>
  <c r="X211" i="64"/>
  <c r="X203" i="64"/>
  <c r="H209" i="64"/>
  <c r="K209" i="64" s="1"/>
  <c r="H208" i="64"/>
  <c r="K208" i="64" s="1"/>
  <c r="H202" i="64"/>
  <c r="K202" i="64" s="1"/>
  <c r="H212" i="64"/>
  <c r="K212" i="64" s="1"/>
  <c r="H206" i="64"/>
  <c r="K206" i="64" s="1"/>
  <c r="H204" i="64"/>
  <c r="K204" i="64" s="1"/>
  <c r="H203" i="64"/>
  <c r="K203" i="64" s="1"/>
  <c r="H211" i="64"/>
  <c r="K211" i="64" s="1"/>
  <c r="H205" i="64"/>
  <c r="K205" i="64" s="1"/>
  <c r="H207" i="64"/>
  <c r="K207" i="64" s="1"/>
  <c r="H210" i="64"/>
  <c r="K210" i="64" s="1"/>
  <c r="N60" i="53"/>
  <c r="I211" i="64"/>
  <c r="L211" i="64" s="1"/>
  <c r="I203" i="64"/>
  <c r="L203" i="64" s="1"/>
  <c r="I210" i="64"/>
  <c r="L210" i="64" s="1"/>
  <c r="I207" i="64"/>
  <c r="L207" i="64" s="1"/>
  <c r="I204" i="64"/>
  <c r="L204" i="64" s="1"/>
  <c r="I205" i="64"/>
  <c r="L205" i="64" s="1"/>
  <c r="I202" i="64"/>
  <c r="L202" i="64" s="1"/>
  <c r="I212" i="64"/>
  <c r="L212" i="64" s="1"/>
  <c r="I208" i="64"/>
  <c r="L208" i="64" s="1"/>
  <c r="I206" i="64"/>
  <c r="L206" i="64" s="1"/>
  <c r="I209" i="64"/>
  <c r="L209" i="64" s="1"/>
  <c r="O52" i="66"/>
  <c r="H8" i="64"/>
  <c r="H13" i="64"/>
  <c r="H9" i="64"/>
  <c r="H18" i="64"/>
  <c r="H16" i="64"/>
  <c r="H10" i="64"/>
  <c r="H19" i="64"/>
  <c r="H15" i="64"/>
  <c r="H5" i="64"/>
  <c r="H6" i="64"/>
  <c r="H12" i="64"/>
  <c r="H11" i="64"/>
  <c r="H14" i="64"/>
  <c r="H7" i="64"/>
  <c r="H17" i="64"/>
  <c r="F21" i="54"/>
  <c r="F25" i="54"/>
  <c r="F29" i="54"/>
  <c r="F33" i="54"/>
  <c r="F37" i="54"/>
  <c r="F41" i="54"/>
  <c r="F32" i="54"/>
  <c r="F40" i="54"/>
  <c r="F42" i="54"/>
  <c r="F22" i="54"/>
  <c r="F26" i="54"/>
  <c r="F30" i="54"/>
  <c r="F34" i="54"/>
  <c r="F38" i="54"/>
  <c r="F20" i="54"/>
  <c r="F23" i="54"/>
  <c r="F27" i="54"/>
  <c r="F31" i="54"/>
  <c r="F39" i="54"/>
  <c r="F28" i="54"/>
  <c r="F35" i="54"/>
  <c r="F24" i="54"/>
  <c r="F36" i="54"/>
  <c r="F6" i="54"/>
  <c r="F17" i="54"/>
  <c r="F9" i="54"/>
  <c r="F16" i="54"/>
  <c r="F8" i="54"/>
  <c r="F19" i="54"/>
  <c r="F15" i="54"/>
  <c r="F11" i="54"/>
  <c r="F7" i="54"/>
  <c r="F5" i="54"/>
  <c r="F13" i="54"/>
  <c r="F12" i="54"/>
  <c r="F18" i="54"/>
  <c r="F14" i="54"/>
  <c r="F10" i="54"/>
  <c r="Z202" i="64" l="1"/>
  <c r="Z209" i="64"/>
  <c r="Z203" i="64"/>
  <c r="Z205" i="64"/>
  <c r="Z212" i="64"/>
  <c r="Z210" i="64"/>
  <c r="Z208" i="64"/>
  <c r="Z211" i="64"/>
  <c r="Z207" i="64"/>
  <c r="Z206" i="64"/>
  <c r="Z204" i="64"/>
  <c r="Y206" i="64"/>
  <c r="Y212" i="64"/>
  <c r="Y208" i="64"/>
  <c r="Y204" i="64"/>
  <c r="Y207" i="64"/>
  <c r="Y202" i="64"/>
  <c r="Y203" i="64"/>
  <c r="Y211" i="64"/>
  <c r="Y205" i="64"/>
  <c r="Y210" i="64"/>
  <c r="Y209" i="64"/>
  <c r="D217" i="64"/>
  <c r="D219" i="64"/>
  <c r="D222" i="64"/>
  <c r="D215" i="64"/>
  <c r="D218" i="64"/>
  <c r="D216" i="64"/>
  <c r="D214" i="64"/>
  <c r="D223" i="64"/>
  <c r="D213" i="64"/>
  <c r="D221" i="64"/>
  <c r="D220" i="64"/>
  <c r="F215" i="64"/>
  <c r="F220" i="64"/>
  <c r="F213" i="64"/>
  <c r="F217" i="64"/>
  <c r="F219" i="64"/>
  <c r="F214" i="64"/>
  <c r="F216" i="64"/>
  <c r="F221" i="64"/>
  <c r="F223" i="64"/>
  <c r="F218" i="64"/>
  <c r="F222" i="64"/>
  <c r="O33" i="53"/>
  <c r="E213" i="64"/>
  <c r="E214" i="64"/>
  <c r="E216" i="64"/>
  <c r="E219" i="64"/>
  <c r="E217" i="64"/>
  <c r="E222" i="64"/>
  <c r="E223" i="64"/>
  <c r="E215" i="64"/>
  <c r="E221" i="64"/>
  <c r="E218" i="64"/>
  <c r="E220" i="64"/>
  <c r="N52" i="66"/>
  <c r="L782" i="54"/>
  <c r="M782" i="54" s="1"/>
  <c r="L785" i="54"/>
  <c r="M785" i="54" s="1"/>
  <c r="L788" i="54"/>
  <c r="M788" i="54" s="1"/>
  <c r="L790" i="54"/>
  <c r="M790" i="54" s="1"/>
  <c r="L791" i="54"/>
  <c r="M791" i="54" s="1"/>
  <c r="L793" i="54"/>
  <c r="M793" i="54" s="1"/>
  <c r="L796" i="54"/>
  <c r="M796" i="54" s="1"/>
  <c r="L798" i="54"/>
  <c r="M798" i="54" s="1"/>
  <c r="L799" i="54"/>
  <c r="M799" i="54" s="1"/>
  <c r="L801" i="54"/>
  <c r="M801" i="54" s="1"/>
  <c r="L765" i="54"/>
  <c r="M765" i="54" s="1"/>
  <c r="L775" i="54"/>
  <c r="M775" i="54" s="1"/>
  <c r="L784" i="54"/>
  <c r="M784" i="54" s="1"/>
  <c r="L768" i="54"/>
  <c r="M768" i="54" s="1"/>
  <c r="L770" i="54"/>
  <c r="M770" i="54" s="1"/>
  <c r="L771" i="54"/>
  <c r="M771" i="54" s="1"/>
  <c r="L773" i="54"/>
  <c r="M773" i="54" s="1"/>
  <c r="L778" i="54"/>
  <c r="M778" i="54" s="1"/>
  <c r="L786" i="54"/>
  <c r="M786" i="54" s="1"/>
  <c r="L787" i="54"/>
  <c r="M787" i="54" s="1"/>
  <c r="L789" i="54"/>
  <c r="M789" i="54" s="1"/>
  <c r="L792" i="54"/>
  <c r="M792" i="54" s="1"/>
  <c r="L794" i="54"/>
  <c r="M794" i="54" s="1"/>
  <c r="L795" i="54"/>
  <c r="M795" i="54" s="1"/>
  <c r="L797" i="54"/>
  <c r="M797" i="54" s="1"/>
  <c r="L800" i="54"/>
  <c r="M800" i="54" s="1"/>
  <c r="L764" i="54"/>
  <c r="M764" i="54" s="1"/>
  <c r="L769" i="54"/>
  <c r="M769" i="54" s="1"/>
  <c r="L777" i="54"/>
  <c r="M777" i="54" s="1"/>
  <c r="L783" i="54"/>
  <c r="M783" i="54" s="1"/>
  <c r="L766" i="54"/>
  <c r="M766" i="54" s="1"/>
  <c r="L767" i="54"/>
  <c r="M767" i="54" s="1"/>
  <c r="L772" i="54"/>
  <c r="M772" i="54" s="1"/>
  <c r="L774" i="54"/>
  <c r="M774" i="54" s="1"/>
  <c r="L776" i="54"/>
  <c r="M776" i="54" s="1"/>
  <c r="L780" i="54"/>
  <c r="M780" i="54" s="1"/>
  <c r="L781" i="54"/>
  <c r="M781" i="54" s="1"/>
  <c r="L779" i="54"/>
  <c r="M779" i="54" s="1"/>
  <c r="L4" i="54"/>
  <c r="M4" i="54" s="1"/>
  <c r="L760" i="54"/>
  <c r="M760" i="54" s="1"/>
  <c r="L761" i="54"/>
  <c r="M761" i="54" s="1"/>
  <c r="L762" i="54"/>
  <c r="M762" i="54" s="1"/>
  <c r="L763" i="54"/>
  <c r="M763" i="54" s="1"/>
  <c r="L745" i="54"/>
  <c r="M745" i="54" s="1"/>
  <c r="L750" i="54"/>
  <c r="M750" i="54" s="1"/>
  <c r="L751" i="54"/>
  <c r="M751" i="54" s="1"/>
  <c r="L754" i="54"/>
  <c r="M754" i="54" s="1"/>
  <c r="L755" i="54"/>
  <c r="M755" i="54" s="1"/>
  <c r="L758" i="54"/>
  <c r="M758" i="54" s="1"/>
  <c r="L759" i="54"/>
  <c r="M759" i="54" s="1"/>
  <c r="L748" i="54"/>
  <c r="M748" i="54" s="1"/>
  <c r="L749" i="54"/>
  <c r="M749" i="54" s="1"/>
  <c r="L752" i="54"/>
  <c r="M752" i="54" s="1"/>
  <c r="L753" i="54"/>
  <c r="M753" i="54" s="1"/>
  <c r="L756" i="54"/>
  <c r="M756" i="54" s="1"/>
  <c r="L757" i="54"/>
  <c r="M757" i="54" s="1"/>
  <c r="L746" i="54"/>
  <c r="M746" i="54" s="1"/>
  <c r="L747" i="54"/>
  <c r="M747" i="54" s="1"/>
  <c r="L5" i="54"/>
  <c r="M5" i="54" s="1"/>
  <c r="L9" i="54"/>
  <c r="M9" i="54" s="1"/>
  <c r="L13" i="54"/>
  <c r="M13" i="54" s="1"/>
  <c r="L17" i="54"/>
  <c r="M17" i="54" s="1"/>
  <c r="L21" i="54"/>
  <c r="M21" i="54" s="1"/>
  <c r="L25" i="54"/>
  <c r="M25" i="54" s="1"/>
  <c r="L29" i="54"/>
  <c r="M29" i="54" s="1"/>
  <c r="L33" i="54"/>
  <c r="M33" i="54" s="1"/>
  <c r="L37" i="54"/>
  <c r="M37" i="54" s="1"/>
  <c r="L41" i="54"/>
  <c r="M41" i="54" s="1"/>
  <c r="L45" i="54"/>
  <c r="M45" i="54" s="1"/>
  <c r="L49" i="54"/>
  <c r="M49" i="54" s="1"/>
  <c r="L53" i="54"/>
  <c r="M53" i="54" s="1"/>
  <c r="L57" i="54"/>
  <c r="M57" i="54" s="1"/>
  <c r="L61" i="54"/>
  <c r="M61" i="54" s="1"/>
  <c r="L65" i="54"/>
  <c r="M65" i="54" s="1"/>
  <c r="L69" i="54"/>
  <c r="M69" i="54" s="1"/>
  <c r="L73" i="54"/>
  <c r="M73" i="54" s="1"/>
  <c r="L77" i="54"/>
  <c r="M77" i="54" s="1"/>
  <c r="L81" i="54"/>
  <c r="M81" i="54" s="1"/>
  <c r="L85" i="54"/>
  <c r="M85" i="54" s="1"/>
  <c r="L89" i="54"/>
  <c r="M89" i="54" s="1"/>
  <c r="L93" i="54"/>
  <c r="M93" i="54" s="1"/>
  <c r="L97" i="54"/>
  <c r="M97" i="54" s="1"/>
  <c r="L101" i="54"/>
  <c r="M101" i="54" s="1"/>
  <c r="L105" i="54"/>
  <c r="M105" i="54" s="1"/>
  <c r="L109" i="54"/>
  <c r="M109" i="54" s="1"/>
  <c r="L113" i="54"/>
  <c r="M113" i="54" s="1"/>
  <c r="L117" i="54"/>
  <c r="M117" i="54" s="1"/>
  <c r="L121" i="54"/>
  <c r="M121" i="54" s="1"/>
  <c r="L125" i="54"/>
  <c r="M125" i="54" s="1"/>
  <c r="L129" i="54"/>
  <c r="M129" i="54" s="1"/>
  <c r="L133" i="54"/>
  <c r="M133" i="54" s="1"/>
  <c r="L137" i="54"/>
  <c r="M137" i="54" s="1"/>
  <c r="L141" i="54"/>
  <c r="M141" i="54" s="1"/>
  <c r="L145" i="54"/>
  <c r="M145" i="54" s="1"/>
  <c r="L149" i="54"/>
  <c r="M149" i="54" s="1"/>
  <c r="L153" i="54"/>
  <c r="M153" i="54" s="1"/>
  <c r="L157" i="54"/>
  <c r="M157" i="54" s="1"/>
  <c r="L161" i="54"/>
  <c r="M161" i="54" s="1"/>
  <c r="L165" i="54"/>
  <c r="M165" i="54" s="1"/>
  <c r="L169" i="54"/>
  <c r="M169" i="54" s="1"/>
  <c r="L173" i="54"/>
  <c r="M173" i="54" s="1"/>
  <c r="L177" i="54"/>
  <c r="M177" i="54" s="1"/>
  <c r="L181" i="54"/>
  <c r="M181" i="54" s="1"/>
  <c r="L185" i="54"/>
  <c r="M185" i="54" s="1"/>
  <c r="L189" i="54"/>
  <c r="M189" i="54" s="1"/>
  <c r="L193" i="54"/>
  <c r="M193" i="54" s="1"/>
  <c r="L197" i="54"/>
  <c r="M197" i="54" s="1"/>
  <c r="L201" i="54"/>
  <c r="M201" i="54" s="1"/>
  <c r="L205" i="54"/>
  <c r="M205" i="54" s="1"/>
  <c r="L209" i="54"/>
  <c r="M209" i="54" s="1"/>
  <c r="L213" i="54"/>
  <c r="M213" i="54" s="1"/>
  <c r="L217" i="54"/>
  <c r="M217" i="54" s="1"/>
  <c r="L221" i="54"/>
  <c r="M221" i="54" s="1"/>
  <c r="L225" i="54"/>
  <c r="M225" i="54" s="1"/>
  <c r="L229" i="54"/>
  <c r="M229" i="54" s="1"/>
  <c r="L233" i="54"/>
  <c r="M233" i="54" s="1"/>
  <c r="L237" i="54"/>
  <c r="M237" i="54" s="1"/>
  <c r="L241" i="54"/>
  <c r="M241" i="54" s="1"/>
  <c r="L6" i="54"/>
  <c r="M6" i="54" s="1"/>
  <c r="L10" i="54"/>
  <c r="M10" i="54" s="1"/>
  <c r="L14" i="54"/>
  <c r="M14" i="54" s="1"/>
  <c r="L18" i="54"/>
  <c r="M18" i="54" s="1"/>
  <c r="L22" i="54"/>
  <c r="M22" i="54" s="1"/>
  <c r="L26" i="54"/>
  <c r="M26" i="54" s="1"/>
  <c r="L30" i="54"/>
  <c r="M30" i="54" s="1"/>
  <c r="L34" i="54"/>
  <c r="M34" i="54" s="1"/>
  <c r="L38" i="54"/>
  <c r="M38" i="54" s="1"/>
  <c r="L42" i="54"/>
  <c r="M42" i="54" s="1"/>
  <c r="L46" i="54"/>
  <c r="M46" i="54" s="1"/>
  <c r="L50" i="54"/>
  <c r="M50" i="54" s="1"/>
  <c r="L54" i="54"/>
  <c r="M54" i="54" s="1"/>
  <c r="L58" i="54"/>
  <c r="M58" i="54" s="1"/>
  <c r="L62" i="54"/>
  <c r="M62" i="54" s="1"/>
  <c r="L66" i="54"/>
  <c r="M66" i="54" s="1"/>
  <c r="L70" i="54"/>
  <c r="M70" i="54" s="1"/>
  <c r="L74" i="54"/>
  <c r="M74" i="54" s="1"/>
  <c r="L78" i="54"/>
  <c r="M78" i="54" s="1"/>
  <c r="L82" i="54"/>
  <c r="M82" i="54" s="1"/>
  <c r="L86" i="54"/>
  <c r="M86" i="54" s="1"/>
  <c r="L90" i="54"/>
  <c r="M90" i="54" s="1"/>
  <c r="L94" i="54"/>
  <c r="M94" i="54" s="1"/>
  <c r="L98" i="54"/>
  <c r="M98" i="54" s="1"/>
  <c r="L102" i="54"/>
  <c r="M102" i="54" s="1"/>
  <c r="L106" i="54"/>
  <c r="M106" i="54" s="1"/>
  <c r="L110" i="54"/>
  <c r="M110" i="54" s="1"/>
  <c r="L114" i="54"/>
  <c r="M114" i="54" s="1"/>
  <c r="L118" i="54"/>
  <c r="M118" i="54" s="1"/>
  <c r="L122" i="54"/>
  <c r="M122" i="54" s="1"/>
  <c r="L126" i="54"/>
  <c r="M126" i="54" s="1"/>
  <c r="L130" i="54"/>
  <c r="M130" i="54" s="1"/>
  <c r="L134" i="54"/>
  <c r="M134" i="54" s="1"/>
  <c r="L138" i="54"/>
  <c r="M138" i="54" s="1"/>
  <c r="L142" i="54"/>
  <c r="M142" i="54" s="1"/>
  <c r="L146" i="54"/>
  <c r="M146" i="54" s="1"/>
  <c r="L150" i="54"/>
  <c r="M150" i="54" s="1"/>
  <c r="L154" i="54"/>
  <c r="M154" i="54" s="1"/>
  <c r="L158" i="54"/>
  <c r="M158" i="54" s="1"/>
  <c r="L162" i="54"/>
  <c r="M162" i="54" s="1"/>
  <c r="L166" i="54"/>
  <c r="M166" i="54" s="1"/>
  <c r="L170" i="54"/>
  <c r="M170" i="54" s="1"/>
  <c r="L174" i="54"/>
  <c r="M174" i="54" s="1"/>
  <c r="L178" i="54"/>
  <c r="M178" i="54" s="1"/>
  <c r="L182" i="54"/>
  <c r="M182" i="54" s="1"/>
  <c r="L186" i="54"/>
  <c r="M186" i="54" s="1"/>
  <c r="L190" i="54"/>
  <c r="M190" i="54" s="1"/>
  <c r="L194" i="54"/>
  <c r="M194" i="54" s="1"/>
  <c r="L198" i="54"/>
  <c r="M198" i="54" s="1"/>
  <c r="L202" i="54"/>
  <c r="M202" i="54" s="1"/>
  <c r="L206" i="54"/>
  <c r="M206" i="54" s="1"/>
  <c r="L210" i="54"/>
  <c r="M210" i="54" s="1"/>
  <c r="L214" i="54"/>
  <c r="M214" i="54" s="1"/>
  <c r="L218" i="54"/>
  <c r="M218" i="54" s="1"/>
  <c r="L12" i="54"/>
  <c r="M12" i="54" s="1"/>
  <c r="L20" i="54"/>
  <c r="M20" i="54" s="1"/>
  <c r="L28" i="54"/>
  <c r="M28" i="54" s="1"/>
  <c r="L36" i="54"/>
  <c r="M36" i="54" s="1"/>
  <c r="L44" i="54"/>
  <c r="M44" i="54" s="1"/>
  <c r="L52" i="54"/>
  <c r="M52" i="54" s="1"/>
  <c r="L60" i="54"/>
  <c r="M60" i="54" s="1"/>
  <c r="L68" i="54"/>
  <c r="M68" i="54" s="1"/>
  <c r="L76" i="54"/>
  <c r="M76" i="54" s="1"/>
  <c r="L84" i="54"/>
  <c r="M84" i="54" s="1"/>
  <c r="L92" i="54"/>
  <c r="M92" i="54" s="1"/>
  <c r="L100" i="54"/>
  <c r="M100" i="54" s="1"/>
  <c r="L108" i="54"/>
  <c r="M108" i="54" s="1"/>
  <c r="L116" i="54"/>
  <c r="M116" i="54" s="1"/>
  <c r="L124" i="54"/>
  <c r="M124" i="54" s="1"/>
  <c r="L132" i="54"/>
  <c r="M132" i="54" s="1"/>
  <c r="L140" i="54"/>
  <c r="M140" i="54" s="1"/>
  <c r="L148" i="54"/>
  <c r="M148" i="54" s="1"/>
  <c r="L156" i="54"/>
  <c r="M156" i="54" s="1"/>
  <c r="L164" i="54"/>
  <c r="M164" i="54" s="1"/>
  <c r="L172" i="54"/>
  <c r="M172" i="54" s="1"/>
  <c r="L180" i="54"/>
  <c r="M180" i="54" s="1"/>
  <c r="L188" i="54"/>
  <c r="M188" i="54" s="1"/>
  <c r="L196" i="54"/>
  <c r="M196" i="54" s="1"/>
  <c r="L204" i="54"/>
  <c r="M204" i="54" s="1"/>
  <c r="L212" i="54"/>
  <c r="M212" i="54" s="1"/>
  <c r="L220" i="54"/>
  <c r="M220" i="54" s="1"/>
  <c r="L226" i="54"/>
  <c r="M226" i="54" s="1"/>
  <c r="L231" i="54"/>
  <c r="M231" i="54" s="1"/>
  <c r="L236" i="54"/>
  <c r="M236" i="54" s="1"/>
  <c r="L242" i="54"/>
  <c r="M242" i="54" s="1"/>
  <c r="L246" i="54"/>
  <c r="M246" i="54" s="1"/>
  <c r="L250" i="54"/>
  <c r="M250" i="54" s="1"/>
  <c r="L254" i="54"/>
  <c r="M254" i="54" s="1"/>
  <c r="L258" i="54"/>
  <c r="M258" i="54" s="1"/>
  <c r="L262" i="54"/>
  <c r="M262" i="54" s="1"/>
  <c r="L266" i="54"/>
  <c r="M266" i="54" s="1"/>
  <c r="L270" i="54"/>
  <c r="M270" i="54" s="1"/>
  <c r="L274" i="54"/>
  <c r="M274" i="54" s="1"/>
  <c r="L278" i="54"/>
  <c r="M278" i="54" s="1"/>
  <c r="L282" i="54"/>
  <c r="M282" i="54" s="1"/>
  <c r="L286" i="54"/>
  <c r="M286" i="54" s="1"/>
  <c r="L290" i="54"/>
  <c r="M290" i="54" s="1"/>
  <c r="L294" i="54"/>
  <c r="M294" i="54" s="1"/>
  <c r="L298" i="54"/>
  <c r="M298" i="54" s="1"/>
  <c r="L302" i="54"/>
  <c r="M302" i="54" s="1"/>
  <c r="L306" i="54"/>
  <c r="M306" i="54" s="1"/>
  <c r="L310" i="54"/>
  <c r="M310" i="54" s="1"/>
  <c r="L314" i="54"/>
  <c r="M314" i="54" s="1"/>
  <c r="L318" i="54"/>
  <c r="M318" i="54" s="1"/>
  <c r="L322" i="54"/>
  <c r="M322" i="54" s="1"/>
  <c r="L326" i="54"/>
  <c r="M326" i="54" s="1"/>
  <c r="L330" i="54"/>
  <c r="M330" i="54" s="1"/>
  <c r="L334" i="54"/>
  <c r="M334" i="54" s="1"/>
  <c r="L338" i="54"/>
  <c r="M338" i="54" s="1"/>
  <c r="L342" i="54"/>
  <c r="M342" i="54" s="1"/>
  <c r="L346" i="54"/>
  <c r="M346" i="54" s="1"/>
  <c r="L350" i="54"/>
  <c r="M350" i="54" s="1"/>
  <c r="L354" i="54"/>
  <c r="M354" i="54" s="1"/>
  <c r="L358" i="54"/>
  <c r="M358" i="54" s="1"/>
  <c r="L362" i="54"/>
  <c r="M362" i="54" s="1"/>
  <c r="L366" i="54"/>
  <c r="M366" i="54" s="1"/>
  <c r="L370" i="54"/>
  <c r="M370" i="54" s="1"/>
  <c r="L374" i="54"/>
  <c r="M374" i="54" s="1"/>
  <c r="L378" i="54"/>
  <c r="M378" i="54" s="1"/>
  <c r="L382" i="54"/>
  <c r="M382" i="54" s="1"/>
  <c r="L386" i="54"/>
  <c r="M386" i="54" s="1"/>
  <c r="L390" i="54"/>
  <c r="M390" i="54" s="1"/>
  <c r="L394" i="54"/>
  <c r="M394" i="54" s="1"/>
  <c r="L398" i="54"/>
  <c r="M398" i="54" s="1"/>
  <c r="L402" i="54"/>
  <c r="M402" i="54" s="1"/>
  <c r="L406" i="54"/>
  <c r="M406" i="54" s="1"/>
  <c r="L410" i="54"/>
  <c r="M410" i="54" s="1"/>
  <c r="L414" i="54"/>
  <c r="M414" i="54" s="1"/>
  <c r="L418" i="54"/>
  <c r="M418" i="54" s="1"/>
  <c r="L422" i="54"/>
  <c r="M422" i="54" s="1"/>
  <c r="L426" i="54"/>
  <c r="M426" i="54" s="1"/>
  <c r="L430" i="54"/>
  <c r="M430" i="54" s="1"/>
  <c r="L434" i="54"/>
  <c r="M434" i="54" s="1"/>
  <c r="L438" i="54"/>
  <c r="M438" i="54" s="1"/>
  <c r="L442" i="54"/>
  <c r="M442" i="54" s="1"/>
  <c r="L446" i="54"/>
  <c r="M446" i="54" s="1"/>
  <c r="L450" i="54"/>
  <c r="M450" i="54" s="1"/>
  <c r="L454" i="54"/>
  <c r="M454" i="54" s="1"/>
  <c r="L458" i="54"/>
  <c r="M458" i="54" s="1"/>
  <c r="L462" i="54"/>
  <c r="M462" i="54" s="1"/>
  <c r="L466" i="54"/>
  <c r="M466" i="54" s="1"/>
  <c r="L470" i="54"/>
  <c r="M470" i="54" s="1"/>
  <c r="L474" i="54"/>
  <c r="M474" i="54" s="1"/>
  <c r="L478" i="54"/>
  <c r="M478" i="54" s="1"/>
  <c r="L482" i="54"/>
  <c r="M482" i="54" s="1"/>
  <c r="L486" i="54"/>
  <c r="M486" i="54" s="1"/>
  <c r="L490" i="54"/>
  <c r="M490" i="54" s="1"/>
  <c r="L494" i="54"/>
  <c r="M494" i="54" s="1"/>
  <c r="L498" i="54"/>
  <c r="M498" i="54" s="1"/>
  <c r="L502" i="54"/>
  <c r="M502" i="54" s="1"/>
  <c r="L506" i="54"/>
  <c r="M506" i="54" s="1"/>
  <c r="L510" i="54"/>
  <c r="M510" i="54" s="1"/>
  <c r="L514" i="54"/>
  <c r="M514" i="54" s="1"/>
  <c r="L518" i="54"/>
  <c r="M518" i="54" s="1"/>
  <c r="L522" i="54"/>
  <c r="M522" i="54" s="1"/>
  <c r="L526" i="54"/>
  <c r="M526" i="54" s="1"/>
  <c r="L530" i="54"/>
  <c r="M530" i="54" s="1"/>
  <c r="L534" i="54"/>
  <c r="M534" i="54" s="1"/>
  <c r="L538" i="54"/>
  <c r="M538" i="54" s="1"/>
  <c r="L542" i="54"/>
  <c r="M542" i="54" s="1"/>
  <c r="L546" i="54"/>
  <c r="M546" i="54" s="1"/>
  <c r="L550" i="54"/>
  <c r="M550" i="54" s="1"/>
  <c r="L554" i="54"/>
  <c r="M554" i="54" s="1"/>
  <c r="L558" i="54"/>
  <c r="M558" i="54" s="1"/>
  <c r="L562" i="54"/>
  <c r="M562" i="54" s="1"/>
  <c r="L566" i="54"/>
  <c r="M566" i="54" s="1"/>
  <c r="L570" i="54"/>
  <c r="M570" i="54" s="1"/>
  <c r="L574" i="54"/>
  <c r="M574" i="54" s="1"/>
  <c r="L578" i="54"/>
  <c r="M578" i="54" s="1"/>
  <c r="L582" i="54"/>
  <c r="M582" i="54" s="1"/>
  <c r="L586" i="54"/>
  <c r="M586" i="54" s="1"/>
  <c r="L590" i="54"/>
  <c r="M590" i="54" s="1"/>
  <c r="L594" i="54"/>
  <c r="M594" i="54" s="1"/>
  <c r="L598" i="54"/>
  <c r="M598" i="54" s="1"/>
  <c r="L602" i="54"/>
  <c r="M602" i="54" s="1"/>
  <c r="L606" i="54"/>
  <c r="M606" i="54" s="1"/>
  <c r="L610" i="54"/>
  <c r="M610" i="54" s="1"/>
  <c r="L614" i="54"/>
  <c r="M614" i="54" s="1"/>
  <c r="L618" i="54"/>
  <c r="M618" i="54" s="1"/>
  <c r="L622" i="54"/>
  <c r="M622" i="54" s="1"/>
  <c r="L626" i="54"/>
  <c r="M626" i="54" s="1"/>
  <c r="L630" i="54"/>
  <c r="M630" i="54" s="1"/>
  <c r="L634" i="54"/>
  <c r="M634" i="54" s="1"/>
  <c r="L638" i="54"/>
  <c r="M638" i="54" s="1"/>
  <c r="L642" i="54"/>
  <c r="M642" i="54" s="1"/>
  <c r="L646" i="54"/>
  <c r="M646" i="54" s="1"/>
  <c r="L650" i="54"/>
  <c r="M650" i="54" s="1"/>
  <c r="L654" i="54"/>
  <c r="M654" i="54" s="1"/>
  <c r="L658" i="54"/>
  <c r="M658" i="54" s="1"/>
  <c r="L662" i="54"/>
  <c r="M662" i="54" s="1"/>
  <c r="L666" i="54"/>
  <c r="M666" i="54" s="1"/>
  <c r="L670" i="54"/>
  <c r="M670" i="54" s="1"/>
  <c r="L674" i="54"/>
  <c r="M674" i="54" s="1"/>
  <c r="L678" i="54"/>
  <c r="M678" i="54" s="1"/>
  <c r="L682" i="54"/>
  <c r="M682" i="54" s="1"/>
  <c r="L686" i="54"/>
  <c r="M686" i="54" s="1"/>
  <c r="L690" i="54"/>
  <c r="M690" i="54" s="1"/>
  <c r="L694" i="54"/>
  <c r="M694" i="54" s="1"/>
  <c r="L698" i="54"/>
  <c r="M698" i="54" s="1"/>
  <c r="L702" i="54"/>
  <c r="M702" i="54" s="1"/>
  <c r="L706" i="54"/>
  <c r="M706" i="54" s="1"/>
  <c r="L710" i="54"/>
  <c r="M710" i="54" s="1"/>
  <c r="L714" i="54"/>
  <c r="M714" i="54" s="1"/>
  <c r="L718" i="54"/>
  <c r="M718" i="54" s="1"/>
  <c r="L722" i="54"/>
  <c r="M722" i="54" s="1"/>
  <c r="L726" i="54"/>
  <c r="M726" i="54" s="1"/>
  <c r="L730" i="54"/>
  <c r="M730" i="54" s="1"/>
  <c r="L734" i="54"/>
  <c r="M734" i="54" s="1"/>
  <c r="L738" i="54"/>
  <c r="M738" i="54" s="1"/>
  <c r="L742" i="54"/>
  <c r="M742" i="54" s="1"/>
  <c r="L7" i="54"/>
  <c r="M7" i="54" s="1"/>
  <c r="L15" i="54"/>
  <c r="M15" i="54" s="1"/>
  <c r="L23" i="54"/>
  <c r="M23" i="54" s="1"/>
  <c r="L31" i="54"/>
  <c r="M31" i="54" s="1"/>
  <c r="L39" i="54"/>
  <c r="M39" i="54" s="1"/>
  <c r="L47" i="54"/>
  <c r="M47" i="54" s="1"/>
  <c r="L55" i="54"/>
  <c r="M55" i="54" s="1"/>
  <c r="L63" i="54"/>
  <c r="M63" i="54" s="1"/>
  <c r="L71" i="54"/>
  <c r="M71" i="54" s="1"/>
  <c r="L79" i="54"/>
  <c r="M79" i="54" s="1"/>
  <c r="L87" i="54"/>
  <c r="M87" i="54" s="1"/>
  <c r="L95" i="54"/>
  <c r="M95" i="54" s="1"/>
  <c r="L103" i="54"/>
  <c r="M103" i="54" s="1"/>
  <c r="L111" i="54"/>
  <c r="M111" i="54" s="1"/>
  <c r="L119" i="54"/>
  <c r="M119" i="54" s="1"/>
  <c r="L127" i="54"/>
  <c r="M127" i="54" s="1"/>
  <c r="L135" i="54"/>
  <c r="M135" i="54" s="1"/>
  <c r="L143" i="54"/>
  <c r="M143" i="54" s="1"/>
  <c r="L151" i="54"/>
  <c r="M151" i="54" s="1"/>
  <c r="L159" i="54"/>
  <c r="M159" i="54" s="1"/>
  <c r="L167" i="54"/>
  <c r="M167" i="54" s="1"/>
  <c r="L175" i="54"/>
  <c r="M175" i="54" s="1"/>
  <c r="L183" i="54"/>
  <c r="M183" i="54" s="1"/>
  <c r="L191" i="54"/>
  <c r="M191" i="54" s="1"/>
  <c r="L199" i="54"/>
  <c r="M199" i="54" s="1"/>
  <c r="L207" i="54"/>
  <c r="M207" i="54" s="1"/>
  <c r="L215" i="54"/>
  <c r="M215" i="54" s="1"/>
  <c r="L222" i="54"/>
  <c r="M222" i="54" s="1"/>
  <c r="L227" i="54"/>
  <c r="M227" i="54" s="1"/>
  <c r="L232" i="54"/>
  <c r="M232" i="54" s="1"/>
  <c r="L238" i="54"/>
  <c r="M238" i="54" s="1"/>
  <c r="L243" i="54"/>
  <c r="M243" i="54" s="1"/>
  <c r="L247" i="54"/>
  <c r="M247" i="54" s="1"/>
  <c r="L251" i="54"/>
  <c r="M251" i="54" s="1"/>
  <c r="L255" i="54"/>
  <c r="M255" i="54" s="1"/>
  <c r="L259" i="54"/>
  <c r="M259" i="54" s="1"/>
  <c r="L263" i="54"/>
  <c r="M263" i="54" s="1"/>
  <c r="L267" i="54"/>
  <c r="M267" i="54" s="1"/>
  <c r="L271" i="54"/>
  <c r="M271" i="54" s="1"/>
  <c r="L275" i="54"/>
  <c r="M275" i="54" s="1"/>
  <c r="L279" i="54"/>
  <c r="M279" i="54" s="1"/>
  <c r="L283" i="54"/>
  <c r="M283" i="54" s="1"/>
  <c r="L287" i="54"/>
  <c r="M287" i="54" s="1"/>
  <c r="L291" i="54"/>
  <c r="M291" i="54" s="1"/>
  <c r="L295" i="54"/>
  <c r="M295" i="54" s="1"/>
  <c r="L299" i="54"/>
  <c r="M299" i="54" s="1"/>
  <c r="L303" i="54"/>
  <c r="M303" i="54" s="1"/>
  <c r="L307" i="54"/>
  <c r="M307" i="54" s="1"/>
  <c r="L311" i="54"/>
  <c r="M311" i="54" s="1"/>
  <c r="L315" i="54"/>
  <c r="M315" i="54" s="1"/>
  <c r="L319" i="54"/>
  <c r="M319" i="54" s="1"/>
  <c r="L323" i="54"/>
  <c r="M323" i="54" s="1"/>
  <c r="L327" i="54"/>
  <c r="M327" i="54" s="1"/>
  <c r="L331" i="54"/>
  <c r="M331" i="54" s="1"/>
  <c r="L335" i="54"/>
  <c r="M335" i="54" s="1"/>
  <c r="L339" i="54"/>
  <c r="M339" i="54" s="1"/>
  <c r="L343" i="54"/>
  <c r="M343" i="54" s="1"/>
  <c r="L347" i="54"/>
  <c r="M347" i="54" s="1"/>
  <c r="L351" i="54"/>
  <c r="M351" i="54" s="1"/>
  <c r="L355" i="54"/>
  <c r="M355" i="54" s="1"/>
  <c r="L359" i="54"/>
  <c r="M359" i="54" s="1"/>
  <c r="L363" i="54"/>
  <c r="M363" i="54" s="1"/>
  <c r="L367" i="54"/>
  <c r="M367" i="54" s="1"/>
  <c r="L371" i="54"/>
  <c r="M371" i="54" s="1"/>
  <c r="L375" i="54"/>
  <c r="M375" i="54" s="1"/>
  <c r="L379" i="54"/>
  <c r="M379" i="54" s="1"/>
  <c r="L383" i="54"/>
  <c r="M383" i="54" s="1"/>
  <c r="L387" i="54"/>
  <c r="M387" i="54" s="1"/>
  <c r="L391" i="54"/>
  <c r="M391" i="54" s="1"/>
  <c r="L395" i="54"/>
  <c r="M395" i="54" s="1"/>
  <c r="L399" i="54"/>
  <c r="M399" i="54" s="1"/>
  <c r="L403" i="54"/>
  <c r="M403" i="54" s="1"/>
  <c r="L407" i="54"/>
  <c r="M407" i="54" s="1"/>
  <c r="L411" i="54"/>
  <c r="M411" i="54" s="1"/>
  <c r="L415" i="54"/>
  <c r="M415" i="54" s="1"/>
  <c r="L419" i="54"/>
  <c r="M419" i="54" s="1"/>
  <c r="L423" i="54"/>
  <c r="M423" i="54" s="1"/>
  <c r="L427" i="54"/>
  <c r="M427" i="54" s="1"/>
  <c r="L431" i="54"/>
  <c r="M431" i="54" s="1"/>
  <c r="L435" i="54"/>
  <c r="M435" i="54" s="1"/>
  <c r="L439" i="54"/>
  <c r="M439" i="54" s="1"/>
  <c r="L443" i="54"/>
  <c r="M443" i="54" s="1"/>
  <c r="L447" i="54"/>
  <c r="M447" i="54" s="1"/>
  <c r="L451" i="54"/>
  <c r="M451" i="54" s="1"/>
  <c r="L455" i="54"/>
  <c r="M455" i="54" s="1"/>
  <c r="L459" i="54"/>
  <c r="M459" i="54" s="1"/>
  <c r="L463" i="54"/>
  <c r="M463" i="54" s="1"/>
  <c r="L467" i="54"/>
  <c r="M467" i="54" s="1"/>
  <c r="L471" i="54"/>
  <c r="M471" i="54" s="1"/>
  <c r="L475" i="54"/>
  <c r="M475" i="54" s="1"/>
  <c r="L479" i="54"/>
  <c r="M479" i="54" s="1"/>
  <c r="L483" i="54"/>
  <c r="M483" i="54" s="1"/>
  <c r="L487" i="54"/>
  <c r="M487" i="54" s="1"/>
  <c r="L491" i="54"/>
  <c r="M491" i="54" s="1"/>
  <c r="L495" i="54"/>
  <c r="M495" i="54" s="1"/>
  <c r="L499" i="54"/>
  <c r="M499" i="54" s="1"/>
  <c r="L503" i="54"/>
  <c r="M503" i="54" s="1"/>
  <c r="L507" i="54"/>
  <c r="M507" i="54" s="1"/>
  <c r="L511" i="54"/>
  <c r="M511" i="54" s="1"/>
  <c r="L515" i="54"/>
  <c r="M515" i="54" s="1"/>
  <c r="L519" i="54"/>
  <c r="M519" i="54" s="1"/>
  <c r="L523" i="54"/>
  <c r="M523" i="54" s="1"/>
  <c r="L527" i="54"/>
  <c r="M527" i="54" s="1"/>
  <c r="L531" i="54"/>
  <c r="M531" i="54" s="1"/>
  <c r="L535" i="54"/>
  <c r="M535" i="54" s="1"/>
  <c r="L539" i="54"/>
  <c r="M539" i="54" s="1"/>
  <c r="L543" i="54"/>
  <c r="M543" i="54" s="1"/>
  <c r="L547" i="54"/>
  <c r="M547" i="54" s="1"/>
  <c r="L551" i="54"/>
  <c r="M551" i="54" s="1"/>
  <c r="L555" i="54"/>
  <c r="M555" i="54" s="1"/>
  <c r="L559" i="54"/>
  <c r="M559" i="54" s="1"/>
  <c r="L563" i="54"/>
  <c r="M563" i="54" s="1"/>
  <c r="L567" i="54"/>
  <c r="M567" i="54" s="1"/>
  <c r="L571" i="54"/>
  <c r="M571" i="54" s="1"/>
  <c r="L575" i="54"/>
  <c r="M575" i="54" s="1"/>
  <c r="L579" i="54"/>
  <c r="M579" i="54" s="1"/>
  <c r="L583" i="54"/>
  <c r="M583" i="54" s="1"/>
  <c r="L587" i="54"/>
  <c r="M587" i="54" s="1"/>
  <c r="L591" i="54"/>
  <c r="M591" i="54" s="1"/>
  <c r="L595" i="54"/>
  <c r="M595" i="54" s="1"/>
  <c r="L599" i="54"/>
  <c r="M599" i="54" s="1"/>
  <c r="L603" i="54"/>
  <c r="M603" i="54" s="1"/>
  <c r="L607" i="54"/>
  <c r="M607" i="54" s="1"/>
  <c r="L611" i="54"/>
  <c r="M611" i="54" s="1"/>
  <c r="L615" i="54"/>
  <c r="M615" i="54" s="1"/>
  <c r="L619" i="54"/>
  <c r="M619" i="54" s="1"/>
  <c r="L623" i="54"/>
  <c r="M623" i="54" s="1"/>
  <c r="L627" i="54"/>
  <c r="M627" i="54" s="1"/>
  <c r="L631" i="54"/>
  <c r="M631" i="54" s="1"/>
  <c r="L635" i="54"/>
  <c r="M635" i="54" s="1"/>
  <c r="L639" i="54"/>
  <c r="M639" i="54" s="1"/>
  <c r="L643" i="54"/>
  <c r="M643" i="54" s="1"/>
  <c r="L647" i="54"/>
  <c r="M647" i="54" s="1"/>
  <c r="L651" i="54"/>
  <c r="M651" i="54" s="1"/>
  <c r="L655" i="54"/>
  <c r="M655" i="54" s="1"/>
  <c r="L659" i="54"/>
  <c r="M659" i="54" s="1"/>
  <c r="L663" i="54"/>
  <c r="M663" i="54" s="1"/>
  <c r="L667" i="54"/>
  <c r="M667" i="54" s="1"/>
  <c r="L671" i="54"/>
  <c r="M671" i="54" s="1"/>
  <c r="L675" i="54"/>
  <c r="M675" i="54" s="1"/>
  <c r="L679" i="54"/>
  <c r="M679" i="54" s="1"/>
  <c r="L683" i="54"/>
  <c r="M683" i="54" s="1"/>
  <c r="L687" i="54"/>
  <c r="M687" i="54" s="1"/>
  <c r="L691" i="54"/>
  <c r="M691" i="54" s="1"/>
  <c r="L695" i="54"/>
  <c r="M695" i="54" s="1"/>
  <c r="L699" i="54"/>
  <c r="M699" i="54" s="1"/>
  <c r="L703" i="54"/>
  <c r="M703" i="54" s="1"/>
  <c r="L707" i="54"/>
  <c r="M707" i="54" s="1"/>
  <c r="L711" i="54"/>
  <c r="M711" i="54" s="1"/>
  <c r="L715" i="54"/>
  <c r="M715" i="54" s="1"/>
  <c r="L719" i="54"/>
  <c r="M719" i="54" s="1"/>
  <c r="L723" i="54"/>
  <c r="M723" i="54" s="1"/>
  <c r="L727" i="54"/>
  <c r="M727" i="54" s="1"/>
  <c r="L731" i="54"/>
  <c r="M731" i="54" s="1"/>
  <c r="L735" i="54"/>
  <c r="M735" i="54" s="1"/>
  <c r="L739" i="54"/>
  <c r="M739" i="54" s="1"/>
  <c r="L743" i="54"/>
  <c r="M743" i="54" s="1"/>
  <c r="L19" i="54"/>
  <c r="M19" i="54" s="1"/>
  <c r="L35" i="54"/>
  <c r="M35" i="54" s="1"/>
  <c r="L51" i="54"/>
  <c r="M51" i="54" s="1"/>
  <c r="L67" i="54"/>
  <c r="M67" i="54" s="1"/>
  <c r="L83" i="54"/>
  <c r="M83" i="54" s="1"/>
  <c r="L99" i="54"/>
  <c r="M99" i="54" s="1"/>
  <c r="L115" i="54"/>
  <c r="M115" i="54" s="1"/>
  <c r="L131" i="54"/>
  <c r="M131" i="54" s="1"/>
  <c r="L147" i="54"/>
  <c r="M147" i="54" s="1"/>
  <c r="L163" i="54"/>
  <c r="M163" i="54" s="1"/>
  <c r="L179" i="54"/>
  <c r="M179" i="54" s="1"/>
  <c r="L195" i="54"/>
  <c r="M195" i="54" s="1"/>
  <c r="L211" i="54"/>
  <c r="M211" i="54" s="1"/>
  <c r="L224" i="54"/>
  <c r="M224" i="54" s="1"/>
  <c r="L235" i="54"/>
  <c r="M235" i="54" s="1"/>
  <c r="L245" i="54"/>
  <c r="M245" i="54" s="1"/>
  <c r="L253" i="54"/>
  <c r="M253" i="54" s="1"/>
  <c r="L261" i="54"/>
  <c r="M261" i="54" s="1"/>
  <c r="L269" i="54"/>
  <c r="M269" i="54" s="1"/>
  <c r="L277" i="54"/>
  <c r="M277" i="54" s="1"/>
  <c r="L285" i="54"/>
  <c r="M285" i="54" s="1"/>
  <c r="L293" i="54"/>
  <c r="M293" i="54" s="1"/>
  <c r="L301" i="54"/>
  <c r="M301" i="54" s="1"/>
  <c r="L309" i="54"/>
  <c r="M309" i="54" s="1"/>
  <c r="L317" i="54"/>
  <c r="M317" i="54" s="1"/>
  <c r="L325" i="54"/>
  <c r="M325" i="54" s="1"/>
  <c r="L333" i="54"/>
  <c r="M333" i="54" s="1"/>
  <c r="L341" i="54"/>
  <c r="M341" i="54" s="1"/>
  <c r="L349" i="54"/>
  <c r="M349" i="54" s="1"/>
  <c r="L357" i="54"/>
  <c r="M357" i="54" s="1"/>
  <c r="L365" i="54"/>
  <c r="M365" i="54" s="1"/>
  <c r="L373" i="54"/>
  <c r="M373" i="54" s="1"/>
  <c r="L381" i="54"/>
  <c r="M381" i="54" s="1"/>
  <c r="L389" i="54"/>
  <c r="M389" i="54" s="1"/>
  <c r="L397" i="54"/>
  <c r="M397" i="54" s="1"/>
  <c r="L405" i="54"/>
  <c r="M405" i="54" s="1"/>
  <c r="L413" i="54"/>
  <c r="M413" i="54" s="1"/>
  <c r="L421" i="54"/>
  <c r="M421" i="54" s="1"/>
  <c r="L429" i="54"/>
  <c r="M429" i="54" s="1"/>
  <c r="L437" i="54"/>
  <c r="M437" i="54" s="1"/>
  <c r="L445" i="54"/>
  <c r="M445" i="54" s="1"/>
  <c r="L453" i="54"/>
  <c r="M453" i="54" s="1"/>
  <c r="L461" i="54"/>
  <c r="M461" i="54" s="1"/>
  <c r="L469" i="54"/>
  <c r="M469" i="54" s="1"/>
  <c r="L477" i="54"/>
  <c r="M477" i="54" s="1"/>
  <c r="L485" i="54"/>
  <c r="M485" i="54" s="1"/>
  <c r="L493" i="54"/>
  <c r="M493" i="54" s="1"/>
  <c r="L501" i="54"/>
  <c r="M501" i="54" s="1"/>
  <c r="L509" i="54"/>
  <c r="M509" i="54" s="1"/>
  <c r="L517" i="54"/>
  <c r="M517" i="54" s="1"/>
  <c r="L525" i="54"/>
  <c r="M525" i="54" s="1"/>
  <c r="L533" i="54"/>
  <c r="M533" i="54" s="1"/>
  <c r="L541" i="54"/>
  <c r="M541" i="54" s="1"/>
  <c r="L549" i="54"/>
  <c r="M549" i="54" s="1"/>
  <c r="L557" i="54"/>
  <c r="M557" i="54" s="1"/>
  <c r="L565" i="54"/>
  <c r="M565" i="54" s="1"/>
  <c r="L573" i="54"/>
  <c r="M573" i="54" s="1"/>
  <c r="L581" i="54"/>
  <c r="M581" i="54" s="1"/>
  <c r="L589" i="54"/>
  <c r="M589" i="54" s="1"/>
  <c r="L597" i="54"/>
  <c r="M597" i="54" s="1"/>
  <c r="L605" i="54"/>
  <c r="M605" i="54" s="1"/>
  <c r="L613" i="54"/>
  <c r="M613" i="54" s="1"/>
  <c r="L621" i="54"/>
  <c r="M621" i="54" s="1"/>
  <c r="L629" i="54"/>
  <c r="M629" i="54" s="1"/>
  <c r="L637" i="54"/>
  <c r="M637" i="54" s="1"/>
  <c r="L645" i="54"/>
  <c r="M645" i="54" s="1"/>
  <c r="L653" i="54"/>
  <c r="M653" i="54" s="1"/>
  <c r="L661" i="54"/>
  <c r="M661" i="54" s="1"/>
  <c r="L669" i="54"/>
  <c r="M669" i="54" s="1"/>
  <c r="L677" i="54"/>
  <c r="M677" i="54" s="1"/>
  <c r="L685" i="54"/>
  <c r="M685" i="54" s="1"/>
  <c r="L693" i="54"/>
  <c r="M693" i="54" s="1"/>
  <c r="L701" i="54"/>
  <c r="M701" i="54" s="1"/>
  <c r="L709" i="54"/>
  <c r="M709" i="54" s="1"/>
  <c r="L717" i="54"/>
  <c r="M717" i="54" s="1"/>
  <c r="L725" i="54"/>
  <c r="M725" i="54" s="1"/>
  <c r="L733" i="54"/>
  <c r="M733" i="54" s="1"/>
  <c r="L741" i="54"/>
  <c r="M741" i="54" s="1"/>
  <c r="L155" i="54"/>
  <c r="M155" i="54" s="1"/>
  <c r="L203" i="54"/>
  <c r="M203" i="54" s="1"/>
  <c r="L230" i="54"/>
  <c r="M230" i="54" s="1"/>
  <c r="L249" i="54"/>
  <c r="M249" i="54" s="1"/>
  <c r="L265" i="54"/>
  <c r="M265" i="54" s="1"/>
  <c r="L281" i="54"/>
  <c r="M281" i="54" s="1"/>
  <c r="L297" i="54"/>
  <c r="M297" i="54" s="1"/>
  <c r="L313" i="54"/>
  <c r="M313" i="54" s="1"/>
  <c r="L329" i="54"/>
  <c r="M329" i="54" s="1"/>
  <c r="L345" i="54"/>
  <c r="M345" i="54" s="1"/>
  <c r="L361" i="54"/>
  <c r="M361" i="54" s="1"/>
  <c r="L377" i="54"/>
  <c r="M377" i="54" s="1"/>
  <c r="L393" i="54"/>
  <c r="M393" i="54" s="1"/>
  <c r="L409" i="54"/>
  <c r="M409" i="54" s="1"/>
  <c r="L425" i="54"/>
  <c r="M425" i="54" s="1"/>
  <c r="L441" i="54"/>
  <c r="M441" i="54" s="1"/>
  <c r="L457" i="54"/>
  <c r="M457" i="54" s="1"/>
  <c r="L473" i="54"/>
  <c r="M473" i="54" s="1"/>
  <c r="L489" i="54"/>
  <c r="M489" i="54" s="1"/>
  <c r="L505" i="54"/>
  <c r="M505" i="54" s="1"/>
  <c r="L521" i="54"/>
  <c r="M521" i="54" s="1"/>
  <c r="L537" i="54"/>
  <c r="M537" i="54" s="1"/>
  <c r="L553" i="54"/>
  <c r="M553" i="54" s="1"/>
  <c r="L569" i="54"/>
  <c r="M569" i="54" s="1"/>
  <c r="L585" i="54"/>
  <c r="M585" i="54" s="1"/>
  <c r="L601" i="54"/>
  <c r="M601" i="54" s="1"/>
  <c r="L617" i="54"/>
  <c r="M617" i="54" s="1"/>
  <c r="L633" i="54"/>
  <c r="M633" i="54" s="1"/>
  <c r="L649" i="54"/>
  <c r="M649" i="54" s="1"/>
  <c r="L665" i="54"/>
  <c r="M665" i="54" s="1"/>
  <c r="L681" i="54"/>
  <c r="M681" i="54" s="1"/>
  <c r="L697" i="54"/>
  <c r="M697" i="54" s="1"/>
  <c r="L713" i="54"/>
  <c r="M713" i="54" s="1"/>
  <c r="L729" i="54"/>
  <c r="M729" i="54" s="1"/>
  <c r="L16" i="54"/>
  <c r="M16" i="54" s="1"/>
  <c r="L48" i="54"/>
  <c r="M48" i="54" s="1"/>
  <c r="L64" i="54"/>
  <c r="M64" i="54" s="1"/>
  <c r="L96" i="54"/>
  <c r="M96" i="54" s="1"/>
  <c r="L128" i="54"/>
  <c r="M128" i="54" s="1"/>
  <c r="L160" i="54"/>
  <c r="M160" i="54" s="1"/>
  <c r="L192" i="54"/>
  <c r="M192" i="54" s="1"/>
  <c r="L223" i="54"/>
  <c r="M223" i="54" s="1"/>
  <c r="L244" i="54"/>
  <c r="M244" i="54" s="1"/>
  <c r="L260" i="54"/>
  <c r="M260" i="54" s="1"/>
  <c r="L276" i="54"/>
  <c r="M276" i="54" s="1"/>
  <c r="L292" i="54"/>
  <c r="M292" i="54" s="1"/>
  <c r="L308" i="54"/>
  <c r="M308" i="54" s="1"/>
  <c r="L324" i="54"/>
  <c r="M324" i="54" s="1"/>
  <c r="L348" i="54"/>
  <c r="M348" i="54" s="1"/>
  <c r="L364" i="54"/>
  <c r="M364" i="54" s="1"/>
  <c r="L380" i="54"/>
  <c r="M380" i="54" s="1"/>
  <c r="L396" i="54"/>
  <c r="M396" i="54" s="1"/>
  <c r="L412" i="54"/>
  <c r="M412" i="54" s="1"/>
  <c r="L428" i="54"/>
  <c r="M428" i="54" s="1"/>
  <c r="L444" i="54"/>
  <c r="M444" i="54" s="1"/>
  <c r="L460" i="54"/>
  <c r="M460" i="54" s="1"/>
  <c r="L476" i="54"/>
  <c r="M476" i="54" s="1"/>
  <c r="L492" i="54"/>
  <c r="M492" i="54" s="1"/>
  <c r="L508" i="54"/>
  <c r="M508" i="54" s="1"/>
  <c r="L524" i="54"/>
  <c r="M524" i="54" s="1"/>
  <c r="L540" i="54"/>
  <c r="M540" i="54" s="1"/>
  <c r="L556" i="54"/>
  <c r="M556" i="54" s="1"/>
  <c r="L572" i="54"/>
  <c r="M572" i="54" s="1"/>
  <c r="L588" i="54"/>
  <c r="M588" i="54" s="1"/>
  <c r="L604" i="54"/>
  <c r="M604" i="54" s="1"/>
  <c r="L620" i="54"/>
  <c r="M620" i="54" s="1"/>
  <c r="L636" i="54"/>
  <c r="M636" i="54" s="1"/>
  <c r="L652" i="54"/>
  <c r="M652" i="54" s="1"/>
  <c r="L668" i="54"/>
  <c r="M668" i="54" s="1"/>
  <c r="L684" i="54"/>
  <c r="M684" i="54" s="1"/>
  <c r="L700" i="54"/>
  <c r="M700" i="54" s="1"/>
  <c r="L716" i="54"/>
  <c r="M716" i="54" s="1"/>
  <c r="L732" i="54"/>
  <c r="M732" i="54" s="1"/>
  <c r="L8" i="54"/>
  <c r="M8" i="54" s="1"/>
  <c r="L24" i="54"/>
  <c r="M24" i="54" s="1"/>
  <c r="L40" i="54"/>
  <c r="M40" i="54" s="1"/>
  <c r="L56" i="54"/>
  <c r="M56" i="54" s="1"/>
  <c r="L72" i="54"/>
  <c r="M72" i="54" s="1"/>
  <c r="L88" i="54"/>
  <c r="M88" i="54" s="1"/>
  <c r="L104" i="54"/>
  <c r="M104" i="54" s="1"/>
  <c r="L120" i="54"/>
  <c r="M120" i="54" s="1"/>
  <c r="L136" i="54"/>
  <c r="M136" i="54" s="1"/>
  <c r="L152" i="54"/>
  <c r="M152" i="54" s="1"/>
  <c r="L168" i="54"/>
  <c r="M168" i="54" s="1"/>
  <c r="L184" i="54"/>
  <c r="M184" i="54" s="1"/>
  <c r="L200" i="54"/>
  <c r="M200" i="54" s="1"/>
  <c r="L216" i="54"/>
  <c r="M216" i="54" s="1"/>
  <c r="L228" i="54"/>
  <c r="M228" i="54" s="1"/>
  <c r="L239" i="54"/>
  <c r="M239" i="54" s="1"/>
  <c r="L248" i="54"/>
  <c r="M248" i="54" s="1"/>
  <c r="L256" i="54"/>
  <c r="M256" i="54" s="1"/>
  <c r="L264" i="54"/>
  <c r="M264" i="54" s="1"/>
  <c r="L272" i="54"/>
  <c r="M272" i="54" s="1"/>
  <c r="L280" i="54"/>
  <c r="M280" i="54" s="1"/>
  <c r="L288" i="54"/>
  <c r="M288" i="54" s="1"/>
  <c r="L296" i="54"/>
  <c r="M296" i="54" s="1"/>
  <c r="L304" i="54"/>
  <c r="M304" i="54" s="1"/>
  <c r="L312" i="54"/>
  <c r="M312" i="54" s="1"/>
  <c r="L320" i="54"/>
  <c r="M320" i="54" s="1"/>
  <c r="L328" i="54"/>
  <c r="M328" i="54" s="1"/>
  <c r="L336" i="54"/>
  <c r="M336" i="54" s="1"/>
  <c r="L344" i="54"/>
  <c r="M344" i="54" s="1"/>
  <c r="L352" i="54"/>
  <c r="M352" i="54" s="1"/>
  <c r="L360" i="54"/>
  <c r="M360" i="54" s="1"/>
  <c r="L368" i="54"/>
  <c r="M368" i="54" s="1"/>
  <c r="L376" i="54"/>
  <c r="M376" i="54" s="1"/>
  <c r="L384" i="54"/>
  <c r="M384" i="54" s="1"/>
  <c r="L392" i="54"/>
  <c r="M392" i="54" s="1"/>
  <c r="L400" i="54"/>
  <c r="M400" i="54" s="1"/>
  <c r="L408" i="54"/>
  <c r="M408" i="54" s="1"/>
  <c r="L416" i="54"/>
  <c r="M416" i="54" s="1"/>
  <c r="L424" i="54"/>
  <c r="M424" i="54" s="1"/>
  <c r="L432" i="54"/>
  <c r="M432" i="54" s="1"/>
  <c r="L440" i="54"/>
  <c r="M440" i="54" s="1"/>
  <c r="L448" i="54"/>
  <c r="M448" i="54" s="1"/>
  <c r="L456" i="54"/>
  <c r="M456" i="54" s="1"/>
  <c r="L464" i="54"/>
  <c r="M464" i="54" s="1"/>
  <c r="L472" i="54"/>
  <c r="M472" i="54" s="1"/>
  <c r="L480" i="54"/>
  <c r="M480" i="54" s="1"/>
  <c r="L488" i="54"/>
  <c r="M488" i="54" s="1"/>
  <c r="L496" i="54"/>
  <c r="M496" i="54" s="1"/>
  <c r="L504" i="54"/>
  <c r="M504" i="54" s="1"/>
  <c r="L512" i="54"/>
  <c r="M512" i="54" s="1"/>
  <c r="L520" i="54"/>
  <c r="M520" i="54" s="1"/>
  <c r="L528" i="54"/>
  <c r="M528" i="54" s="1"/>
  <c r="L536" i="54"/>
  <c r="M536" i="54" s="1"/>
  <c r="L544" i="54"/>
  <c r="M544" i="54" s="1"/>
  <c r="L552" i="54"/>
  <c r="M552" i="54" s="1"/>
  <c r="L560" i="54"/>
  <c r="M560" i="54" s="1"/>
  <c r="L568" i="54"/>
  <c r="M568" i="54" s="1"/>
  <c r="L576" i="54"/>
  <c r="M576" i="54" s="1"/>
  <c r="L584" i="54"/>
  <c r="M584" i="54" s="1"/>
  <c r="L592" i="54"/>
  <c r="M592" i="54" s="1"/>
  <c r="L600" i="54"/>
  <c r="M600" i="54" s="1"/>
  <c r="L608" i="54"/>
  <c r="M608" i="54" s="1"/>
  <c r="L616" i="54"/>
  <c r="M616" i="54" s="1"/>
  <c r="L624" i="54"/>
  <c r="M624" i="54" s="1"/>
  <c r="L632" i="54"/>
  <c r="M632" i="54" s="1"/>
  <c r="L640" i="54"/>
  <c r="M640" i="54" s="1"/>
  <c r="L648" i="54"/>
  <c r="M648" i="54" s="1"/>
  <c r="L656" i="54"/>
  <c r="M656" i="54" s="1"/>
  <c r="L664" i="54"/>
  <c r="M664" i="54" s="1"/>
  <c r="L672" i="54"/>
  <c r="M672" i="54" s="1"/>
  <c r="L680" i="54"/>
  <c r="M680" i="54" s="1"/>
  <c r="L688" i="54"/>
  <c r="M688" i="54" s="1"/>
  <c r="L696" i="54"/>
  <c r="M696" i="54" s="1"/>
  <c r="L704" i="54"/>
  <c r="M704" i="54" s="1"/>
  <c r="L712" i="54"/>
  <c r="M712" i="54" s="1"/>
  <c r="L720" i="54"/>
  <c r="M720" i="54" s="1"/>
  <c r="L728" i="54"/>
  <c r="M728" i="54" s="1"/>
  <c r="L736" i="54"/>
  <c r="M736" i="54" s="1"/>
  <c r="L744" i="54"/>
  <c r="M744" i="54" s="1"/>
  <c r="L11" i="54"/>
  <c r="M11" i="54" s="1"/>
  <c r="L27" i="54"/>
  <c r="M27" i="54" s="1"/>
  <c r="L43" i="54"/>
  <c r="M43" i="54" s="1"/>
  <c r="L59" i="54"/>
  <c r="M59" i="54" s="1"/>
  <c r="L75" i="54"/>
  <c r="M75" i="54" s="1"/>
  <c r="L91" i="54"/>
  <c r="M91" i="54" s="1"/>
  <c r="L107" i="54"/>
  <c r="M107" i="54" s="1"/>
  <c r="L123" i="54"/>
  <c r="M123" i="54" s="1"/>
  <c r="L139" i="54"/>
  <c r="M139" i="54" s="1"/>
  <c r="L171" i="54"/>
  <c r="M171" i="54" s="1"/>
  <c r="L187" i="54"/>
  <c r="M187" i="54" s="1"/>
  <c r="L219" i="54"/>
  <c r="M219" i="54" s="1"/>
  <c r="L240" i="54"/>
  <c r="M240" i="54" s="1"/>
  <c r="L257" i="54"/>
  <c r="M257" i="54" s="1"/>
  <c r="L273" i="54"/>
  <c r="M273" i="54" s="1"/>
  <c r="L289" i="54"/>
  <c r="M289" i="54" s="1"/>
  <c r="L305" i="54"/>
  <c r="M305" i="54" s="1"/>
  <c r="L321" i="54"/>
  <c r="M321" i="54" s="1"/>
  <c r="L337" i="54"/>
  <c r="M337" i="54" s="1"/>
  <c r="L353" i="54"/>
  <c r="M353" i="54" s="1"/>
  <c r="L369" i="54"/>
  <c r="M369" i="54" s="1"/>
  <c r="L385" i="54"/>
  <c r="M385" i="54" s="1"/>
  <c r="L401" i="54"/>
  <c r="M401" i="54" s="1"/>
  <c r="L417" i="54"/>
  <c r="M417" i="54" s="1"/>
  <c r="L433" i="54"/>
  <c r="M433" i="54" s="1"/>
  <c r="L449" i="54"/>
  <c r="M449" i="54" s="1"/>
  <c r="L465" i="54"/>
  <c r="M465" i="54" s="1"/>
  <c r="L481" i="54"/>
  <c r="M481" i="54" s="1"/>
  <c r="L497" i="54"/>
  <c r="M497" i="54" s="1"/>
  <c r="L513" i="54"/>
  <c r="M513" i="54" s="1"/>
  <c r="L529" i="54"/>
  <c r="M529" i="54" s="1"/>
  <c r="L545" i="54"/>
  <c r="M545" i="54" s="1"/>
  <c r="L561" i="54"/>
  <c r="M561" i="54" s="1"/>
  <c r="L577" i="54"/>
  <c r="M577" i="54" s="1"/>
  <c r="L593" i="54"/>
  <c r="M593" i="54" s="1"/>
  <c r="L609" i="54"/>
  <c r="M609" i="54" s="1"/>
  <c r="L625" i="54"/>
  <c r="M625" i="54" s="1"/>
  <c r="L641" i="54"/>
  <c r="M641" i="54" s="1"/>
  <c r="L657" i="54"/>
  <c r="M657" i="54" s="1"/>
  <c r="L673" i="54"/>
  <c r="M673" i="54" s="1"/>
  <c r="L689" i="54"/>
  <c r="M689" i="54" s="1"/>
  <c r="L705" i="54"/>
  <c r="M705" i="54" s="1"/>
  <c r="L721" i="54"/>
  <c r="M721" i="54" s="1"/>
  <c r="L737" i="54"/>
  <c r="M737" i="54" s="1"/>
  <c r="L32" i="54"/>
  <c r="M32" i="54" s="1"/>
  <c r="L80" i="54"/>
  <c r="M80" i="54" s="1"/>
  <c r="L112" i="54"/>
  <c r="M112" i="54" s="1"/>
  <c r="L144" i="54"/>
  <c r="M144" i="54" s="1"/>
  <c r="L176" i="54"/>
  <c r="M176" i="54" s="1"/>
  <c r="L208" i="54"/>
  <c r="M208" i="54" s="1"/>
  <c r="L234" i="54"/>
  <c r="M234" i="54" s="1"/>
  <c r="L252" i="54"/>
  <c r="M252" i="54" s="1"/>
  <c r="L268" i="54"/>
  <c r="M268" i="54" s="1"/>
  <c r="L284" i="54"/>
  <c r="M284" i="54" s="1"/>
  <c r="L300" i="54"/>
  <c r="M300" i="54" s="1"/>
  <c r="L316" i="54"/>
  <c r="M316" i="54" s="1"/>
  <c r="L332" i="54"/>
  <c r="M332" i="54" s="1"/>
  <c r="L340" i="54"/>
  <c r="M340" i="54" s="1"/>
  <c r="L356" i="54"/>
  <c r="M356" i="54" s="1"/>
  <c r="L372" i="54"/>
  <c r="M372" i="54" s="1"/>
  <c r="L388" i="54"/>
  <c r="M388" i="54" s="1"/>
  <c r="L404" i="54"/>
  <c r="M404" i="54" s="1"/>
  <c r="L420" i="54"/>
  <c r="M420" i="54" s="1"/>
  <c r="L436" i="54"/>
  <c r="M436" i="54" s="1"/>
  <c r="L452" i="54"/>
  <c r="M452" i="54" s="1"/>
  <c r="L468" i="54"/>
  <c r="M468" i="54" s="1"/>
  <c r="L484" i="54"/>
  <c r="M484" i="54" s="1"/>
  <c r="L500" i="54"/>
  <c r="M500" i="54" s="1"/>
  <c r="L516" i="54"/>
  <c r="M516" i="54" s="1"/>
  <c r="L532" i="54"/>
  <c r="M532" i="54" s="1"/>
  <c r="L548" i="54"/>
  <c r="M548" i="54" s="1"/>
  <c r="L564" i="54"/>
  <c r="M564" i="54" s="1"/>
  <c r="L580" i="54"/>
  <c r="M580" i="54" s="1"/>
  <c r="L596" i="54"/>
  <c r="M596" i="54" s="1"/>
  <c r="L612" i="54"/>
  <c r="M612" i="54" s="1"/>
  <c r="L628" i="54"/>
  <c r="M628" i="54" s="1"/>
  <c r="L644" i="54"/>
  <c r="M644" i="54" s="1"/>
  <c r="L660" i="54"/>
  <c r="M660" i="54" s="1"/>
  <c r="L676" i="54"/>
  <c r="M676" i="54" s="1"/>
  <c r="L692" i="54"/>
  <c r="M692" i="54" s="1"/>
  <c r="L708" i="54"/>
  <c r="M708" i="54" s="1"/>
  <c r="L724" i="54"/>
  <c r="M724" i="54" s="1"/>
  <c r="L740" i="54"/>
  <c r="M740" i="54" s="1"/>
  <c r="O61" i="53" l="1"/>
  <c r="G221" i="64"/>
  <c r="J221" i="64" s="1"/>
  <c r="G222" i="64"/>
  <c r="J222" i="64" s="1"/>
  <c r="G218" i="64"/>
  <c r="J218" i="64" s="1"/>
  <c r="G219" i="64"/>
  <c r="J219" i="64" s="1"/>
  <c r="G214" i="64"/>
  <c r="J214" i="64" s="1"/>
  <c r="G216" i="64"/>
  <c r="J216" i="64" s="1"/>
  <c r="G215" i="64"/>
  <c r="J215" i="64" s="1"/>
  <c r="G213" i="64"/>
  <c r="J213" i="64" s="1"/>
  <c r="G220" i="64"/>
  <c r="J220" i="64" s="1"/>
  <c r="G223" i="64"/>
  <c r="J223" i="64" s="1"/>
  <c r="G217" i="64"/>
  <c r="J217" i="64" s="1"/>
  <c r="O25" i="66"/>
  <c r="R780" i="54"/>
  <c r="N780" i="54"/>
  <c r="Q780" i="54"/>
  <c r="N767" i="54"/>
  <c r="Q767" i="54"/>
  <c r="R767" i="54"/>
  <c r="Q769" i="54"/>
  <c r="R769" i="54"/>
  <c r="N769" i="54"/>
  <c r="N795" i="54"/>
  <c r="R795" i="54"/>
  <c r="Q795" i="54"/>
  <c r="N787" i="54"/>
  <c r="R787" i="54"/>
  <c r="Q787" i="54"/>
  <c r="R771" i="54"/>
  <c r="N771" i="54"/>
  <c r="Q771" i="54"/>
  <c r="N775" i="54"/>
  <c r="Q775" i="54"/>
  <c r="R775" i="54"/>
  <c r="N798" i="54"/>
  <c r="Q798" i="54"/>
  <c r="R798" i="54"/>
  <c r="N790" i="54"/>
  <c r="Q790" i="54"/>
  <c r="R790" i="54"/>
  <c r="N776" i="54"/>
  <c r="R776" i="54"/>
  <c r="Q776" i="54"/>
  <c r="Q766" i="54"/>
  <c r="R766" i="54"/>
  <c r="N766" i="54"/>
  <c r="N764" i="54"/>
  <c r="R764" i="54"/>
  <c r="Q764" i="54"/>
  <c r="N794" i="54"/>
  <c r="R794" i="54"/>
  <c r="Q794" i="54"/>
  <c r="N786" i="54"/>
  <c r="R786" i="54"/>
  <c r="Q786" i="54"/>
  <c r="Q770" i="54"/>
  <c r="N770" i="54"/>
  <c r="R770" i="54"/>
  <c r="Q765" i="54"/>
  <c r="N765" i="54"/>
  <c r="R765" i="54"/>
  <c r="R796" i="54"/>
  <c r="N796" i="54"/>
  <c r="Q796" i="54"/>
  <c r="R788" i="54"/>
  <c r="N788" i="54"/>
  <c r="Q788" i="54"/>
  <c r="N779" i="54"/>
  <c r="R779" i="54"/>
  <c r="Q779" i="54"/>
  <c r="Q774" i="54"/>
  <c r="N774" i="54"/>
  <c r="R774" i="54"/>
  <c r="N783" i="54"/>
  <c r="R783" i="54"/>
  <c r="Q783" i="54"/>
  <c r="R800" i="54"/>
  <c r="N800" i="54"/>
  <c r="Q800" i="54"/>
  <c r="Q792" i="54"/>
  <c r="N792" i="54"/>
  <c r="R792" i="54"/>
  <c r="N778" i="54"/>
  <c r="R778" i="54"/>
  <c r="Q778" i="54"/>
  <c r="N768" i="54"/>
  <c r="R768" i="54"/>
  <c r="Q768" i="54"/>
  <c r="N801" i="54"/>
  <c r="Q801" i="54"/>
  <c r="R801" i="54"/>
  <c r="R793" i="54"/>
  <c r="N793" i="54"/>
  <c r="Q793" i="54"/>
  <c r="R785" i="54"/>
  <c r="N785" i="54"/>
  <c r="O785" i="54" s="1"/>
  <c r="Q785" i="54"/>
  <c r="R781" i="54"/>
  <c r="N781" i="54"/>
  <c r="Q781" i="54"/>
  <c r="N772" i="54"/>
  <c r="R772" i="54"/>
  <c r="Q772" i="54"/>
  <c r="Q777" i="54"/>
  <c r="N777" i="54"/>
  <c r="R777" i="54"/>
  <c r="Q797" i="54"/>
  <c r="R797" i="54"/>
  <c r="N797" i="54"/>
  <c r="Q789" i="54"/>
  <c r="R789" i="54"/>
  <c r="N789" i="54"/>
  <c r="O789" i="54" s="1"/>
  <c r="Q773" i="54"/>
  <c r="N773" i="54"/>
  <c r="R773" i="54"/>
  <c r="Q784" i="54"/>
  <c r="N784" i="54"/>
  <c r="R784" i="54"/>
  <c r="N799" i="54"/>
  <c r="R799" i="54"/>
  <c r="Q799" i="54"/>
  <c r="N791" i="54"/>
  <c r="R791" i="54"/>
  <c r="Q791" i="54"/>
  <c r="N782" i="54"/>
  <c r="Q782" i="54"/>
  <c r="R782" i="54"/>
  <c r="N580" i="54"/>
  <c r="Q580" i="54"/>
  <c r="R580" i="54"/>
  <c r="N388" i="54"/>
  <c r="Q388" i="54"/>
  <c r="R388" i="54"/>
  <c r="R32" i="54"/>
  <c r="N32" i="54"/>
  <c r="Q32" i="54"/>
  <c r="N497" i="54"/>
  <c r="Q497" i="54"/>
  <c r="R497" i="54"/>
  <c r="N305" i="54"/>
  <c r="Q305" i="54"/>
  <c r="R305" i="54"/>
  <c r="Q75" i="54"/>
  <c r="R75" i="54"/>
  <c r="N75" i="54"/>
  <c r="N656" i="54"/>
  <c r="Q656" i="54"/>
  <c r="R656" i="54"/>
  <c r="N528" i="54"/>
  <c r="Q528" i="54"/>
  <c r="R528" i="54"/>
  <c r="N432" i="54"/>
  <c r="Q432" i="54"/>
  <c r="R432" i="54"/>
  <c r="N336" i="54"/>
  <c r="R336" i="54"/>
  <c r="Q336" i="54"/>
  <c r="Q239" i="54"/>
  <c r="R239" i="54"/>
  <c r="N239" i="54"/>
  <c r="R56" i="54"/>
  <c r="N56" i="54"/>
  <c r="Q56" i="54"/>
  <c r="N604" i="54"/>
  <c r="Q604" i="54"/>
  <c r="R604" i="54"/>
  <c r="N412" i="54"/>
  <c r="Q412" i="54"/>
  <c r="R412" i="54"/>
  <c r="R192" i="54"/>
  <c r="N192" i="54"/>
  <c r="Q192" i="54"/>
  <c r="N649" i="54"/>
  <c r="Q649" i="54"/>
  <c r="R649" i="54"/>
  <c r="N457" i="54"/>
  <c r="Q457" i="54"/>
  <c r="R457" i="54"/>
  <c r="Q155" i="54"/>
  <c r="R155" i="54"/>
  <c r="N155" i="54"/>
  <c r="N653" i="54"/>
  <c r="Q653" i="54"/>
  <c r="R653" i="54"/>
  <c r="N557" i="54"/>
  <c r="Q557" i="54"/>
  <c r="R557" i="54"/>
  <c r="N461" i="54"/>
  <c r="Q461" i="54"/>
  <c r="R461" i="54"/>
  <c r="N365" i="54"/>
  <c r="Q365" i="54"/>
  <c r="R365" i="54"/>
  <c r="N269" i="54"/>
  <c r="Q269" i="54"/>
  <c r="R269" i="54"/>
  <c r="Q115" i="54"/>
  <c r="R115" i="54"/>
  <c r="N115" i="54"/>
  <c r="R723" i="54"/>
  <c r="N723" i="54"/>
  <c r="Q723" i="54"/>
  <c r="R675" i="54"/>
  <c r="N675" i="54"/>
  <c r="Q675" i="54"/>
  <c r="R611" i="54"/>
  <c r="Q611" i="54"/>
  <c r="N611" i="54"/>
  <c r="R563" i="54"/>
  <c r="Q563" i="54"/>
  <c r="N563" i="54"/>
  <c r="R515" i="54"/>
  <c r="N515" i="54"/>
  <c r="Q515" i="54"/>
  <c r="R483" i="54"/>
  <c r="N483" i="54"/>
  <c r="Q483" i="54"/>
  <c r="R435" i="54"/>
  <c r="N435" i="54"/>
  <c r="Q435" i="54"/>
  <c r="R387" i="54"/>
  <c r="Q387" i="54"/>
  <c r="N387" i="54"/>
  <c r="R339" i="54"/>
  <c r="Q339" i="54"/>
  <c r="N339" i="54"/>
  <c r="Q291" i="54"/>
  <c r="R291" i="54"/>
  <c r="N291" i="54"/>
  <c r="Q243" i="54"/>
  <c r="R243" i="54"/>
  <c r="N243" i="54"/>
  <c r="Q159" i="54"/>
  <c r="R159" i="54"/>
  <c r="N159" i="54"/>
  <c r="Q63" i="54"/>
  <c r="R63" i="54"/>
  <c r="N63" i="54"/>
  <c r="Q710" i="54"/>
  <c r="R710" i="54"/>
  <c r="N710" i="54"/>
  <c r="Q662" i="54"/>
  <c r="R662" i="54"/>
  <c r="N662" i="54"/>
  <c r="Q630" i="54"/>
  <c r="R630" i="54"/>
  <c r="N630" i="54"/>
  <c r="Q582" i="54"/>
  <c r="R582" i="54"/>
  <c r="N582" i="54"/>
  <c r="Q534" i="54"/>
  <c r="R534" i="54"/>
  <c r="N534" i="54"/>
  <c r="Q486" i="54"/>
  <c r="R486" i="54"/>
  <c r="N486" i="54"/>
  <c r="Q438" i="54"/>
  <c r="R438" i="54"/>
  <c r="N438" i="54"/>
  <c r="Q390" i="54"/>
  <c r="R390" i="54"/>
  <c r="N390" i="54"/>
  <c r="Q342" i="54"/>
  <c r="R342" i="54"/>
  <c r="N342" i="54"/>
  <c r="Q294" i="54"/>
  <c r="R294" i="54"/>
  <c r="N294" i="54"/>
  <c r="N246" i="54"/>
  <c r="Q246" i="54"/>
  <c r="R246" i="54"/>
  <c r="R164" i="54"/>
  <c r="N164" i="54"/>
  <c r="Q164" i="54"/>
  <c r="R68" i="54"/>
  <c r="N68" i="54"/>
  <c r="Q68" i="54"/>
  <c r="N202" i="54"/>
  <c r="Q202" i="54"/>
  <c r="R202" i="54"/>
  <c r="N154" i="54"/>
  <c r="Q154" i="54"/>
  <c r="R154" i="54"/>
  <c r="N106" i="54"/>
  <c r="Q106" i="54"/>
  <c r="R106" i="54"/>
  <c r="N58" i="54"/>
  <c r="Q58" i="54"/>
  <c r="R58" i="54"/>
  <c r="N233" i="54"/>
  <c r="Q233" i="54"/>
  <c r="R233" i="54"/>
  <c r="N185" i="54"/>
  <c r="Q185" i="54"/>
  <c r="R185" i="54"/>
  <c r="N137" i="54"/>
  <c r="Q137" i="54"/>
  <c r="R137" i="54"/>
  <c r="N89" i="54"/>
  <c r="Q89" i="54"/>
  <c r="R89" i="54"/>
  <c r="N57" i="54"/>
  <c r="Q57" i="54"/>
  <c r="R57" i="54"/>
  <c r="N9" i="54"/>
  <c r="Q9" i="54"/>
  <c r="R9" i="54"/>
  <c r="Q758" i="54"/>
  <c r="R758" i="54"/>
  <c r="N758" i="54"/>
  <c r="R692" i="54"/>
  <c r="N692" i="54"/>
  <c r="Q692" i="54"/>
  <c r="N628" i="54"/>
  <c r="Q628" i="54"/>
  <c r="R628" i="54"/>
  <c r="N564" i="54"/>
  <c r="Q564" i="54"/>
  <c r="R564" i="54"/>
  <c r="N500" i="54"/>
  <c r="Q500" i="54"/>
  <c r="R500" i="54"/>
  <c r="N436" i="54"/>
  <c r="Q436" i="54"/>
  <c r="R436" i="54"/>
  <c r="N372" i="54"/>
  <c r="Q372" i="54"/>
  <c r="R372" i="54"/>
  <c r="N316" i="54"/>
  <c r="Q316" i="54"/>
  <c r="R316" i="54"/>
  <c r="R252" i="54"/>
  <c r="N252" i="54"/>
  <c r="Q252" i="54"/>
  <c r="R144" i="54"/>
  <c r="N144" i="54"/>
  <c r="Q144" i="54"/>
  <c r="N737" i="54"/>
  <c r="Q737" i="54"/>
  <c r="R737" i="54"/>
  <c r="N673" i="54"/>
  <c r="Q673" i="54"/>
  <c r="R673" i="54"/>
  <c r="N609" i="54"/>
  <c r="Q609" i="54"/>
  <c r="R609" i="54"/>
  <c r="N545" i="54"/>
  <c r="Q545" i="54"/>
  <c r="R545" i="54"/>
  <c r="N481" i="54"/>
  <c r="Q481" i="54"/>
  <c r="R481" i="54"/>
  <c r="N417" i="54"/>
  <c r="Q417" i="54"/>
  <c r="R417" i="54"/>
  <c r="N353" i="54"/>
  <c r="Q353" i="54"/>
  <c r="R353" i="54"/>
  <c r="N289" i="54"/>
  <c r="Q289" i="54"/>
  <c r="R289" i="54"/>
  <c r="Q219" i="54"/>
  <c r="R219" i="54"/>
  <c r="N219" i="54"/>
  <c r="Q123" i="54"/>
  <c r="R123" i="54"/>
  <c r="N123" i="54"/>
  <c r="Q59" i="54"/>
  <c r="R59" i="54"/>
  <c r="N59" i="54"/>
  <c r="R744" i="54"/>
  <c r="N744" i="54"/>
  <c r="Q744" i="54"/>
  <c r="R712" i="54"/>
  <c r="N712" i="54"/>
  <c r="Q712" i="54"/>
  <c r="R680" i="54"/>
  <c r="N680" i="54"/>
  <c r="Q680" i="54"/>
  <c r="N648" i="54"/>
  <c r="Q648" i="54"/>
  <c r="R648" i="54"/>
  <c r="N616" i="54"/>
  <c r="R616" i="54"/>
  <c r="Q616" i="54"/>
  <c r="N584" i="54"/>
  <c r="R584" i="54"/>
  <c r="Q584" i="54"/>
  <c r="N552" i="54"/>
  <c r="Q552" i="54"/>
  <c r="R552" i="54"/>
  <c r="N520" i="54"/>
  <c r="Q520" i="54"/>
  <c r="R520" i="54"/>
  <c r="N488" i="54"/>
  <c r="Q488" i="54"/>
  <c r="R488" i="54"/>
  <c r="N456" i="54"/>
  <c r="Q456" i="54"/>
  <c r="R456" i="54"/>
  <c r="N424" i="54"/>
  <c r="R424" i="54"/>
  <c r="Q424" i="54"/>
  <c r="N392" i="54"/>
  <c r="R392" i="54"/>
  <c r="Q392" i="54"/>
  <c r="N360" i="54"/>
  <c r="R360" i="54"/>
  <c r="Q360" i="54"/>
  <c r="N328" i="54"/>
  <c r="R328" i="54"/>
  <c r="Q328" i="54"/>
  <c r="N296" i="54"/>
  <c r="R296" i="54"/>
  <c r="Q296" i="54"/>
  <c r="R264" i="54"/>
  <c r="N264" i="54"/>
  <c r="Q264" i="54"/>
  <c r="R228" i="54"/>
  <c r="N228" i="54"/>
  <c r="Q228" i="54"/>
  <c r="R168" i="54"/>
  <c r="N168" i="54"/>
  <c r="Q168" i="54"/>
  <c r="R104" i="54"/>
  <c r="N104" i="54"/>
  <c r="Q104" i="54"/>
  <c r="R40" i="54"/>
  <c r="N40" i="54"/>
  <c r="Q40" i="54"/>
  <c r="R716" i="54"/>
  <c r="N716" i="54"/>
  <c r="Q716" i="54"/>
  <c r="N652" i="54"/>
  <c r="R652" i="54"/>
  <c r="Q652" i="54"/>
  <c r="N588" i="54"/>
  <c r="Q588" i="54"/>
  <c r="R588" i="54"/>
  <c r="N524" i="54"/>
  <c r="Q524" i="54"/>
  <c r="R524" i="54"/>
  <c r="N460" i="54"/>
  <c r="Q460" i="54"/>
  <c r="R460" i="54"/>
  <c r="N396" i="54"/>
  <c r="Q396" i="54"/>
  <c r="R396" i="54"/>
  <c r="N324" i="54"/>
  <c r="Q324" i="54"/>
  <c r="R324" i="54"/>
  <c r="R260" i="54"/>
  <c r="N260" i="54"/>
  <c r="Q260" i="54"/>
  <c r="R160" i="54"/>
  <c r="N160" i="54"/>
  <c r="Q160" i="54"/>
  <c r="R48" i="54"/>
  <c r="N48" i="54"/>
  <c r="Q48" i="54"/>
  <c r="N697" i="54"/>
  <c r="Q697" i="54"/>
  <c r="R697" i="54"/>
  <c r="N633" i="54"/>
  <c r="Q633" i="54"/>
  <c r="R633" i="54"/>
  <c r="N569" i="54"/>
  <c r="Q569" i="54"/>
  <c r="R569" i="54"/>
  <c r="N505" i="54"/>
  <c r="Q505" i="54"/>
  <c r="R505" i="54"/>
  <c r="N441" i="54"/>
  <c r="Q441" i="54"/>
  <c r="R441" i="54"/>
  <c r="N377" i="54"/>
  <c r="Q377" i="54"/>
  <c r="R377" i="54"/>
  <c r="N313" i="54"/>
  <c r="Q313" i="54"/>
  <c r="R313" i="54"/>
  <c r="N249" i="54"/>
  <c r="Q249" i="54"/>
  <c r="R249" i="54"/>
  <c r="N741" i="54"/>
  <c r="Q741" i="54"/>
  <c r="R741" i="54"/>
  <c r="N709" i="54"/>
  <c r="Q709" i="54"/>
  <c r="R709" i="54"/>
  <c r="N677" i="54"/>
  <c r="Q677" i="54"/>
  <c r="R677" i="54"/>
  <c r="N645" i="54"/>
  <c r="Q645" i="54"/>
  <c r="R645" i="54"/>
  <c r="N613" i="54"/>
  <c r="Q613" i="54"/>
  <c r="R613" i="54"/>
  <c r="N581" i="54"/>
  <c r="Q581" i="54"/>
  <c r="R581" i="54"/>
  <c r="N549" i="54"/>
  <c r="Q549" i="54"/>
  <c r="R549" i="54"/>
  <c r="N517" i="54"/>
  <c r="Q517" i="54"/>
  <c r="R517" i="54"/>
  <c r="N485" i="54"/>
  <c r="Q485" i="54"/>
  <c r="R485" i="54"/>
  <c r="N453" i="54"/>
  <c r="Q453" i="54"/>
  <c r="R453" i="54"/>
  <c r="N421" i="54"/>
  <c r="Q421" i="54"/>
  <c r="R421" i="54"/>
  <c r="N389" i="54"/>
  <c r="Q389" i="54"/>
  <c r="R389" i="54"/>
  <c r="N357" i="54"/>
  <c r="Q357" i="54"/>
  <c r="R357" i="54"/>
  <c r="N325" i="54"/>
  <c r="Q325" i="54"/>
  <c r="R325" i="54"/>
  <c r="N293" i="54"/>
  <c r="Q293" i="54"/>
  <c r="R293" i="54"/>
  <c r="N261" i="54"/>
  <c r="Q261" i="54"/>
  <c r="R261" i="54"/>
  <c r="R224" i="54"/>
  <c r="N224" i="54"/>
  <c r="Q224" i="54"/>
  <c r="Q163" i="54"/>
  <c r="R163" i="54"/>
  <c r="N163" i="54"/>
  <c r="Q99" i="54"/>
  <c r="R99" i="54"/>
  <c r="N99" i="54"/>
  <c r="Q35" i="54"/>
  <c r="R35" i="54"/>
  <c r="N35" i="54"/>
  <c r="R735" i="54"/>
  <c r="N735" i="54"/>
  <c r="Q735" i="54"/>
  <c r="R719" i="54"/>
  <c r="N719" i="54"/>
  <c r="Q719" i="54"/>
  <c r="R703" i="54"/>
  <c r="N703" i="54"/>
  <c r="Q703" i="54"/>
  <c r="R687" i="54"/>
  <c r="N687" i="54"/>
  <c r="Q687" i="54"/>
  <c r="R671" i="54"/>
  <c r="Q671" i="54"/>
  <c r="N671" i="54"/>
  <c r="R655" i="54"/>
  <c r="Q655" i="54"/>
  <c r="N655" i="54"/>
  <c r="R639" i="54"/>
  <c r="N639" i="54"/>
  <c r="Q639" i="54"/>
  <c r="R623" i="54"/>
  <c r="N623" i="54"/>
  <c r="Q623" i="54"/>
  <c r="R607" i="54"/>
  <c r="N607" i="54"/>
  <c r="Q607" i="54"/>
  <c r="R591" i="54"/>
  <c r="N591" i="54"/>
  <c r="Q591" i="54"/>
  <c r="R575" i="54"/>
  <c r="N575" i="54"/>
  <c r="Q575" i="54"/>
  <c r="R559" i="54"/>
  <c r="N559" i="54"/>
  <c r="Q559" i="54"/>
  <c r="R543" i="54"/>
  <c r="N543" i="54"/>
  <c r="Q543" i="54"/>
  <c r="R527" i="54"/>
  <c r="N527" i="54"/>
  <c r="Q527" i="54"/>
  <c r="R511" i="54"/>
  <c r="N511" i="54"/>
  <c r="Q511" i="54"/>
  <c r="R495" i="54"/>
  <c r="N495" i="54"/>
  <c r="Q495" i="54"/>
  <c r="R479" i="54"/>
  <c r="N479" i="54"/>
  <c r="Q479" i="54"/>
  <c r="R463" i="54"/>
  <c r="N463" i="54"/>
  <c r="Q463" i="54"/>
  <c r="R447" i="54"/>
  <c r="N447" i="54"/>
  <c r="Q447" i="54"/>
  <c r="R431" i="54"/>
  <c r="N431" i="54"/>
  <c r="Q431" i="54"/>
  <c r="R415" i="54"/>
  <c r="N415" i="54"/>
  <c r="Q415" i="54"/>
  <c r="R399" i="54"/>
  <c r="N399" i="54"/>
  <c r="Q399" i="54"/>
  <c r="R383" i="54"/>
  <c r="N383" i="54"/>
  <c r="Q383" i="54"/>
  <c r="R367" i="54"/>
  <c r="N367" i="54"/>
  <c r="Q367" i="54"/>
  <c r="R351" i="54"/>
  <c r="N351" i="54"/>
  <c r="Q351" i="54"/>
  <c r="R335" i="54"/>
  <c r="N335" i="54"/>
  <c r="Q335" i="54"/>
  <c r="R319" i="54"/>
  <c r="N319" i="54"/>
  <c r="Q319" i="54"/>
  <c r="R303" i="54"/>
  <c r="N303" i="54"/>
  <c r="Q303" i="54"/>
  <c r="Q287" i="54"/>
  <c r="R287" i="54"/>
  <c r="N287" i="54"/>
  <c r="Q271" i="54"/>
  <c r="R271" i="54"/>
  <c r="N271" i="54"/>
  <c r="Q255" i="54"/>
  <c r="R255" i="54"/>
  <c r="N255" i="54"/>
  <c r="N238" i="54"/>
  <c r="Q238" i="54"/>
  <c r="R238" i="54"/>
  <c r="Q215" i="54"/>
  <c r="R215" i="54"/>
  <c r="N215" i="54"/>
  <c r="Q183" i="54"/>
  <c r="R183" i="54"/>
  <c r="N183" i="54"/>
  <c r="Q151" i="54"/>
  <c r="R151" i="54"/>
  <c r="N151" i="54"/>
  <c r="Q119" i="54"/>
  <c r="R119" i="54"/>
  <c r="N119" i="54"/>
  <c r="Q87" i="54"/>
  <c r="R87" i="54"/>
  <c r="N87" i="54"/>
  <c r="Q55" i="54"/>
  <c r="R55" i="54"/>
  <c r="N55" i="54"/>
  <c r="Q23" i="54"/>
  <c r="R23" i="54"/>
  <c r="N23" i="54"/>
  <c r="Q738" i="54"/>
  <c r="R738" i="54"/>
  <c r="N738" i="54"/>
  <c r="Q722" i="54"/>
  <c r="R722" i="54"/>
  <c r="N722" i="54"/>
  <c r="Q706" i="54"/>
  <c r="R706" i="54"/>
  <c r="N706" i="54"/>
  <c r="Q690" i="54"/>
  <c r="R690" i="54"/>
  <c r="N690" i="54"/>
  <c r="Q674" i="54"/>
  <c r="R674" i="54"/>
  <c r="N674" i="54"/>
  <c r="Q658" i="54"/>
  <c r="R658" i="54"/>
  <c r="N658" i="54"/>
  <c r="Q642" i="54"/>
  <c r="R642" i="54"/>
  <c r="N642" i="54"/>
  <c r="Q626" i="54"/>
  <c r="R626" i="54"/>
  <c r="N626" i="54"/>
  <c r="Q610" i="54"/>
  <c r="R610" i="54"/>
  <c r="N610" i="54"/>
  <c r="Q594" i="54"/>
  <c r="R594" i="54"/>
  <c r="N594" i="54"/>
  <c r="Q578" i="54"/>
  <c r="R578" i="54"/>
  <c r="N578" i="54"/>
  <c r="Q562" i="54"/>
  <c r="R562" i="54"/>
  <c r="N562" i="54"/>
  <c r="Q546" i="54"/>
  <c r="R546" i="54"/>
  <c r="N546" i="54"/>
  <c r="Q530" i="54"/>
  <c r="R530" i="54"/>
  <c r="N530" i="54"/>
  <c r="Q514" i="54"/>
  <c r="R514" i="54"/>
  <c r="N514" i="54"/>
  <c r="Q498" i="54"/>
  <c r="R498" i="54"/>
  <c r="N498" i="54"/>
  <c r="Q482" i="54"/>
  <c r="R482" i="54"/>
  <c r="N482" i="54"/>
  <c r="Q466" i="54"/>
  <c r="R466" i="54"/>
  <c r="N466" i="54"/>
  <c r="Q450" i="54"/>
  <c r="R450" i="54"/>
  <c r="N450" i="54"/>
  <c r="Q434" i="54"/>
  <c r="R434" i="54"/>
  <c r="N434" i="54"/>
  <c r="Q418" i="54"/>
  <c r="R418" i="54"/>
  <c r="N418" i="54"/>
  <c r="Q402" i="54"/>
  <c r="R402" i="54"/>
  <c r="N402" i="54"/>
  <c r="Q386" i="54"/>
  <c r="R386" i="54"/>
  <c r="N386" i="54"/>
  <c r="Q370" i="54"/>
  <c r="R370" i="54"/>
  <c r="N370" i="54"/>
  <c r="Q354" i="54"/>
  <c r="R354" i="54"/>
  <c r="N354" i="54"/>
  <c r="Q338" i="54"/>
  <c r="R338" i="54"/>
  <c r="N338" i="54"/>
  <c r="Q322" i="54"/>
  <c r="R322" i="54"/>
  <c r="N322" i="54"/>
  <c r="Q306" i="54"/>
  <c r="R306" i="54"/>
  <c r="N306" i="54"/>
  <c r="N290" i="54"/>
  <c r="Q290" i="54"/>
  <c r="R290" i="54"/>
  <c r="N274" i="54"/>
  <c r="Q274" i="54"/>
  <c r="R274" i="54"/>
  <c r="N258" i="54"/>
  <c r="Q258" i="54"/>
  <c r="R258" i="54"/>
  <c r="N242" i="54"/>
  <c r="Q242" i="54"/>
  <c r="R242" i="54"/>
  <c r="R220" i="54"/>
  <c r="N220" i="54"/>
  <c r="Q220" i="54"/>
  <c r="R188" i="54"/>
  <c r="N188" i="54"/>
  <c r="Q188" i="54"/>
  <c r="R156" i="54"/>
  <c r="N156" i="54"/>
  <c r="Q156" i="54"/>
  <c r="R124" i="54"/>
  <c r="N124" i="54"/>
  <c r="Q124" i="54"/>
  <c r="R92" i="54"/>
  <c r="N92" i="54"/>
  <c r="Q92" i="54"/>
  <c r="R60" i="54"/>
  <c r="N60" i="54"/>
  <c r="Q60" i="54"/>
  <c r="R28" i="54"/>
  <c r="N28" i="54"/>
  <c r="Q28" i="54"/>
  <c r="N214" i="54"/>
  <c r="Q214" i="54"/>
  <c r="R214" i="54"/>
  <c r="N198" i="54"/>
  <c r="Q198" i="54"/>
  <c r="R198" i="54"/>
  <c r="N182" i="54"/>
  <c r="Q182" i="54"/>
  <c r="R182" i="54"/>
  <c r="N166" i="54"/>
  <c r="Q166" i="54"/>
  <c r="R166" i="54"/>
  <c r="N150" i="54"/>
  <c r="Q150" i="54"/>
  <c r="R150" i="54"/>
  <c r="N134" i="54"/>
  <c r="Q134" i="54"/>
  <c r="R134" i="54"/>
  <c r="N118" i="54"/>
  <c r="Q118" i="54"/>
  <c r="R118" i="54"/>
  <c r="N102" i="54"/>
  <c r="Q102" i="54"/>
  <c r="R102" i="54"/>
  <c r="N86" i="54"/>
  <c r="Q86" i="54"/>
  <c r="R86" i="54"/>
  <c r="N70" i="54"/>
  <c r="Q70" i="54"/>
  <c r="R70" i="54"/>
  <c r="N54" i="54"/>
  <c r="Q54" i="54"/>
  <c r="R54" i="54"/>
  <c r="N38" i="54"/>
  <c r="Q38" i="54"/>
  <c r="R38" i="54"/>
  <c r="N22" i="54"/>
  <c r="Q22" i="54"/>
  <c r="R22" i="54"/>
  <c r="R6" i="54"/>
  <c r="N6" i="54"/>
  <c r="Q6" i="54"/>
  <c r="N229" i="54"/>
  <c r="Q229" i="54"/>
  <c r="R229" i="54"/>
  <c r="N213" i="54"/>
  <c r="Q213" i="54"/>
  <c r="R213" i="54"/>
  <c r="N197" i="54"/>
  <c r="Q197" i="54"/>
  <c r="R197" i="54"/>
  <c r="N181" i="54"/>
  <c r="Q181" i="54"/>
  <c r="R181" i="54"/>
  <c r="N165" i="54"/>
  <c r="Q165" i="54"/>
  <c r="R165" i="54"/>
  <c r="N149" i="54"/>
  <c r="Q149" i="54"/>
  <c r="R149" i="54"/>
  <c r="N133" i="54"/>
  <c r="Q133" i="54"/>
  <c r="R133" i="54"/>
  <c r="N117" i="54"/>
  <c r="Q117" i="54"/>
  <c r="R117" i="54"/>
  <c r="N101" i="54"/>
  <c r="Q101" i="54"/>
  <c r="R101" i="54"/>
  <c r="N85" i="54"/>
  <c r="Q85" i="54"/>
  <c r="R85" i="54"/>
  <c r="N69" i="54"/>
  <c r="Q69" i="54"/>
  <c r="R69" i="54"/>
  <c r="N53" i="54"/>
  <c r="Q53" i="54"/>
  <c r="R53" i="54"/>
  <c r="N37" i="54"/>
  <c r="Q37" i="54"/>
  <c r="R37" i="54"/>
  <c r="N21" i="54"/>
  <c r="Q21" i="54"/>
  <c r="R21" i="54"/>
  <c r="Q5" i="54"/>
  <c r="R5" i="54"/>
  <c r="N5" i="54"/>
  <c r="N757" i="54"/>
  <c r="Q757" i="54"/>
  <c r="R757" i="54"/>
  <c r="N749" i="54"/>
  <c r="Q749" i="54"/>
  <c r="R749" i="54"/>
  <c r="R755" i="54"/>
  <c r="N755" i="54"/>
  <c r="Q755" i="54"/>
  <c r="N745" i="54"/>
  <c r="Q745" i="54"/>
  <c r="R745" i="54"/>
  <c r="R708" i="54"/>
  <c r="N708" i="54"/>
  <c r="Q708" i="54"/>
  <c r="N516" i="54"/>
  <c r="Q516" i="54"/>
  <c r="R516" i="54"/>
  <c r="R268" i="54"/>
  <c r="N268" i="54"/>
  <c r="Q268" i="54"/>
  <c r="N689" i="54"/>
  <c r="Q689" i="54"/>
  <c r="R689" i="54"/>
  <c r="N561" i="54"/>
  <c r="Q561" i="54"/>
  <c r="R561" i="54"/>
  <c r="N369" i="54"/>
  <c r="Q369" i="54"/>
  <c r="R369" i="54"/>
  <c r="Q139" i="54"/>
  <c r="R139" i="54"/>
  <c r="N139" i="54"/>
  <c r="R720" i="54"/>
  <c r="N720" i="54"/>
  <c r="Q720" i="54"/>
  <c r="N624" i="54"/>
  <c r="R624" i="54"/>
  <c r="Q624" i="54"/>
  <c r="N560" i="54"/>
  <c r="R560" i="54"/>
  <c r="Q560" i="54"/>
  <c r="N464" i="54"/>
  <c r="Q464" i="54"/>
  <c r="R464" i="54"/>
  <c r="N368" i="54"/>
  <c r="R368" i="54"/>
  <c r="Q368" i="54"/>
  <c r="R272" i="54"/>
  <c r="N272" i="54"/>
  <c r="Q272" i="54"/>
  <c r="R184" i="54"/>
  <c r="N184" i="54"/>
  <c r="Q184" i="54"/>
  <c r="R732" i="54"/>
  <c r="N732" i="54"/>
  <c r="Q732" i="54"/>
  <c r="N476" i="54"/>
  <c r="Q476" i="54"/>
  <c r="R476" i="54"/>
  <c r="R276" i="54"/>
  <c r="N276" i="54"/>
  <c r="Q276" i="54"/>
  <c r="N713" i="54"/>
  <c r="Q713" i="54"/>
  <c r="R713" i="54"/>
  <c r="N521" i="54"/>
  <c r="Q521" i="54"/>
  <c r="R521" i="54"/>
  <c r="N329" i="54"/>
  <c r="Q329" i="54"/>
  <c r="R329" i="54"/>
  <c r="N717" i="54"/>
  <c r="Q717" i="54"/>
  <c r="R717" i="54"/>
  <c r="N621" i="54"/>
  <c r="Q621" i="54"/>
  <c r="R621" i="54"/>
  <c r="N525" i="54"/>
  <c r="Q525" i="54"/>
  <c r="R525" i="54"/>
  <c r="N429" i="54"/>
  <c r="Q429" i="54"/>
  <c r="R429" i="54"/>
  <c r="N333" i="54"/>
  <c r="Q333" i="54"/>
  <c r="R333" i="54"/>
  <c r="Q235" i="54"/>
  <c r="R235" i="54"/>
  <c r="N235" i="54"/>
  <c r="Q51" i="54"/>
  <c r="R51" i="54"/>
  <c r="N51" i="54"/>
  <c r="R707" i="54"/>
  <c r="N707" i="54"/>
  <c r="Q707" i="54"/>
  <c r="R643" i="54"/>
  <c r="Q643" i="54"/>
  <c r="N643" i="54"/>
  <c r="R595" i="54"/>
  <c r="Q595" i="54"/>
  <c r="N595" i="54"/>
  <c r="R579" i="54"/>
  <c r="Q579" i="54"/>
  <c r="N579" i="54"/>
  <c r="R531" i="54"/>
  <c r="N531" i="54"/>
  <c r="Q531" i="54"/>
  <c r="R467" i="54"/>
  <c r="N467" i="54"/>
  <c r="Q467" i="54"/>
  <c r="R419" i="54"/>
  <c r="Q419" i="54"/>
  <c r="N419" i="54"/>
  <c r="R371" i="54"/>
  <c r="Q371" i="54"/>
  <c r="N371" i="54"/>
  <c r="R323" i="54"/>
  <c r="Q323" i="54"/>
  <c r="N323" i="54"/>
  <c r="Q259" i="54"/>
  <c r="R259" i="54"/>
  <c r="N259" i="54"/>
  <c r="Q191" i="54"/>
  <c r="R191" i="54"/>
  <c r="N191" i="54"/>
  <c r="Q95" i="54"/>
  <c r="R95" i="54"/>
  <c r="N95" i="54"/>
  <c r="Q742" i="54"/>
  <c r="R742" i="54"/>
  <c r="N742" i="54"/>
  <c r="Q678" i="54"/>
  <c r="R678" i="54"/>
  <c r="N678" i="54"/>
  <c r="Q614" i="54"/>
  <c r="R614" i="54"/>
  <c r="N614" i="54"/>
  <c r="Q566" i="54"/>
  <c r="R566" i="54"/>
  <c r="N566" i="54"/>
  <c r="Q518" i="54"/>
  <c r="R518" i="54"/>
  <c r="N518" i="54"/>
  <c r="Q470" i="54"/>
  <c r="R470" i="54"/>
  <c r="N470" i="54"/>
  <c r="Q422" i="54"/>
  <c r="R422" i="54"/>
  <c r="N422" i="54"/>
  <c r="Q374" i="54"/>
  <c r="R374" i="54"/>
  <c r="N374" i="54"/>
  <c r="Q326" i="54"/>
  <c r="R326" i="54"/>
  <c r="N326" i="54"/>
  <c r="N278" i="54"/>
  <c r="Q278" i="54"/>
  <c r="R278" i="54"/>
  <c r="N226" i="54"/>
  <c r="Q226" i="54"/>
  <c r="R226" i="54"/>
  <c r="R132" i="54"/>
  <c r="N132" i="54"/>
  <c r="Q132" i="54"/>
  <c r="R36" i="54"/>
  <c r="N36" i="54"/>
  <c r="Q36" i="54"/>
  <c r="N186" i="54"/>
  <c r="Q186" i="54"/>
  <c r="R186" i="54"/>
  <c r="N122" i="54"/>
  <c r="Q122" i="54"/>
  <c r="R122" i="54"/>
  <c r="N74" i="54"/>
  <c r="Q74" i="54"/>
  <c r="R74" i="54"/>
  <c r="N42" i="54"/>
  <c r="Q42" i="54"/>
  <c r="R42" i="54"/>
  <c r="N10" i="54"/>
  <c r="Q10" i="54"/>
  <c r="R10" i="54"/>
  <c r="N201" i="54"/>
  <c r="Q201" i="54"/>
  <c r="R201" i="54"/>
  <c r="N153" i="54"/>
  <c r="Q153" i="54"/>
  <c r="R153" i="54"/>
  <c r="N105" i="54"/>
  <c r="Q105" i="54"/>
  <c r="R105" i="54"/>
  <c r="N41" i="54"/>
  <c r="Q41" i="54"/>
  <c r="R41" i="54"/>
  <c r="Q746" i="54"/>
  <c r="R746" i="54"/>
  <c r="N746" i="54"/>
  <c r="Q750" i="54"/>
  <c r="R750" i="54"/>
  <c r="N750" i="54"/>
  <c r="R740" i="54"/>
  <c r="N740" i="54"/>
  <c r="Q740" i="54"/>
  <c r="N676" i="54"/>
  <c r="R676" i="54"/>
  <c r="Q676" i="54"/>
  <c r="N612" i="54"/>
  <c r="Q612" i="54"/>
  <c r="R612" i="54"/>
  <c r="N548" i="54"/>
  <c r="Q548" i="54"/>
  <c r="R548" i="54"/>
  <c r="N484" i="54"/>
  <c r="Q484" i="54"/>
  <c r="R484" i="54"/>
  <c r="N420" i="54"/>
  <c r="Q420" i="54"/>
  <c r="R420" i="54"/>
  <c r="N356" i="54"/>
  <c r="Q356" i="54"/>
  <c r="R356" i="54"/>
  <c r="N300" i="54"/>
  <c r="Q300" i="54"/>
  <c r="R300" i="54"/>
  <c r="N234" i="54"/>
  <c r="Q234" i="54"/>
  <c r="R234" i="54"/>
  <c r="R112" i="54"/>
  <c r="N112" i="54"/>
  <c r="Q112" i="54"/>
  <c r="N721" i="54"/>
  <c r="Q721" i="54"/>
  <c r="R721" i="54"/>
  <c r="N657" i="54"/>
  <c r="Q657" i="54"/>
  <c r="R657" i="54"/>
  <c r="N593" i="54"/>
  <c r="Q593" i="54"/>
  <c r="R593" i="54"/>
  <c r="N529" i="54"/>
  <c r="Q529" i="54"/>
  <c r="R529" i="54"/>
  <c r="N465" i="54"/>
  <c r="Q465" i="54"/>
  <c r="R465" i="54"/>
  <c r="N401" i="54"/>
  <c r="Q401" i="54"/>
  <c r="R401" i="54"/>
  <c r="N337" i="54"/>
  <c r="Q337" i="54"/>
  <c r="R337" i="54"/>
  <c r="N273" i="54"/>
  <c r="Q273" i="54"/>
  <c r="R273" i="54"/>
  <c r="Q187" i="54"/>
  <c r="R187" i="54"/>
  <c r="N187" i="54"/>
  <c r="Q107" i="54"/>
  <c r="R107" i="54"/>
  <c r="N107" i="54"/>
  <c r="Q43" i="54"/>
  <c r="R43" i="54"/>
  <c r="N43" i="54"/>
  <c r="R736" i="54"/>
  <c r="N736" i="54"/>
  <c r="Q736" i="54"/>
  <c r="R704" i="54"/>
  <c r="N704" i="54"/>
  <c r="Q704" i="54"/>
  <c r="N672" i="54"/>
  <c r="Q672" i="54"/>
  <c r="R672" i="54"/>
  <c r="N640" i="54"/>
  <c r="R640" i="54"/>
  <c r="Q640" i="54"/>
  <c r="N608" i="54"/>
  <c r="R608" i="54"/>
  <c r="Q608" i="54"/>
  <c r="N576" i="54"/>
  <c r="R576" i="54"/>
  <c r="Q576" i="54"/>
  <c r="N544" i="54"/>
  <c r="Q544" i="54"/>
  <c r="R544" i="54"/>
  <c r="N512" i="54"/>
  <c r="Q512" i="54"/>
  <c r="R512" i="54"/>
  <c r="N480" i="54"/>
  <c r="Q480" i="54"/>
  <c r="R480" i="54"/>
  <c r="N448" i="54"/>
  <c r="Q448" i="54"/>
  <c r="R448" i="54"/>
  <c r="N416" i="54"/>
  <c r="R416" i="54"/>
  <c r="Q416" i="54"/>
  <c r="N384" i="54"/>
  <c r="R384" i="54"/>
  <c r="Q384" i="54"/>
  <c r="N352" i="54"/>
  <c r="R352" i="54"/>
  <c r="Q352" i="54"/>
  <c r="N320" i="54"/>
  <c r="R320" i="54"/>
  <c r="Q320" i="54"/>
  <c r="R288" i="54"/>
  <c r="N288" i="54"/>
  <c r="Q288" i="54"/>
  <c r="R256" i="54"/>
  <c r="N256" i="54"/>
  <c r="Q256" i="54"/>
  <c r="R216" i="54"/>
  <c r="N216" i="54"/>
  <c r="Q216" i="54"/>
  <c r="R152" i="54"/>
  <c r="N152" i="54"/>
  <c r="Q152" i="54"/>
  <c r="R88" i="54"/>
  <c r="N88" i="54"/>
  <c r="Q88" i="54"/>
  <c r="R24" i="54"/>
  <c r="N24" i="54"/>
  <c r="Q24" i="54"/>
  <c r="R700" i="54"/>
  <c r="N700" i="54"/>
  <c r="Q700" i="54"/>
  <c r="N636" i="54"/>
  <c r="Q636" i="54"/>
  <c r="R636" i="54"/>
  <c r="N572" i="54"/>
  <c r="Q572" i="54"/>
  <c r="R572" i="54"/>
  <c r="N508" i="54"/>
  <c r="Q508" i="54"/>
  <c r="R508" i="54"/>
  <c r="N444" i="54"/>
  <c r="Q444" i="54"/>
  <c r="R444" i="54"/>
  <c r="N380" i="54"/>
  <c r="Q380" i="54"/>
  <c r="R380" i="54"/>
  <c r="N308" i="54"/>
  <c r="Q308" i="54"/>
  <c r="R308" i="54"/>
  <c r="R244" i="54"/>
  <c r="N244" i="54"/>
  <c r="Q244" i="54"/>
  <c r="R128" i="54"/>
  <c r="N128" i="54"/>
  <c r="Q128" i="54"/>
  <c r="R16" i="54"/>
  <c r="N16" i="54"/>
  <c r="Q16" i="54"/>
  <c r="N681" i="54"/>
  <c r="Q681" i="54"/>
  <c r="R681" i="54"/>
  <c r="N617" i="54"/>
  <c r="Q617" i="54"/>
  <c r="R617" i="54"/>
  <c r="N553" i="54"/>
  <c r="Q553" i="54"/>
  <c r="R553" i="54"/>
  <c r="N489" i="54"/>
  <c r="Q489" i="54"/>
  <c r="R489" i="54"/>
  <c r="N425" i="54"/>
  <c r="Q425" i="54"/>
  <c r="R425" i="54"/>
  <c r="N361" i="54"/>
  <c r="Q361" i="54"/>
  <c r="R361" i="54"/>
  <c r="N297" i="54"/>
  <c r="Q297" i="54"/>
  <c r="R297" i="54"/>
  <c r="N230" i="54"/>
  <c r="Q230" i="54"/>
  <c r="R230" i="54"/>
  <c r="N733" i="54"/>
  <c r="Q733" i="54"/>
  <c r="R733" i="54"/>
  <c r="N701" i="54"/>
  <c r="Q701" i="54"/>
  <c r="R701" i="54"/>
  <c r="N669" i="54"/>
  <c r="Q669" i="54"/>
  <c r="R669" i="54"/>
  <c r="N637" i="54"/>
  <c r="Q637" i="54"/>
  <c r="R637" i="54"/>
  <c r="N605" i="54"/>
  <c r="Q605" i="54"/>
  <c r="R605" i="54"/>
  <c r="N573" i="54"/>
  <c r="Q573" i="54"/>
  <c r="R573" i="54"/>
  <c r="N541" i="54"/>
  <c r="Q541" i="54"/>
  <c r="R541" i="54"/>
  <c r="N509" i="54"/>
  <c r="Q509" i="54"/>
  <c r="R509" i="54"/>
  <c r="N477" i="54"/>
  <c r="Q477" i="54"/>
  <c r="R477" i="54"/>
  <c r="N445" i="54"/>
  <c r="Q445" i="54"/>
  <c r="R445" i="54"/>
  <c r="N413" i="54"/>
  <c r="Q413" i="54"/>
  <c r="R413" i="54"/>
  <c r="N381" i="54"/>
  <c r="Q381" i="54"/>
  <c r="R381" i="54"/>
  <c r="N349" i="54"/>
  <c r="Q349" i="54"/>
  <c r="R349" i="54"/>
  <c r="N317" i="54"/>
  <c r="Q317" i="54"/>
  <c r="R317" i="54"/>
  <c r="N285" i="54"/>
  <c r="Q285" i="54"/>
  <c r="R285" i="54"/>
  <c r="N253" i="54"/>
  <c r="Q253" i="54"/>
  <c r="R253" i="54"/>
  <c r="Q211" i="54"/>
  <c r="R211" i="54"/>
  <c r="N211" i="54"/>
  <c r="Q147" i="54"/>
  <c r="R147" i="54"/>
  <c r="N147" i="54"/>
  <c r="Q83" i="54"/>
  <c r="R83" i="54"/>
  <c r="N83" i="54"/>
  <c r="Q19" i="54"/>
  <c r="R19" i="54"/>
  <c r="N19" i="54"/>
  <c r="R731" i="54"/>
  <c r="N731" i="54"/>
  <c r="Q731" i="54"/>
  <c r="R715" i="54"/>
  <c r="N715" i="54"/>
  <c r="Q715" i="54"/>
  <c r="R699" i="54"/>
  <c r="N699" i="54"/>
  <c r="Q699" i="54"/>
  <c r="R683" i="54"/>
  <c r="Q683" i="54"/>
  <c r="N683" i="54"/>
  <c r="R667" i="54"/>
  <c r="N667" i="54"/>
  <c r="Q667" i="54"/>
  <c r="R651" i="54"/>
  <c r="N651" i="54"/>
  <c r="Q651" i="54"/>
  <c r="R635" i="54"/>
  <c r="Q635" i="54"/>
  <c r="N635" i="54"/>
  <c r="R619" i="54"/>
  <c r="Q619" i="54"/>
  <c r="N619" i="54"/>
  <c r="R603" i="54"/>
  <c r="Q603" i="54"/>
  <c r="N603" i="54"/>
  <c r="R587" i="54"/>
  <c r="Q587" i="54"/>
  <c r="N587" i="54"/>
  <c r="R571" i="54"/>
  <c r="Q571" i="54"/>
  <c r="N571" i="54"/>
  <c r="R555" i="54"/>
  <c r="N555" i="54"/>
  <c r="Q555" i="54"/>
  <c r="R539" i="54"/>
  <c r="N539" i="54"/>
  <c r="Q539" i="54"/>
  <c r="R523" i="54"/>
  <c r="N523" i="54"/>
  <c r="Q523" i="54"/>
  <c r="R507" i="54"/>
  <c r="N507" i="54"/>
  <c r="Q507" i="54"/>
  <c r="R491" i="54"/>
  <c r="N491" i="54"/>
  <c r="Q491" i="54"/>
  <c r="R475" i="54"/>
  <c r="N475" i="54"/>
  <c r="Q475" i="54"/>
  <c r="R459" i="54"/>
  <c r="N459" i="54"/>
  <c r="Q459" i="54"/>
  <c r="R443" i="54"/>
  <c r="N443" i="54"/>
  <c r="Q443" i="54"/>
  <c r="R427" i="54"/>
  <c r="Q427" i="54"/>
  <c r="N427" i="54"/>
  <c r="R411" i="54"/>
  <c r="Q411" i="54"/>
  <c r="N411" i="54"/>
  <c r="R395" i="54"/>
  <c r="Q395" i="54"/>
  <c r="N395" i="54"/>
  <c r="R379" i="54"/>
  <c r="Q379" i="54"/>
  <c r="N379" i="54"/>
  <c r="R363" i="54"/>
  <c r="Q363" i="54"/>
  <c r="N363" i="54"/>
  <c r="R347" i="54"/>
  <c r="Q347" i="54"/>
  <c r="N347" i="54"/>
  <c r="R331" i="54"/>
  <c r="Q331" i="54"/>
  <c r="N331" i="54"/>
  <c r="R315" i="54"/>
  <c r="Q315" i="54"/>
  <c r="N315" i="54"/>
  <c r="R299" i="54"/>
  <c r="Q299" i="54"/>
  <c r="N299" i="54"/>
  <c r="Q283" i="54"/>
  <c r="R283" i="54"/>
  <c r="N283" i="54"/>
  <c r="Q267" i="54"/>
  <c r="R267" i="54"/>
  <c r="N267" i="54"/>
  <c r="Q251" i="54"/>
  <c r="R251" i="54"/>
  <c r="N251" i="54"/>
  <c r="R232" i="54"/>
  <c r="N232" i="54"/>
  <c r="Q232" i="54"/>
  <c r="Q207" i="54"/>
  <c r="R207" i="54"/>
  <c r="N207" i="54"/>
  <c r="Q175" i="54"/>
  <c r="R175" i="54"/>
  <c r="N175" i="54"/>
  <c r="Q143" i="54"/>
  <c r="R143" i="54"/>
  <c r="N143" i="54"/>
  <c r="Q111" i="54"/>
  <c r="R111" i="54"/>
  <c r="N111" i="54"/>
  <c r="Q79" i="54"/>
  <c r="R79" i="54"/>
  <c r="N79" i="54"/>
  <c r="Q47" i="54"/>
  <c r="R47" i="54"/>
  <c r="N47" i="54"/>
  <c r="Q15" i="54"/>
  <c r="R15" i="54"/>
  <c r="N15" i="54"/>
  <c r="Q734" i="54"/>
  <c r="R734" i="54"/>
  <c r="N734" i="54"/>
  <c r="Q718" i="54"/>
  <c r="R718" i="54"/>
  <c r="N718" i="54"/>
  <c r="Q702" i="54"/>
  <c r="R702" i="54"/>
  <c r="N702" i="54"/>
  <c r="Q686" i="54"/>
  <c r="R686" i="54"/>
  <c r="N686" i="54"/>
  <c r="Q670" i="54"/>
  <c r="R670" i="54"/>
  <c r="N670" i="54"/>
  <c r="Q654" i="54"/>
  <c r="R654" i="54"/>
  <c r="N654" i="54"/>
  <c r="Q638" i="54"/>
  <c r="R638" i="54"/>
  <c r="N638" i="54"/>
  <c r="Q622" i="54"/>
  <c r="R622" i="54"/>
  <c r="N622" i="54"/>
  <c r="Q606" i="54"/>
  <c r="R606" i="54"/>
  <c r="N606" i="54"/>
  <c r="Q590" i="54"/>
  <c r="R590" i="54"/>
  <c r="N590" i="54"/>
  <c r="Q574" i="54"/>
  <c r="R574" i="54"/>
  <c r="N574" i="54"/>
  <c r="Q558" i="54"/>
  <c r="R558" i="54"/>
  <c r="N558" i="54"/>
  <c r="Q542" i="54"/>
  <c r="R542" i="54"/>
  <c r="N542" i="54"/>
  <c r="Q526" i="54"/>
  <c r="R526" i="54"/>
  <c r="N526" i="54"/>
  <c r="Q510" i="54"/>
  <c r="R510" i="54"/>
  <c r="N510" i="54"/>
  <c r="Q494" i="54"/>
  <c r="R494" i="54"/>
  <c r="N494" i="54"/>
  <c r="Q478" i="54"/>
  <c r="R478" i="54"/>
  <c r="N478" i="54"/>
  <c r="Q462" i="54"/>
  <c r="R462" i="54"/>
  <c r="N462" i="54"/>
  <c r="Q446" i="54"/>
  <c r="R446" i="54"/>
  <c r="N446" i="54"/>
  <c r="Q430" i="54"/>
  <c r="R430" i="54"/>
  <c r="N430" i="54"/>
  <c r="Q414" i="54"/>
  <c r="R414" i="54"/>
  <c r="N414" i="54"/>
  <c r="Q398" i="54"/>
  <c r="R398" i="54"/>
  <c r="N398" i="54"/>
  <c r="Q382" i="54"/>
  <c r="R382" i="54"/>
  <c r="N382" i="54"/>
  <c r="Q366" i="54"/>
  <c r="R366" i="54"/>
  <c r="N366" i="54"/>
  <c r="Q350" i="54"/>
  <c r="R350" i="54"/>
  <c r="N350" i="54"/>
  <c r="Q334" i="54"/>
  <c r="R334" i="54"/>
  <c r="N334" i="54"/>
  <c r="Q318" i="54"/>
  <c r="R318" i="54"/>
  <c r="N318" i="54"/>
  <c r="Q302" i="54"/>
  <c r="R302" i="54"/>
  <c r="N302" i="54"/>
  <c r="N286" i="54"/>
  <c r="Q286" i="54"/>
  <c r="R286" i="54"/>
  <c r="N270" i="54"/>
  <c r="Q270" i="54"/>
  <c r="R270" i="54"/>
  <c r="N254" i="54"/>
  <c r="Q254" i="54"/>
  <c r="R254" i="54"/>
  <c r="R236" i="54"/>
  <c r="N236" i="54"/>
  <c r="Q236" i="54"/>
  <c r="R212" i="54"/>
  <c r="N212" i="54"/>
  <c r="Q212" i="54"/>
  <c r="R180" i="54"/>
  <c r="N180" i="54"/>
  <c r="Q180" i="54"/>
  <c r="R148" i="54"/>
  <c r="N148" i="54"/>
  <c r="Q148" i="54"/>
  <c r="R116" i="54"/>
  <c r="N116" i="54"/>
  <c r="Q116" i="54"/>
  <c r="R84" i="54"/>
  <c r="N84" i="54"/>
  <c r="Q84" i="54"/>
  <c r="R52" i="54"/>
  <c r="N52" i="54"/>
  <c r="Q52" i="54"/>
  <c r="R20" i="54"/>
  <c r="N20" i="54"/>
  <c r="Q20" i="54"/>
  <c r="N210" i="54"/>
  <c r="Q210" i="54"/>
  <c r="R210" i="54"/>
  <c r="N194" i="54"/>
  <c r="Q194" i="54"/>
  <c r="R194" i="54"/>
  <c r="N178" i="54"/>
  <c r="Q178" i="54"/>
  <c r="R178" i="54"/>
  <c r="N162" i="54"/>
  <c r="Q162" i="54"/>
  <c r="R162" i="54"/>
  <c r="N146" i="54"/>
  <c r="Q146" i="54"/>
  <c r="R146" i="54"/>
  <c r="N130" i="54"/>
  <c r="Q130" i="54"/>
  <c r="R130" i="54"/>
  <c r="N114" i="54"/>
  <c r="Q114" i="54"/>
  <c r="R114" i="54"/>
  <c r="N98" i="54"/>
  <c r="Q98" i="54"/>
  <c r="R98" i="54"/>
  <c r="N82" i="54"/>
  <c r="Q82" i="54"/>
  <c r="R82" i="54"/>
  <c r="N66" i="54"/>
  <c r="Q66" i="54"/>
  <c r="R66" i="54"/>
  <c r="N50" i="54"/>
  <c r="Q50" i="54"/>
  <c r="R50" i="54"/>
  <c r="N34" i="54"/>
  <c r="Q34" i="54"/>
  <c r="R34" i="54"/>
  <c r="N18" i="54"/>
  <c r="Q18" i="54"/>
  <c r="R18" i="54"/>
  <c r="N241" i="54"/>
  <c r="Q241" i="54"/>
  <c r="R241" i="54"/>
  <c r="N225" i="54"/>
  <c r="Q225" i="54"/>
  <c r="R225" i="54"/>
  <c r="N209" i="54"/>
  <c r="Q209" i="54"/>
  <c r="R209" i="54"/>
  <c r="N193" i="54"/>
  <c r="Q193" i="54"/>
  <c r="R193" i="54"/>
  <c r="N177" i="54"/>
  <c r="Q177" i="54"/>
  <c r="R177" i="54"/>
  <c r="N161" i="54"/>
  <c r="Q161" i="54"/>
  <c r="R161" i="54"/>
  <c r="N145" i="54"/>
  <c r="Q145" i="54"/>
  <c r="R145" i="54"/>
  <c r="N129" i="54"/>
  <c r="Q129" i="54"/>
  <c r="R129" i="54"/>
  <c r="N113" i="54"/>
  <c r="Q113" i="54"/>
  <c r="R113" i="54"/>
  <c r="N97" i="54"/>
  <c r="Q97" i="54"/>
  <c r="R97" i="54"/>
  <c r="N81" i="54"/>
  <c r="Q81" i="54"/>
  <c r="R81" i="54"/>
  <c r="N65" i="54"/>
  <c r="Q65" i="54"/>
  <c r="R65" i="54"/>
  <c r="N49" i="54"/>
  <c r="Q49" i="54"/>
  <c r="R49" i="54"/>
  <c r="N33" i="54"/>
  <c r="Q33" i="54"/>
  <c r="R33" i="54"/>
  <c r="N17" i="54"/>
  <c r="Q17" i="54"/>
  <c r="R17" i="54"/>
  <c r="R756" i="54"/>
  <c r="N756" i="54"/>
  <c r="Q756" i="54"/>
  <c r="R748" i="54"/>
  <c r="N748" i="54"/>
  <c r="Q748" i="54"/>
  <c r="Q754" i="54"/>
  <c r="R754" i="54"/>
  <c r="N754" i="54"/>
  <c r="N763" i="54"/>
  <c r="R763" i="54"/>
  <c r="Q763" i="54"/>
  <c r="R760" i="54"/>
  <c r="N760" i="54"/>
  <c r="Q760" i="54"/>
  <c r="N644" i="54"/>
  <c r="R644" i="54"/>
  <c r="Q644" i="54"/>
  <c r="N452" i="54"/>
  <c r="Q452" i="54"/>
  <c r="R452" i="54"/>
  <c r="N332" i="54"/>
  <c r="Q332" i="54"/>
  <c r="R332" i="54"/>
  <c r="R176" i="54"/>
  <c r="N176" i="54"/>
  <c r="Q176" i="54"/>
  <c r="N625" i="54"/>
  <c r="Q625" i="54"/>
  <c r="R625" i="54"/>
  <c r="N433" i="54"/>
  <c r="Q433" i="54"/>
  <c r="R433" i="54"/>
  <c r="R240" i="54"/>
  <c r="N240" i="54"/>
  <c r="Q240" i="54"/>
  <c r="Q11" i="54"/>
  <c r="R11" i="54"/>
  <c r="N11" i="54"/>
  <c r="R688" i="54"/>
  <c r="N688" i="54"/>
  <c r="Q688" i="54"/>
  <c r="N592" i="54"/>
  <c r="R592" i="54"/>
  <c r="Q592" i="54"/>
  <c r="N496" i="54"/>
  <c r="Q496" i="54"/>
  <c r="R496" i="54"/>
  <c r="N400" i="54"/>
  <c r="R400" i="54"/>
  <c r="Q400" i="54"/>
  <c r="N304" i="54"/>
  <c r="R304" i="54"/>
  <c r="Q304" i="54"/>
  <c r="R120" i="54"/>
  <c r="N120" i="54"/>
  <c r="Q120" i="54"/>
  <c r="N668" i="54"/>
  <c r="R668" i="54"/>
  <c r="Q668" i="54"/>
  <c r="N540" i="54"/>
  <c r="Q540" i="54"/>
  <c r="R540" i="54"/>
  <c r="N348" i="54"/>
  <c r="Q348" i="54"/>
  <c r="R348" i="54"/>
  <c r="R64" i="54"/>
  <c r="N64" i="54"/>
  <c r="Q64" i="54"/>
  <c r="N585" i="54"/>
  <c r="Q585" i="54"/>
  <c r="R585" i="54"/>
  <c r="N393" i="54"/>
  <c r="Q393" i="54"/>
  <c r="R393" i="54"/>
  <c r="N265" i="54"/>
  <c r="Q265" i="54"/>
  <c r="R265" i="54"/>
  <c r="N685" i="54"/>
  <c r="Q685" i="54"/>
  <c r="R685" i="54"/>
  <c r="N589" i="54"/>
  <c r="Q589" i="54"/>
  <c r="R589" i="54"/>
  <c r="N493" i="54"/>
  <c r="Q493" i="54"/>
  <c r="R493" i="54"/>
  <c r="N397" i="54"/>
  <c r="Q397" i="54"/>
  <c r="R397" i="54"/>
  <c r="N301" i="54"/>
  <c r="Q301" i="54"/>
  <c r="R301" i="54"/>
  <c r="Q179" i="54"/>
  <c r="R179" i="54"/>
  <c r="N179" i="54"/>
  <c r="R739" i="54"/>
  <c r="N739" i="54"/>
  <c r="Q739" i="54"/>
  <c r="R691" i="54"/>
  <c r="N691" i="54"/>
  <c r="Q691" i="54"/>
  <c r="R659" i="54"/>
  <c r="N659" i="54"/>
  <c r="Q659" i="54"/>
  <c r="R627" i="54"/>
  <c r="Q627" i="54"/>
  <c r="N627" i="54"/>
  <c r="R547" i="54"/>
  <c r="N547" i="54"/>
  <c r="Q547" i="54"/>
  <c r="R499" i="54"/>
  <c r="N499" i="54"/>
  <c r="Q499" i="54"/>
  <c r="R451" i="54"/>
  <c r="N451" i="54"/>
  <c r="Q451" i="54"/>
  <c r="R403" i="54"/>
  <c r="Q403" i="54"/>
  <c r="N403" i="54"/>
  <c r="R355" i="54"/>
  <c r="Q355" i="54"/>
  <c r="N355" i="54"/>
  <c r="R307" i="54"/>
  <c r="Q307" i="54"/>
  <c r="N307" i="54"/>
  <c r="Q275" i="54"/>
  <c r="R275" i="54"/>
  <c r="N275" i="54"/>
  <c r="N222" i="54"/>
  <c r="Q222" i="54"/>
  <c r="R222" i="54"/>
  <c r="Q127" i="54"/>
  <c r="R127" i="54"/>
  <c r="N127" i="54"/>
  <c r="Q31" i="54"/>
  <c r="R31" i="54"/>
  <c r="N31" i="54"/>
  <c r="Q726" i="54"/>
  <c r="R726" i="54"/>
  <c r="N726" i="54"/>
  <c r="Q694" i="54"/>
  <c r="R694" i="54"/>
  <c r="N694" i="54"/>
  <c r="Q646" i="54"/>
  <c r="R646" i="54"/>
  <c r="N646" i="54"/>
  <c r="Q598" i="54"/>
  <c r="R598" i="54"/>
  <c r="N598" i="54"/>
  <c r="Q550" i="54"/>
  <c r="R550" i="54"/>
  <c r="N550" i="54"/>
  <c r="Q502" i="54"/>
  <c r="R502" i="54"/>
  <c r="N502" i="54"/>
  <c r="Q454" i="54"/>
  <c r="R454" i="54"/>
  <c r="N454" i="54"/>
  <c r="Q406" i="54"/>
  <c r="R406" i="54"/>
  <c r="N406" i="54"/>
  <c r="Q358" i="54"/>
  <c r="R358" i="54"/>
  <c r="N358" i="54"/>
  <c r="Q310" i="54"/>
  <c r="R310" i="54"/>
  <c r="N310" i="54"/>
  <c r="N262" i="54"/>
  <c r="Q262" i="54"/>
  <c r="R262" i="54"/>
  <c r="R196" i="54"/>
  <c r="N196" i="54"/>
  <c r="Q196" i="54"/>
  <c r="R100" i="54"/>
  <c r="N100" i="54"/>
  <c r="Q100" i="54"/>
  <c r="N218" i="54"/>
  <c r="Q218" i="54"/>
  <c r="R218" i="54"/>
  <c r="N170" i="54"/>
  <c r="Q170" i="54"/>
  <c r="R170" i="54"/>
  <c r="N138" i="54"/>
  <c r="Q138" i="54"/>
  <c r="R138" i="54"/>
  <c r="N90" i="54"/>
  <c r="Q90" i="54"/>
  <c r="R90" i="54"/>
  <c r="N26" i="54"/>
  <c r="Q26" i="54"/>
  <c r="R26" i="54"/>
  <c r="N217" i="54"/>
  <c r="Q217" i="54"/>
  <c r="R217" i="54"/>
  <c r="N169" i="54"/>
  <c r="Q169" i="54"/>
  <c r="R169" i="54"/>
  <c r="N121" i="54"/>
  <c r="Q121" i="54"/>
  <c r="R121" i="54"/>
  <c r="N73" i="54"/>
  <c r="Q73" i="54"/>
  <c r="R73" i="54"/>
  <c r="N25" i="54"/>
  <c r="Q25" i="54"/>
  <c r="R25" i="54"/>
  <c r="R752" i="54"/>
  <c r="N752" i="54"/>
  <c r="Q752" i="54"/>
  <c r="R724" i="54"/>
  <c r="N724" i="54"/>
  <c r="Q724" i="54"/>
  <c r="N660" i="54"/>
  <c r="R660" i="54"/>
  <c r="Q660" i="54"/>
  <c r="N596" i="54"/>
  <c r="Q596" i="54"/>
  <c r="R596" i="54"/>
  <c r="N532" i="54"/>
  <c r="Q532" i="54"/>
  <c r="R532" i="54"/>
  <c r="N468" i="54"/>
  <c r="Q468" i="54"/>
  <c r="R468" i="54"/>
  <c r="N404" i="54"/>
  <c r="Q404" i="54"/>
  <c r="R404" i="54"/>
  <c r="N340" i="54"/>
  <c r="Q340" i="54"/>
  <c r="R340" i="54"/>
  <c r="R284" i="54"/>
  <c r="N284" i="54"/>
  <c r="Q284" i="54"/>
  <c r="R208" i="54"/>
  <c r="N208" i="54"/>
  <c r="Q208" i="54"/>
  <c r="R80" i="54"/>
  <c r="N80" i="54"/>
  <c r="Q80" i="54"/>
  <c r="N705" i="54"/>
  <c r="Q705" i="54"/>
  <c r="R705" i="54"/>
  <c r="N641" i="54"/>
  <c r="Q641" i="54"/>
  <c r="R641" i="54"/>
  <c r="N577" i="54"/>
  <c r="Q577" i="54"/>
  <c r="R577" i="54"/>
  <c r="N513" i="54"/>
  <c r="Q513" i="54"/>
  <c r="R513" i="54"/>
  <c r="N449" i="54"/>
  <c r="Q449" i="54"/>
  <c r="R449" i="54"/>
  <c r="N385" i="54"/>
  <c r="Q385" i="54"/>
  <c r="R385" i="54"/>
  <c r="N321" i="54"/>
  <c r="Q321" i="54"/>
  <c r="R321" i="54"/>
  <c r="N257" i="54"/>
  <c r="Q257" i="54"/>
  <c r="R257" i="54"/>
  <c r="Q171" i="54"/>
  <c r="R171" i="54"/>
  <c r="N171" i="54"/>
  <c r="Q91" i="54"/>
  <c r="R91" i="54"/>
  <c r="N91" i="54"/>
  <c r="Q27" i="54"/>
  <c r="R27" i="54"/>
  <c r="N27" i="54"/>
  <c r="R728" i="54"/>
  <c r="N728" i="54"/>
  <c r="Q728" i="54"/>
  <c r="R696" i="54"/>
  <c r="N696" i="54"/>
  <c r="Q696" i="54"/>
  <c r="N664" i="54"/>
  <c r="Q664" i="54"/>
  <c r="R664" i="54"/>
  <c r="N632" i="54"/>
  <c r="R632" i="54"/>
  <c r="Q632" i="54"/>
  <c r="N600" i="54"/>
  <c r="R600" i="54"/>
  <c r="Q600" i="54"/>
  <c r="N568" i="54"/>
  <c r="R568" i="54"/>
  <c r="Q568" i="54"/>
  <c r="N536" i="54"/>
  <c r="Q536" i="54"/>
  <c r="R536" i="54"/>
  <c r="N504" i="54"/>
  <c r="Q504" i="54"/>
  <c r="R504" i="54"/>
  <c r="N472" i="54"/>
  <c r="Q472" i="54"/>
  <c r="R472" i="54"/>
  <c r="N440" i="54"/>
  <c r="Q440" i="54"/>
  <c r="R440" i="54"/>
  <c r="N408" i="54"/>
  <c r="R408" i="54"/>
  <c r="Q408" i="54"/>
  <c r="N376" i="54"/>
  <c r="R376" i="54"/>
  <c r="Q376" i="54"/>
  <c r="N344" i="54"/>
  <c r="R344" i="54"/>
  <c r="Q344" i="54"/>
  <c r="N312" i="54"/>
  <c r="R312" i="54"/>
  <c r="Q312" i="54"/>
  <c r="R280" i="54"/>
  <c r="N280" i="54"/>
  <c r="Q280" i="54"/>
  <c r="R248" i="54"/>
  <c r="N248" i="54"/>
  <c r="Q248" i="54"/>
  <c r="R200" i="54"/>
  <c r="N200" i="54"/>
  <c r="Q200" i="54"/>
  <c r="R136" i="54"/>
  <c r="N136" i="54"/>
  <c r="Q136" i="54"/>
  <c r="R72" i="54"/>
  <c r="N72" i="54"/>
  <c r="Q72" i="54"/>
  <c r="R8" i="54"/>
  <c r="N8" i="54"/>
  <c r="Q8" i="54"/>
  <c r="N684" i="54"/>
  <c r="Q684" i="54"/>
  <c r="R684" i="54"/>
  <c r="N620" i="54"/>
  <c r="Q620" i="54"/>
  <c r="R620" i="54"/>
  <c r="N556" i="54"/>
  <c r="Q556" i="54"/>
  <c r="R556" i="54"/>
  <c r="N492" i="54"/>
  <c r="Q492" i="54"/>
  <c r="R492" i="54"/>
  <c r="N428" i="54"/>
  <c r="Q428" i="54"/>
  <c r="R428" i="54"/>
  <c r="N364" i="54"/>
  <c r="Q364" i="54"/>
  <c r="R364" i="54"/>
  <c r="N292" i="54"/>
  <c r="Q292" i="54"/>
  <c r="R292" i="54"/>
  <c r="Q223" i="54"/>
  <c r="R223" i="54"/>
  <c r="N223" i="54"/>
  <c r="R96" i="54"/>
  <c r="N96" i="54"/>
  <c r="Q96" i="54"/>
  <c r="N729" i="54"/>
  <c r="Q729" i="54"/>
  <c r="R729" i="54"/>
  <c r="N665" i="54"/>
  <c r="Q665" i="54"/>
  <c r="R665" i="54"/>
  <c r="N601" i="54"/>
  <c r="Q601" i="54"/>
  <c r="R601" i="54"/>
  <c r="N537" i="54"/>
  <c r="Q537" i="54"/>
  <c r="R537" i="54"/>
  <c r="N473" i="54"/>
  <c r="Q473" i="54"/>
  <c r="R473" i="54"/>
  <c r="N409" i="54"/>
  <c r="Q409" i="54"/>
  <c r="R409" i="54"/>
  <c r="N345" i="54"/>
  <c r="Q345" i="54"/>
  <c r="R345" i="54"/>
  <c r="N281" i="54"/>
  <c r="Q281" i="54"/>
  <c r="R281" i="54"/>
  <c r="Q203" i="54"/>
  <c r="R203" i="54"/>
  <c r="N203" i="54"/>
  <c r="N725" i="54"/>
  <c r="Q725" i="54"/>
  <c r="R725" i="54"/>
  <c r="N693" i="54"/>
  <c r="Q693" i="54"/>
  <c r="R693" i="54"/>
  <c r="N661" i="54"/>
  <c r="Q661" i="54"/>
  <c r="R661" i="54"/>
  <c r="N629" i="54"/>
  <c r="Q629" i="54"/>
  <c r="R629" i="54"/>
  <c r="N597" i="54"/>
  <c r="Q597" i="54"/>
  <c r="R597" i="54"/>
  <c r="N565" i="54"/>
  <c r="Q565" i="54"/>
  <c r="R565" i="54"/>
  <c r="N533" i="54"/>
  <c r="Q533" i="54"/>
  <c r="R533" i="54"/>
  <c r="N501" i="54"/>
  <c r="Q501" i="54"/>
  <c r="R501" i="54"/>
  <c r="N469" i="54"/>
  <c r="Q469" i="54"/>
  <c r="R469" i="54"/>
  <c r="N437" i="54"/>
  <c r="Q437" i="54"/>
  <c r="R437" i="54"/>
  <c r="N405" i="54"/>
  <c r="Q405" i="54"/>
  <c r="R405" i="54"/>
  <c r="N373" i="54"/>
  <c r="Q373" i="54"/>
  <c r="R373" i="54"/>
  <c r="N341" i="54"/>
  <c r="Q341" i="54"/>
  <c r="R341" i="54"/>
  <c r="N309" i="54"/>
  <c r="Q309" i="54"/>
  <c r="R309" i="54"/>
  <c r="N277" i="54"/>
  <c r="Q277" i="54"/>
  <c r="R277" i="54"/>
  <c r="N245" i="54"/>
  <c r="Q245" i="54"/>
  <c r="R245" i="54"/>
  <c r="Q195" i="54"/>
  <c r="R195" i="54"/>
  <c r="N195" i="54"/>
  <c r="Q131" i="54"/>
  <c r="R131" i="54"/>
  <c r="N131" i="54"/>
  <c r="Q67" i="54"/>
  <c r="R67" i="54"/>
  <c r="N67" i="54"/>
  <c r="R743" i="54"/>
  <c r="N743" i="54"/>
  <c r="Q743" i="54"/>
  <c r="R727" i="54"/>
  <c r="N727" i="54"/>
  <c r="Q727" i="54"/>
  <c r="R711" i="54"/>
  <c r="N711" i="54"/>
  <c r="Q711" i="54"/>
  <c r="R695" i="54"/>
  <c r="N695" i="54"/>
  <c r="Q695" i="54"/>
  <c r="R679" i="54"/>
  <c r="Q679" i="54"/>
  <c r="N679" i="54"/>
  <c r="R663" i="54"/>
  <c r="Q663" i="54"/>
  <c r="N663" i="54"/>
  <c r="R647" i="54"/>
  <c r="Q647" i="54"/>
  <c r="N647" i="54"/>
  <c r="R631" i="54"/>
  <c r="N631" i="54"/>
  <c r="Q631" i="54"/>
  <c r="R615" i="54"/>
  <c r="N615" i="54"/>
  <c r="Q615" i="54"/>
  <c r="R599" i="54"/>
  <c r="N599" i="54"/>
  <c r="Q599" i="54"/>
  <c r="R583" i="54"/>
  <c r="N583" i="54"/>
  <c r="Q583" i="54"/>
  <c r="R567" i="54"/>
  <c r="N567" i="54"/>
  <c r="Q567" i="54"/>
  <c r="R551" i="54"/>
  <c r="N551" i="54"/>
  <c r="Q551" i="54"/>
  <c r="R535" i="54"/>
  <c r="N535" i="54"/>
  <c r="Q535" i="54"/>
  <c r="R519" i="54"/>
  <c r="N519" i="54"/>
  <c r="Q519" i="54"/>
  <c r="R503" i="54"/>
  <c r="N503" i="54"/>
  <c r="Q503" i="54"/>
  <c r="R487" i="54"/>
  <c r="N487" i="54"/>
  <c r="Q487" i="54"/>
  <c r="R471" i="54"/>
  <c r="N471" i="54"/>
  <c r="Q471" i="54"/>
  <c r="R455" i="54"/>
  <c r="N455" i="54"/>
  <c r="Q455" i="54"/>
  <c r="R439" i="54"/>
  <c r="N439" i="54"/>
  <c r="Q439" i="54"/>
  <c r="R423" i="54"/>
  <c r="N423" i="54"/>
  <c r="Q423" i="54"/>
  <c r="R407" i="54"/>
  <c r="N407" i="54"/>
  <c r="Q407" i="54"/>
  <c r="R391" i="54"/>
  <c r="N391" i="54"/>
  <c r="Q391" i="54"/>
  <c r="R375" i="54"/>
  <c r="N375" i="54"/>
  <c r="Q375" i="54"/>
  <c r="R359" i="54"/>
  <c r="N359" i="54"/>
  <c r="Q359" i="54"/>
  <c r="R343" i="54"/>
  <c r="N343" i="54"/>
  <c r="Q343" i="54"/>
  <c r="R327" i="54"/>
  <c r="N327" i="54"/>
  <c r="Q327" i="54"/>
  <c r="R311" i="54"/>
  <c r="N311" i="54"/>
  <c r="Q311" i="54"/>
  <c r="R295" i="54"/>
  <c r="N295" i="54"/>
  <c r="Q295" i="54"/>
  <c r="Q279" i="54"/>
  <c r="R279" i="54"/>
  <c r="N279" i="54"/>
  <c r="Q263" i="54"/>
  <c r="R263" i="54"/>
  <c r="N263" i="54"/>
  <c r="Q247" i="54"/>
  <c r="R247" i="54"/>
  <c r="N247" i="54"/>
  <c r="Q227" i="54"/>
  <c r="R227" i="54"/>
  <c r="N227" i="54"/>
  <c r="Q199" i="54"/>
  <c r="R199" i="54"/>
  <c r="N199" i="54"/>
  <c r="Q167" i="54"/>
  <c r="R167" i="54"/>
  <c r="N167" i="54"/>
  <c r="Q135" i="54"/>
  <c r="R135" i="54"/>
  <c r="N135" i="54"/>
  <c r="Q103" i="54"/>
  <c r="R103" i="54"/>
  <c r="N103" i="54"/>
  <c r="Q71" i="54"/>
  <c r="R71" i="54"/>
  <c r="N71" i="54"/>
  <c r="Q39" i="54"/>
  <c r="R39" i="54"/>
  <c r="N39" i="54"/>
  <c r="N7" i="54"/>
  <c r="Q7" i="54"/>
  <c r="R7" i="54"/>
  <c r="Q730" i="54"/>
  <c r="R730" i="54"/>
  <c r="N730" i="54"/>
  <c r="Q714" i="54"/>
  <c r="R714" i="54"/>
  <c r="N714" i="54"/>
  <c r="Q698" i="54"/>
  <c r="R698" i="54"/>
  <c r="N698" i="54"/>
  <c r="Q682" i="54"/>
  <c r="R682" i="54"/>
  <c r="N682" i="54"/>
  <c r="Q666" i="54"/>
  <c r="R666" i="54"/>
  <c r="N666" i="54"/>
  <c r="Q650" i="54"/>
  <c r="R650" i="54"/>
  <c r="N650" i="54"/>
  <c r="Q634" i="54"/>
  <c r="R634" i="54"/>
  <c r="N634" i="54"/>
  <c r="Q618" i="54"/>
  <c r="R618" i="54"/>
  <c r="N618" i="54"/>
  <c r="Q602" i="54"/>
  <c r="R602" i="54"/>
  <c r="N602" i="54"/>
  <c r="Q586" i="54"/>
  <c r="R586" i="54"/>
  <c r="N586" i="54"/>
  <c r="Q570" i="54"/>
  <c r="R570" i="54"/>
  <c r="N570" i="54"/>
  <c r="Q554" i="54"/>
  <c r="R554" i="54"/>
  <c r="N554" i="54"/>
  <c r="Q538" i="54"/>
  <c r="R538" i="54"/>
  <c r="N538" i="54"/>
  <c r="Q522" i="54"/>
  <c r="R522" i="54"/>
  <c r="N522" i="54"/>
  <c r="Q506" i="54"/>
  <c r="R506" i="54"/>
  <c r="N506" i="54"/>
  <c r="Q490" i="54"/>
  <c r="R490" i="54"/>
  <c r="N490" i="54"/>
  <c r="Q474" i="54"/>
  <c r="R474" i="54"/>
  <c r="N474" i="54"/>
  <c r="Q458" i="54"/>
  <c r="R458" i="54"/>
  <c r="N458" i="54"/>
  <c r="Q442" i="54"/>
  <c r="R442" i="54"/>
  <c r="N442" i="54"/>
  <c r="Q426" i="54"/>
  <c r="R426" i="54"/>
  <c r="N426" i="54"/>
  <c r="Q410" i="54"/>
  <c r="R410" i="54"/>
  <c r="N410" i="54"/>
  <c r="Q394" i="54"/>
  <c r="R394" i="54"/>
  <c r="N394" i="54"/>
  <c r="Q378" i="54"/>
  <c r="R378" i="54"/>
  <c r="N378" i="54"/>
  <c r="Q362" i="54"/>
  <c r="R362" i="54"/>
  <c r="N362" i="54"/>
  <c r="Q346" i="54"/>
  <c r="R346" i="54"/>
  <c r="N346" i="54"/>
  <c r="Q330" i="54"/>
  <c r="R330" i="54"/>
  <c r="N330" i="54"/>
  <c r="Q314" i="54"/>
  <c r="R314" i="54"/>
  <c r="N314" i="54"/>
  <c r="Q298" i="54"/>
  <c r="R298" i="54"/>
  <c r="N298" i="54"/>
  <c r="N282" i="54"/>
  <c r="Q282" i="54"/>
  <c r="R282" i="54"/>
  <c r="N266" i="54"/>
  <c r="Q266" i="54"/>
  <c r="R266" i="54"/>
  <c r="N250" i="54"/>
  <c r="Q250" i="54"/>
  <c r="R250" i="54"/>
  <c r="Q231" i="54"/>
  <c r="R231" i="54"/>
  <c r="N231" i="54"/>
  <c r="R204" i="54"/>
  <c r="N204" i="54"/>
  <c r="Q204" i="54"/>
  <c r="R172" i="54"/>
  <c r="N172" i="54"/>
  <c r="Q172" i="54"/>
  <c r="R140" i="54"/>
  <c r="N140" i="54"/>
  <c r="Q140" i="54"/>
  <c r="R108" i="54"/>
  <c r="N108" i="54"/>
  <c r="Q108" i="54"/>
  <c r="R76" i="54"/>
  <c r="N76" i="54"/>
  <c r="Q76" i="54"/>
  <c r="R44" i="54"/>
  <c r="N44" i="54"/>
  <c r="Q44" i="54"/>
  <c r="R12" i="54"/>
  <c r="N12" i="54"/>
  <c r="Q12" i="54"/>
  <c r="N206" i="54"/>
  <c r="Q206" i="54"/>
  <c r="R206" i="54"/>
  <c r="N190" i="54"/>
  <c r="Q190" i="54"/>
  <c r="R190" i="54"/>
  <c r="N174" i="54"/>
  <c r="Q174" i="54"/>
  <c r="R174" i="54"/>
  <c r="N158" i="54"/>
  <c r="Q158" i="54"/>
  <c r="R158" i="54"/>
  <c r="N142" i="54"/>
  <c r="Q142" i="54"/>
  <c r="R142" i="54"/>
  <c r="N126" i="54"/>
  <c r="Q126" i="54"/>
  <c r="R126" i="54"/>
  <c r="N110" i="54"/>
  <c r="Q110" i="54"/>
  <c r="R110" i="54"/>
  <c r="N94" i="54"/>
  <c r="Q94" i="54"/>
  <c r="R94" i="54"/>
  <c r="N78" i="54"/>
  <c r="Q78" i="54"/>
  <c r="R78" i="54"/>
  <c r="N62" i="54"/>
  <c r="Q62" i="54"/>
  <c r="R62" i="54"/>
  <c r="N46" i="54"/>
  <c r="Q46" i="54"/>
  <c r="R46" i="54"/>
  <c r="N30" i="54"/>
  <c r="Q30" i="54"/>
  <c r="R30" i="54"/>
  <c r="N14" i="54"/>
  <c r="Q14" i="54"/>
  <c r="R14" i="54"/>
  <c r="N237" i="54"/>
  <c r="Q237" i="54"/>
  <c r="R237" i="54"/>
  <c r="N221" i="54"/>
  <c r="Q221" i="54"/>
  <c r="R221" i="54"/>
  <c r="N205" i="54"/>
  <c r="Q205" i="54"/>
  <c r="R205" i="54"/>
  <c r="N189" i="54"/>
  <c r="Q189" i="54"/>
  <c r="R189" i="54"/>
  <c r="N173" i="54"/>
  <c r="Q173" i="54"/>
  <c r="R173" i="54"/>
  <c r="N157" i="54"/>
  <c r="Q157" i="54"/>
  <c r="R157" i="54"/>
  <c r="N141" i="54"/>
  <c r="Q141" i="54"/>
  <c r="R141" i="54"/>
  <c r="N125" i="54"/>
  <c r="Q125" i="54"/>
  <c r="R125" i="54"/>
  <c r="N109" i="54"/>
  <c r="Q109" i="54"/>
  <c r="R109" i="54"/>
  <c r="N93" i="54"/>
  <c r="Q93" i="54"/>
  <c r="R93" i="54"/>
  <c r="N77" i="54"/>
  <c r="Q77" i="54"/>
  <c r="R77" i="54"/>
  <c r="N61" i="54"/>
  <c r="Q61" i="54"/>
  <c r="R61" i="54"/>
  <c r="N45" i="54"/>
  <c r="Q45" i="54"/>
  <c r="R45" i="54"/>
  <c r="N29" i="54"/>
  <c r="Q29" i="54"/>
  <c r="R29" i="54"/>
  <c r="N13" i="54"/>
  <c r="Q13" i="54"/>
  <c r="R13" i="54"/>
  <c r="R747" i="54"/>
  <c r="N747" i="54"/>
  <c r="Q747" i="54"/>
  <c r="N753" i="54"/>
  <c r="Q753" i="54"/>
  <c r="R753" i="54"/>
  <c r="R759" i="54"/>
  <c r="N759" i="54"/>
  <c r="Q759" i="54"/>
  <c r="R751" i="54"/>
  <c r="N751" i="54"/>
  <c r="Q751" i="54"/>
  <c r="Q762" i="54"/>
  <c r="R762" i="54"/>
  <c r="N762" i="54"/>
  <c r="N761" i="54"/>
  <c r="Q761" i="54"/>
  <c r="R761" i="54"/>
  <c r="R4" i="54"/>
  <c r="N4" i="54"/>
  <c r="Q4" i="54"/>
  <c r="X220" i="64" l="1"/>
  <c r="X222" i="64"/>
  <c r="X216" i="64"/>
  <c r="X217" i="64"/>
  <c r="X218" i="64"/>
  <c r="X214" i="64"/>
  <c r="X213" i="64"/>
  <c r="X223" i="64"/>
  <c r="X221" i="64"/>
  <c r="X219" i="64"/>
  <c r="X215" i="64"/>
  <c r="H213" i="64"/>
  <c r="K213" i="64" s="1"/>
  <c r="H223" i="64"/>
  <c r="K223" i="64" s="1"/>
  <c r="H218" i="64"/>
  <c r="K218" i="64" s="1"/>
  <c r="H220" i="64"/>
  <c r="K220" i="64" s="1"/>
  <c r="H219" i="64"/>
  <c r="K219" i="64" s="1"/>
  <c r="H217" i="64"/>
  <c r="K217" i="64" s="1"/>
  <c r="H214" i="64"/>
  <c r="K214" i="64" s="1"/>
  <c r="H216" i="64"/>
  <c r="K216" i="64" s="1"/>
  <c r="H222" i="64"/>
  <c r="K222" i="64" s="1"/>
  <c r="H221" i="64"/>
  <c r="K221" i="64" s="1"/>
  <c r="H215" i="64"/>
  <c r="K215" i="64" s="1"/>
  <c r="N61" i="53"/>
  <c r="I223" i="64"/>
  <c r="L223" i="64" s="1"/>
  <c r="I215" i="64"/>
  <c r="L215" i="64" s="1"/>
  <c r="I222" i="64"/>
  <c r="L222" i="64" s="1"/>
  <c r="I213" i="64"/>
  <c r="L213" i="64" s="1"/>
  <c r="I219" i="64"/>
  <c r="L219" i="64" s="1"/>
  <c r="I214" i="64"/>
  <c r="L214" i="64" s="1"/>
  <c r="I220" i="64"/>
  <c r="L220" i="64" s="1"/>
  <c r="I218" i="64"/>
  <c r="L218" i="64" s="1"/>
  <c r="I217" i="64"/>
  <c r="L217" i="64" s="1"/>
  <c r="I216" i="64"/>
  <c r="L216" i="64" s="1"/>
  <c r="I221" i="64"/>
  <c r="L221" i="64" s="1"/>
  <c r="O762" i="54"/>
  <c r="O751" i="54"/>
  <c r="O12" i="54"/>
  <c r="O140" i="54"/>
  <c r="O231" i="54"/>
  <c r="O298" i="54"/>
  <c r="O362" i="54"/>
  <c r="O426" i="54"/>
  <c r="O490" i="54"/>
  <c r="O554" i="54"/>
  <c r="O618" i="54"/>
  <c r="O682" i="54"/>
  <c r="O135" i="54"/>
  <c r="O247" i="54"/>
  <c r="O327" i="54"/>
  <c r="O391" i="54"/>
  <c r="O455" i="54"/>
  <c r="O519" i="54"/>
  <c r="O583" i="54"/>
  <c r="O711" i="54"/>
  <c r="O285" i="54"/>
  <c r="O413" i="54"/>
  <c r="O541" i="54"/>
  <c r="O669" i="54"/>
  <c r="O297" i="54"/>
  <c r="O553" i="54"/>
  <c r="O444" i="54"/>
  <c r="O480" i="54"/>
  <c r="O273" i="54"/>
  <c r="O529" i="54"/>
  <c r="O420" i="54"/>
  <c r="O41" i="54"/>
  <c r="O10" i="54"/>
  <c r="O186" i="54"/>
  <c r="O278" i="54"/>
  <c r="O371" i="54"/>
  <c r="O579" i="54"/>
  <c r="O333" i="54"/>
  <c r="O717" i="54"/>
  <c r="O561" i="54"/>
  <c r="O757" i="54"/>
  <c r="O53" i="54"/>
  <c r="O117" i="54"/>
  <c r="O181" i="54"/>
  <c r="O70" i="54"/>
  <c r="O134" i="54"/>
  <c r="O198" i="54"/>
  <c r="O290" i="54"/>
  <c r="O238" i="54"/>
  <c r="O655" i="54"/>
  <c r="O261" i="54"/>
  <c r="O389" i="54"/>
  <c r="O517" i="54"/>
  <c r="O645" i="54"/>
  <c r="O249" i="54"/>
  <c r="O505" i="54"/>
  <c r="O396" i="54"/>
  <c r="O456" i="54"/>
  <c r="O481" i="54"/>
  <c r="O737" i="54"/>
  <c r="O372" i="54"/>
  <c r="O628" i="54"/>
  <c r="O57" i="54"/>
  <c r="O233" i="54"/>
  <c r="O202" i="54"/>
  <c r="O339" i="54"/>
  <c r="O269" i="54"/>
  <c r="O653" i="54"/>
  <c r="O656" i="54"/>
  <c r="O791" i="54"/>
  <c r="O773" i="54"/>
  <c r="O783" i="54"/>
  <c r="O67" i="54"/>
  <c r="O8" i="54"/>
  <c r="O248" i="54"/>
  <c r="O208" i="54"/>
  <c r="O724" i="54"/>
  <c r="O100" i="54"/>
  <c r="O310" i="54"/>
  <c r="O502" i="54"/>
  <c r="O694" i="54"/>
  <c r="O451" i="54"/>
  <c r="O659" i="54"/>
  <c r="O179" i="54"/>
  <c r="O64" i="54"/>
  <c r="O120" i="54"/>
  <c r="O52" i="54"/>
  <c r="O180" i="54"/>
  <c r="O318" i="54"/>
  <c r="O382" i="54"/>
  <c r="O446" i="54"/>
  <c r="O510" i="54"/>
  <c r="O574" i="54"/>
  <c r="O638" i="54"/>
  <c r="O702" i="54"/>
  <c r="O47" i="54"/>
  <c r="O175" i="54"/>
  <c r="O267" i="54"/>
  <c r="O475" i="54"/>
  <c r="O539" i="54"/>
  <c r="O667" i="54"/>
  <c r="O731" i="54"/>
  <c r="O147" i="54"/>
  <c r="O88" i="54"/>
  <c r="O288" i="54"/>
  <c r="O43" i="54"/>
  <c r="O132" i="54"/>
  <c r="O326" i="54"/>
  <c r="O518" i="54"/>
  <c r="O742" i="54"/>
  <c r="O732" i="54"/>
  <c r="O268" i="54"/>
  <c r="O755" i="54"/>
  <c r="O5" i="54"/>
  <c r="O28" i="54"/>
  <c r="O156" i="54"/>
  <c r="O306" i="54"/>
  <c r="O370" i="54"/>
  <c r="O434" i="54"/>
  <c r="O498" i="54"/>
  <c r="O562" i="54"/>
  <c r="O626" i="54"/>
  <c r="O690" i="54"/>
  <c r="O23" i="54"/>
  <c r="O151" i="54"/>
  <c r="O255" i="54"/>
  <c r="O335" i="54"/>
  <c r="O399" i="54"/>
  <c r="O463" i="54"/>
  <c r="O527" i="54"/>
  <c r="O591" i="54"/>
  <c r="O719" i="54"/>
  <c r="O99" i="54"/>
  <c r="O260" i="54"/>
  <c r="O40" i="54"/>
  <c r="O264" i="54"/>
  <c r="O252" i="54"/>
  <c r="O164" i="54"/>
  <c r="O342" i="54"/>
  <c r="O534" i="54"/>
  <c r="O710" i="54"/>
  <c r="O291" i="54"/>
  <c r="O515" i="54"/>
  <c r="O723" i="54"/>
  <c r="O155" i="54"/>
  <c r="O75" i="54"/>
  <c r="O782" i="54"/>
  <c r="O784" i="54"/>
  <c r="O797" i="54"/>
  <c r="O777" i="54"/>
  <c r="O772" i="54"/>
  <c r="O793" i="54"/>
  <c r="O801" i="54"/>
  <c r="O770" i="54"/>
  <c r="O786" i="54"/>
  <c r="O776" i="54"/>
  <c r="O767" i="54"/>
  <c r="O53" i="66"/>
  <c r="V5" i="64"/>
  <c r="AB5" i="64" s="1"/>
  <c r="W5" i="64"/>
  <c r="AC5" i="64" s="1"/>
  <c r="T572" i="54"/>
  <c r="V425" i="54"/>
  <c r="X466" i="54"/>
  <c r="V466" i="54"/>
  <c r="T466" i="54"/>
  <c r="X655" i="54"/>
  <c r="V655" i="54"/>
  <c r="T655" i="54"/>
  <c r="X634" i="54"/>
  <c r="V634" i="54"/>
  <c r="T634" i="54"/>
  <c r="X487" i="54"/>
  <c r="V487" i="54"/>
  <c r="T487" i="54"/>
  <c r="X550" i="54"/>
  <c r="V550" i="54"/>
  <c r="T550" i="54"/>
  <c r="X403" i="54"/>
  <c r="V403" i="54"/>
  <c r="T403" i="54"/>
  <c r="X739" i="54"/>
  <c r="V739" i="54"/>
  <c r="T739" i="54"/>
  <c r="V760" i="54"/>
  <c r="X760" i="54"/>
  <c r="T760" i="54"/>
  <c r="X718" i="54"/>
  <c r="V718" i="54"/>
  <c r="T718" i="54"/>
  <c r="T445" i="54"/>
  <c r="X445" i="54"/>
  <c r="V445" i="54"/>
  <c r="T361" i="54"/>
  <c r="X361" i="54"/>
  <c r="V361" i="54"/>
  <c r="V508" i="54"/>
  <c r="X508" i="54"/>
  <c r="T508" i="54"/>
  <c r="V676" i="54"/>
  <c r="X676" i="54"/>
  <c r="T676" i="54"/>
  <c r="X781" i="54"/>
  <c r="V781" i="54"/>
  <c r="T781" i="54"/>
  <c r="T2" i="54"/>
  <c r="V340" i="54"/>
  <c r="T340" i="54"/>
  <c r="X340" i="54"/>
  <c r="X382" i="54"/>
  <c r="V382" i="54"/>
  <c r="T382" i="54"/>
  <c r="X571" i="54"/>
  <c r="V571" i="54"/>
  <c r="T571" i="54"/>
  <c r="X529" i="54"/>
  <c r="V529" i="54"/>
  <c r="T529" i="54"/>
  <c r="V424" i="54"/>
  <c r="T424" i="54"/>
  <c r="X424" i="54"/>
  <c r="V592" i="54"/>
  <c r="X592" i="54"/>
  <c r="T592" i="54"/>
  <c r="X613" i="54"/>
  <c r="V613" i="54"/>
  <c r="T613" i="54"/>
  <c r="X697" i="54"/>
  <c r="V697" i="54"/>
  <c r="T697" i="54"/>
  <c r="O794" i="54"/>
  <c r="O790" i="54"/>
  <c r="O787" i="54"/>
  <c r="O344" i="54"/>
  <c r="O600" i="54"/>
  <c r="O660" i="54"/>
  <c r="O668" i="54"/>
  <c r="O763" i="54"/>
  <c r="O4" i="54"/>
  <c r="O761" i="54"/>
  <c r="O759" i="54"/>
  <c r="O753" i="54"/>
  <c r="O45" i="54"/>
  <c r="O109" i="54"/>
  <c r="O173" i="54"/>
  <c r="O237" i="54"/>
  <c r="O62" i="54"/>
  <c r="O126" i="54"/>
  <c r="O190" i="54"/>
  <c r="O44" i="54"/>
  <c r="O172" i="54"/>
  <c r="O282" i="54"/>
  <c r="O314" i="54"/>
  <c r="O378" i="54"/>
  <c r="O442" i="54"/>
  <c r="O506" i="54"/>
  <c r="O570" i="54"/>
  <c r="O634" i="54"/>
  <c r="O698" i="54"/>
  <c r="O39" i="54"/>
  <c r="O263" i="54"/>
  <c r="O343" i="54"/>
  <c r="O647" i="54"/>
  <c r="O245" i="54"/>
  <c r="O373" i="54"/>
  <c r="O501" i="54"/>
  <c r="O629" i="54"/>
  <c r="O473" i="54"/>
  <c r="O729" i="54"/>
  <c r="O364" i="54"/>
  <c r="O620" i="54"/>
  <c r="O440" i="54"/>
  <c r="O449" i="54"/>
  <c r="O705" i="54"/>
  <c r="O340" i="54"/>
  <c r="O596" i="54"/>
  <c r="O25" i="54"/>
  <c r="O217" i="54"/>
  <c r="O170" i="54"/>
  <c r="O262" i="54"/>
  <c r="O493" i="54"/>
  <c r="O393" i="54"/>
  <c r="O540" i="54"/>
  <c r="O65" i="54"/>
  <c r="O129" i="54"/>
  <c r="O193" i="54"/>
  <c r="O18" i="54"/>
  <c r="O82" i="54"/>
  <c r="O146" i="54"/>
  <c r="O210" i="54"/>
  <c r="O347" i="54"/>
  <c r="O411" i="54"/>
  <c r="O603" i="54"/>
  <c r="Z781" i="54"/>
  <c r="AF781" i="54" s="1"/>
  <c r="AJ781" i="54" s="1"/>
  <c r="AB781" i="54"/>
  <c r="AG781" i="54" s="1"/>
  <c r="AK781" i="54" s="1"/>
  <c r="O774" i="54"/>
  <c r="O779" i="54"/>
  <c r="O765" i="54"/>
  <c r="O775" i="54"/>
  <c r="O384" i="54"/>
  <c r="O640" i="54"/>
  <c r="O368" i="54"/>
  <c r="O671" i="54"/>
  <c r="O293" i="54"/>
  <c r="O421" i="54"/>
  <c r="O549" i="54"/>
  <c r="O677" i="54"/>
  <c r="O313" i="54"/>
  <c r="O569" i="54"/>
  <c r="O460" i="54"/>
  <c r="O360" i="54"/>
  <c r="O488" i="54"/>
  <c r="O616" i="54"/>
  <c r="O289" i="54"/>
  <c r="O545" i="54"/>
  <c r="O436" i="54"/>
  <c r="O89" i="54"/>
  <c r="O58" i="54"/>
  <c r="O438" i="54"/>
  <c r="O630" i="54"/>
  <c r="O159" i="54"/>
  <c r="O387" i="54"/>
  <c r="O435" i="54"/>
  <c r="O563" i="54"/>
  <c r="O115" i="54"/>
  <c r="O365" i="54"/>
  <c r="O192" i="54"/>
  <c r="O412" i="54"/>
  <c r="O336" i="54"/>
  <c r="O32" i="54"/>
  <c r="O799" i="54"/>
  <c r="O781" i="54"/>
  <c r="O768" i="54"/>
  <c r="O778" i="54"/>
  <c r="O796" i="54"/>
  <c r="O764" i="54"/>
  <c r="O798" i="54"/>
  <c r="O795" i="54"/>
  <c r="O780" i="54"/>
  <c r="O60" i="54"/>
  <c r="O188" i="54"/>
  <c r="O322" i="54"/>
  <c r="O386" i="54"/>
  <c r="O450" i="54"/>
  <c r="O514" i="54"/>
  <c r="O578" i="54"/>
  <c r="O642" i="54"/>
  <c r="O706" i="54"/>
  <c r="O55" i="54"/>
  <c r="O183" i="54"/>
  <c r="O271" i="54"/>
  <c r="O351" i="54"/>
  <c r="O415" i="54"/>
  <c r="O479" i="54"/>
  <c r="O543" i="54"/>
  <c r="O607" i="54"/>
  <c r="O735" i="54"/>
  <c r="O163" i="54"/>
  <c r="O224" i="54"/>
  <c r="O104" i="54"/>
  <c r="O680" i="54"/>
  <c r="O59" i="54"/>
  <c r="O792" i="54"/>
  <c r="O800" i="54"/>
  <c r="O788" i="54"/>
  <c r="O766" i="54"/>
  <c r="O771" i="54"/>
  <c r="O769" i="54"/>
  <c r="O167" i="54"/>
  <c r="O312" i="54"/>
  <c r="O568" i="54"/>
  <c r="O400" i="54"/>
  <c r="O352" i="54"/>
  <c r="O608" i="54"/>
  <c r="O676" i="54"/>
  <c r="O624" i="54"/>
  <c r="O221" i="54"/>
  <c r="O110" i="54"/>
  <c r="O341" i="54"/>
  <c r="O725" i="54"/>
  <c r="O292" i="54"/>
  <c r="O536" i="54"/>
  <c r="O532" i="54"/>
  <c r="O169" i="54"/>
  <c r="O627" i="54"/>
  <c r="O348" i="54"/>
  <c r="O113" i="54"/>
  <c r="O66" i="54"/>
  <c r="O130" i="54"/>
  <c r="O194" i="54"/>
  <c r="O286" i="54"/>
  <c r="O331" i="54"/>
  <c r="O395" i="54"/>
  <c r="O587" i="54"/>
  <c r="O253" i="54"/>
  <c r="O381" i="54"/>
  <c r="O509" i="54"/>
  <c r="O637" i="54"/>
  <c r="O230" i="54"/>
  <c r="O489" i="54"/>
  <c r="O380" i="54"/>
  <c r="O636" i="54"/>
  <c r="O448" i="54"/>
  <c r="O465" i="54"/>
  <c r="O721" i="54"/>
  <c r="O356" i="54"/>
  <c r="O612" i="54"/>
  <c r="O201" i="54"/>
  <c r="O122" i="54"/>
  <c r="O226" i="54"/>
  <c r="O323" i="54"/>
  <c r="O621" i="54"/>
  <c r="O713" i="54"/>
  <c r="O369" i="54"/>
  <c r="O516" i="54"/>
  <c r="O749" i="54"/>
  <c r="O37" i="54"/>
  <c r="O101" i="54"/>
  <c r="O165" i="54"/>
  <c r="O229" i="54"/>
  <c r="O54" i="54"/>
  <c r="O118" i="54"/>
  <c r="O182" i="54"/>
  <c r="O29" i="54"/>
  <c r="O93" i="54"/>
  <c r="O157" i="54"/>
  <c r="O46" i="54"/>
  <c r="O174" i="54"/>
  <c r="O266" i="54"/>
  <c r="O469" i="54"/>
  <c r="O597" i="54"/>
  <c r="O409" i="54"/>
  <c r="O665" i="54"/>
  <c r="O556" i="54"/>
  <c r="O664" i="54"/>
  <c r="O385" i="54"/>
  <c r="O641" i="54"/>
  <c r="O138" i="54"/>
  <c r="O403" i="54"/>
  <c r="O397" i="54"/>
  <c r="O265" i="54"/>
  <c r="O625" i="54"/>
  <c r="O49" i="54"/>
  <c r="O177" i="54"/>
  <c r="O241" i="54"/>
  <c r="O388" i="54"/>
  <c r="O407" i="54"/>
  <c r="O471" i="54"/>
  <c r="O535" i="54"/>
  <c r="O599" i="54"/>
  <c r="O727" i="54"/>
  <c r="O131" i="54"/>
  <c r="O223" i="54"/>
  <c r="O72" i="54"/>
  <c r="O280" i="54"/>
  <c r="O27" i="54"/>
  <c r="O284" i="54"/>
  <c r="O752" i="54"/>
  <c r="O196" i="54"/>
  <c r="O358" i="54"/>
  <c r="O550" i="54"/>
  <c r="O726" i="54"/>
  <c r="O275" i="54"/>
  <c r="O499" i="54"/>
  <c r="O691" i="54"/>
  <c r="O688" i="54"/>
  <c r="O754" i="54"/>
  <c r="O748" i="54"/>
  <c r="O84" i="54"/>
  <c r="O212" i="54"/>
  <c r="O334" i="54"/>
  <c r="O398" i="54"/>
  <c r="O462" i="54"/>
  <c r="O526" i="54"/>
  <c r="O590" i="54"/>
  <c r="O654" i="54"/>
  <c r="O718" i="54"/>
  <c r="O79" i="54"/>
  <c r="O207" i="54"/>
  <c r="O232" i="54"/>
  <c r="O283" i="54"/>
  <c r="O491" i="54"/>
  <c r="O555" i="54"/>
  <c r="O211" i="54"/>
  <c r="O16" i="54"/>
  <c r="O152" i="54"/>
  <c r="O704" i="54"/>
  <c r="O107" i="54"/>
  <c r="O750" i="54"/>
  <c r="O374" i="54"/>
  <c r="O566" i="54"/>
  <c r="O95" i="54"/>
  <c r="O51" i="54"/>
  <c r="O184" i="54"/>
  <c r="O139" i="54"/>
  <c r="O652" i="54"/>
  <c r="O328" i="54"/>
  <c r="O584" i="54"/>
  <c r="O758" i="54"/>
  <c r="O61" i="54"/>
  <c r="O125" i="54"/>
  <c r="O189" i="54"/>
  <c r="O14" i="54"/>
  <c r="O78" i="54"/>
  <c r="O142" i="54"/>
  <c r="O206" i="54"/>
  <c r="O76" i="54"/>
  <c r="O204" i="54"/>
  <c r="O330" i="54"/>
  <c r="O394" i="54"/>
  <c r="O458" i="54"/>
  <c r="O522" i="54"/>
  <c r="O586" i="54"/>
  <c r="O650" i="54"/>
  <c r="O714" i="54"/>
  <c r="O7" i="54"/>
  <c r="O71" i="54"/>
  <c r="O199" i="54"/>
  <c r="O279" i="54"/>
  <c r="O295" i="54"/>
  <c r="O359" i="54"/>
  <c r="O423" i="54"/>
  <c r="O487" i="54"/>
  <c r="O551" i="54"/>
  <c r="O615" i="54"/>
  <c r="O663" i="54"/>
  <c r="O743" i="54"/>
  <c r="O195" i="54"/>
  <c r="O277" i="54"/>
  <c r="O405" i="54"/>
  <c r="O533" i="54"/>
  <c r="O661" i="54"/>
  <c r="O281" i="54"/>
  <c r="O537" i="54"/>
  <c r="O428" i="54"/>
  <c r="O684" i="54"/>
  <c r="O136" i="54"/>
  <c r="O472" i="54"/>
  <c r="O696" i="54"/>
  <c r="O91" i="54"/>
  <c r="O257" i="54"/>
  <c r="O513" i="54"/>
  <c r="O404" i="54"/>
  <c r="O73" i="54"/>
  <c r="O26" i="54"/>
  <c r="O218" i="54"/>
  <c r="O406" i="54"/>
  <c r="O598" i="54"/>
  <c r="O31" i="54"/>
  <c r="O222" i="54"/>
  <c r="O307" i="54"/>
  <c r="O547" i="54"/>
  <c r="O739" i="54"/>
  <c r="O589" i="54"/>
  <c r="O585" i="54"/>
  <c r="O496" i="54"/>
  <c r="O176" i="54"/>
  <c r="O332" i="54"/>
  <c r="O760" i="54"/>
  <c r="O756" i="54"/>
  <c r="O17" i="54"/>
  <c r="O81" i="54"/>
  <c r="O145" i="54"/>
  <c r="O209" i="54"/>
  <c r="O34" i="54"/>
  <c r="O98" i="54"/>
  <c r="O162" i="54"/>
  <c r="O116" i="54"/>
  <c r="O236" i="54"/>
  <c r="O254" i="54"/>
  <c r="O350" i="54"/>
  <c r="O414" i="54"/>
  <c r="O478" i="54"/>
  <c r="O304" i="54"/>
  <c r="O644" i="54"/>
  <c r="O408" i="54"/>
  <c r="O747" i="54"/>
  <c r="O13" i="54"/>
  <c r="O77" i="54"/>
  <c r="O141" i="54"/>
  <c r="O205" i="54"/>
  <c r="O30" i="54"/>
  <c r="O94" i="54"/>
  <c r="O158" i="54"/>
  <c r="O108" i="54"/>
  <c r="O250" i="54"/>
  <c r="O346" i="54"/>
  <c r="O410" i="54"/>
  <c r="O474" i="54"/>
  <c r="O538" i="54"/>
  <c r="O602" i="54"/>
  <c r="O666" i="54"/>
  <c r="O730" i="54"/>
  <c r="O103" i="54"/>
  <c r="O227" i="54"/>
  <c r="O311" i="54"/>
  <c r="O375" i="54"/>
  <c r="O439" i="54"/>
  <c r="O503" i="54"/>
  <c r="O567" i="54"/>
  <c r="O631" i="54"/>
  <c r="O679" i="54"/>
  <c r="O695" i="54"/>
  <c r="O309" i="54"/>
  <c r="O437" i="54"/>
  <c r="O565" i="54"/>
  <c r="O693" i="54"/>
  <c r="O203" i="54"/>
  <c r="O345" i="54"/>
  <c r="O601" i="54"/>
  <c r="O96" i="54"/>
  <c r="O492" i="54"/>
  <c r="O200" i="54"/>
  <c r="O376" i="54"/>
  <c r="O504" i="54"/>
  <c r="O632" i="54"/>
  <c r="O728" i="54"/>
  <c r="O171" i="54"/>
  <c r="O321" i="54"/>
  <c r="O577" i="54"/>
  <c r="O80" i="54"/>
  <c r="O468" i="54"/>
  <c r="O121" i="54"/>
  <c r="O90" i="54"/>
  <c r="O454" i="54"/>
  <c r="O646" i="54"/>
  <c r="O127" i="54"/>
  <c r="O542" i="54"/>
  <c r="O606" i="54"/>
  <c r="O670" i="54"/>
  <c r="O734" i="54"/>
  <c r="O111" i="54"/>
  <c r="O299" i="54"/>
  <c r="O363" i="54"/>
  <c r="O427" i="54"/>
  <c r="O443" i="54"/>
  <c r="O507" i="54"/>
  <c r="O619" i="54"/>
  <c r="O683" i="54"/>
  <c r="O699" i="54"/>
  <c r="O19" i="54"/>
  <c r="O317" i="54"/>
  <c r="O445" i="54"/>
  <c r="O573" i="54"/>
  <c r="O701" i="54"/>
  <c r="O361" i="54"/>
  <c r="O617" i="54"/>
  <c r="O128" i="54"/>
  <c r="O508" i="54"/>
  <c r="O700" i="54"/>
  <c r="O216" i="54"/>
  <c r="O512" i="54"/>
  <c r="O736" i="54"/>
  <c r="O187" i="54"/>
  <c r="O337" i="54"/>
  <c r="O593" i="54"/>
  <c r="O112" i="54"/>
  <c r="O234" i="54"/>
  <c r="O484" i="54"/>
  <c r="O746" i="54"/>
  <c r="O105" i="54"/>
  <c r="O42" i="54"/>
  <c r="O422" i="54"/>
  <c r="O614" i="54"/>
  <c r="O191" i="54"/>
  <c r="O419" i="54"/>
  <c r="O467" i="54"/>
  <c r="O595" i="54"/>
  <c r="O235" i="54"/>
  <c r="O429" i="54"/>
  <c r="O329" i="54"/>
  <c r="O276" i="54"/>
  <c r="O476" i="54"/>
  <c r="O272" i="54"/>
  <c r="O689" i="54"/>
  <c r="O708" i="54"/>
  <c r="O745" i="54"/>
  <c r="O69" i="54"/>
  <c r="O133" i="54"/>
  <c r="O197" i="54"/>
  <c r="O6" i="54"/>
  <c r="O22" i="54"/>
  <c r="O86" i="54"/>
  <c r="O150" i="54"/>
  <c r="O214" i="54"/>
  <c r="O92" i="54"/>
  <c r="O220" i="54"/>
  <c r="O242" i="54"/>
  <c r="O338" i="54"/>
  <c r="O402" i="54"/>
  <c r="O466" i="54"/>
  <c r="O530" i="54"/>
  <c r="O594" i="54"/>
  <c r="O658" i="54"/>
  <c r="O722" i="54"/>
  <c r="O87" i="54"/>
  <c r="O215" i="54"/>
  <c r="O287" i="54"/>
  <c r="O303" i="54"/>
  <c r="O367" i="54"/>
  <c r="O431" i="54"/>
  <c r="O495" i="54"/>
  <c r="O559" i="54"/>
  <c r="O623" i="54"/>
  <c r="O687" i="54"/>
  <c r="O48" i="54"/>
  <c r="O168" i="54"/>
  <c r="O712" i="54"/>
  <c r="O123" i="54"/>
  <c r="O390" i="54"/>
  <c r="O582" i="54"/>
  <c r="O63" i="54"/>
  <c r="O56" i="54"/>
  <c r="O320" i="54"/>
  <c r="O576" i="54"/>
  <c r="O560" i="54"/>
  <c r="O274" i="54"/>
  <c r="O357" i="54"/>
  <c r="O485" i="54"/>
  <c r="O613" i="54"/>
  <c r="O741" i="54"/>
  <c r="O441" i="54"/>
  <c r="O697" i="54"/>
  <c r="O324" i="54"/>
  <c r="O588" i="54"/>
  <c r="O296" i="54"/>
  <c r="O424" i="54"/>
  <c r="O552" i="54"/>
  <c r="O417" i="54"/>
  <c r="O673" i="54"/>
  <c r="O316" i="54"/>
  <c r="O564" i="54"/>
  <c r="O9" i="54"/>
  <c r="O185" i="54"/>
  <c r="O154" i="54"/>
  <c r="O246" i="54"/>
  <c r="O557" i="54"/>
  <c r="O649" i="54"/>
  <c r="O528" i="54"/>
  <c r="O497" i="54"/>
  <c r="O355" i="54"/>
  <c r="O301" i="54"/>
  <c r="O685" i="54"/>
  <c r="O592" i="54"/>
  <c r="O11" i="54"/>
  <c r="O240" i="54"/>
  <c r="O433" i="54"/>
  <c r="O452" i="54"/>
  <c r="O33" i="54"/>
  <c r="O97" i="54"/>
  <c r="O161" i="54"/>
  <c r="O225" i="54"/>
  <c r="O50" i="54"/>
  <c r="O114" i="54"/>
  <c r="O178" i="54"/>
  <c r="O20" i="54"/>
  <c r="O148" i="54"/>
  <c r="O270" i="54"/>
  <c r="O302" i="54"/>
  <c r="O366" i="54"/>
  <c r="O430" i="54"/>
  <c r="O494" i="54"/>
  <c r="O558" i="54"/>
  <c r="O622" i="54"/>
  <c r="O686" i="54"/>
  <c r="O15" i="54"/>
  <c r="O143" i="54"/>
  <c r="O251" i="54"/>
  <c r="O315" i="54"/>
  <c r="O379" i="54"/>
  <c r="O459" i="54"/>
  <c r="O523" i="54"/>
  <c r="O571" i="54"/>
  <c r="O635" i="54"/>
  <c r="O651" i="54"/>
  <c r="O715" i="54"/>
  <c r="O83" i="54"/>
  <c r="O349" i="54"/>
  <c r="O477" i="54"/>
  <c r="O605" i="54"/>
  <c r="O733" i="54"/>
  <c r="O425" i="54"/>
  <c r="O681" i="54"/>
  <c r="O244" i="54"/>
  <c r="O308" i="54"/>
  <c r="O572" i="54"/>
  <c r="O24" i="54"/>
  <c r="O256" i="54"/>
  <c r="O416" i="54"/>
  <c r="O544" i="54"/>
  <c r="O672" i="54"/>
  <c r="O401" i="54"/>
  <c r="O657" i="54"/>
  <c r="O300" i="54"/>
  <c r="O548" i="54"/>
  <c r="O740" i="54"/>
  <c r="O153" i="54"/>
  <c r="O74" i="54"/>
  <c r="O36" i="54"/>
  <c r="O470" i="54"/>
  <c r="O678" i="54"/>
  <c r="O259" i="54"/>
  <c r="O531" i="54"/>
  <c r="O643" i="54"/>
  <c r="O707" i="54"/>
  <c r="O525" i="54"/>
  <c r="O521" i="54"/>
  <c r="O464" i="54"/>
  <c r="O720" i="54"/>
  <c r="O21" i="54"/>
  <c r="O85" i="54"/>
  <c r="O149" i="54"/>
  <c r="O213" i="54"/>
  <c r="O38" i="54"/>
  <c r="O102" i="54"/>
  <c r="O166" i="54"/>
  <c r="O124" i="54"/>
  <c r="O258" i="54"/>
  <c r="O354" i="54"/>
  <c r="O418" i="54"/>
  <c r="O482" i="54"/>
  <c r="O546" i="54"/>
  <c r="O610" i="54"/>
  <c r="O674" i="54"/>
  <c r="O738" i="54"/>
  <c r="O119" i="54"/>
  <c r="O319" i="54"/>
  <c r="O383" i="54"/>
  <c r="O447" i="54"/>
  <c r="O511" i="54"/>
  <c r="O575" i="54"/>
  <c r="O639" i="54"/>
  <c r="O703" i="54"/>
  <c r="O35" i="54"/>
  <c r="O325" i="54"/>
  <c r="O453" i="54"/>
  <c r="O581" i="54"/>
  <c r="O709" i="54"/>
  <c r="O377" i="54"/>
  <c r="O633" i="54"/>
  <c r="O160" i="54"/>
  <c r="O524" i="54"/>
  <c r="O716" i="54"/>
  <c r="O228" i="54"/>
  <c r="O392" i="54"/>
  <c r="O520" i="54"/>
  <c r="O648" i="54"/>
  <c r="O744" i="54"/>
  <c r="O219" i="54"/>
  <c r="O353" i="54"/>
  <c r="O609" i="54"/>
  <c r="O144" i="54"/>
  <c r="O500" i="54"/>
  <c r="O692" i="54"/>
  <c r="O137" i="54"/>
  <c r="O106" i="54"/>
  <c r="O68" i="54"/>
  <c r="O294" i="54"/>
  <c r="O486" i="54"/>
  <c r="O662" i="54"/>
  <c r="O243" i="54"/>
  <c r="O483" i="54"/>
  <c r="O611" i="54"/>
  <c r="O675" i="54"/>
  <c r="O461" i="54"/>
  <c r="O457" i="54"/>
  <c r="O604" i="54"/>
  <c r="O239" i="54"/>
  <c r="O432" i="54"/>
  <c r="O305" i="54"/>
  <c r="O580" i="54"/>
  <c r="AB424" i="54"/>
  <c r="Z424" i="54"/>
  <c r="Z4" i="54"/>
  <c r="AB4" i="54"/>
  <c r="X425" i="54"/>
  <c r="E80" i="53"/>
  <c r="F80" i="53"/>
  <c r="G80" i="53"/>
  <c r="Z214" i="64" l="1"/>
  <c r="Z223" i="64"/>
  <c r="Z215" i="64"/>
  <c r="Z218" i="64"/>
  <c r="Z220" i="64"/>
  <c r="Z213" i="64"/>
  <c r="Z216" i="64"/>
  <c r="Z219" i="64"/>
  <c r="Z217" i="64"/>
  <c r="Z222" i="64"/>
  <c r="Z221" i="64"/>
  <c r="Y217" i="64"/>
  <c r="Y213" i="64"/>
  <c r="Y219" i="64"/>
  <c r="Y214" i="64"/>
  <c r="Y221" i="64"/>
  <c r="Y223" i="64"/>
  <c r="Y220" i="64"/>
  <c r="Y216" i="64"/>
  <c r="Y215" i="64"/>
  <c r="Y218" i="64"/>
  <c r="Y222" i="64"/>
  <c r="O34" i="53"/>
  <c r="V614" i="54"/>
  <c r="N53" i="66"/>
  <c r="V635" i="54"/>
  <c r="T341" i="54"/>
  <c r="T446" i="54"/>
  <c r="T614" i="54"/>
  <c r="T719" i="54"/>
  <c r="T488" i="54"/>
  <c r="T593" i="54"/>
  <c r="T551" i="54"/>
  <c r="T383" i="54"/>
  <c r="T740" i="54"/>
  <c r="T782" i="54"/>
  <c r="T362" i="54"/>
  <c r="V488" i="54"/>
  <c r="T404" i="54"/>
  <c r="V698" i="54"/>
  <c r="V341" i="54"/>
  <c r="T467" i="54"/>
  <c r="T698" i="54"/>
  <c r="T509" i="54"/>
  <c r="T656" i="54"/>
  <c r="T635" i="54"/>
  <c r="V362" i="54"/>
  <c r="T761" i="54"/>
  <c r="T677" i="54"/>
  <c r="V404" i="54"/>
  <c r="T530" i="54"/>
  <c r="T425" i="54"/>
  <c r="V446" i="54"/>
  <c r="V761" i="54"/>
  <c r="V467" i="54"/>
  <c r="V509" i="54"/>
  <c r="V677" i="54"/>
  <c r="V593" i="54"/>
  <c r="V572" i="54"/>
  <c r="V782" i="54"/>
  <c r="V719" i="54"/>
  <c r="V656" i="54"/>
  <c r="V551" i="54"/>
  <c r="V383" i="54"/>
  <c r="V530" i="54"/>
  <c r="V740" i="54"/>
  <c r="X593" i="54"/>
  <c r="X698" i="54"/>
  <c r="X614" i="54"/>
  <c r="X341" i="54"/>
  <c r="X656" i="54"/>
  <c r="X383" i="54"/>
  <c r="X530" i="54"/>
  <c r="X782" i="54"/>
  <c r="X446" i="54"/>
  <c r="X572" i="54"/>
  <c r="AD781" i="54"/>
  <c r="AH781" i="54" s="1"/>
  <c r="AL781" i="54" s="1"/>
  <c r="X719" i="54"/>
  <c r="X509" i="54"/>
  <c r="X677" i="54"/>
  <c r="X467" i="54"/>
  <c r="X740" i="54"/>
  <c r="X635" i="54"/>
  <c r="X362" i="54"/>
  <c r="X761" i="54"/>
  <c r="X488" i="54"/>
  <c r="X404" i="54"/>
  <c r="X551" i="54"/>
  <c r="AD424" i="54"/>
  <c r="O62" i="53" l="1"/>
  <c r="O35" i="53"/>
  <c r="O26" i="66"/>
  <c r="N62" i="53" l="1"/>
  <c r="O54" i="66"/>
  <c r="N54" i="66"/>
  <c r="O27" i="66" l="1"/>
  <c r="N55" i="66" l="1"/>
  <c r="O28" i="66"/>
  <c r="O55" i="66"/>
  <c r="O56" i="66" l="1"/>
  <c r="N56" i="66"/>
  <c r="O29" i="66" l="1"/>
  <c r="O57" i="66" l="1"/>
  <c r="N57" i="66" l="1"/>
  <c r="E81" i="53"/>
  <c r="O30" i="66" l="1"/>
  <c r="B4" i="63"/>
  <c r="O58" i="66" l="1"/>
  <c r="B11" i="63"/>
  <c r="B10" i="63"/>
  <c r="B9" i="63"/>
  <c r="AH424" i="54"/>
  <c r="AL424" i="54" s="1"/>
  <c r="AF424" i="54"/>
  <c r="AJ424" i="54" s="1"/>
  <c r="AG424" i="54"/>
  <c r="AK424" i="54" s="1"/>
  <c r="AG4" i="54"/>
  <c r="AK4" i="54" s="1"/>
  <c r="F81" i="53"/>
  <c r="G81" i="53"/>
  <c r="F79" i="53"/>
  <c r="G79" i="53"/>
  <c r="E79" i="53"/>
  <c r="N58" i="66" l="1"/>
  <c r="D4" i="63"/>
  <c r="C4" i="63"/>
  <c r="D16" i="63"/>
  <c r="D20" i="63"/>
  <c r="D21" i="63"/>
  <c r="D22" i="63"/>
  <c r="D18" i="63"/>
  <c r="D19" i="63"/>
  <c r="D17" i="63"/>
  <c r="E11" i="64" l="1"/>
  <c r="K11" i="64" s="1"/>
  <c r="E14" i="64"/>
  <c r="K14" i="64" s="1"/>
  <c r="E6" i="64"/>
  <c r="K6" i="64" s="1"/>
  <c r="E12" i="64"/>
  <c r="K12" i="64" s="1"/>
  <c r="E7" i="64"/>
  <c r="K7" i="64" s="1"/>
  <c r="E8" i="64"/>
  <c r="K8" i="64" s="1"/>
  <c r="E5" i="64"/>
  <c r="K5" i="64" s="1"/>
  <c r="E19" i="64"/>
  <c r="K19" i="64" s="1"/>
  <c r="E10" i="64"/>
  <c r="K10" i="64" s="1"/>
  <c r="E17" i="64"/>
  <c r="K17" i="64" s="1"/>
  <c r="E18" i="64"/>
  <c r="K18" i="64" s="1"/>
  <c r="E16" i="64"/>
  <c r="K16" i="64" s="1"/>
  <c r="E15" i="64"/>
  <c r="K15" i="64" s="1"/>
  <c r="E13" i="64"/>
  <c r="K13" i="64" s="1"/>
  <c r="E9" i="64"/>
  <c r="K9" i="64" s="1"/>
  <c r="V235" i="54"/>
  <c r="V319" i="54"/>
  <c r="V109" i="54"/>
  <c r="V193" i="54"/>
  <c r="V256" i="54"/>
  <c r="V25" i="54"/>
  <c r="V172" i="54"/>
  <c r="V67" i="54"/>
  <c r="V88" i="54"/>
  <c r="V277" i="54"/>
  <c r="V214" i="54"/>
  <c r="V4" i="54"/>
  <c r="V298" i="54"/>
  <c r="V151" i="54"/>
  <c r="V46" i="54"/>
  <c r="V130" i="54"/>
  <c r="O31" i="66"/>
  <c r="V215" i="54"/>
  <c r="V68" i="54"/>
  <c r="V236" i="54"/>
  <c r="V152" i="54"/>
  <c r="V299" i="54"/>
  <c r="V5" i="54"/>
  <c r="V257" i="54"/>
  <c r="V110" i="54"/>
  <c r="V131" i="54"/>
  <c r="V89" i="54"/>
  <c r="V47" i="54"/>
  <c r="V320" i="54"/>
  <c r="V278" i="54"/>
  <c r="V26" i="54"/>
  <c r="V173" i="54"/>
  <c r="V194" i="54"/>
  <c r="D9" i="64"/>
  <c r="J9" i="64" s="1"/>
  <c r="D8" i="64"/>
  <c r="J8" i="64" s="1"/>
  <c r="D19" i="64"/>
  <c r="J19" i="64" s="1"/>
  <c r="D18" i="64"/>
  <c r="J18" i="64" s="1"/>
  <c r="D15" i="64"/>
  <c r="J15" i="64" s="1"/>
  <c r="D17" i="64"/>
  <c r="J17" i="64" s="1"/>
  <c r="D14" i="64"/>
  <c r="J14" i="64" s="1"/>
  <c r="D6" i="64"/>
  <c r="J6" i="64" s="1"/>
  <c r="D5" i="64"/>
  <c r="J5" i="64" s="1"/>
  <c r="D16" i="64"/>
  <c r="J16" i="64" s="1"/>
  <c r="D13" i="64"/>
  <c r="J13" i="64" s="1"/>
  <c r="D7" i="64"/>
  <c r="J7" i="64" s="1"/>
  <c r="D10" i="64"/>
  <c r="J10" i="64" s="1"/>
  <c r="D11" i="64"/>
  <c r="J11" i="64" s="1"/>
  <c r="D12" i="64"/>
  <c r="J12" i="64" s="1"/>
  <c r="T172" i="54"/>
  <c r="T193" i="54"/>
  <c r="T256" i="54"/>
  <c r="T4" i="54"/>
  <c r="T25" i="54"/>
  <c r="T319" i="54"/>
  <c r="T46" i="54"/>
  <c r="T235" i="54"/>
  <c r="T109" i="54"/>
  <c r="T298" i="54"/>
  <c r="T151" i="54"/>
  <c r="T130" i="54"/>
  <c r="T88" i="54"/>
  <c r="T277" i="54"/>
  <c r="T214" i="54"/>
  <c r="T67" i="54"/>
  <c r="D29" i="64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E25" i="6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E39" i="63"/>
  <c r="E41" i="63"/>
  <c r="E27" i="63"/>
  <c r="E29" i="63"/>
  <c r="H2" i="53"/>
  <c r="O59" i="66" l="1"/>
  <c r="T68" i="54"/>
  <c r="T173" i="54"/>
  <c r="T320" i="54"/>
  <c r="T194" i="54"/>
  <c r="T89" i="54"/>
  <c r="T215" i="54"/>
  <c r="T131" i="54"/>
  <c r="T236" i="54"/>
  <c r="T47" i="54"/>
  <c r="T278" i="54"/>
  <c r="T110" i="54"/>
  <c r="T257" i="54"/>
  <c r="T152" i="54"/>
  <c r="T5" i="54"/>
  <c r="T299" i="54"/>
  <c r="T26" i="54"/>
  <c r="F16" i="64"/>
  <c r="F7" i="64"/>
  <c r="F12" i="64"/>
  <c r="F19" i="64"/>
  <c r="F6" i="64"/>
  <c r="F13" i="64"/>
  <c r="F14" i="64"/>
  <c r="F15" i="64"/>
  <c r="F9" i="64"/>
  <c r="F10" i="64"/>
  <c r="F11" i="64"/>
  <c r="F17" i="64"/>
  <c r="F18" i="64"/>
  <c r="F5" i="64"/>
  <c r="F8" i="64"/>
  <c r="X172" i="54"/>
  <c r="X46" i="54"/>
  <c r="X214" i="54"/>
  <c r="X67" i="54"/>
  <c r="X25" i="54"/>
  <c r="X151" i="54"/>
  <c r="X256" i="54"/>
  <c r="X235" i="54"/>
  <c r="X319" i="54"/>
  <c r="X193" i="54"/>
  <c r="X88" i="54"/>
  <c r="X277" i="54"/>
  <c r="X4" i="54"/>
  <c r="X109" i="54"/>
  <c r="X298" i="54"/>
  <c r="X130" i="54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Z25" i="54"/>
  <c r="AF25" i="54" s="1"/>
  <c r="AJ25" i="54" s="1"/>
  <c r="F16" i="63"/>
  <c r="F17" i="63"/>
  <c r="F20" i="63"/>
  <c r="F19" i="63"/>
  <c r="F22" i="63"/>
  <c r="F21" i="63"/>
  <c r="F18" i="63"/>
  <c r="E20" i="63"/>
  <c r="E19" i="63"/>
  <c r="E18" i="63"/>
  <c r="E16" i="63"/>
  <c r="E21" i="63"/>
  <c r="E17" i="63"/>
  <c r="E22" i="63"/>
  <c r="AF4" i="54"/>
  <c r="AJ4" i="54" s="1"/>
  <c r="AC15" i="64" l="1"/>
  <c r="AB17" i="64"/>
  <c r="AA18" i="64"/>
  <c r="AA19" i="64"/>
  <c r="AC23" i="64"/>
  <c r="AB25" i="64"/>
  <c r="AC17" i="64"/>
  <c r="AB19" i="64"/>
  <c r="AA20" i="64"/>
  <c r="AA21" i="64"/>
  <c r="AC25" i="64"/>
  <c r="AA15" i="64"/>
  <c r="AC19" i="64"/>
  <c r="AB21" i="64"/>
  <c r="AA22" i="64"/>
  <c r="AA23" i="64"/>
  <c r="AB15" i="64"/>
  <c r="AA16" i="64"/>
  <c r="AA17" i="64"/>
  <c r="AC21" i="64"/>
  <c r="AB23" i="64"/>
  <c r="AA24" i="64"/>
  <c r="AB24" i="64"/>
  <c r="AB22" i="64"/>
  <c r="AB20" i="64"/>
  <c r="AB18" i="64"/>
  <c r="AB16" i="64"/>
  <c r="AC24" i="64"/>
  <c r="AC22" i="64"/>
  <c r="AC20" i="64"/>
  <c r="AC18" i="64"/>
  <c r="AC16" i="64"/>
  <c r="Z782" i="54"/>
  <c r="AF782" i="54" s="1"/>
  <c r="AJ782" i="54" s="1"/>
  <c r="N59" i="66"/>
  <c r="I12" i="64"/>
  <c r="L12" i="64" s="1"/>
  <c r="I10" i="64"/>
  <c r="L10" i="64" s="1"/>
  <c r="I13" i="64"/>
  <c r="L13" i="64" s="1"/>
  <c r="I5" i="64"/>
  <c r="L5" i="64" s="1"/>
  <c r="I18" i="64"/>
  <c r="L18" i="64" s="1"/>
  <c r="I16" i="64"/>
  <c r="L16" i="64" s="1"/>
  <c r="I19" i="64"/>
  <c r="L19" i="64" s="1"/>
  <c r="I11" i="64"/>
  <c r="L11" i="64" s="1"/>
  <c r="I17" i="64"/>
  <c r="L17" i="64" s="1"/>
  <c r="I9" i="64"/>
  <c r="L9" i="64" s="1"/>
  <c r="I15" i="64"/>
  <c r="L15" i="64" s="1"/>
  <c r="I14" i="64"/>
  <c r="L14" i="64" s="1"/>
  <c r="I6" i="64"/>
  <c r="L6" i="64" s="1"/>
  <c r="I8" i="64"/>
  <c r="L8" i="64" s="1"/>
  <c r="I7" i="64"/>
  <c r="L7" i="64" s="1"/>
  <c r="AD782" i="54"/>
  <c r="AH782" i="54" s="1"/>
  <c r="AL782" i="54" s="1"/>
  <c r="T447" i="54"/>
  <c r="T741" i="54"/>
  <c r="T342" i="54"/>
  <c r="T27" i="54"/>
  <c r="T216" i="54"/>
  <c r="T321" i="54"/>
  <c r="T111" i="54"/>
  <c r="T300" i="54"/>
  <c r="T69" i="54"/>
  <c r="T6" i="54"/>
  <c r="T258" i="54"/>
  <c r="T174" i="54"/>
  <c r="T153" i="54"/>
  <c r="T195" i="54"/>
  <c r="T48" i="54"/>
  <c r="T279" i="54"/>
  <c r="T237" i="54"/>
  <c r="T132" i="54"/>
  <c r="T90" i="54"/>
  <c r="AB782" i="54"/>
  <c r="AG782" i="54" s="1"/>
  <c r="AK782" i="54" s="1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D4" i="54"/>
  <c r="AH4" i="54" s="1"/>
  <c r="AL4" i="54" s="1"/>
  <c r="AA25" i="64" l="1"/>
  <c r="W38" i="64"/>
  <c r="W42" i="64"/>
  <c r="W30" i="64"/>
  <c r="W46" i="64"/>
  <c r="W26" i="64"/>
  <c r="W32" i="64"/>
  <c r="W44" i="64"/>
  <c r="W40" i="64"/>
  <c r="W39" i="64"/>
  <c r="W37" i="64"/>
  <c r="W31" i="64"/>
  <c r="W33" i="64"/>
  <c r="W29" i="64"/>
  <c r="W27" i="64"/>
  <c r="W43" i="64"/>
  <c r="W45" i="64"/>
  <c r="W34" i="64"/>
  <c r="W36" i="64"/>
  <c r="W47" i="64"/>
  <c r="W35" i="64"/>
  <c r="W28" i="64"/>
  <c r="W41" i="64"/>
  <c r="V39" i="64"/>
  <c r="V40" i="64"/>
  <c r="V30" i="64"/>
  <c r="V31" i="64"/>
  <c r="V44" i="64"/>
  <c r="V27" i="64"/>
  <c r="V29" i="64"/>
  <c r="V38" i="64"/>
  <c r="V42" i="64"/>
  <c r="V37" i="64"/>
  <c r="V46" i="64"/>
  <c r="V34" i="64"/>
  <c r="V32" i="64"/>
  <c r="V47" i="64"/>
  <c r="V45" i="64"/>
  <c r="V36" i="64"/>
  <c r="V41" i="64"/>
  <c r="V35" i="64"/>
  <c r="V28" i="64"/>
  <c r="V26" i="64"/>
  <c r="V43" i="64"/>
  <c r="V33" i="64"/>
  <c r="L11" i="65"/>
  <c r="U37" i="64"/>
  <c r="U43" i="64"/>
  <c r="U27" i="64"/>
  <c r="U29" i="64"/>
  <c r="U47" i="64"/>
  <c r="U45" i="64"/>
  <c r="U41" i="64"/>
  <c r="U44" i="64"/>
  <c r="U42" i="64"/>
  <c r="U40" i="64"/>
  <c r="U31" i="64"/>
  <c r="U35" i="64"/>
  <c r="U30" i="64"/>
  <c r="U33" i="64"/>
  <c r="U34" i="64"/>
  <c r="U28" i="64"/>
  <c r="U46" i="64"/>
  <c r="U39" i="64"/>
  <c r="U32" i="64"/>
  <c r="U36" i="64"/>
  <c r="U38" i="64"/>
  <c r="U26" i="64"/>
  <c r="T468" i="54"/>
  <c r="T678" i="54"/>
  <c r="T510" i="54"/>
  <c r="T699" i="54"/>
  <c r="T657" i="54"/>
  <c r="T489" i="54"/>
  <c r="T426" i="54"/>
  <c r="T615" i="54"/>
  <c r="T384" i="54"/>
  <c r="T363" i="54"/>
  <c r="T405" i="54"/>
  <c r="T720" i="54"/>
  <c r="T594" i="54"/>
  <c r="T552" i="54"/>
  <c r="T762" i="54"/>
  <c r="T531" i="54"/>
  <c r="T573" i="54"/>
  <c r="T636" i="54"/>
  <c r="T783" i="54"/>
  <c r="O32" i="66"/>
  <c r="V447" i="54"/>
  <c r="V573" i="54"/>
  <c r="V363" i="54"/>
  <c r="V489" i="54"/>
  <c r="V678" i="54"/>
  <c r="V741" i="54"/>
  <c r="V510" i="54"/>
  <c r="V468" i="54"/>
  <c r="V342" i="54"/>
  <c r="V552" i="54"/>
  <c r="V531" i="54"/>
  <c r="V720" i="54"/>
  <c r="V594" i="54"/>
  <c r="V783" i="54"/>
  <c r="V762" i="54"/>
  <c r="V426" i="54"/>
  <c r="V384" i="54"/>
  <c r="V657" i="54"/>
  <c r="V615" i="54"/>
  <c r="V405" i="54"/>
  <c r="V699" i="54"/>
  <c r="V636" i="54"/>
  <c r="L5" i="65"/>
  <c r="X384" i="54"/>
  <c r="X720" i="54"/>
  <c r="X342" i="54"/>
  <c r="X489" i="54"/>
  <c r="X741" i="54"/>
  <c r="X657" i="54"/>
  <c r="X615" i="54"/>
  <c r="X405" i="54"/>
  <c r="X699" i="54"/>
  <c r="X573" i="54"/>
  <c r="X636" i="54"/>
  <c r="X678" i="54"/>
  <c r="X531" i="54"/>
  <c r="X594" i="54"/>
  <c r="X783" i="54"/>
  <c r="X468" i="54"/>
  <c r="X762" i="54"/>
  <c r="X426" i="54"/>
  <c r="X510" i="54"/>
  <c r="X552" i="54"/>
  <c r="X447" i="54"/>
  <c r="X363" i="54"/>
  <c r="X26" i="54"/>
  <c r="X173" i="54"/>
  <c r="X194" i="54"/>
  <c r="X215" i="54"/>
  <c r="X320" i="54"/>
  <c r="X5" i="54"/>
  <c r="X110" i="54"/>
  <c r="X68" i="54"/>
  <c r="X131" i="54"/>
  <c r="X257" i="54"/>
  <c r="X89" i="54"/>
  <c r="X152" i="54"/>
  <c r="X236" i="54"/>
  <c r="X47" i="54"/>
  <c r="X278" i="54"/>
  <c r="X299" i="54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Z5" i="54"/>
  <c r="AF5" i="54" s="1"/>
  <c r="AJ5" i="54" s="1"/>
  <c r="S26" i="67" l="1"/>
  <c r="Y26" i="67" s="1"/>
  <c r="S30" i="67"/>
  <c r="Y30" i="67" s="1"/>
  <c r="S34" i="67"/>
  <c r="Y34" i="67" s="1"/>
  <c r="S38" i="67"/>
  <c r="Y38" i="67" s="1"/>
  <c r="S42" i="67"/>
  <c r="Y42" i="67" s="1"/>
  <c r="S46" i="67"/>
  <c r="Y46" i="67" s="1"/>
  <c r="S50" i="67"/>
  <c r="Y50" i="67" s="1"/>
  <c r="S54" i="67"/>
  <c r="Y54" i="67" s="1"/>
  <c r="S58" i="67"/>
  <c r="Y58" i="67" s="1"/>
  <c r="S62" i="67"/>
  <c r="Y62" i="67" s="1"/>
  <c r="S25" i="67"/>
  <c r="Y25" i="67" s="1"/>
  <c r="S29" i="67"/>
  <c r="Y29" i="67" s="1"/>
  <c r="S33" i="67"/>
  <c r="Y33" i="67" s="1"/>
  <c r="S37" i="67"/>
  <c r="Y37" i="67" s="1"/>
  <c r="S41" i="67"/>
  <c r="Y41" i="67" s="1"/>
  <c r="S45" i="67"/>
  <c r="Y45" i="67" s="1"/>
  <c r="S49" i="67"/>
  <c r="Y49" i="67" s="1"/>
  <c r="S53" i="67"/>
  <c r="Y53" i="67" s="1"/>
  <c r="S57" i="67"/>
  <c r="Y57" i="67" s="1"/>
  <c r="S61" i="67"/>
  <c r="Y61" i="67" s="1"/>
  <c r="S28" i="67"/>
  <c r="Y28" i="67" s="1"/>
  <c r="S32" i="67"/>
  <c r="Y32" i="67" s="1"/>
  <c r="S36" i="67"/>
  <c r="Y36" i="67" s="1"/>
  <c r="S40" i="67"/>
  <c r="Y40" i="67" s="1"/>
  <c r="S44" i="67"/>
  <c r="Y44" i="67" s="1"/>
  <c r="S48" i="67"/>
  <c r="Y48" i="67" s="1"/>
  <c r="S52" i="67"/>
  <c r="Y52" i="67" s="1"/>
  <c r="S56" i="67"/>
  <c r="Y56" i="67" s="1"/>
  <c r="S60" i="67"/>
  <c r="Y60" i="67" s="1"/>
  <c r="S27" i="67"/>
  <c r="Y27" i="67" s="1"/>
  <c r="S31" i="67"/>
  <c r="Y31" i="67" s="1"/>
  <c r="S35" i="67"/>
  <c r="Y35" i="67" s="1"/>
  <c r="S39" i="67"/>
  <c r="Y39" i="67" s="1"/>
  <c r="S43" i="67"/>
  <c r="Y43" i="67" s="1"/>
  <c r="AU4" i="67" s="1"/>
  <c r="S47" i="67"/>
  <c r="Y47" i="67" s="1"/>
  <c r="S51" i="67"/>
  <c r="Y51" i="67" s="1"/>
  <c r="S55" i="67"/>
  <c r="Y55" i="67" s="1"/>
  <c r="S59" i="67"/>
  <c r="Y59" i="67" s="1"/>
  <c r="S24" i="67"/>
  <c r="Y24" i="67" s="1"/>
  <c r="FB5" i="65"/>
  <c r="FA5" i="65" s="1"/>
  <c r="BA11" i="65"/>
  <c r="DP18" i="65"/>
  <c r="DP34" i="65"/>
  <c r="DP50" i="65"/>
  <c r="DP66" i="65"/>
  <c r="DP82" i="65"/>
  <c r="DP17" i="65"/>
  <c r="DP33" i="65"/>
  <c r="DP49" i="65"/>
  <c r="DP65" i="65"/>
  <c r="DP81" i="65"/>
  <c r="DS20" i="65"/>
  <c r="DS36" i="65"/>
  <c r="DS52" i="65"/>
  <c r="DS84" i="65"/>
  <c r="DS15" i="65"/>
  <c r="DS31" i="65"/>
  <c r="DS47" i="65"/>
  <c r="DS63" i="65"/>
  <c r="DS79" i="65"/>
  <c r="AZ11" i="65"/>
  <c r="DP32" i="65"/>
  <c r="DP48" i="65"/>
  <c r="DP64" i="65"/>
  <c r="DP15" i="65"/>
  <c r="DS19" i="65"/>
  <c r="DP31" i="65"/>
  <c r="DS35" i="65"/>
  <c r="DP47" i="65"/>
  <c r="DS51" i="65"/>
  <c r="DP63" i="65"/>
  <c r="DS67" i="65"/>
  <c r="DP79" i="65"/>
  <c r="DS83" i="65"/>
  <c r="DP14" i="65"/>
  <c r="DP30" i="65"/>
  <c r="DP46" i="65"/>
  <c r="DP62" i="65"/>
  <c r="DP78" i="65"/>
  <c r="AA26" i="64"/>
  <c r="AA27" i="64"/>
  <c r="AC28" i="64"/>
  <c r="AA29" i="64"/>
  <c r="AC30" i="64"/>
  <c r="AB31" i="64"/>
  <c r="AA32" i="64"/>
  <c r="AB33" i="64"/>
  <c r="AC37" i="64"/>
  <c r="AA44" i="64"/>
  <c r="AC46" i="64"/>
  <c r="AB27" i="64"/>
  <c r="AB29" i="64"/>
  <c r="AC32" i="64"/>
  <c r="AC27" i="64"/>
  <c r="AC29" i="64"/>
  <c r="AA34" i="64"/>
  <c r="AA37" i="64"/>
  <c r="AC38" i="64"/>
  <c r="AB39" i="64"/>
  <c r="AA40" i="64"/>
  <c r="AC42" i="64"/>
  <c r="AA30" i="64"/>
  <c r="AA31" i="64"/>
  <c r="AA33" i="64"/>
  <c r="AC34" i="64"/>
  <c r="AB37" i="64"/>
  <c r="AC40" i="64"/>
  <c r="AA46" i="64"/>
  <c r="AC44" i="64"/>
  <c r="AA38" i="64"/>
  <c r="AA42" i="64"/>
  <c r="AA39" i="64"/>
  <c r="AB35" i="64"/>
  <c r="AB36" i="64"/>
  <c r="AC36" i="64"/>
  <c r="AC45" i="64"/>
  <c r="AB47" i="64"/>
  <c r="AC35" i="64"/>
  <c r="AB28" i="64"/>
  <c r="AA43" i="64"/>
  <c r="AB40" i="64"/>
  <c r="AB38" i="64"/>
  <c r="AB26" i="64"/>
  <c r="AC33" i="64"/>
  <c r="AA36" i="64"/>
  <c r="AB32" i="64"/>
  <c r="AC47" i="64"/>
  <c r="AB41" i="64"/>
  <c r="AA41" i="64"/>
  <c r="AB46" i="64"/>
  <c r="AC39" i="64"/>
  <c r="AC43" i="64"/>
  <c r="AB42" i="64"/>
  <c r="AC31" i="64"/>
  <c r="AC41" i="64"/>
  <c r="AB45" i="64"/>
  <c r="AA35" i="64"/>
  <c r="AA47" i="64"/>
  <c r="AB44" i="64"/>
  <c r="AB30" i="64"/>
  <c r="AC26" i="64"/>
  <c r="AB34" i="64"/>
  <c r="AB43" i="64"/>
  <c r="AA28" i="64"/>
  <c r="AA45" i="64"/>
  <c r="AY11" i="65"/>
  <c r="DP36" i="65"/>
  <c r="DP52" i="65"/>
  <c r="DP84" i="65"/>
  <c r="DP19" i="65"/>
  <c r="DP35" i="65"/>
  <c r="DP51" i="65"/>
  <c r="DP67" i="65"/>
  <c r="DP83" i="65"/>
  <c r="DP13" i="65"/>
  <c r="DP29" i="65"/>
  <c r="DP45" i="65"/>
  <c r="DP61" i="65"/>
  <c r="DP77" i="65"/>
  <c r="DP53" i="65"/>
  <c r="DP20" i="65"/>
  <c r="DP76" i="65"/>
  <c r="DP75" i="65"/>
  <c r="DP28" i="65"/>
  <c r="DP37" i="65"/>
  <c r="DP43" i="65"/>
  <c r="DP68" i="65"/>
  <c r="DP27" i="65"/>
  <c r="DP21" i="65"/>
  <c r="DP69" i="65"/>
  <c r="DP44" i="65"/>
  <c r="DP12" i="65"/>
  <c r="DP5" i="65"/>
  <c r="DP59" i="65"/>
  <c r="DP60" i="65"/>
  <c r="DP11" i="65"/>
  <c r="O60" i="66"/>
  <c r="DO69" i="65"/>
  <c r="DO21" i="65"/>
  <c r="DO5" i="65"/>
  <c r="DO43" i="65"/>
  <c r="DO75" i="65"/>
  <c r="DO27" i="65"/>
  <c r="DO44" i="65"/>
  <c r="DO60" i="65"/>
  <c r="DO76" i="65"/>
  <c r="DO53" i="65"/>
  <c r="DO59" i="65"/>
  <c r="DO11" i="65"/>
  <c r="DO12" i="65"/>
  <c r="DO37" i="65"/>
  <c r="DO28" i="65"/>
  <c r="Z783" i="54"/>
  <c r="AF783" i="54" s="1"/>
  <c r="AJ783" i="54" s="1"/>
  <c r="DO36" i="65"/>
  <c r="DO77" i="65"/>
  <c r="DO19" i="65"/>
  <c r="DO13" i="65"/>
  <c r="DO61" i="65"/>
  <c r="DO68" i="65"/>
  <c r="DO35" i="65"/>
  <c r="DO20" i="65"/>
  <c r="DO84" i="65"/>
  <c r="DO29" i="65"/>
  <c r="DO51" i="65"/>
  <c r="DO83" i="65"/>
  <c r="DO67" i="65"/>
  <c r="DO45" i="65"/>
  <c r="DO52" i="65"/>
  <c r="DP80" i="65"/>
  <c r="DP16" i="65"/>
  <c r="M11" i="65"/>
  <c r="DS68" i="65"/>
  <c r="N11" i="65"/>
  <c r="X321" i="54"/>
  <c r="X6" i="54"/>
  <c r="X48" i="54"/>
  <c r="X174" i="54"/>
  <c r="X300" i="54"/>
  <c r="X195" i="54"/>
  <c r="X132" i="54"/>
  <c r="X258" i="54"/>
  <c r="X69" i="54"/>
  <c r="X279" i="54"/>
  <c r="X90" i="54"/>
  <c r="X111" i="54"/>
  <c r="X153" i="54"/>
  <c r="X27" i="54"/>
  <c r="X216" i="54"/>
  <c r="X237" i="54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AD25" i="54"/>
  <c r="AH25" i="54" s="1"/>
  <c r="AL25" i="5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B25" i="54"/>
  <c r="AG25" i="54" s="1"/>
  <c r="AK25" i="54" s="1"/>
  <c r="AB5" i="54"/>
  <c r="AG5" i="54" s="1"/>
  <c r="AK5" i="54" s="1"/>
  <c r="AD5" i="54"/>
  <c r="AH5" i="54" s="1"/>
  <c r="AL5" i="54" s="1"/>
  <c r="FB77" i="65" l="1"/>
  <c r="FA77" i="65" s="1"/>
  <c r="FB79" i="65"/>
  <c r="FA79" i="65" s="1"/>
  <c r="FB78" i="65"/>
  <c r="FA78" i="65" s="1"/>
  <c r="T27" i="67"/>
  <c r="Z27" i="67" s="1"/>
  <c r="T31" i="67"/>
  <c r="Z31" i="67" s="1"/>
  <c r="T35" i="67"/>
  <c r="Z35" i="67" s="1"/>
  <c r="T39" i="67"/>
  <c r="Z39" i="67" s="1"/>
  <c r="T43" i="67"/>
  <c r="Z43" i="67" s="1"/>
  <c r="AV4" i="67" s="1"/>
  <c r="T47" i="67"/>
  <c r="Z47" i="67" s="1"/>
  <c r="T51" i="67"/>
  <c r="Z51" i="67" s="1"/>
  <c r="T55" i="67"/>
  <c r="Z55" i="67" s="1"/>
  <c r="T59" i="67"/>
  <c r="Z59" i="67" s="1"/>
  <c r="T26" i="67"/>
  <c r="Z26" i="67" s="1"/>
  <c r="T30" i="67"/>
  <c r="Z30" i="67" s="1"/>
  <c r="T34" i="67"/>
  <c r="Z34" i="67" s="1"/>
  <c r="T38" i="67"/>
  <c r="Z38" i="67" s="1"/>
  <c r="T42" i="67"/>
  <c r="Z42" i="67" s="1"/>
  <c r="T46" i="67"/>
  <c r="Z46" i="67" s="1"/>
  <c r="T50" i="67"/>
  <c r="Z50" i="67" s="1"/>
  <c r="T54" i="67"/>
  <c r="Z54" i="67" s="1"/>
  <c r="T58" i="67"/>
  <c r="Z58" i="67" s="1"/>
  <c r="T62" i="67"/>
  <c r="Z62" i="67" s="1"/>
  <c r="T25" i="67"/>
  <c r="Z25" i="67" s="1"/>
  <c r="T29" i="67"/>
  <c r="Z29" i="67" s="1"/>
  <c r="T33" i="67"/>
  <c r="Z33" i="67" s="1"/>
  <c r="T37" i="67"/>
  <c r="Z37" i="67" s="1"/>
  <c r="T41" i="67"/>
  <c r="Z41" i="67" s="1"/>
  <c r="T45" i="67"/>
  <c r="Z45" i="67" s="1"/>
  <c r="T49" i="67"/>
  <c r="Z49" i="67" s="1"/>
  <c r="T53" i="67"/>
  <c r="Z53" i="67" s="1"/>
  <c r="T57" i="67"/>
  <c r="Z57" i="67" s="1"/>
  <c r="T61" i="67"/>
  <c r="Z61" i="67" s="1"/>
  <c r="T28" i="67"/>
  <c r="Z28" i="67" s="1"/>
  <c r="T32" i="67"/>
  <c r="Z32" i="67" s="1"/>
  <c r="T36" i="67"/>
  <c r="Z36" i="67" s="1"/>
  <c r="T40" i="67"/>
  <c r="Z40" i="67" s="1"/>
  <c r="T44" i="67"/>
  <c r="Z44" i="67" s="1"/>
  <c r="T48" i="67"/>
  <c r="Z48" i="67" s="1"/>
  <c r="T52" i="67"/>
  <c r="Z52" i="67" s="1"/>
  <c r="T56" i="67"/>
  <c r="Z56" i="67" s="1"/>
  <c r="T60" i="67"/>
  <c r="Z60" i="67" s="1"/>
  <c r="T24" i="67"/>
  <c r="Z24" i="67" s="1"/>
  <c r="U28" i="67"/>
  <c r="AA28" i="67" s="1"/>
  <c r="U32" i="67"/>
  <c r="AA32" i="67" s="1"/>
  <c r="U36" i="67"/>
  <c r="AA36" i="67" s="1"/>
  <c r="U40" i="67"/>
  <c r="AA40" i="67" s="1"/>
  <c r="U44" i="67"/>
  <c r="AA44" i="67" s="1"/>
  <c r="U48" i="67"/>
  <c r="AA48" i="67" s="1"/>
  <c r="U52" i="67"/>
  <c r="AA52" i="67" s="1"/>
  <c r="U56" i="67"/>
  <c r="AA56" i="67" s="1"/>
  <c r="U60" i="67"/>
  <c r="AA60" i="67" s="1"/>
  <c r="U27" i="67"/>
  <c r="AA27" i="67" s="1"/>
  <c r="U31" i="67"/>
  <c r="AA31" i="67" s="1"/>
  <c r="U35" i="67"/>
  <c r="AA35" i="67" s="1"/>
  <c r="U39" i="67"/>
  <c r="AA39" i="67" s="1"/>
  <c r="U43" i="67"/>
  <c r="AA43" i="67" s="1"/>
  <c r="AW4" i="67" s="1"/>
  <c r="U47" i="67"/>
  <c r="AA47" i="67" s="1"/>
  <c r="U51" i="67"/>
  <c r="AA51" i="67" s="1"/>
  <c r="U55" i="67"/>
  <c r="AA55" i="67" s="1"/>
  <c r="U59" i="67"/>
  <c r="AA59" i="67" s="1"/>
  <c r="U26" i="67"/>
  <c r="AA26" i="67" s="1"/>
  <c r="U30" i="67"/>
  <c r="AA30" i="67" s="1"/>
  <c r="U34" i="67"/>
  <c r="AA34" i="67" s="1"/>
  <c r="U38" i="67"/>
  <c r="AA38" i="67" s="1"/>
  <c r="U42" i="67"/>
  <c r="AA42" i="67" s="1"/>
  <c r="U46" i="67"/>
  <c r="AA46" i="67" s="1"/>
  <c r="U50" i="67"/>
  <c r="AA50" i="67" s="1"/>
  <c r="U54" i="67"/>
  <c r="AA54" i="67" s="1"/>
  <c r="U58" i="67"/>
  <c r="AA58" i="67" s="1"/>
  <c r="U62" i="67"/>
  <c r="AA62" i="67" s="1"/>
  <c r="U25" i="67"/>
  <c r="AA25" i="67" s="1"/>
  <c r="U29" i="67"/>
  <c r="AA29" i="67" s="1"/>
  <c r="U33" i="67"/>
  <c r="AA33" i="67" s="1"/>
  <c r="U37" i="67"/>
  <c r="AA37" i="67" s="1"/>
  <c r="U41" i="67"/>
  <c r="AA41" i="67" s="1"/>
  <c r="U45" i="67"/>
  <c r="AA45" i="67" s="1"/>
  <c r="U49" i="67"/>
  <c r="AA49" i="67" s="1"/>
  <c r="U53" i="67"/>
  <c r="AA53" i="67" s="1"/>
  <c r="U57" i="67"/>
  <c r="AA57" i="67" s="1"/>
  <c r="U61" i="67"/>
  <c r="AA61" i="67" s="1"/>
  <c r="U24" i="67"/>
  <c r="AA24" i="67" s="1"/>
  <c r="U53" i="64"/>
  <c r="U55" i="64"/>
  <c r="U51" i="64"/>
  <c r="U48" i="64"/>
  <c r="U49" i="64"/>
  <c r="U54" i="64"/>
  <c r="U56" i="64"/>
  <c r="U58" i="64"/>
  <c r="U50" i="64"/>
  <c r="U57" i="64"/>
  <c r="U52" i="64"/>
  <c r="BA5" i="65"/>
  <c r="FB7" i="65" s="1"/>
  <c r="FA7" i="65" s="1"/>
  <c r="DP10" i="65"/>
  <c r="DP26" i="65"/>
  <c r="DP42" i="65"/>
  <c r="DP58" i="65"/>
  <c r="DP9" i="65"/>
  <c r="DP25" i="65"/>
  <c r="DP41" i="65"/>
  <c r="DP73" i="65"/>
  <c r="DS12" i="65"/>
  <c r="DS44" i="65"/>
  <c r="DS60" i="65"/>
  <c r="DS7" i="65"/>
  <c r="DS23" i="65"/>
  <c r="DS39" i="65"/>
  <c r="DS55" i="65"/>
  <c r="DS71" i="65"/>
  <c r="CZ83" i="65"/>
  <c r="CZ36" i="65"/>
  <c r="CZ51" i="65"/>
  <c r="CZ34" i="65"/>
  <c r="CZ81" i="65"/>
  <c r="CZ45" i="65"/>
  <c r="CZ78" i="65"/>
  <c r="CZ47" i="65"/>
  <c r="CZ64" i="65"/>
  <c r="CZ48" i="65"/>
  <c r="CZ77" i="65"/>
  <c r="CZ49" i="65"/>
  <c r="CZ52" i="65"/>
  <c r="CZ29" i="65"/>
  <c r="CZ66" i="65"/>
  <c r="CZ13" i="65"/>
  <c r="CZ50" i="65"/>
  <c r="CZ32" i="65"/>
  <c r="CZ84" i="65"/>
  <c r="CZ33" i="65"/>
  <c r="CZ65" i="65"/>
  <c r="CZ82" i="65"/>
  <c r="CZ17" i="65"/>
  <c r="CZ61" i="65"/>
  <c r="CZ20" i="65"/>
  <c r="CZ31" i="65"/>
  <c r="CZ62" i="65"/>
  <c r="CZ18" i="65"/>
  <c r="CZ14" i="65"/>
  <c r="CZ15" i="65"/>
  <c r="CZ19" i="65"/>
  <c r="CZ16" i="65"/>
  <c r="CZ67" i="65"/>
  <c r="CZ35" i="65"/>
  <c r="CZ46" i="65"/>
  <c r="CZ68" i="65"/>
  <c r="CZ30" i="65"/>
  <c r="CZ79" i="65"/>
  <c r="CZ63" i="65"/>
  <c r="CZ80" i="65"/>
  <c r="N60" i="66"/>
  <c r="V69" i="54"/>
  <c r="V48" i="54"/>
  <c r="V216" i="54"/>
  <c r="V27" i="54"/>
  <c r="V321" i="54"/>
  <c r="V6" i="54"/>
  <c r="V279" i="54"/>
  <c r="V90" i="54"/>
  <c r="V111" i="54"/>
  <c r="V153" i="54"/>
  <c r="V237" i="54"/>
  <c r="V258" i="54"/>
  <c r="V300" i="54"/>
  <c r="V195" i="54"/>
  <c r="V132" i="54"/>
  <c r="V174" i="54"/>
  <c r="T322" i="54"/>
  <c r="T70" i="54"/>
  <c r="T238" i="54"/>
  <c r="T259" i="54"/>
  <c r="T301" i="54"/>
  <c r="T196" i="54"/>
  <c r="T49" i="54"/>
  <c r="T133" i="54"/>
  <c r="T91" i="54"/>
  <c r="T280" i="54"/>
  <c r="EJ5" i="65"/>
  <c r="T154" i="54"/>
  <c r="T7" i="54"/>
  <c r="T217" i="54"/>
  <c r="T28" i="54"/>
  <c r="T112" i="54"/>
  <c r="T175" i="54"/>
  <c r="AB783" i="54"/>
  <c r="AG783" i="54" s="1"/>
  <c r="AK783" i="54" s="1"/>
  <c r="DO81" i="65"/>
  <c r="DO17" i="65"/>
  <c r="DO18" i="65"/>
  <c r="DR68" i="65"/>
  <c r="DO82" i="65"/>
  <c r="DO33" i="65"/>
  <c r="DR36" i="65"/>
  <c r="DR63" i="65"/>
  <c r="DR84" i="65"/>
  <c r="DO65" i="65"/>
  <c r="DO49" i="65"/>
  <c r="DR79" i="65"/>
  <c r="DR20" i="65"/>
  <c r="DO50" i="65"/>
  <c r="DO66" i="65"/>
  <c r="DR47" i="65"/>
  <c r="DR31" i="65"/>
  <c r="DR15" i="65"/>
  <c r="DO34" i="65"/>
  <c r="DR52" i="65"/>
  <c r="DO32" i="65"/>
  <c r="DR19" i="65"/>
  <c r="DO46" i="65"/>
  <c r="DO15" i="65"/>
  <c r="DO30" i="65"/>
  <c r="DO48" i="65"/>
  <c r="DO62" i="65"/>
  <c r="DR51" i="65"/>
  <c r="DO64" i="65"/>
  <c r="DR35" i="65"/>
  <c r="DO79" i="65"/>
  <c r="DR83" i="65"/>
  <c r="DO78" i="65"/>
  <c r="DR67" i="65"/>
  <c r="DO63" i="65"/>
  <c r="DO80" i="65"/>
  <c r="DO31" i="65"/>
  <c r="DO14" i="65"/>
  <c r="DO16" i="65"/>
  <c r="DO47" i="65"/>
  <c r="AD783" i="54"/>
  <c r="AH783" i="54" s="1"/>
  <c r="AL783" i="54" s="1"/>
  <c r="T406" i="54"/>
  <c r="T616" i="54"/>
  <c r="T700" i="54"/>
  <c r="T784" i="54"/>
  <c r="T343" i="54"/>
  <c r="T364" i="54"/>
  <c r="T637" i="54"/>
  <c r="T595" i="54"/>
  <c r="T469" i="54"/>
  <c r="T448" i="54"/>
  <c r="T763" i="54"/>
  <c r="T658" i="54"/>
  <c r="T490" i="54"/>
  <c r="T574" i="54"/>
  <c r="T532" i="54"/>
  <c r="T679" i="54"/>
  <c r="T511" i="54"/>
  <c r="T553" i="54"/>
  <c r="T742" i="54"/>
  <c r="T385" i="54"/>
  <c r="T427" i="54"/>
  <c r="T721" i="54"/>
  <c r="DP57" i="65"/>
  <c r="DS28" i="65"/>
  <c r="DP74" i="65"/>
  <c r="DS76" i="65"/>
  <c r="N5" i="65"/>
  <c r="EJ6" i="65"/>
  <c r="X259" i="54"/>
  <c r="X154" i="54"/>
  <c r="X70" i="54"/>
  <c r="X301" i="54"/>
  <c r="X112" i="54"/>
  <c r="X133" i="54"/>
  <c r="X91" i="54"/>
  <c r="X280" i="54"/>
  <c r="X196" i="54"/>
  <c r="X28" i="54"/>
  <c r="X7" i="54"/>
  <c r="X322" i="54"/>
  <c r="X217" i="54"/>
  <c r="X175" i="54"/>
  <c r="X238" i="54"/>
  <c r="X49" i="54"/>
  <c r="D42" i="64"/>
  <c r="D44" i="64"/>
  <c r="D39" i="64"/>
  <c r="D47" i="64"/>
  <c r="D36" i="64"/>
  <c r="D46" i="64"/>
  <c r="D38" i="64"/>
  <c r="D45" i="64"/>
  <c r="D41" i="64"/>
  <c r="D43" i="64"/>
  <c r="D40" i="64"/>
  <c r="F44" i="64"/>
  <c r="F39" i="64"/>
  <c r="F40" i="64"/>
  <c r="F46" i="64"/>
  <c r="F38" i="64"/>
  <c r="F43" i="64"/>
  <c r="F47" i="64"/>
  <c r="F45" i="64"/>
  <c r="F41" i="64"/>
  <c r="F42" i="64"/>
  <c r="F36" i="64"/>
  <c r="E41" i="64"/>
  <c r="E47" i="64"/>
  <c r="E39" i="64"/>
  <c r="E44" i="64"/>
  <c r="E40" i="64"/>
  <c r="E43" i="64"/>
  <c r="E36" i="64"/>
  <c r="E46" i="64"/>
  <c r="E42" i="64"/>
  <c r="E38" i="64"/>
  <c r="E45" i="64"/>
  <c r="Z6" i="54"/>
  <c r="AF6" i="54" s="1"/>
  <c r="AJ6" i="54" s="1"/>
  <c r="AI25" i="67" l="1"/>
  <c r="BC26" i="67" s="1"/>
  <c r="AI26" i="67"/>
  <c r="BC27" i="67" s="1"/>
  <c r="AI30" i="67"/>
  <c r="BC31" i="67" s="1"/>
  <c r="AI34" i="67"/>
  <c r="BC35" i="67" s="1"/>
  <c r="AI38" i="67"/>
  <c r="BC39" i="67" s="1"/>
  <c r="AI42" i="67"/>
  <c r="BC43" i="67" s="1"/>
  <c r="AI46" i="67"/>
  <c r="BC47" i="67" s="1"/>
  <c r="AI50" i="67"/>
  <c r="BC51" i="67" s="1"/>
  <c r="AI54" i="67"/>
  <c r="BC55" i="67" s="1"/>
  <c r="AI58" i="67"/>
  <c r="BC59" i="67" s="1"/>
  <c r="AI62" i="67"/>
  <c r="BC63" i="67" s="1"/>
  <c r="AG27" i="67"/>
  <c r="BA28" i="67" s="1"/>
  <c r="AG31" i="67"/>
  <c r="BA32" i="67" s="1"/>
  <c r="AG35" i="67"/>
  <c r="BA36" i="67" s="1"/>
  <c r="AG39" i="67"/>
  <c r="BA40" i="67" s="1"/>
  <c r="AG43" i="67"/>
  <c r="BA44" i="67" s="1"/>
  <c r="BJ44" i="67" s="1"/>
  <c r="AG47" i="67"/>
  <c r="BA48" i="67" s="1"/>
  <c r="AG51" i="67"/>
  <c r="BA52" i="67" s="1"/>
  <c r="AG55" i="67"/>
  <c r="BA56" i="67" s="1"/>
  <c r="AG59" i="67"/>
  <c r="BA60" i="67" s="1"/>
  <c r="BJ60" i="67" s="1"/>
  <c r="AI27" i="67"/>
  <c r="BC28" i="67" s="1"/>
  <c r="AI31" i="67"/>
  <c r="BC32" i="67" s="1"/>
  <c r="AI35" i="67"/>
  <c r="BC36" i="67" s="1"/>
  <c r="AI39" i="67"/>
  <c r="BC40" i="67" s="1"/>
  <c r="AI43" i="67"/>
  <c r="BC44" i="67" s="1"/>
  <c r="AI47" i="67"/>
  <c r="BC48" i="67" s="1"/>
  <c r="AI51" i="67"/>
  <c r="BC52" i="67" s="1"/>
  <c r="AI55" i="67"/>
  <c r="BC56" i="67" s="1"/>
  <c r="AI59" i="67"/>
  <c r="BC60" i="67" s="1"/>
  <c r="AG24" i="67"/>
  <c r="BA25" i="67" s="1"/>
  <c r="AG28" i="67"/>
  <c r="BA29" i="67" s="1"/>
  <c r="AG32" i="67"/>
  <c r="BA33" i="67" s="1"/>
  <c r="AG36" i="67"/>
  <c r="BA37" i="67" s="1"/>
  <c r="AG40" i="67"/>
  <c r="BA41" i="67" s="1"/>
  <c r="AG44" i="67"/>
  <c r="BA45" i="67" s="1"/>
  <c r="AG48" i="67"/>
  <c r="BA49" i="67" s="1"/>
  <c r="AG52" i="67"/>
  <c r="BA53" i="67" s="1"/>
  <c r="AG56" i="67"/>
  <c r="BA57" i="67" s="1"/>
  <c r="AG60" i="67"/>
  <c r="BA61" i="67" s="1"/>
  <c r="AI28" i="67"/>
  <c r="BC29" i="67" s="1"/>
  <c r="AI36" i="67"/>
  <c r="BC37" i="67" s="1"/>
  <c r="AI44" i="67"/>
  <c r="BC45" i="67" s="1"/>
  <c r="AI52" i="67"/>
  <c r="BC53" i="67" s="1"/>
  <c r="AI60" i="67"/>
  <c r="BC61" i="67" s="1"/>
  <c r="AG26" i="67"/>
  <c r="BA27" i="67" s="1"/>
  <c r="BJ27" i="67" s="1"/>
  <c r="AG34" i="67"/>
  <c r="BA35" i="67" s="1"/>
  <c r="AG42" i="67"/>
  <c r="BA43" i="67" s="1"/>
  <c r="BJ43" i="67" s="1"/>
  <c r="AG50" i="67"/>
  <c r="BA51" i="67" s="1"/>
  <c r="BJ51" i="67" s="1"/>
  <c r="AG58" i="67"/>
  <c r="BA59" i="67" s="1"/>
  <c r="BJ59" i="67" s="1"/>
  <c r="AI29" i="67"/>
  <c r="BC30" i="67" s="1"/>
  <c r="AI37" i="67"/>
  <c r="BC38" i="67" s="1"/>
  <c r="AI45" i="67"/>
  <c r="BC46" i="67" s="1"/>
  <c r="AI53" i="67"/>
  <c r="BC54" i="67" s="1"/>
  <c r="AI61" i="67"/>
  <c r="BC62" i="67" s="1"/>
  <c r="AG29" i="67"/>
  <c r="BA30" i="67" s="1"/>
  <c r="BJ30" i="67" s="1"/>
  <c r="AG37" i="67"/>
  <c r="BA38" i="67" s="1"/>
  <c r="BJ38" i="67" s="1"/>
  <c r="AG45" i="67"/>
  <c r="BA46" i="67" s="1"/>
  <c r="AG53" i="67"/>
  <c r="BA54" i="67" s="1"/>
  <c r="AG61" i="67"/>
  <c r="BA62" i="67" s="1"/>
  <c r="BJ62" i="67" s="1"/>
  <c r="AI32" i="67"/>
  <c r="BC33" i="67" s="1"/>
  <c r="AI48" i="67"/>
  <c r="BC49" i="67" s="1"/>
  <c r="AG30" i="67"/>
  <c r="BA31" i="67" s="1"/>
  <c r="AG46" i="67"/>
  <c r="BA47" i="67" s="1"/>
  <c r="BJ47" i="67" s="1"/>
  <c r="AG62" i="67"/>
  <c r="BA63" i="67" s="1"/>
  <c r="BJ63" i="67" s="1"/>
  <c r="AI33" i="67"/>
  <c r="BC34" i="67" s="1"/>
  <c r="AI49" i="67"/>
  <c r="BC50" i="67" s="1"/>
  <c r="AG33" i="67"/>
  <c r="BA34" i="67" s="1"/>
  <c r="BJ34" i="67" s="1"/>
  <c r="AG49" i="67"/>
  <c r="BA50" i="67" s="1"/>
  <c r="BJ50" i="67" s="1"/>
  <c r="AI40" i="67"/>
  <c r="BC41" i="67" s="1"/>
  <c r="AI56" i="67"/>
  <c r="BC57" i="67" s="1"/>
  <c r="AG38" i="67"/>
  <c r="BA39" i="67" s="1"/>
  <c r="BJ39" i="67" s="1"/>
  <c r="AG54" i="67"/>
  <c r="BA55" i="67" s="1"/>
  <c r="BJ55" i="67" s="1"/>
  <c r="AI24" i="67"/>
  <c r="BC25" i="67" s="1"/>
  <c r="AI41" i="67"/>
  <c r="BC42" i="67" s="1"/>
  <c r="AI57" i="67"/>
  <c r="BC58" i="67" s="1"/>
  <c r="AG25" i="67"/>
  <c r="BA26" i="67" s="1"/>
  <c r="BJ26" i="67" s="1"/>
  <c r="AG41" i="67"/>
  <c r="BA42" i="67" s="1"/>
  <c r="BJ42" i="67" s="1"/>
  <c r="AG57" i="67"/>
  <c r="BA58" i="67" s="1"/>
  <c r="EQ5" i="65"/>
  <c r="AZ5" i="65"/>
  <c r="FB6" i="65" s="1"/>
  <c r="FA6" i="65" s="1"/>
  <c r="CZ25" i="65"/>
  <c r="CZ57" i="65"/>
  <c r="CZ69" i="65"/>
  <c r="CZ12" i="65"/>
  <c r="CZ44" i="65"/>
  <c r="CZ76" i="65"/>
  <c r="CZ10" i="65"/>
  <c r="CZ42" i="65"/>
  <c r="CZ58" i="65"/>
  <c r="CZ74" i="65"/>
  <c r="CZ5" i="65"/>
  <c r="V48" i="64"/>
  <c r="V55" i="64"/>
  <c r="V56" i="64"/>
  <c r="V52" i="64"/>
  <c r="V54" i="64"/>
  <c r="V53" i="64"/>
  <c r="V50" i="64"/>
  <c r="V57" i="64"/>
  <c r="V51" i="64"/>
  <c r="V49" i="64"/>
  <c r="V58" i="64"/>
  <c r="W54" i="64"/>
  <c r="W56" i="64"/>
  <c r="W48" i="64"/>
  <c r="W53" i="64"/>
  <c r="W55" i="64"/>
  <c r="W51" i="64"/>
  <c r="W58" i="64"/>
  <c r="W52" i="64"/>
  <c r="W49" i="64"/>
  <c r="W50" i="64"/>
  <c r="W57" i="64"/>
  <c r="M5" i="65"/>
  <c r="DO8" i="65" s="1"/>
  <c r="O33" i="66"/>
  <c r="CZ41" i="65"/>
  <c r="CZ53" i="65"/>
  <c r="CZ73" i="65"/>
  <c r="CZ60" i="65"/>
  <c r="CZ26" i="65"/>
  <c r="CZ9" i="65"/>
  <c r="CZ21" i="65"/>
  <c r="CZ37" i="65"/>
  <c r="CZ28" i="65"/>
  <c r="EQ6" i="65"/>
  <c r="X742" i="54"/>
  <c r="X385" i="54"/>
  <c r="X427" i="54"/>
  <c r="X721" i="54"/>
  <c r="X763" i="54"/>
  <c r="X490" i="54"/>
  <c r="X700" i="54"/>
  <c r="X784" i="54"/>
  <c r="X679" i="54"/>
  <c r="X469" i="54"/>
  <c r="X637" i="54"/>
  <c r="X448" i="54"/>
  <c r="X511" i="54"/>
  <c r="X532" i="54"/>
  <c r="X406" i="54"/>
  <c r="X616" i="54"/>
  <c r="X343" i="54"/>
  <c r="X364" i="54"/>
  <c r="X574" i="54"/>
  <c r="X595" i="54"/>
  <c r="X658" i="54"/>
  <c r="X553" i="54"/>
  <c r="V301" i="54"/>
  <c r="V91" i="54"/>
  <c r="V280" i="54"/>
  <c r="V70" i="54"/>
  <c r="V238" i="54"/>
  <c r="V49" i="54"/>
  <c r="V28" i="54"/>
  <c r="V175" i="54"/>
  <c r="V259" i="54"/>
  <c r="V112" i="54"/>
  <c r="V322" i="54"/>
  <c r="V196" i="54"/>
  <c r="V154" i="54"/>
  <c r="V133" i="54"/>
  <c r="V7" i="54"/>
  <c r="V217" i="54"/>
  <c r="V511" i="54"/>
  <c r="V679" i="54"/>
  <c r="V553" i="54"/>
  <c r="V469" i="54"/>
  <c r="V448" i="54"/>
  <c r="V427" i="54"/>
  <c r="V406" i="54"/>
  <c r="V616" i="54"/>
  <c r="V343" i="54"/>
  <c r="V364" i="54"/>
  <c r="V595" i="54"/>
  <c r="V574" i="54"/>
  <c r="V742" i="54"/>
  <c r="V763" i="54"/>
  <c r="V658" i="54"/>
  <c r="V700" i="54"/>
  <c r="V784" i="54"/>
  <c r="V490" i="54"/>
  <c r="V532" i="54"/>
  <c r="V637" i="54"/>
  <c r="V385" i="54"/>
  <c r="V721" i="54"/>
  <c r="DO9" i="65"/>
  <c r="DR76" i="65"/>
  <c r="DO10" i="65"/>
  <c r="DR28" i="65"/>
  <c r="DR44" i="65"/>
  <c r="DO42" i="65"/>
  <c r="DO41" i="65"/>
  <c r="DO58" i="65"/>
  <c r="DR12" i="65"/>
  <c r="DO25" i="65"/>
  <c r="DO26" i="65"/>
  <c r="DR60" i="65"/>
  <c r="DR71" i="65"/>
  <c r="DR23" i="65"/>
  <c r="DR39" i="65"/>
  <c r="DO57" i="65"/>
  <c r="DO74" i="65"/>
  <c r="DR55" i="65"/>
  <c r="DO73" i="65"/>
  <c r="DR7" i="65"/>
  <c r="Z466" i="54"/>
  <c r="AF466" i="54" s="1"/>
  <c r="AJ466" i="54" s="1"/>
  <c r="G39" i="64"/>
  <c r="J39" i="64" s="1"/>
  <c r="G42" i="64"/>
  <c r="J42" i="64" s="1"/>
  <c r="G46" i="64"/>
  <c r="J46" i="64" s="1"/>
  <c r="G38" i="64"/>
  <c r="J38" i="64" s="1"/>
  <c r="G45" i="64"/>
  <c r="J45" i="64" s="1"/>
  <c r="G43" i="64"/>
  <c r="J43" i="64" s="1"/>
  <c r="G47" i="64"/>
  <c r="J47" i="64" s="1"/>
  <c r="G41" i="64"/>
  <c r="J41" i="64" s="1"/>
  <c r="G36" i="64"/>
  <c r="J36" i="64" s="1"/>
  <c r="G40" i="64"/>
  <c r="J40" i="64" s="1"/>
  <c r="G44" i="64"/>
  <c r="J44" i="64" s="1"/>
  <c r="Z46" i="54"/>
  <c r="AF46" i="54" s="1"/>
  <c r="AJ46" i="54" s="1"/>
  <c r="Z26" i="54"/>
  <c r="AF26" i="54" s="1"/>
  <c r="AJ26" i="54" s="1"/>
  <c r="I38" i="64"/>
  <c r="L38" i="64" s="1"/>
  <c r="I39" i="64"/>
  <c r="L39" i="64" s="1"/>
  <c r="I42" i="64"/>
  <c r="L42" i="64" s="1"/>
  <c r="I41" i="64"/>
  <c r="L41" i="64" s="1"/>
  <c r="I36" i="64"/>
  <c r="L36" i="64" s="1"/>
  <c r="I46" i="64"/>
  <c r="L46" i="64" s="1"/>
  <c r="I40" i="64"/>
  <c r="I43" i="64"/>
  <c r="L43" i="64" s="1"/>
  <c r="I44" i="64"/>
  <c r="L44" i="64" s="1"/>
  <c r="I47" i="64"/>
  <c r="L47" i="64" s="1"/>
  <c r="I45" i="64"/>
  <c r="L45" i="64" s="1"/>
  <c r="AD46" i="54"/>
  <c r="AH46" i="54" s="1"/>
  <c r="AL46" i="54" s="1"/>
  <c r="AD26" i="54"/>
  <c r="AH26" i="54" s="1"/>
  <c r="AL26" i="54" s="1"/>
  <c r="H38" i="64"/>
  <c r="K38" i="64" s="1"/>
  <c r="H39" i="64"/>
  <c r="K39" i="64" s="1"/>
  <c r="H42" i="64"/>
  <c r="K42" i="64" s="1"/>
  <c r="H46" i="64"/>
  <c r="K46" i="64" s="1"/>
  <c r="H43" i="64"/>
  <c r="K43" i="64" s="1"/>
  <c r="H44" i="64"/>
  <c r="K44" i="64" s="1"/>
  <c r="H47" i="64"/>
  <c r="K47" i="64" s="1"/>
  <c r="H45" i="64"/>
  <c r="K45" i="64" s="1"/>
  <c r="H36" i="64"/>
  <c r="K36" i="64" s="1"/>
  <c r="H41" i="64"/>
  <c r="K41" i="64" s="1"/>
  <c r="H40" i="64"/>
  <c r="K40" i="64" s="1"/>
  <c r="AB46" i="54"/>
  <c r="AG46" i="54" s="1"/>
  <c r="AK46" i="54" s="1"/>
  <c r="AB26" i="54"/>
  <c r="AG26" i="54" s="1"/>
  <c r="AK26" i="54" s="1"/>
  <c r="L40" i="64"/>
  <c r="Z384" i="54"/>
  <c r="AF384" i="54" s="1"/>
  <c r="Z426" i="54"/>
  <c r="AF426" i="54" s="1"/>
  <c r="AB6" i="54"/>
  <c r="AG6" i="54" s="1"/>
  <c r="AK6" i="54" s="1"/>
  <c r="AD6" i="54"/>
  <c r="AH6" i="54" s="1"/>
  <c r="AL6" i="54" s="1"/>
  <c r="AD466" i="54"/>
  <c r="AH466" i="54" s="1"/>
  <c r="AL466" i="54" s="1"/>
  <c r="AB466" i="54"/>
  <c r="AG466" i="54" s="1"/>
  <c r="AK466" i="54" s="1"/>
  <c r="BJ49" i="67" l="1"/>
  <c r="BJ28" i="67"/>
  <c r="BL28" i="67" s="1"/>
  <c r="BJ31" i="67"/>
  <c r="BL63" i="67"/>
  <c r="BL51" i="67"/>
  <c r="BL49" i="67"/>
  <c r="BL39" i="67"/>
  <c r="BL34" i="67"/>
  <c r="BL47" i="67"/>
  <c r="BL62" i="67"/>
  <c r="BL30" i="67"/>
  <c r="BL43" i="67"/>
  <c r="BJ61" i="67"/>
  <c r="BJ45" i="67"/>
  <c r="BJ29" i="67"/>
  <c r="BJ56" i="67"/>
  <c r="BJ40" i="67"/>
  <c r="BL26" i="67"/>
  <c r="BL50" i="67"/>
  <c r="BP50" i="67" s="1"/>
  <c r="BL38" i="67"/>
  <c r="BL44" i="67"/>
  <c r="BP44" i="67" s="1"/>
  <c r="BJ58" i="67"/>
  <c r="BL31" i="67"/>
  <c r="BP31" i="67" s="1"/>
  <c r="BJ54" i="67"/>
  <c r="BJ35" i="67"/>
  <c r="BJ57" i="67"/>
  <c r="BJ41" i="67"/>
  <c r="BJ25" i="67"/>
  <c r="BJ52" i="67"/>
  <c r="BJ36" i="67"/>
  <c r="BP55" i="67"/>
  <c r="BL55" i="67"/>
  <c r="BJ33" i="67"/>
  <c r="BL60" i="67"/>
  <c r="BL42" i="67"/>
  <c r="BJ46" i="67"/>
  <c r="BL59" i="67"/>
  <c r="BP59" i="67" s="1"/>
  <c r="BL27" i="67"/>
  <c r="BJ53" i="67"/>
  <c r="BJ37" i="67"/>
  <c r="BJ48" i="67"/>
  <c r="BJ32" i="67"/>
  <c r="DO72" i="65"/>
  <c r="DO6" i="65"/>
  <c r="DR27" i="65"/>
  <c r="DR75" i="65"/>
  <c r="DR11" i="65"/>
  <c r="DO7" i="65"/>
  <c r="DO23" i="65"/>
  <c r="AB55" i="64"/>
  <c r="AC56" i="64"/>
  <c r="AC58" i="64"/>
  <c r="AA48" i="64"/>
  <c r="AB51" i="64"/>
  <c r="AC52" i="64"/>
  <c r="AB53" i="64"/>
  <c r="AB57" i="64"/>
  <c r="AC48" i="64"/>
  <c r="AC50" i="64"/>
  <c r="AC51" i="64"/>
  <c r="AC53" i="64"/>
  <c r="AC54" i="64"/>
  <c r="AA55" i="64"/>
  <c r="AA56" i="64"/>
  <c r="AB49" i="64"/>
  <c r="AC55" i="64"/>
  <c r="AB48" i="64"/>
  <c r="AA58" i="64"/>
  <c r="AA57" i="64"/>
  <c r="AC49" i="64"/>
  <c r="AB54" i="64"/>
  <c r="AB56" i="64"/>
  <c r="AB50" i="64"/>
  <c r="AA49" i="64"/>
  <c r="AA51" i="64"/>
  <c r="AA53" i="64"/>
  <c r="AB58" i="64"/>
  <c r="AA50" i="64"/>
  <c r="AA52" i="64"/>
  <c r="AA54" i="64"/>
  <c r="AC57" i="64"/>
  <c r="AB52" i="64"/>
  <c r="DS75" i="65"/>
  <c r="CZ75" i="65"/>
  <c r="DP40" i="65"/>
  <c r="CZ40" i="65"/>
  <c r="DS27" i="65"/>
  <c r="CZ27" i="65"/>
  <c r="DS59" i="65"/>
  <c r="CZ59" i="65"/>
  <c r="DP23" i="65"/>
  <c r="CZ23" i="65"/>
  <c r="DP55" i="65"/>
  <c r="CZ55" i="65"/>
  <c r="DP6" i="65"/>
  <c r="CZ6" i="65"/>
  <c r="DP8" i="65"/>
  <c r="CZ8" i="65"/>
  <c r="DP38" i="65"/>
  <c r="CZ38" i="65"/>
  <c r="DP24" i="65"/>
  <c r="CZ24" i="65"/>
  <c r="DP54" i="65"/>
  <c r="CZ54" i="65"/>
  <c r="DP22" i="65"/>
  <c r="CZ22" i="65"/>
  <c r="DP72" i="65"/>
  <c r="CZ72" i="65"/>
  <c r="DP39" i="65"/>
  <c r="CZ39" i="65"/>
  <c r="DS11" i="65"/>
  <c r="CZ11" i="65"/>
  <c r="DP7" i="65"/>
  <c r="CZ7" i="65"/>
  <c r="DS43" i="65"/>
  <c r="CZ43" i="65"/>
  <c r="DP56" i="65"/>
  <c r="CZ56" i="65"/>
  <c r="DP70" i="65"/>
  <c r="CZ70" i="65"/>
  <c r="DP71" i="65"/>
  <c r="CZ71" i="65"/>
  <c r="DO56" i="65"/>
  <c r="DO24" i="65"/>
  <c r="DO38" i="65"/>
  <c r="DO40" i="65"/>
  <c r="DR59" i="65"/>
  <c r="DO70" i="65"/>
  <c r="DO71" i="65"/>
  <c r="DO39" i="65"/>
  <c r="DR43" i="65"/>
  <c r="DO55" i="65"/>
  <c r="DO22" i="65"/>
  <c r="DO54" i="65"/>
  <c r="O61" i="66"/>
  <c r="T176" i="54"/>
  <c r="T71" i="54"/>
  <c r="T323" i="54"/>
  <c r="T50" i="54"/>
  <c r="T281" i="54"/>
  <c r="T239" i="54"/>
  <c r="T218" i="54"/>
  <c r="T113" i="54"/>
  <c r="T260" i="54"/>
  <c r="T155" i="54"/>
  <c r="T134" i="54"/>
  <c r="T29" i="54"/>
  <c r="Z784" i="54"/>
  <c r="AF784" i="54" s="1"/>
  <c r="AJ784" i="54" s="1"/>
  <c r="D51" i="64"/>
  <c r="D60" i="64"/>
  <c r="D53" i="64"/>
  <c r="D52" i="64"/>
  <c r="D58" i="64"/>
  <c r="D54" i="64"/>
  <c r="D49" i="64"/>
  <c r="D50" i="64"/>
  <c r="D56" i="64"/>
  <c r="D55" i="64"/>
  <c r="D57" i="64"/>
  <c r="F53" i="64"/>
  <c r="F57" i="64"/>
  <c r="F55" i="64"/>
  <c r="F49" i="64"/>
  <c r="F52" i="64"/>
  <c r="F54" i="64"/>
  <c r="F50" i="64"/>
  <c r="F60" i="64"/>
  <c r="F58" i="64"/>
  <c r="F56" i="64"/>
  <c r="F51" i="64"/>
  <c r="E56" i="64"/>
  <c r="E60" i="64"/>
  <c r="E55" i="64"/>
  <c r="E51" i="64"/>
  <c r="E54" i="64"/>
  <c r="E58" i="64"/>
  <c r="E52" i="64"/>
  <c r="E57" i="64"/>
  <c r="E53" i="64"/>
  <c r="E49" i="64"/>
  <c r="E50" i="64"/>
  <c r="AB384" i="54"/>
  <c r="AG384" i="54" s="1"/>
  <c r="AB426" i="54"/>
  <c r="AG426" i="54" s="1"/>
  <c r="AD426" i="54"/>
  <c r="AH426" i="54" s="1"/>
  <c r="AD384" i="54"/>
  <c r="AH384" i="54" s="1"/>
  <c r="BL41" i="67" l="1"/>
  <c r="BL56" i="67"/>
  <c r="BP56" i="67" s="1"/>
  <c r="BM43" i="67"/>
  <c r="BQ43" i="67"/>
  <c r="BN43" i="67"/>
  <c r="BO43" i="67"/>
  <c r="BM62" i="67"/>
  <c r="BQ62" i="67"/>
  <c r="BN62" i="67"/>
  <c r="BO62" i="67"/>
  <c r="BM34" i="67"/>
  <c r="BQ34" i="67"/>
  <c r="BN34" i="67"/>
  <c r="BO34" i="67"/>
  <c r="BO28" i="67"/>
  <c r="BM28" i="67"/>
  <c r="BQ28" i="67"/>
  <c r="BN28" i="67"/>
  <c r="BM51" i="67"/>
  <c r="BQ51" i="67"/>
  <c r="BN51" i="67"/>
  <c r="BO51" i="67"/>
  <c r="BL53" i="67"/>
  <c r="BO60" i="67"/>
  <c r="BM60" i="67"/>
  <c r="BQ60" i="67"/>
  <c r="BN60" i="67"/>
  <c r="BL32" i="67"/>
  <c r="BP32" i="67" s="1"/>
  <c r="BM27" i="67"/>
  <c r="BQ27" i="67"/>
  <c r="BN27" i="67"/>
  <c r="BO27" i="67"/>
  <c r="BL46" i="67"/>
  <c r="BP60" i="67"/>
  <c r="BL36" i="67"/>
  <c r="BP36" i="67" s="1"/>
  <c r="BL57" i="67"/>
  <c r="BM38" i="67"/>
  <c r="BQ38" i="67"/>
  <c r="BN38" i="67"/>
  <c r="BO38" i="67"/>
  <c r="BM26" i="67"/>
  <c r="BQ26" i="67"/>
  <c r="BN26" i="67"/>
  <c r="BO26" i="67"/>
  <c r="BL29" i="67"/>
  <c r="BP29" i="67" s="1"/>
  <c r="BP43" i="67"/>
  <c r="BP62" i="67"/>
  <c r="BP34" i="67"/>
  <c r="BP28" i="67"/>
  <c r="BP51" i="67"/>
  <c r="BL48" i="67"/>
  <c r="BP27" i="67"/>
  <c r="BM42" i="67"/>
  <c r="BQ42" i="67"/>
  <c r="BN42" i="67"/>
  <c r="BO42" i="67"/>
  <c r="BL33" i="67"/>
  <c r="BL52" i="67"/>
  <c r="BP52" i="67" s="1"/>
  <c r="BL35" i="67"/>
  <c r="BL58" i="67"/>
  <c r="BP58" i="67" s="1"/>
  <c r="BP38" i="67"/>
  <c r="BP26" i="67"/>
  <c r="BL45" i="67"/>
  <c r="BP45" i="67" s="1"/>
  <c r="BM30" i="67"/>
  <c r="BQ30" i="67"/>
  <c r="BN30" i="67"/>
  <c r="BO30" i="67"/>
  <c r="BM47" i="67"/>
  <c r="BQ47" i="67"/>
  <c r="BN47" i="67"/>
  <c r="BO47" i="67"/>
  <c r="BM39" i="67"/>
  <c r="BQ39" i="67"/>
  <c r="BN39" i="67"/>
  <c r="BO39" i="67"/>
  <c r="BN49" i="67"/>
  <c r="BO49" i="67"/>
  <c r="BQ49" i="67"/>
  <c r="BM49" i="67"/>
  <c r="BM63" i="67"/>
  <c r="BQ63" i="67"/>
  <c r="BN63" i="67"/>
  <c r="BO63" i="67"/>
  <c r="BM31" i="67"/>
  <c r="BQ31" i="67"/>
  <c r="BN31" i="67"/>
  <c r="BO31" i="67"/>
  <c r="BL37" i="67"/>
  <c r="BM59" i="67"/>
  <c r="BQ59" i="67"/>
  <c r="BN59" i="67"/>
  <c r="BO59" i="67"/>
  <c r="BP42" i="67"/>
  <c r="BM55" i="67"/>
  <c r="BQ55" i="67"/>
  <c r="BN55" i="67"/>
  <c r="BO55" i="67"/>
  <c r="BL25" i="67"/>
  <c r="BL54" i="67"/>
  <c r="BP54" i="67" s="1"/>
  <c r="BO44" i="67"/>
  <c r="BM44" i="67"/>
  <c r="BQ44" i="67"/>
  <c r="BN44" i="67"/>
  <c r="BM50" i="67"/>
  <c r="BQ50" i="67"/>
  <c r="BN50" i="67"/>
  <c r="BO50" i="67"/>
  <c r="BL40" i="67"/>
  <c r="BL61" i="67"/>
  <c r="BP61" i="67" s="1"/>
  <c r="BP30" i="67"/>
  <c r="BP47" i="67"/>
  <c r="BP39" i="67"/>
  <c r="BP49" i="67"/>
  <c r="BP63" i="67"/>
  <c r="DP106" i="65"/>
  <c r="DP138" i="65"/>
  <c r="DP89" i="65"/>
  <c r="DP121" i="65"/>
  <c r="DP157" i="65"/>
  <c r="DS92" i="65"/>
  <c r="DS108" i="65"/>
  <c r="DS124" i="65"/>
  <c r="DS140" i="65"/>
  <c r="DS103" i="65"/>
  <c r="DS135" i="65"/>
  <c r="DS151" i="65"/>
  <c r="V29" i="54"/>
  <c r="X176" i="54"/>
  <c r="V218" i="54"/>
  <c r="V113" i="54"/>
  <c r="V92" i="54"/>
  <c r="V281" i="54"/>
  <c r="T197" i="54"/>
  <c r="T92" i="54"/>
  <c r="T302" i="54"/>
  <c r="T8" i="54"/>
  <c r="V239" i="54"/>
  <c r="V302" i="54"/>
  <c r="V71" i="54"/>
  <c r="V134" i="54"/>
  <c r="V260" i="54"/>
  <c r="V323" i="54"/>
  <c r="V155" i="54"/>
  <c r="V197" i="54"/>
  <c r="V50" i="54"/>
  <c r="V8" i="54"/>
  <c r="V176" i="54"/>
  <c r="N61" i="66"/>
  <c r="DP137" i="65"/>
  <c r="BA6" i="65"/>
  <c r="FB19" i="65" s="1"/>
  <c r="FA19" i="65" s="1"/>
  <c r="X92" i="54"/>
  <c r="X302" i="54"/>
  <c r="X197" i="54"/>
  <c r="DP105" i="65"/>
  <c r="DP90" i="65"/>
  <c r="X323" i="54"/>
  <c r="X50" i="54"/>
  <c r="X155" i="54"/>
  <c r="X239" i="54"/>
  <c r="DP122" i="65"/>
  <c r="DS87" i="65"/>
  <c r="X260" i="54"/>
  <c r="X71" i="54"/>
  <c r="X281" i="54"/>
  <c r="X29" i="54"/>
  <c r="DS119" i="65"/>
  <c r="DS160" i="65"/>
  <c r="X113" i="54"/>
  <c r="X8" i="54"/>
  <c r="X134" i="54"/>
  <c r="X218" i="54"/>
  <c r="AB784" i="54"/>
  <c r="AG784" i="54" s="1"/>
  <c r="AK784" i="54" s="1"/>
  <c r="AD784" i="54"/>
  <c r="AH784" i="54" s="1"/>
  <c r="AL784" i="54" s="1"/>
  <c r="N6" i="65"/>
  <c r="G55" i="64"/>
  <c r="J55" i="64" s="1"/>
  <c r="G53" i="64"/>
  <c r="J53" i="64" s="1"/>
  <c r="G60" i="64"/>
  <c r="J60" i="64" s="1"/>
  <c r="G52" i="64"/>
  <c r="J52" i="64" s="1"/>
  <c r="G51" i="64"/>
  <c r="J51" i="64" s="1"/>
  <c r="G58" i="64"/>
  <c r="J58" i="64" s="1"/>
  <c r="G54" i="64"/>
  <c r="J54" i="64" s="1"/>
  <c r="G50" i="64"/>
  <c r="J50" i="64" s="1"/>
  <c r="G56" i="64"/>
  <c r="J56" i="64" s="1"/>
  <c r="G57" i="64"/>
  <c r="J57" i="64" s="1"/>
  <c r="G49" i="64"/>
  <c r="J49" i="64" s="1"/>
  <c r="Z67" i="54"/>
  <c r="AF67" i="54" s="1"/>
  <c r="AJ67" i="54" s="1"/>
  <c r="Z47" i="54"/>
  <c r="AF47" i="54" s="1"/>
  <c r="AJ47" i="54" s="1"/>
  <c r="Z27" i="54"/>
  <c r="AF27" i="54" s="1"/>
  <c r="AJ27" i="54" s="1"/>
  <c r="I52" i="64"/>
  <c r="L52" i="64" s="1"/>
  <c r="I51" i="64"/>
  <c r="L51" i="64" s="1"/>
  <c r="I55" i="64"/>
  <c r="L55" i="64" s="1"/>
  <c r="I60" i="64"/>
  <c r="L60" i="64" s="1"/>
  <c r="I58" i="64"/>
  <c r="L58" i="64" s="1"/>
  <c r="I54" i="64"/>
  <c r="L54" i="64" s="1"/>
  <c r="I56" i="64"/>
  <c r="L56" i="64" s="1"/>
  <c r="I53" i="64"/>
  <c r="L53" i="64" s="1"/>
  <c r="I50" i="64"/>
  <c r="L50" i="64" s="1"/>
  <c r="I57" i="64"/>
  <c r="L57" i="64" s="1"/>
  <c r="I49" i="64"/>
  <c r="L49" i="64" s="1"/>
  <c r="AD67" i="54"/>
  <c r="AH67" i="54" s="1"/>
  <c r="AL67" i="54" s="1"/>
  <c r="AD47" i="54"/>
  <c r="AH47" i="54" s="1"/>
  <c r="AL47" i="54" s="1"/>
  <c r="AD27" i="54"/>
  <c r="AH27" i="54" s="1"/>
  <c r="AL27" i="54" s="1"/>
  <c r="H58" i="64"/>
  <c r="K58" i="64" s="1"/>
  <c r="H52" i="64"/>
  <c r="K52" i="64" s="1"/>
  <c r="H51" i="64"/>
  <c r="K51" i="64" s="1"/>
  <c r="H55" i="64"/>
  <c r="K55" i="64" s="1"/>
  <c r="H60" i="64"/>
  <c r="K60" i="64" s="1"/>
  <c r="H56" i="64"/>
  <c r="K56" i="64" s="1"/>
  <c r="H50" i="64"/>
  <c r="H57" i="64"/>
  <c r="K57" i="64" s="1"/>
  <c r="H49" i="64"/>
  <c r="K49" i="64" s="1"/>
  <c r="H54" i="64"/>
  <c r="K54" i="64" s="1"/>
  <c r="H53" i="64"/>
  <c r="K53" i="64" s="1"/>
  <c r="AB67" i="54"/>
  <c r="AG67" i="54" s="1"/>
  <c r="AK67" i="54" s="1"/>
  <c r="AB47" i="54"/>
  <c r="AG47" i="54" s="1"/>
  <c r="AK47" i="54" s="1"/>
  <c r="AB27" i="54"/>
  <c r="AG27" i="54" s="1"/>
  <c r="AK27" i="54" s="1"/>
  <c r="K50" i="64"/>
  <c r="Z7" i="54"/>
  <c r="AF7" i="54" s="1"/>
  <c r="AJ7" i="54" s="1"/>
  <c r="AD7" i="54"/>
  <c r="AH7" i="54" s="1"/>
  <c r="AL7" i="54" s="1"/>
  <c r="AB7" i="54"/>
  <c r="AG7" i="54" s="1"/>
  <c r="AK7" i="54" s="1"/>
  <c r="BO48" i="67" l="1"/>
  <c r="BM48" i="67"/>
  <c r="BQ48" i="67"/>
  <c r="BN48" i="67"/>
  <c r="BN37" i="67"/>
  <c r="BO37" i="67"/>
  <c r="BM37" i="67"/>
  <c r="BQ37" i="67"/>
  <c r="BM35" i="67"/>
  <c r="BQ35" i="67"/>
  <c r="BN35" i="67"/>
  <c r="BO35" i="67"/>
  <c r="BN33" i="67"/>
  <c r="BO33" i="67"/>
  <c r="BQ33" i="67"/>
  <c r="BM33" i="67"/>
  <c r="BP48" i="67"/>
  <c r="BN57" i="67"/>
  <c r="BO57" i="67"/>
  <c r="BM57" i="67"/>
  <c r="BQ57" i="67"/>
  <c r="BN61" i="67"/>
  <c r="BO61" i="67"/>
  <c r="BM61" i="67"/>
  <c r="BQ61" i="67"/>
  <c r="BM54" i="67"/>
  <c r="BQ54" i="67"/>
  <c r="BN54" i="67"/>
  <c r="BO54" i="67"/>
  <c r="BO32" i="67"/>
  <c r="BM32" i="67"/>
  <c r="BQ32" i="67"/>
  <c r="BN32" i="67"/>
  <c r="BO56" i="67"/>
  <c r="BM56" i="67"/>
  <c r="BQ56" i="67"/>
  <c r="BN56" i="67"/>
  <c r="BO40" i="67"/>
  <c r="BM40" i="67"/>
  <c r="BQ40" i="67"/>
  <c r="BN40" i="67"/>
  <c r="BN25" i="67"/>
  <c r="BO25" i="67"/>
  <c r="BM25" i="67"/>
  <c r="BQ25" i="67"/>
  <c r="BP37" i="67"/>
  <c r="BP35" i="67"/>
  <c r="BP33" i="67"/>
  <c r="BP57" i="67"/>
  <c r="BM46" i="67"/>
  <c r="BQ46" i="67"/>
  <c r="BN46" i="67"/>
  <c r="BO46" i="67"/>
  <c r="BN53" i="67"/>
  <c r="BO53" i="67"/>
  <c r="BM53" i="67"/>
  <c r="BQ53" i="67"/>
  <c r="BN41" i="67"/>
  <c r="BO41" i="67"/>
  <c r="BM41" i="67"/>
  <c r="BQ41" i="67"/>
  <c r="BP40" i="67"/>
  <c r="BP25" i="67"/>
  <c r="BN45" i="67"/>
  <c r="BO45" i="67"/>
  <c r="BM45" i="67"/>
  <c r="BQ45" i="67"/>
  <c r="BM58" i="67"/>
  <c r="BQ58" i="67"/>
  <c r="BN58" i="67"/>
  <c r="BO58" i="67"/>
  <c r="BO52" i="67"/>
  <c r="BM52" i="67"/>
  <c r="BQ52" i="67"/>
  <c r="BN52" i="67"/>
  <c r="BN29" i="67"/>
  <c r="BO29" i="67"/>
  <c r="BM29" i="67"/>
  <c r="BQ29" i="67"/>
  <c r="BO36" i="67"/>
  <c r="BM36" i="67"/>
  <c r="BQ36" i="67"/>
  <c r="BN36" i="67"/>
  <c r="BP46" i="67"/>
  <c r="BP53" i="67"/>
  <c r="BP41" i="67"/>
  <c r="V60" i="64"/>
  <c r="V61" i="64"/>
  <c r="V62" i="64"/>
  <c r="V64" i="64"/>
  <c r="V66" i="64"/>
  <c r="V68" i="64"/>
  <c r="V59" i="64"/>
  <c r="V63" i="64"/>
  <c r="V69" i="64"/>
  <c r="V67" i="64"/>
  <c r="V65" i="64"/>
  <c r="AZ6" i="65"/>
  <c r="FB18" i="65" s="1"/>
  <c r="FA18" i="65" s="1"/>
  <c r="DP88" i="65"/>
  <c r="DP120" i="65"/>
  <c r="DP152" i="65"/>
  <c r="DP103" i="65"/>
  <c r="DS107" i="65"/>
  <c r="DS139" i="65"/>
  <c r="DP86" i="65"/>
  <c r="DP118" i="65"/>
  <c r="DP150" i="65"/>
  <c r="DP159" i="65"/>
  <c r="U59" i="64"/>
  <c r="U62" i="64"/>
  <c r="U64" i="64"/>
  <c r="U66" i="64"/>
  <c r="U68" i="64"/>
  <c r="U61" i="64"/>
  <c r="U69" i="64"/>
  <c r="U67" i="64"/>
  <c r="U65" i="64"/>
  <c r="U60" i="64"/>
  <c r="U63" i="64"/>
  <c r="W65" i="64"/>
  <c r="W67" i="64"/>
  <c r="W69" i="64"/>
  <c r="W66" i="64"/>
  <c r="W61" i="64"/>
  <c r="W62" i="64"/>
  <c r="W68" i="64"/>
  <c r="W59" i="64"/>
  <c r="W64" i="64"/>
  <c r="W63" i="64"/>
  <c r="W60" i="64"/>
  <c r="AY6" i="65"/>
  <c r="FB17" i="65" s="1"/>
  <c r="FA17" i="65" s="1"/>
  <c r="L6" i="65"/>
  <c r="M6" i="65"/>
  <c r="DO118" i="65" s="1"/>
  <c r="DS91" i="65"/>
  <c r="DP135" i="65"/>
  <c r="DP158" i="65"/>
  <c r="DS123" i="65"/>
  <c r="DP134" i="65"/>
  <c r="DP151" i="65"/>
  <c r="DP136" i="65"/>
  <c r="DP87" i="65"/>
  <c r="DP102" i="65"/>
  <c r="DP119" i="65"/>
  <c r="DP104" i="65"/>
  <c r="D69" i="66"/>
  <c r="O34" i="66"/>
  <c r="B69" i="66"/>
  <c r="X743" i="54"/>
  <c r="X365" i="54"/>
  <c r="X596" i="54"/>
  <c r="X470" i="54"/>
  <c r="X722" i="54"/>
  <c r="X617" i="54"/>
  <c r="X701" i="54"/>
  <c r="X785" i="54"/>
  <c r="X533" i="54"/>
  <c r="X638" i="54"/>
  <c r="X575" i="54"/>
  <c r="X554" i="54"/>
  <c r="X512" i="54"/>
  <c r="X764" i="54"/>
  <c r="X449" i="54"/>
  <c r="X386" i="54"/>
  <c r="X491" i="54"/>
  <c r="X407" i="54"/>
  <c r="X428" i="54"/>
  <c r="X659" i="54"/>
  <c r="X344" i="54"/>
  <c r="X680" i="54"/>
  <c r="V638" i="54"/>
  <c r="V491" i="54"/>
  <c r="V659" i="54"/>
  <c r="V428" i="54"/>
  <c r="V470" i="54"/>
  <c r="V617" i="54"/>
  <c r="V449" i="54"/>
  <c r="V596" i="54"/>
  <c r="V764" i="54"/>
  <c r="V365" i="54"/>
  <c r="V386" i="54"/>
  <c r="V785" i="54"/>
  <c r="V554" i="54"/>
  <c r="V680" i="54"/>
  <c r="V575" i="54"/>
  <c r="V407" i="54"/>
  <c r="V512" i="54"/>
  <c r="V743" i="54"/>
  <c r="V344" i="54"/>
  <c r="V701" i="54"/>
  <c r="V722" i="54"/>
  <c r="V533" i="54"/>
  <c r="T428" i="54"/>
  <c r="T344" i="54"/>
  <c r="T512" i="54"/>
  <c r="T785" i="54"/>
  <c r="T701" i="54"/>
  <c r="T659" i="54"/>
  <c r="T386" i="54"/>
  <c r="T575" i="54"/>
  <c r="T638" i="54"/>
  <c r="T722" i="54"/>
  <c r="T365" i="54"/>
  <c r="T554" i="54"/>
  <c r="T407" i="54"/>
  <c r="T596" i="54"/>
  <c r="T764" i="54"/>
  <c r="T617" i="54"/>
  <c r="T449" i="54"/>
  <c r="T533" i="54"/>
  <c r="T491" i="54"/>
  <c r="T743" i="54"/>
  <c r="T470" i="54"/>
  <c r="T680" i="54"/>
  <c r="DO88" i="65"/>
  <c r="DR91" i="65"/>
  <c r="DO104" i="65"/>
  <c r="DO102" i="65"/>
  <c r="DO119" i="65"/>
  <c r="DR123" i="65"/>
  <c r="DO137" i="65"/>
  <c r="DO105" i="65"/>
  <c r="DO90" i="65"/>
  <c r="DO121" i="65"/>
  <c r="DR103" i="65"/>
  <c r="DR151" i="65"/>
  <c r="DO122" i="65"/>
  <c r="DR140" i="65"/>
  <c r="DR160" i="65"/>
  <c r="DR87" i="65"/>
  <c r="DR124" i="65"/>
  <c r="DO89" i="65"/>
  <c r="DO138" i="65"/>
  <c r="DR108" i="65"/>
  <c r="DR135" i="65"/>
  <c r="DR119" i="65"/>
  <c r="DR92" i="65"/>
  <c r="DO106" i="65"/>
  <c r="DO157" i="65"/>
  <c r="E65" i="64"/>
  <c r="E64" i="64"/>
  <c r="E61" i="64"/>
  <c r="E67" i="64"/>
  <c r="E68" i="64"/>
  <c r="E63" i="64"/>
  <c r="E62" i="64"/>
  <c r="E72" i="64"/>
  <c r="E69" i="64"/>
  <c r="E71" i="64"/>
  <c r="E66" i="64"/>
  <c r="AD364" i="54"/>
  <c r="AH364" i="54" s="1"/>
  <c r="AD406" i="54"/>
  <c r="AH406" i="54" s="1"/>
  <c r="AB406" i="54"/>
  <c r="AG406" i="54" s="1"/>
  <c r="AB364" i="54"/>
  <c r="AG364" i="54" s="1"/>
  <c r="Z364" i="54"/>
  <c r="AF364" i="54" s="1"/>
  <c r="Z406" i="54"/>
  <c r="AF406" i="54" s="1"/>
  <c r="AY12" i="65" l="1"/>
  <c r="AC59" i="64"/>
  <c r="AC61" i="64"/>
  <c r="AA62" i="64"/>
  <c r="AA63" i="64"/>
  <c r="AA64" i="64"/>
  <c r="AA66" i="64"/>
  <c r="AA68" i="64"/>
  <c r="AC62" i="64"/>
  <c r="AC64" i="64"/>
  <c r="AC66" i="64"/>
  <c r="AC68" i="64"/>
  <c r="AB59" i="64"/>
  <c r="AC60" i="64"/>
  <c r="AB61" i="64"/>
  <c r="AB62" i="64"/>
  <c r="AB66" i="64"/>
  <c r="AB64" i="64"/>
  <c r="AB68" i="64"/>
  <c r="AA69" i="64"/>
  <c r="AB63" i="64"/>
  <c r="AC65" i="64"/>
  <c r="AB69" i="64"/>
  <c r="AB67" i="64"/>
  <c r="AB65" i="64"/>
  <c r="AA67" i="64"/>
  <c r="AB60" i="64"/>
  <c r="AA60" i="64"/>
  <c r="AA61" i="64"/>
  <c r="AC67" i="64"/>
  <c r="AA65" i="64"/>
  <c r="AC63" i="64"/>
  <c r="AA59" i="64"/>
  <c r="AC69" i="64"/>
  <c r="AZ12" i="65"/>
  <c r="DP112" i="65"/>
  <c r="DP144" i="65"/>
  <c r="DP95" i="65"/>
  <c r="DS99" i="65"/>
  <c r="DS115" i="65"/>
  <c r="DP127" i="65"/>
  <c r="DS131" i="65"/>
  <c r="DS147" i="65"/>
  <c r="DP155" i="65"/>
  <c r="DP110" i="65"/>
  <c r="DP142" i="65"/>
  <c r="BA12" i="65"/>
  <c r="DP114" i="65"/>
  <c r="DP146" i="65"/>
  <c r="DP97" i="65"/>
  <c r="DP129" i="65"/>
  <c r="DS116" i="65"/>
  <c r="DS148" i="65"/>
  <c r="DS95" i="65"/>
  <c r="DS111" i="65"/>
  <c r="DS127" i="65"/>
  <c r="DS143" i="65"/>
  <c r="DS155" i="65"/>
  <c r="CZ118" i="65"/>
  <c r="CZ88" i="65"/>
  <c r="CZ152" i="65"/>
  <c r="CZ134" i="65"/>
  <c r="CZ105" i="65"/>
  <c r="CZ138" i="65"/>
  <c r="DP160" i="65"/>
  <c r="CZ106" i="65"/>
  <c r="CZ89" i="65"/>
  <c r="CZ120" i="65"/>
  <c r="CZ136" i="65"/>
  <c r="DP139" i="65"/>
  <c r="CZ139" i="65"/>
  <c r="DP91" i="65"/>
  <c r="CZ91" i="65"/>
  <c r="DP123" i="65"/>
  <c r="CZ123" i="65"/>
  <c r="CZ157" i="65"/>
  <c r="DP140" i="65"/>
  <c r="CZ140" i="65"/>
  <c r="CZ104" i="65"/>
  <c r="DP107" i="65"/>
  <c r="CZ107" i="65"/>
  <c r="DP92" i="65"/>
  <c r="CZ92" i="65"/>
  <c r="EJ9" i="65"/>
  <c r="T156" i="54"/>
  <c r="T114" i="54"/>
  <c r="T135" i="54"/>
  <c r="T240" i="54"/>
  <c r="T198" i="54"/>
  <c r="T261" i="54"/>
  <c r="T9" i="54"/>
  <c r="T51" i="54"/>
  <c r="T219" i="54"/>
  <c r="T324" i="54"/>
  <c r="T93" i="54"/>
  <c r="T303" i="54"/>
  <c r="T30" i="54"/>
  <c r="T177" i="54"/>
  <c r="T72" i="54"/>
  <c r="T282" i="54"/>
  <c r="DO87" i="65"/>
  <c r="DO86" i="65"/>
  <c r="DP124" i="65"/>
  <c r="CZ124" i="65"/>
  <c r="DO117" i="65"/>
  <c r="DO92" i="65"/>
  <c r="DO149" i="65"/>
  <c r="DO107" i="65"/>
  <c r="DO85" i="65"/>
  <c r="DO123" i="65"/>
  <c r="DO124" i="65"/>
  <c r="DO140" i="65"/>
  <c r="DO91" i="65"/>
  <c r="DO108" i="65"/>
  <c r="DO139" i="65"/>
  <c r="DO133" i="65"/>
  <c r="DO101" i="65"/>
  <c r="CZ122" i="65"/>
  <c r="CZ90" i="65"/>
  <c r="DP117" i="65"/>
  <c r="CZ117" i="65"/>
  <c r="CZ121" i="65"/>
  <c r="CZ87" i="65"/>
  <c r="CZ119" i="65"/>
  <c r="CZ137" i="65"/>
  <c r="CZ135" i="65"/>
  <c r="DP133" i="65"/>
  <c r="CZ133" i="65"/>
  <c r="Z785" i="54"/>
  <c r="AF785" i="54" s="1"/>
  <c r="AJ785" i="54" s="1"/>
  <c r="Z764" i="54"/>
  <c r="AF764" i="54" s="1"/>
  <c r="CZ150" i="65"/>
  <c r="DP101" i="65"/>
  <c r="CZ101" i="65"/>
  <c r="DO120" i="65"/>
  <c r="DO135" i="65"/>
  <c r="DO152" i="65"/>
  <c r="DP149" i="65"/>
  <c r="CZ149" i="65"/>
  <c r="CZ159" i="65"/>
  <c r="CZ102" i="65"/>
  <c r="CZ151" i="65"/>
  <c r="DP108" i="65"/>
  <c r="CZ108" i="65"/>
  <c r="CZ86" i="65"/>
  <c r="CZ160" i="65"/>
  <c r="CZ103" i="65"/>
  <c r="DP85" i="65"/>
  <c r="CZ85" i="65"/>
  <c r="CZ158" i="65"/>
  <c r="N69" i="66"/>
  <c r="N79" i="66" s="1"/>
  <c r="DS159" i="65"/>
  <c r="DO151" i="65"/>
  <c r="DO158" i="65"/>
  <c r="DO150" i="65"/>
  <c r="DR139" i="65"/>
  <c r="DO134" i="65"/>
  <c r="DO103" i="65"/>
  <c r="DO136" i="65"/>
  <c r="DR107" i="65"/>
  <c r="O62" i="66"/>
  <c r="O35" i="66"/>
  <c r="C69" i="66"/>
  <c r="P69" i="66"/>
  <c r="N62" i="66"/>
  <c r="N81" i="66"/>
  <c r="H69" i="66"/>
  <c r="B79" i="66"/>
  <c r="P81" i="66"/>
  <c r="D79" i="66"/>
  <c r="J69" i="66"/>
  <c r="DP111" i="65"/>
  <c r="DP154" i="65"/>
  <c r="DP94" i="65"/>
  <c r="DP128" i="65"/>
  <c r="DP126" i="65"/>
  <c r="M12" i="65"/>
  <c r="DP156" i="65"/>
  <c r="DP143" i="65"/>
  <c r="DP96" i="65"/>
  <c r="L12" i="65"/>
  <c r="DP130" i="65"/>
  <c r="DP98" i="65"/>
  <c r="N12" i="65"/>
  <c r="DS132" i="65"/>
  <c r="DP113" i="65"/>
  <c r="DS164" i="65"/>
  <c r="DS100" i="65"/>
  <c r="DP145" i="65"/>
  <c r="F71" i="64"/>
  <c r="F62" i="64"/>
  <c r="F66" i="64"/>
  <c r="F65" i="64"/>
  <c r="F64" i="64"/>
  <c r="F61" i="64"/>
  <c r="F72" i="64"/>
  <c r="F67" i="64"/>
  <c r="F63" i="64"/>
  <c r="F69" i="64"/>
  <c r="F68" i="64"/>
  <c r="D68" i="64"/>
  <c r="D65" i="64"/>
  <c r="D71" i="64"/>
  <c r="D62" i="64"/>
  <c r="D63" i="64"/>
  <c r="D69" i="64"/>
  <c r="D66" i="64"/>
  <c r="D72" i="64"/>
  <c r="D64" i="64"/>
  <c r="D61" i="64"/>
  <c r="D67" i="64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FB89" i="65" l="1"/>
  <c r="FA89" i="65" s="1"/>
  <c r="FB91" i="65"/>
  <c r="FA91" i="65" s="1"/>
  <c r="FB90" i="65"/>
  <c r="FA90" i="65" s="1"/>
  <c r="U64" i="67"/>
  <c r="AA64" i="67" s="1"/>
  <c r="U68" i="67"/>
  <c r="AA68" i="67" s="1"/>
  <c r="U72" i="67"/>
  <c r="AA72" i="67" s="1"/>
  <c r="U76" i="67"/>
  <c r="AA76" i="67" s="1"/>
  <c r="U80" i="67"/>
  <c r="AA80" i="67" s="1"/>
  <c r="U84" i="67"/>
  <c r="AA84" i="67" s="1"/>
  <c r="U88" i="67"/>
  <c r="AA88" i="67" s="1"/>
  <c r="U92" i="67"/>
  <c r="AA92" i="67" s="1"/>
  <c r="U65" i="67"/>
  <c r="AA65" i="67" s="1"/>
  <c r="U63" i="67"/>
  <c r="AA63" i="67" s="1"/>
  <c r="U67" i="67"/>
  <c r="AA67" i="67" s="1"/>
  <c r="U71" i="67"/>
  <c r="AA71" i="67" s="1"/>
  <c r="U75" i="67"/>
  <c r="AA75" i="67" s="1"/>
  <c r="U79" i="67"/>
  <c r="AA79" i="67" s="1"/>
  <c r="U83" i="67"/>
  <c r="AA83" i="67" s="1"/>
  <c r="U87" i="67"/>
  <c r="AA87" i="67" s="1"/>
  <c r="U91" i="67"/>
  <c r="AA91" i="67" s="1"/>
  <c r="U69" i="67"/>
  <c r="AA69" i="67" s="1"/>
  <c r="U73" i="67"/>
  <c r="AA73" i="67" s="1"/>
  <c r="U77" i="67"/>
  <c r="AA77" i="67" s="1"/>
  <c r="U81" i="67"/>
  <c r="AA81" i="67" s="1"/>
  <c r="U85" i="67"/>
  <c r="AA85" i="67" s="1"/>
  <c r="U89" i="67"/>
  <c r="AA89" i="67" s="1"/>
  <c r="U66" i="67"/>
  <c r="AA66" i="67" s="1"/>
  <c r="U70" i="67"/>
  <c r="AA70" i="67" s="1"/>
  <c r="U74" i="67"/>
  <c r="AA74" i="67" s="1"/>
  <c r="U78" i="67"/>
  <c r="AA78" i="67" s="1"/>
  <c r="U82" i="67"/>
  <c r="AA82" i="67" s="1"/>
  <c r="U86" i="67"/>
  <c r="AA86" i="67" s="1"/>
  <c r="U90" i="67"/>
  <c r="AA90" i="67" s="1"/>
  <c r="S66" i="67"/>
  <c r="Y66" i="67" s="1"/>
  <c r="S70" i="67"/>
  <c r="Y70" i="67" s="1"/>
  <c r="S74" i="67"/>
  <c r="Y74" i="67" s="1"/>
  <c r="S78" i="67"/>
  <c r="Y78" i="67" s="1"/>
  <c r="S82" i="67"/>
  <c r="Y82" i="67" s="1"/>
  <c r="S86" i="67"/>
  <c r="Y86" i="67" s="1"/>
  <c r="S90" i="67"/>
  <c r="Y90" i="67" s="1"/>
  <c r="S79" i="67"/>
  <c r="Y79" i="67" s="1"/>
  <c r="S83" i="67"/>
  <c r="Y83" i="67" s="1"/>
  <c r="S87" i="67"/>
  <c r="Y87" i="67" s="1"/>
  <c r="S91" i="67"/>
  <c r="Y91" i="67" s="1"/>
  <c r="S65" i="67"/>
  <c r="Y65" i="67" s="1"/>
  <c r="S69" i="67"/>
  <c r="Y69" i="67" s="1"/>
  <c r="S73" i="67"/>
  <c r="Y73" i="67" s="1"/>
  <c r="S77" i="67"/>
  <c r="Y77" i="67" s="1"/>
  <c r="S81" i="67"/>
  <c r="Y81" i="67" s="1"/>
  <c r="S85" i="67"/>
  <c r="Y85" i="67" s="1"/>
  <c r="S89" i="67"/>
  <c r="Y89" i="67" s="1"/>
  <c r="S63" i="67"/>
  <c r="Y63" i="67" s="1"/>
  <c r="S67" i="67"/>
  <c r="Y67" i="67" s="1"/>
  <c r="S64" i="67"/>
  <c r="Y64" i="67" s="1"/>
  <c r="S68" i="67"/>
  <c r="Y68" i="67" s="1"/>
  <c r="S72" i="67"/>
  <c r="Y72" i="67" s="1"/>
  <c r="S76" i="67"/>
  <c r="Y76" i="67" s="1"/>
  <c r="S80" i="67"/>
  <c r="Y80" i="67" s="1"/>
  <c r="S84" i="67"/>
  <c r="Y84" i="67" s="1"/>
  <c r="S88" i="67"/>
  <c r="Y88" i="67" s="1"/>
  <c r="S92" i="67"/>
  <c r="Y92" i="67" s="1"/>
  <c r="S71" i="67"/>
  <c r="Y71" i="67" s="1"/>
  <c r="S75" i="67"/>
  <c r="Y75" i="67" s="1"/>
  <c r="T63" i="67"/>
  <c r="Z63" i="67" s="1"/>
  <c r="T67" i="67"/>
  <c r="Z67" i="67" s="1"/>
  <c r="T71" i="67"/>
  <c r="Z71" i="67" s="1"/>
  <c r="T75" i="67"/>
  <c r="Z75" i="67" s="1"/>
  <c r="T79" i="67"/>
  <c r="Z79" i="67" s="1"/>
  <c r="T83" i="67"/>
  <c r="Z83" i="67" s="1"/>
  <c r="T87" i="67"/>
  <c r="Z87" i="67" s="1"/>
  <c r="T91" i="67"/>
  <c r="Z91" i="67" s="1"/>
  <c r="T68" i="67"/>
  <c r="Z68" i="67" s="1"/>
  <c r="T72" i="67"/>
  <c r="Z72" i="67" s="1"/>
  <c r="T76" i="67"/>
  <c r="Z76" i="67" s="1"/>
  <c r="T66" i="67"/>
  <c r="Z66" i="67" s="1"/>
  <c r="T70" i="67"/>
  <c r="Z70" i="67" s="1"/>
  <c r="T74" i="67"/>
  <c r="Z74" i="67" s="1"/>
  <c r="T78" i="67"/>
  <c r="Z78" i="67" s="1"/>
  <c r="T82" i="67"/>
  <c r="Z82" i="67" s="1"/>
  <c r="T86" i="67"/>
  <c r="Z86" i="67" s="1"/>
  <c r="T90" i="67"/>
  <c r="Z90" i="67" s="1"/>
  <c r="T65" i="67"/>
  <c r="Z65" i="67" s="1"/>
  <c r="T69" i="67"/>
  <c r="Z69" i="67" s="1"/>
  <c r="T73" i="67"/>
  <c r="Z73" i="67" s="1"/>
  <c r="T77" i="67"/>
  <c r="Z77" i="67" s="1"/>
  <c r="T81" i="67"/>
  <c r="Z81" i="67" s="1"/>
  <c r="T85" i="67"/>
  <c r="Z85" i="67" s="1"/>
  <c r="T89" i="67"/>
  <c r="Z89" i="67" s="1"/>
  <c r="T64" i="67"/>
  <c r="Z64" i="67" s="1"/>
  <c r="T80" i="67"/>
  <c r="Z80" i="67" s="1"/>
  <c r="T84" i="67"/>
  <c r="Z84" i="67" s="1"/>
  <c r="T88" i="67"/>
  <c r="Z88" i="67" s="1"/>
  <c r="T92" i="67"/>
  <c r="Z92" i="67" s="1"/>
  <c r="T69" i="66"/>
  <c r="T80" i="66" s="1"/>
  <c r="DO160" i="65"/>
  <c r="DO159" i="65"/>
  <c r="CZ143" i="65"/>
  <c r="CZ142" i="65"/>
  <c r="CZ111" i="65"/>
  <c r="CZ94" i="65"/>
  <c r="CZ129" i="65"/>
  <c r="CZ95" i="65"/>
  <c r="DP115" i="65"/>
  <c r="CZ115" i="65"/>
  <c r="CZ113" i="65"/>
  <c r="DP153" i="65"/>
  <c r="CZ153" i="65"/>
  <c r="CZ155" i="65"/>
  <c r="CZ154" i="65"/>
  <c r="DP148" i="65"/>
  <c r="CZ148" i="65"/>
  <c r="DP125" i="65"/>
  <c r="CZ125" i="65"/>
  <c r="DP109" i="65"/>
  <c r="CZ109" i="65"/>
  <c r="CZ114" i="65"/>
  <c r="DP100" i="65"/>
  <c r="CZ100" i="65"/>
  <c r="CZ156" i="65"/>
  <c r="V261" i="54"/>
  <c r="V282" i="54"/>
  <c r="V303" i="54"/>
  <c r="V324" i="54"/>
  <c r="V93" i="54"/>
  <c r="V135" i="54"/>
  <c r="V198" i="54"/>
  <c r="V9" i="54"/>
  <c r="V30" i="54"/>
  <c r="V51" i="54"/>
  <c r="V72" i="54"/>
  <c r="V114" i="54"/>
  <c r="V156" i="54"/>
  <c r="V240" i="54"/>
  <c r="V177" i="54"/>
  <c r="V219" i="54"/>
  <c r="AD785" i="54"/>
  <c r="AH785" i="54" s="1"/>
  <c r="AL785" i="54" s="1"/>
  <c r="AD764" i="54"/>
  <c r="AH764" i="54" s="1"/>
  <c r="CZ146" i="65"/>
  <c r="DP131" i="65"/>
  <c r="CZ131" i="65"/>
  <c r="CZ127" i="65"/>
  <c r="DP132" i="65"/>
  <c r="CZ132" i="65"/>
  <c r="DP147" i="65"/>
  <c r="CZ147" i="65"/>
  <c r="CZ130" i="65"/>
  <c r="CZ164" i="65"/>
  <c r="CZ128" i="65"/>
  <c r="DP141" i="65"/>
  <c r="CZ141" i="65"/>
  <c r="DP116" i="65"/>
  <c r="CZ116" i="65"/>
  <c r="CZ126" i="65"/>
  <c r="CZ144" i="65"/>
  <c r="AB785" i="54"/>
  <c r="AG785" i="54" s="1"/>
  <c r="AK785" i="54" s="1"/>
  <c r="AB764" i="54"/>
  <c r="AG764" i="54" s="1"/>
  <c r="DP99" i="65"/>
  <c r="CZ99" i="65"/>
  <c r="CZ161" i="65"/>
  <c r="DP93" i="65"/>
  <c r="CZ93" i="65"/>
  <c r="CZ145" i="65"/>
  <c r="CZ162" i="65"/>
  <c r="CZ97" i="65"/>
  <c r="CZ163" i="65"/>
  <c r="CZ96" i="65"/>
  <c r="CZ98" i="65"/>
  <c r="CZ110" i="65"/>
  <c r="CZ112" i="65"/>
  <c r="X114" i="54"/>
  <c r="X135" i="54"/>
  <c r="X156" i="54"/>
  <c r="X93" i="54"/>
  <c r="X282" i="54"/>
  <c r="X324" i="54"/>
  <c r="EJ11" i="65"/>
  <c r="X72" i="54"/>
  <c r="X198" i="54"/>
  <c r="X219" i="54"/>
  <c r="X240" i="54"/>
  <c r="X261" i="54"/>
  <c r="X9" i="54"/>
  <c r="X30" i="54"/>
  <c r="X177" i="54"/>
  <c r="X303" i="54"/>
  <c r="X51" i="54"/>
  <c r="DP163" i="65"/>
  <c r="DP164" i="65"/>
  <c r="DS163" i="65"/>
  <c r="DP162" i="65"/>
  <c r="DP161" i="65"/>
  <c r="DR159" i="65"/>
  <c r="P79" i="66"/>
  <c r="V69" i="66"/>
  <c r="V80" i="66" s="1"/>
  <c r="O69" i="66"/>
  <c r="O63" i="66"/>
  <c r="J80" i="66"/>
  <c r="J81" i="66"/>
  <c r="H81" i="66"/>
  <c r="H80" i="66"/>
  <c r="O81" i="66"/>
  <c r="C79" i="66"/>
  <c r="I69" i="66"/>
  <c r="DR155" i="65"/>
  <c r="DO98" i="65"/>
  <c r="DR100" i="65"/>
  <c r="DO146" i="65"/>
  <c r="DO130" i="65"/>
  <c r="DR95" i="65"/>
  <c r="DO129" i="65"/>
  <c r="DR164" i="65"/>
  <c r="DR111" i="65"/>
  <c r="DR127" i="65"/>
  <c r="DO145" i="65"/>
  <c r="DR116" i="65"/>
  <c r="DR132" i="65"/>
  <c r="DO97" i="65"/>
  <c r="DO113" i="65"/>
  <c r="DO114" i="65"/>
  <c r="DR148" i="65"/>
  <c r="DR143" i="65"/>
  <c r="DO148" i="65"/>
  <c r="DO93" i="65"/>
  <c r="DO109" i="65"/>
  <c r="DO153" i="65"/>
  <c r="DO125" i="65"/>
  <c r="DO131" i="65"/>
  <c r="DO147" i="65"/>
  <c r="DO132" i="65"/>
  <c r="DO99" i="65"/>
  <c r="DO116" i="65"/>
  <c r="DO141" i="65"/>
  <c r="DO100" i="65"/>
  <c r="DO115" i="65"/>
  <c r="DO142" i="65"/>
  <c r="DO128" i="65"/>
  <c r="DO143" i="65"/>
  <c r="DR99" i="65"/>
  <c r="DO126" i="65"/>
  <c r="DO156" i="65"/>
  <c r="DR131" i="65"/>
  <c r="DO96" i="65"/>
  <c r="DO111" i="65"/>
  <c r="DR147" i="65"/>
  <c r="DO155" i="65"/>
  <c r="DO127" i="65"/>
  <c r="DO110" i="65"/>
  <c r="DO112" i="65"/>
  <c r="DO94" i="65"/>
  <c r="DO144" i="65"/>
  <c r="DO154" i="65"/>
  <c r="DO95" i="65"/>
  <c r="DR115" i="65"/>
  <c r="Z765" i="54"/>
  <c r="AF765" i="54" s="1"/>
  <c r="Z786" i="54"/>
  <c r="AF786" i="54" s="1"/>
  <c r="AJ786" i="54" s="1"/>
  <c r="G68" i="64"/>
  <c r="J68" i="64" s="1"/>
  <c r="G71" i="64"/>
  <c r="J71" i="64" s="1"/>
  <c r="G65" i="64"/>
  <c r="J65" i="64" s="1"/>
  <c r="G64" i="64"/>
  <c r="J64" i="64" s="1"/>
  <c r="G61" i="64"/>
  <c r="J61" i="64" s="1"/>
  <c r="G67" i="64"/>
  <c r="J67" i="64" s="1"/>
  <c r="G63" i="64"/>
  <c r="J63" i="64" s="1"/>
  <c r="G66" i="64"/>
  <c r="J66" i="64" s="1"/>
  <c r="G69" i="64"/>
  <c r="J69" i="64" s="1"/>
  <c r="G72" i="64"/>
  <c r="J72" i="64" s="1"/>
  <c r="G62" i="64"/>
  <c r="J62" i="64" s="1"/>
  <c r="Z88" i="54"/>
  <c r="AF88" i="54" s="1"/>
  <c r="AJ88" i="54" s="1"/>
  <c r="Z68" i="54"/>
  <c r="AF68" i="54" s="1"/>
  <c r="AJ68" i="54" s="1"/>
  <c r="Z48" i="54"/>
  <c r="AF48" i="54" s="1"/>
  <c r="AJ48" i="54" s="1"/>
  <c r="Z28" i="54"/>
  <c r="AF28" i="54" s="1"/>
  <c r="AJ28" i="54" s="1"/>
  <c r="Z8" i="54"/>
  <c r="AF8" i="54" s="1"/>
  <c r="AJ8" i="54" s="1"/>
  <c r="V79" i="64" l="1"/>
  <c r="AB79" i="64" s="1"/>
  <c r="V70" i="64"/>
  <c r="AB70" i="64" s="1"/>
  <c r="V72" i="64"/>
  <c r="AB72" i="64" s="1"/>
  <c r="V80" i="64"/>
  <c r="AB80" i="64" s="1"/>
  <c r="V76" i="64"/>
  <c r="AB76" i="64" s="1"/>
  <c r="V74" i="64"/>
  <c r="AB74" i="64" s="1"/>
  <c r="V78" i="64"/>
  <c r="AB78" i="64" s="1"/>
  <c r="V77" i="64"/>
  <c r="AB77" i="64" s="1"/>
  <c r="V75" i="64"/>
  <c r="AB75" i="64" s="1"/>
  <c r="V73" i="64"/>
  <c r="AB73" i="64" s="1"/>
  <c r="V71" i="64"/>
  <c r="AB71" i="64" s="1"/>
  <c r="W79" i="64"/>
  <c r="AC79" i="64" s="1"/>
  <c r="W71" i="64"/>
  <c r="AC71" i="64" s="1"/>
  <c r="W73" i="64"/>
  <c r="AC73" i="64" s="1"/>
  <c r="W75" i="64"/>
  <c r="AC75" i="64" s="1"/>
  <c r="W72" i="64"/>
  <c r="AC72" i="64" s="1"/>
  <c r="W76" i="64"/>
  <c r="AC76" i="64" s="1"/>
  <c r="W70" i="64"/>
  <c r="AC70" i="64" s="1"/>
  <c r="W74" i="64"/>
  <c r="AC74" i="64" s="1"/>
  <c r="W80" i="64"/>
  <c r="AC80" i="64" s="1"/>
  <c r="W78" i="64"/>
  <c r="AC78" i="64" s="1"/>
  <c r="W77" i="64"/>
  <c r="AC77" i="64" s="1"/>
  <c r="U70" i="64"/>
  <c r="AA70" i="64" s="1"/>
  <c r="U72" i="64"/>
  <c r="AA72" i="64" s="1"/>
  <c r="U80" i="64"/>
  <c r="AA80" i="64" s="1"/>
  <c r="U74" i="64"/>
  <c r="AA74" i="64" s="1"/>
  <c r="U78" i="64"/>
  <c r="AA78" i="64" s="1"/>
  <c r="U76" i="64"/>
  <c r="AA76" i="64" s="1"/>
  <c r="U75" i="64"/>
  <c r="AA75" i="64" s="1"/>
  <c r="U73" i="64"/>
  <c r="AA73" i="64" s="1"/>
  <c r="U71" i="64"/>
  <c r="AA71" i="64" s="1"/>
  <c r="U77" i="64"/>
  <c r="AA77" i="64" s="1"/>
  <c r="U79" i="64"/>
  <c r="AA79" i="64" s="1"/>
  <c r="BA7" i="65"/>
  <c r="FB31" i="65" s="1"/>
  <c r="FA31" i="65" s="1"/>
  <c r="DP170" i="65"/>
  <c r="DP169" i="65"/>
  <c r="DS172" i="65"/>
  <c r="DS167" i="65"/>
  <c r="DS199" i="65"/>
  <c r="DS231" i="65"/>
  <c r="DP218" i="65"/>
  <c r="DP234" i="65"/>
  <c r="DP217" i="65"/>
  <c r="DS204" i="65"/>
  <c r="DS220" i="65"/>
  <c r="AY7" i="65"/>
  <c r="FB29" i="65" s="1"/>
  <c r="FA29" i="65" s="1"/>
  <c r="DP245" i="65"/>
  <c r="DO161" i="65"/>
  <c r="DO164" i="65"/>
  <c r="V345" i="54"/>
  <c r="V492" i="54"/>
  <c r="V366" i="54"/>
  <c r="V786" i="54"/>
  <c r="V387" i="54"/>
  <c r="V408" i="54"/>
  <c r="V576" i="54"/>
  <c r="V681" i="54"/>
  <c r="V765" i="54"/>
  <c r="V702" i="54"/>
  <c r="V534" i="54"/>
  <c r="V723" i="54"/>
  <c r="V744" i="54"/>
  <c r="V555" i="54"/>
  <c r="V597" i="54"/>
  <c r="V618" i="54"/>
  <c r="V471" i="54"/>
  <c r="V639" i="54"/>
  <c r="V513" i="54"/>
  <c r="V660" i="54"/>
  <c r="V429" i="54"/>
  <c r="V450" i="54"/>
  <c r="DO162" i="65"/>
  <c r="X639" i="54"/>
  <c r="X660" i="54"/>
  <c r="X408" i="54"/>
  <c r="X681" i="54"/>
  <c r="X492" i="54"/>
  <c r="X618" i="54"/>
  <c r="X534" i="54"/>
  <c r="X723" i="54"/>
  <c r="X345" i="54"/>
  <c r="X744" i="54"/>
  <c r="X429" i="54"/>
  <c r="X576" i="54"/>
  <c r="X387" i="54"/>
  <c r="X555" i="54"/>
  <c r="EQ11" i="65"/>
  <c r="X597" i="54"/>
  <c r="X765" i="54"/>
  <c r="X366" i="54"/>
  <c r="X702" i="54"/>
  <c r="X450" i="54"/>
  <c r="X786" i="54"/>
  <c r="X513" i="54"/>
  <c r="X471" i="54"/>
  <c r="T513" i="54"/>
  <c r="T702" i="54"/>
  <c r="T471" i="54"/>
  <c r="T618" i="54"/>
  <c r="T660" i="54"/>
  <c r="T534" i="54"/>
  <c r="T366" i="54"/>
  <c r="T429" i="54"/>
  <c r="T387" i="54"/>
  <c r="T408" i="54"/>
  <c r="T576" i="54"/>
  <c r="T345" i="54"/>
  <c r="T765" i="54"/>
  <c r="T744" i="54"/>
  <c r="T786" i="54"/>
  <c r="T492" i="54"/>
  <c r="T723" i="54"/>
  <c r="T681" i="54"/>
  <c r="T450" i="54"/>
  <c r="T639" i="54"/>
  <c r="T597" i="54"/>
  <c r="T555" i="54"/>
  <c r="DO163" i="65"/>
  <c r="DR163" i="65"/>
  <c r="I81" i="66"/>
  <c r="I80" i="66"/>
  <c r="U69" i="66"/>
  <c r="U80" i="66" s="1"/>
  <c r="O79" i="66"/>
  <c r="V325" i="54"/>
  <c r="V262" i="54"/>
  <c r="V283" i="54"/>
  <c r="V220" i="54"/>
  <c r="V241" i="54"/>
  <c r="V136" i="54"/>
  <c r="V73" i="54"/>
  <c r="V10" i="54"/>
  <c r="V31" i="54"/>
  <c r="V52" i="54"/>
  <c r="V178" i="54"/>
  <c r="V157" i="54"/>
  <c r="V94" i="54"/>
  <c r="V115" i="54"/>
  <c r="V304" i="54"/>
  <c r="V199" i="54"/>
  <c r="DS215" i="65"/>
  <c r="DP185" i="65"/>
  <c r="DS243" i="65"/>
  <c r="DP186" i="65"/>
  <c r="DS183" i="65"/>
  <c r="DP233" i="65"/>
  <c r="DP201" i="65"/>
  <c r="DP202" i="65"/>
  <c r="DS188" i="65"/>
  <c r="L7" i="65"/>
  <c r="AD765" i="54"/>
  <c r="AH765" i="54" s="1"/>
  <c r="AD786" i="54"/>
  <c r="AH786" i="54" s="1"/>
  <c r="AL786" i="54" s="1"/>
  <c r="X10" i="54"/>
  <c r="X94" i="54"/>
  <c r="X178" i="54"/>
  <c r="X262" i="54"/>
  <c r="X31" i="54"/>
  <c r="X115" i="54"/>
  <c r="X199" i="54"/>
  <c r="X283" i="54"/>
  <c r="X52" i="54"/>
  <c r="X136" i="54"/>
  <c r="X220" i="54"/>
  <c r="X304" i="54"/>
  <c r="X157" i="54"/>
  <c r="X241" i="54"/>
  <c r="X325" i="54"/>
  <c r="X73" i="54"/>
  <c r="AB765" i="54"/>
  <c r="AG765" i="54" s="1"/>
  <c r="AB786" i="54"/>
  <c r="AG786" i="54" s="1"/>
  <c r="AK786" i="54" s="1"/>
  <c r="T52" i="54"/>
  <c r="T136" i="54"/>
  <c r="T73" i="54"/>
  <c r="T157" i="54"/>
  <c r="T10" i="54"/>
  <c r="T94" i="54"/>
  <c r="T31" i="54"/>
  <c r="T178" i="54"/>
  <c r="T262" i="54"/>
  <c r="T115" i="54"/>
  <c r="T199" i="54"/>
  <c r="T283" i="54"/>
  <c r="T220" i="54"/>
  <c r="T304" i="54"/>
  <c r="T241" i="54"/>
  <c r="T325" i="54"/>
  <c r="I65" i="64"/>
  <c r="L65" i="64" s="1"/>
  <c r="I68" i="64"/>
  <c r="L68" i="64" s="1"/>
  <c r="I63" i="64"/>
  <c r="L63" i="64" s="1"/>
  <c r="I69" i="64"/>
  <c r="L69" i="64" s="1"/>
  <c r="I64" i="64"/>
  <c r="L64" i="64" s="1"/>
  <c r="I61" i="64"/>
  <c r="L61" i="64" s="1"/>
  <c r="I72" i="64"/>
  <c r="L72" i="64" s="1"/>
  <c r="I71" i="64"/>
  <c r="L71" i="64" s="1"/>
  <c r="I67" i="64"/>
  <c r="L67" i="64" s="1"/>
  <c r="I62" i="64"/>
  <c r="L62" i="64" s="1"/>
  <c r="I66" i="64"/>
  <c r="L66" i="64" s="1"/>
  <c r="AD88" i="54"/>
  <c r="AH88" i="54" s="1"/>
  <c r="AL88" i="54" s="1"/>
  <c r="AD68" i="54"/>
  <c r="AH68" i="54" s="1"/>
  <c r="AL68" i="54" s="1"/>
  <c r="AD48" i="54"/>
  <c r="AH48" i="54" s="1"/>
  <c r="AL48" i="54" s="1"/>
  <c r="AD28" i="54"/>
  <c r="AH28" i="54" s="1"/>
  <c r="AL28" i="54" s="1"/>
  <c r="H64" i="64"/>
  <c r="K64" i="64" s="1"/>
  <c r="H68" i="64"/>
  <c r="K68" i="64" s="1"/>
  <c r="H65" i="64"/>
  <c r="K65" i="64" s="1"/>
  <c r="H72" i="64"/>
  <c r="K72" i="64" s="1"/>
  <c r="H61" i="64"/>
  <c r="K61" i="64" s="1"/>
  <c r="H71" i="64"/>
  <c r="K71" i="64" s="1"/>
  <c r="H67" i="64"/>
  <c r="K67" i="64" s="1"/>
  <c r="H62" i="64"/>
  <c r="K62" i="64" s="1"/>
  <c r="H63" i="64"/>
  <c r="K63" i="64" s="1"/>
  <c r="H69" i="64"/>
  <c r="K69" i="64" s="1"/>
  <c r="H66" i="64"/>
  <c r="K66" i="64" s="1"/>
  <c r="AB88" i="54"/>
  <c r="AG88" i="54" s="1"/>
  <c r="AK88" i="54" s="1"/>
  <c r="AB68" i="54"/>
  <c r="AG68" i="54" s="1"/>
  <c r="AK68" i="54" s="1"/>
  <c r="AB48" i="54"/>
  <c r="AG48" i="54" s="1"/>
  <c r="AK48" i="54" s="1"/>
  <c r="AB28" i="54"/>
  <c r="AG28" i="54" s="1"/>
  <c r="AK28" i="54" s="1"/>
  <c r="Z386" i="54"/>
  <c r="AF386" i="54" s="1"/>
  <c r="Z344" i="54"/>
  <c r="AF344" i="54" s="1"/>
  <c r="AD8" i="54"/>
  <c r="AH8" i="54" s="1"/>
  <c r="AL8" i="54" s="1"/>
  <c r="AB8" i="54"/>
  <c r="AG8" i="54" s="1"/>
  <c r="AK8" i="54" s="1"/>
  <c r="AI66" i="67" l="1"/>
  <c r="BC67" i="67" s="1"/>
  <c r="AI70" i="67"/>
  <c r="BC71" i="67" s="1"/>
  <c r="AI74" i="67"/>
  <c r="BC75" i="67" s="1"/>
  <c r="AI78" i="67"/>
  <c r="BC79" i="67" s="1"/>
  <c r="AI82" i="67"/>
  <c r="BC83" i="67" s="1"/>
  <c r="AI86" i="67"/>
  <c r="BC87" i="67" s="1"/>
  <c r="AI90" i="67"/>
  <c r="BC91" i="67" s="1"/>
  <c r="AG63" i="67"/>
  <c r="BA64" i="67" s="1"/>
  <c r="AG67" i="67"/>
  <c r="BA68" i="67" s="1"/>
  <c r="AG71" i="67"/>
  <c r="BA72" i="67" s="1"/>
  <c r="AG75" i="67"/>
  <c r="BA76" i="67" s="1"/>
  <c r="AG79" i="67"/>
  <c r="BA80" i="67" s="1"/>
  <c r="AG83" i="67"/>
  <c r="BA84" i="67" s="1"/>
  <c r="AG87" i="67"/>
  <c r="BA88" i="67" s="1"/>
  <c r="AG91" i="67"/>
  <c r="BA92" i="67" s="1"/>
  <c r="AI63" i="67"/>
  <c r="BC64" i="67" s="1"/>
  <c r="AI67" i="67"/>
  <c r="BC68" i="67" s="1"/>
  <c r="AI71" i="67"/>
  <c r="BC72" i="67" s="1"/>
  <c r="AI75" i="67"/>
  <c r="BC76" i="67" s="1"/>
  <c r="AI79" i="67"/>
  <c r="BC80" i="67" s="1"/>
  <c r="AI83" i="67"/>
  <c r="BC84" i="67" s="1"/>
  <c r="AI87" i="67"/>
  <c r="BC88" i="67" s="1"/>
  <c r="AI91" i="67"/>
  <c r="BC92" i="67" s="1"/>
  <c r="AG64" i="67"/>
  <c r="BA65" i="67" s="1"/>
  <c r="AG68" i="67"/>
  <c r="BA69" i="67" s="1"/>
  <c r="AG72" i="67"/>
  <c r="BA73" i="67" s="1"/>
  <c r="AG76" i="67"/>
  <c r="BA77" i="67" s="1"/>
  <c r="BJ77" i="67" s="1"/>
  <c r="AG80" i="67"/>
  <c r="BA81" i="67" s="1"/>
  <c r="AG84" i="67"/>
  <c r="BA85" i="67" s="1"/>
  <c r="AG88" i="67"/>
  <c r="BA89" i="67" s="1"/>
  <c r="AG92" i="67"/>
  <c r="BA93" i="67" s="1"/>
  <c r="AI68" i="67"/>
  <c r="BC69" i="67" s="1"/>
  <c r="AI76" i="67"/>
  <c r="BC77" i="67" s="1"/>
  <c r="AI84" i="67"/>
  <c r="BC85" i="67" s="1"/>
  <c r="AI92" i="67"/>
  <c r="BC93" i="67" s="1"/>
  <c r="AG66" i="67"/>
  <c r="BA67" i="67" s="1"/>
  <c r="BJ67" i="67" s="1"/>
  <c r="AG74" i="67"/>
  <c r="BA75" i="67" s="1"/>
  <c r="AG82" i="67"/>
  <c r="BA83" i="67" s="1"/>
  <c r="BJ83" i="67" s="1"/>
  <c r="AG90" i="67"/>
  <c r="BA91" i="67" s="1"/>
  <c r="BJ91" i="67" s="1"/>
  <c r="AI69" i="67"/>
  <c r="BC70" i="67" s="1"/>
  <c r="AI77" i="67"/>
  <c r="BC78" i="67" s="1"/>
  <c r="AI85" i="67"/>
  <c r="BC86" i="67" s="1"/>
  <c r="AG69" i="67"/>
  <c r="BA70" i="67" s="1"/>
  <c r="AG77" i="67"/>
  <c r="BA78" i="67" s="1"/>
  <c r="BJ78" i="67" s="1"/>
  <c r="AG85" i="67"/>
  <c r="BA86" i="67" s="1"/>
  <c r="AI64" i="67"/>
  <c r="BC65" i="67" s="1"/>
  <c r="AI80" i="67"/>
  <c r="BC81" i="67" s="1"/>
  <c r="AG78" i="67"/>
  <c r="BA79" i="67" s="1"/>
  <c r="BJ79" i="67" s="1"/>
  <c r="AI65" i="67"/>
  <c r="BC66" i="67" s="1"/>
  <c r="AI81" i="67"/>
  <c r="BC82" i="67" s="1"/>
  <c r="AG65" i="67"/>
  <c r="BA66" i="67" s="1"/>
  <c r="BJ66" i="67" s="1"/>
  <c r="AG81" i="67"/>
  <c r="BA82" i="67" s="1"/>
  <c r="BJ82" i="67" s="1"/>
  <c r="AI72" i="67"/>
  <c r="BC73" i="67" s="1"/>
  <c r="AI88" i="67"/>
  <c r="BC89" i="67" s="1"/>
  <c r="AG70" i="67"/>
  <c r="BA71" i="67" s="1"/>
  <c r="BJ71" i="67" s="1"/>
  <c r="AG86" i="67"/>
  <c r="BA87" i="67" s="1"/>
  <c r="BJ87" i="67" s="1"/>
  <c r="AI73" i="67"/>
  <c r="BC74" i="67" s="1"/>
  <c r="AI89" i="67"/>
  <c r="BC90" i="67" s="1"/>
  <c r="AG73" i="67"/>
  <c r="BA74" i="67" s="1"/>
  <c r="BJ74" i="67" s="1"/>
  <c r="AG89" i="67"/>
  <c r="BA90" i="67" s="1"/>
  <c r="BJ90" i="67" s="1"/>
  <c r="EQ9" i="65"/>
  <c r="V81" i="64"/>
  <c r="V86" i="64"/>
  <c r="V90" i="64"/>
  <c r="V88" i="64"/>
  <c r="AB88" i="64" s="1"/>
  <c r="V83" i="64"/>
  <c r="V91" i="64"/>
  <c r="V87" i="64"/>
  <c r="V82" i="64"/>
  <c r="V84" i="64"/>
  <c r="V89" i="64"/>
  <c r="V85" i="64"/>
  <c r="U86" i="64"/>
  <c r="AA86" i="64" s="1"/>
  <c r="U88" i="64"/>
  <c r="U90" i="64"/>
  <c r="U89" i="64"/>
  <c r="AA89" i="64" s="1"/>
  <c r="U91" i="64"/>
  <c r="U87" i="64"/>
  <c r="AA87" i="64" s="1"/>
  <c r="U85" i="64"/>
  <c r="AA85" i="64" s="1"/>
  <c r="U84" i="64"/>
  <c r="AA84" i="64" s="1"/>
  <c r="U82" i="64"/>
  <c r="AA82" i="64" s="1"/>
  <c r="U83" i="64"/>
  <c r="U81" i="64"/>
  <c r="W81" i="64"/>
  <c r="AC81" i="64" s="1"/>
  <c r="W85" i="64"/>
  <c r="AC85" i="64" s="1"/>
  <c r="W91" i="64"/>
  <c r="AC91" i="64" s="1"/>
  <c r="W87" i="64"/>
  <c r="AC87" i="64" s="1"/>
  <c r="W89" i="64"/>
  <c r="W82" i="64"/>
  <c r="AC82" i="64" s="1"/>
  <c r="W90" i="64"/>
  <c r="W88" i="64"/>
  <c r="AC88" i="64" s="1"/>
  <c r="W86" i="64"/>
  <c r="W84" i="64"/>
  <c r="W83" i="64"/>
  <c r="AC83" i="64" s="1"/>
  <c r="AZ7" i="65"/>
  <c r="FB30" i="65" s="1"/>
  <c r="FA30" i="65" s="1"/>
  <c r="CZ165" i="65"/>
  <c r="CZ169" i="65"/>
  <c r="CZ181" i="65"/>
  <c r="CZ185" i="65"/>
  <c r="DP168" i="65"/>
  <c r="CZ172" i="65"/>
  <c r="DP184" i="65"/>
  <c r="CZ188" i="65"/>
  <c r="DP167" i="65"/>
  <c r="DS171" i="65"/>
  <c r="DP183" i="65"/>
  <c r="DS187" i="65"/>
  <c r="DP166" i="65"/>
  <c r="CZ170" i="65"/>
  <c r="DP182" i="65"/>
  <c r="CZ186" i="65"/>
  <c r="DP198" i="65"/>
  <c r="CZ202" i="65"/>
  <c r="DP214" i="65"/>
  <c r="CZ218" i="65"/>
  <c r="DP230" i="65"/>
  <c r="CZ234" i="65"/>
  <c r="DP242" i="65"/>
  <c r="CZ197" i="65"/>
  <c r="CZ201" i="65"/>
  <c r="CZ213" i="65"/>
  <c r="CZ217" i="65"/>
  <c r="CZ229" i="65"/>
  <c r="CZ233" i="65"/>
  <c r="CZ241" i="65"/>
  <c r="DS245" i="65"/>
  <c r="DP200" i="65"/>
  <c r="CZ204" i="65"/>
  <c r="DP216" i="65"/>
  <c r="CZ220" i="65"/>
  <c r="DP232" i="65"/>
  <c r="DP199" i="65"/>
  <c r="DS203" i="65"/>
  <c r="DP215" i="65"/>
  <c r="DS219" i="65"/>
  <c r="DP231" i="65"/>
  <c r="DP220" i="65"/>
  <c r="DP171" i="65"/>
  <c r="DP203" i="65"/>
  <c r="DP241" i="65"/>
  <c r="DP188" i="65"/>
  <c r="DP219" i="65"/>
  <c r="DP181" i="65"/>
  <c r="DP213" i="65"/>
  <c r="DP229" i="65"/>
  <c r="DP172" i="65"/>
  <c r="DP204" i="65"/>
  <c r="DP187" i="65"/>
  <c r="DP165" i="65"/>
  <c r="DP197" i="65"/>
  <c r="DP246" i="65"/>
  <c r="DS246" i="65"/>
  <c r="DP243" i="65"/>
  <c r="DP244" i="65"/>
  <c r="CZ246" i="65"/>
  <c r="V409" i="54"/>
  <c r="V346" i="54"/>
  <c r="V682" i="54"/>
  <c r="V619" i="54"/>
  <c r="V556" i="54"/>
  <c r="V766" i="54"/>
  <c r="V598" i="54"/>
  <c r="V745" i="54"/>
  <c r="V493" i="54"/>
  <c r="V430" i="54"/>
  <c r="V367" i="54"/>
  <c r="V703" i="54"/>
  <c r="V640" i="54"/>
  <c r="V787" i="54"/>
  <c r="V535" i="54"/>
  <c r="V577" i="54"/>
  <c r="V514" i="54"/>
  <c r="V451" i="54"/>
  <c r="V388" i="54"/>
  <c r="V724" i="54"/>
  <c r="V661" i="54"/>
  <c r="V472" i="54"/>
  <c r="N7" i="65"/>
  <c r="M7" i="65"/>
  <c r="Z787" i="54"/>
  <c r="AF787" i="54" s="1"/>
  <c r="AJ787" i="54" s="1"/>
  <c r="Z766" i="54"/>
  <c r="AF766" i="54" s="1"/>
  <c r="X661" i="54"/>
  <c r="X598" i="54"/>
  <c r="X619" i="54"/>
  <c r="X787" i="54"/>
  <c r="X556" i="54"/>
  <c r="X346" i="54"/>
  <c r="X388" i="54"/>
  <c r="X682" i="54"/>
  <c r="X514" i="54"/>
  <c r="X745" i="54"/>
  <c r="X409" i="54"/>
  <c r="X367" i="54"/>
  <c r="X640" i="54"/>
  <c r="X577" i="54"/>
  <c r="X703" i="54"/>
  <c r="X493" i="54"/>
  <c r="X430" i="54"/>
  <c r="X451" i="54"/>
  <c r="X472" i="54"/>
  <c r="X724" i="54"/>
  <c r="X766" i="54"/>
  <c r="X535" i="54"/>
  <c r="T346" i="54"/>
  <c r="T451" i="54"/>
  <c r="T556" i="54"/>
  <c r="T661" i="54"/>
  <c r="T766" i="54"/>
  <c r="T472" i="54"/>
  <c r="T430" i="54"/>
  <c r="T535" i="54"/>
  <c r="T640" i="54"/>
  <c r="T745" i="54"/>
  <c r="T619" i="54"/>
  <c r="T367" i="54"/>
  <c r="T682" i="54"/>
  <c r="T409" i="54"/>
  <c r="T514" i="54"/>
  <c r="T388" i="54"/>
  <c r="T724" i="54"/>
  <c r="T598" i="54"/>
  <c r="T703" i="54"/>
  <c r="T493" i="54"/>
  <c r="T577" i="54"/>
  <c r="T787" i="54"/>
  <c r="DO171" i="65"/>
  <c r="DO204" i="65"/>
  <c r="DO197" i="65"/>
  <c r="DO188" i="65"/>
  <c r="DO241" i="65"/>
  <c r="DO213" i="65"/>
  <c r="DO219" i="65"/>
  <c r="DO187" i="65"/>
  <c r="DO220" i="65"/>
  <c r="DO165" i="65"/>
  <c r="DO203" i="65"/>
  <c r="DO229" i="65"/>
  <c r="DO181" i="65"/>
  <c r="DO172" i="65"/>
  <c r="F79" i="64"/>
  <c r="F75" i="64"/>
  <c r="F82" i="64"/>
  <c r="F78" i="64"/>
  <c r="F73" i="64"/>
  <c r="F84" i="64"/>
  <c r="F80" i="64"/>
  <c r="F76" i="64"/>
  <c r="F83" i="64"/>
  <c r="F77" i="64"/>
  <c r="F74" i="64"/>
  <c r="D77" i="64"/>
  <c r="D79" i="64"/>
  <c r="D78" i="64"/>
  <c r="D82" i="64"/>
  <c r="D83" i="64"/>
  <c r="D80" i="64"/>
  <c r="D76" i="64"/>
  <c r="D73" i="64"/>
  <c r="D84" i="64"/>
  <c r="D74" i="64"/>
  <c r="D75" i="64"/>
  <c r="E76" i="64"/>
  <c r="E84" i="64"/>
  <c r="E82" i="64"/>
  <c r="E77" i="64"/>
  <c r="E73" i="64"/>
  <c r="E78" i="64"/>
  <c r="E83" i="64"/>
  <c r="E74" i="64"/>
  <c r="E79" i="64"/>
  <c r="E75" i="64"/>
  <c r="E80" i="64"/>
  <c r="AD386" i="54"/>
  <c r="AH386" i="54" s="1"/>
  <c r="AD344" i="54"/>
  <c r="AH344" i="54" s="1"/>
  <c r="AB344" i="54"/>
  <c r="AG344" i="54" s="1"/>
  <c r="AB386" i="54"/>
  <c r="AG386" i="54" s="1"/>
  <c r="BJ81" i="67" l="1"/>
  <c r="BJ65" i="67"/>
  <c r="BJ86" i="67"/>
  <c r="BJ75" i="67"/>
  <c r="BL87" i="67"/>
  <c r="BL78" i="67"/>
  <c r="BL81" i="67"/>
  <c r="BJ64" i="67"/>
  <c r="BL74" i="67"/>
  <c r="BP74" i="67" s="1"/>
  <c r="BL71" i="67"/>
  <c r="BL66" i="67"/>
  <c r="BP66" i="67" s="1"/>
  <c r="BJ70" i="67"/>
  <c r="BL91" i="67"/>
  <c r="BJ93" i="67"/>
  <c r="BL77" i="67"/>
  <c r="BJ92" i="67"/>
  <c r="BJ76" i="67"/>
  <c r="BL90" i="67"/>
  <c r="BL79" i="67"/>
  <c r="BP79" i="67" s="1"/>
  <c r="BL65" i="67"/>
  <c r="BJ80" i="67"/>
  <c r="BL83" i="67"/>
  <c r="BJ89" i="67"/>
  <c r="BJ73" i="67"/>
  <c r="BJ88" i="67"/>
  <c r="BJ72" i="67"/>
  <c r="BL82" i="67"/>
  <c r="BP82" i="67" s="1"/>
  <c r="BL67" i="67"/>
  <c r="BL86" i="67"/>
  <c r="BL75" i="67"/>
  <c r="BJ85" i="67"/>
  <c r="BJ69" i="67"/>
  <c r="BJ84" i="67"/>
  <c r="BJ68" i="67"/>
  <c r="AC86" i="64"/>
  <c r="AC89" i="64"/>
  <c r="AA81" i="64"/>
  <c r="AC90" i="64"/>
  <c r="AA90" i="64"/>
  <c r="AA83" i="64"/>
  <c r="AC84" i="64"/>
  <c r="AA91" i="64"/>
  <c r="AB82" i="64"/>
  <c r="AB85" i="64"/>
  <c r="AB87" i="64"/>
  <c r="AB90" i="64"/>
  <c r="AA88" i="64"/>
  <c r="AB89" i="64"/>
  <c r="AB91" i="64"/>
  <c r="AB86" i="64"/>
  <c r="AB84" i="64"/>
  <c r="AB83" i="64"/>
  <c r="AB81" i="64"/>
  <c r="CZ245" i="65"/>
  <c r="CZ166" i="65"/>
  <c r="CZ216" i="65"/>
  <c r="CZ243" i="65"/>
  <c r="CZ187" i="65"/>
  <c r="CZ232" i="65"/>
  <c r="CZ198" i="65"/>
  <c r="CZ200" i="65"/>
  <c r="CZ199" i="65"/>
  <c r="CZ168" i="65"/>
  <c r="CZ183" i="65"/>
  <c r="CZ171" i="65"/>
  <c r="CZ242" i="65"/>
  <c r="CZ215" i="65"/>
  <c r="CZ182" i="65"/>
  <c r="CZ219" i="65"/>
  <c r="CZ244" i="65"/>
  <c r="CZ167" i="65"/>
  <c r="CZ231" i="65"/>
  <c r="CZ203" i="65"/>
  <c r="CZ230" i="65"/>
  <c r="CZ214" i="65"/>
  <c r="CZ184" i="65"/>
  <c r="EJ16" i="65"/>
  <c r="EJ13" i="65"/>
  <c r="DS249" i="65"/>
  <c r="X74" i="54"/>
  <c r="X158" i="54"/>
  <c r="X242" i="54"/>
  <c r="X326" i="54"/>
  <c r="X11" i="54"/>
  <c r="X95" i="54"/>
  <c r="X179" i="54"/>
  <c r="X263" i="54"/>
  <c r="X32" i="54"/>
  <c r="X116" i="54"/>
  <c r="X200" i="54"/>
  <c r="X284" i="54"/>
  <c r="X137" i="54"/>
  <c r="X221" i="54"/>
  <c r="X53" i="54"/>
  <c r="X305" i="54"/>
  <c r="AB766" i="54"/>
  <c r="AG766" i="54" s="1"/>
  <c r="AB787" i="54"/>
  <c r="AG787" i="54" s="1"/>
  <c r="AK787" i="54" s="1"/>
  <c r="X641" i="54"/>
  <c r="X431" i="54"/>
  <c r="DR171" i="65"/>
  <c r="DR203" i="65"/>
  <c r="DO214" i="65"/>
  <c r="DO166" i="65"/>
  <c r="DR245" i="65"/>
  <c r="DO184" i="65"/>
  <c r="DO183" i="65"/>
  <c r="DO215" i="65"/>
  <c r="DO230" i="65"/>
  <c r="DO182" i="65"/>
  <c r="DO216" i="65"/>
  <c r="DR187" i="65"/>
  <c r="DR219" i="65"/>
  <c r="DO198" i="65"/>
  <c r="DO199" i="65"/>
  <c r="DO200" i="65"/>
  <c r="DO231" i="65"/>
  <c r="DO232" i="65"/>
  <c r="DO168" i="65"/>
  <c r="DO242" i="65"/>
  <c r="DO167" i="65"/>
  <c r="V53" i="54"/>
  <c r="V137" i="54"/>
  <c r="V221" i="54"/>
  <c r="V305" i="54"/>
  <c r="V74" i="54"/>
  <c r="V158" i="54"/>
  <c r="V242" i="54"/>
  <c r="V326" i="54"/>
  <c r="V11" i="54"/>
  <c r="V95" i="54"/>
  <c r="V179" i="54"/>
  <c r="V263" i="54"/>
  <c r="V32" i="54"/>
  <c r="V116" i="54"/>
  <c r="V200" i="54"/>
  <c r="V284" i="54"/>
  <c r="T32" i="54"/>
  <c r="T116" i="54"/>
  <c r="T53" i="54"/>
  <c r="T137" i="54"/>
  <c r="T74" i="54"/>
  <c r="T11" i="54"/>
  <c r="T242" i="54"/>
  <c r="T326" i="54"/>
  <c r="T221" i="54"/>
  <c r="T305" i="54"/>
  <c r="T95" i="54"/>
  <c r="T179" i="54"/>
  <c r="T263" i="54"/>
  <c r="T158" i="54"/>
  <c r="T200" i="54"/>
  <c r="T284" i="54"/>
  <c r="AD787" i="54"/>
  <c r="AH787" i="54" s="1"/>
  <c r="AL787" i="54" s="1"/>
  <c r="AD766" i="54"/>
  <c r="AH766" i="54" s="1"/>
  <c r="DR172" i="65"/>
  <c r="DR204" i="65"/>
  <c r="DO234" i="65"/>
  <c r="DR167" i="65"/>
  <c r="DR199" i="65"/>
  <c r="DO185" i="65"/>
  <c r="DO170" i="65"/>
  <c r="DO217" i="65"/>
  <c r="DR183" i="65"/>
  <c r="DR188" i="65"/>
  <c r="DR220" i="65"/>
  <c r="DO186" i="65"/>
  <c r="DR215" i="65"/>
  <c r="DR243" i="65"/>
  <c r="DR231" i="65"/>
  <c r="DO245" i="65"/>
  <c r="DO169" i="65"/>
  <c r="DO201" i="65"/>
  <c r="DO202" i="65"/>
  <c r="DO233" i="65"/>
  <c r="DO218" i="65"/>
  <c r="G82" i="64"/>
  <c r="J82" i="64" s="1"/>
  <c r="G78" i="64"/>
  <c r="J78" i="64" s="1"/>
  <c r="G73" i="64"/>
  <c r="J73" i="64" s="1"/>
  <c r="G77" i="64"/>
  <c r="J77" i="64" s="1"/>
  <c r="G79" i="64"/>
  <c r="J79" i="64" s="1"/>
  <c r="G80" i="64"/>
  <c r="J80" i="64" s="1"/>
  <c r="G83" i="64"/>
  <c r="J83" i="64" s="1"/>
  <c r="G84" i="64"/>
  <c r="J84" i="64" s="1"/>
  <c r="G74" i="64"/>
  <c r="J74" i="64" s="1"/>
  <c r="G76" i="64"/>
  <c r="J76" i="64" s="1"/>
  <c r="G75" i="64"/>
  <c r="J75" i="64" s="1"/>
  <c r="Z109" i="54"/>
  <c r="AF109" i="54" s="1"/>
  <c r="AJ109" i="54" s="1"/>
  <c r="Z89" i="54"/>
  <c r="AF89" i="54" s="1"/>
  <c r="AJ89" i="54" s="1"/>
  <c r="Z69" i="54"/>
  <c r="AF69" i="54" s="1"/>
  <c r="AJ69" i="54" s="1"/>
  <c r="Z49" i="54"/>
  <c r="AF49" i="54" s="1"/>
  <c r="AJ49" i="54" s="1"/>
  <c r="Z29" i="54"/>
  <c r="AF29" i="54" s="1"/>
  <c r="AJ29" i="54" s="1"/>
  <c r="Z324" i="54"/>
  <c r="AF324" i="54" s="1"/>
  <c r="Z9" i="54"/>
  <c r="AF9" i="54" s="1"/>
  <c r="AJ9" i="54" s="1"/>
  <c r="BO86" i="67" l="1"/>
  <c r="BM86" i="67"/>
  <c r="BQ86" i="67"/>
  <c r="BN86" i="67"/>
  <c r="BL80" i="67"/>
  <c r="BL92" i="67"/>
  <c r="BN91" i="67"/>
  <c r="BO91" i="67"/>
  <c r="BQ91" i="67"/>
  <c r="BM91" i="67"/>
  <c r="BO78" i="67"/>
  <c r="BM78" i="67"/>
  <c r="BQ78" i="67"/>
  <c r="BN78" i="67"/>
  <c r="BL85" i="67"/>
  <c r="BP86" i="67"/>
  <c r="BL89" i="67"/>
  <c r="BP89" i="67" s="1"/>
  <c r="BN65" i="67"/>
  <c r="BO65" i="67"/>
  <c r="BQ65" i="67"/>
  <c r="BM65" i="67"/>
  <c r="BO90" i="67"/>
  <c r="BM90" i="67"/>
  <c r="BQ90" i="67"/>
  <c r="BN90" i="67"/>
  <c r="BM77" i="67"/>
  <c r="BQ77" i="67"/>
  <c r="BN77" i="67"/>
  <c r="BO77" i="67"/>
  <c r="BP91" i="67"/>
  <c r="BM71" i="67"/>
  <c r="BQ71" i="67"/>
  <c r="BN71" i="67"/>
  <c r="BO71" i="67"/>
  <c r="BL64" i="67"/>
  <c r="BP78" i="67"/>
  <c r="BL73" i="67"/>
  <c r="BL68" i="67"/>
  <c r="BP68" i="67" s="1"/>
  <c r="BN75" i="67"/>
  <c r="BO75" i="67"/>
  <c r="BQ75" i="67"/>
  <c r="BM75" i="67"/>
  <c r="BM67" i="67"/>
  <c r="BQ67" i="67"/>
  <c r="BN67" i="67"/>
  <c r="BO67" i="67"/>
  <c r="BL72" i="67"/>
  <c r="BN83" i="67"/>
  <c r="BO83" i="67"/>
  <c r="BM83" i="67"/>
  <c r="BQ83" i="67"/>
  <c r="BP65" i="67"/>
  <c r="BP90" i="67"/>
  <c r="BP77" i="67"/>
  <c r="BL70" i="67"/>
  <c r="BP71" i="67"/>
  <c r="BM81" i="67"/>
  <c r="BQ81" i="67"/>
  <c r="BN81" i="67"/>
  <c r="BO81" i="67"/>
  <c r="BN87" i="67"/>
  <c r="BO87" i="67"/>
  <c r="BM87" i="67"/>
  <c r="BQ87" i="67"/>
  <c r="BL69" i="67"/>
  <c r="BO82" i="67"/>
  <c r="BM82" i="67"/>
  <c r="BQ82" i="67"/>
  <c r="BN82" i="67"/>
  <c r="BL84" i="67"/>
  <c r="BP84" i="67" s="1"/>
  <c r="BP75" i="67"/>
  <c r="BP67" i="67"/>
  <c r="BL88" i="67"/>
  <c r="BP88" i="67" s="1"/>
  <c r="BP83" i="67"/>
  <c r="BN79" i="67"/>
  <c r="BO79" i="67"/>
  <c r="BM79" i="67"/>
  <c r="BQ79" i="67"/>
  <c r="BL76" i="67"/>
  <c r="BL93" i="67"/>
  <c r="BM66" i="67"/>
  <c r="BQ66" i="67"/>
  <c r="BN66" i="67"/>
  <c r="BO66" i="67"/>
  <c r="BO74" i="67"/>
  <c r="BM74" i="67"/>
  <c r="BQ74" i="67"/>
  <c r="BN74" i="67"/>
  <c r="BP81" i="67"/>
  <c r="BP87" i="67"/>
  <c r="T704" i="54"/>
  <c r="U96" i="64"/>
  <c r="U100" i="64"/>
  <c r="U92" i="64"/>
  <c r="U98" i="64"/>
  <c r="U94" i="64"/>
  <c r="U102" i="64"/>
  <c r="U101" i="64"/>
  <c r="U97" i="64"/>
  <c r="U99" i="64"/>
  <c r="U93" i="64"/>
  <c r="U95" i="64"/>
  <c r="W93" i="64"/>
  <c r="W99" i="64"/>
  <c r="W95" i="64"/>
  <c r="W97" i="64"/>
  <c r="W101" i="64"/>
  <c r="W92" i="64"/>
  <c r="W100" i="64"/>
  <c r="W96" i="64"/>
  <c r="W94" i="64"/>
  <c r="W98" i="64"/>
  <c r="W102" i="64"/>
  <c r="V94" i="64"/>
  <c r="V96" i="64"/>
  <c r="V100" i="64"/>
  <c r="V92" i="64"/>
  <c r="V98" i="64"/>
  <c r="V102" i="64"/>
  <c r="V99" i="64"/>
  <c r="V95" i="64"/>
  <c r="V101" i="64"/>
  <c r="V97" i="64"/>
  <c r="V93" i="64"/>
  <c r="X557" i="54"/>
  <c r="X347" i="54"/>
  <c r="X578" i="54"/>
  <c r="X620" i="54"/>
  <c r="X746" i="54"/>
  <c r="X494" i="54"/>
  <c r="X725" i="54"/>
  <c r="X410" i="54"/>
  <c r="X683" i="54"/>
  <c r="X704" i="54"/>
  <c r="X473" i="54"/>
  <c r="X767" i="54"/>
  <c r="X389" i="54"/>
  <c r="X599" i="54"/>
  <c r="X788" i="54"/>
  <c r="X452" i="54"/>
  <c r="X536" i="54"/>
  <c r="X368" i="54"/>
  <c r="X515" i="54"/>
  <c r="X662" i="54"/>
  <c r="DO244" i="65"/>
  <c r="DO246" i="65"/>
  <c r="DR246" i="65"/>
  <c r="DO243" i="65"/>
  <c r="T788" i="54"/>
  <c r="T725" i="54"/>
  <c r="T746" i="54"/>
  <c r="T368" i="54"/>
  <c r="T557" i="54"/>
  <c r="T620" i="54"/>
  <c r="T641" i="54"/>
  <c r="T599" i="54"/>
  <c r="T452" i="54"/>
  <c r="T683" i="54"/>
  <c r="T494" i="54"/>
  <c r="T515" i="54"/>
  <c r="T536" i="54"/>
  <c r="T767" i="54"/>
  <c r="T347" i="54"/>
  <c r="T578" i="54"/>
  <c r="T389" i="54"/>
  <c r="T410" i="54"/>
  <c r="T431" i="54"/>
  <c r="T662" i="54"/>
  <c r="T473" i="54"/>
  <c r="EJ14" i="65"/>
  <c r="EJ17" i="65"/>
  <c r="EQ14" i="65"/>
  <c r="EQ17" i="65"/>
  <c r="V557" i="54"/>
  <c r="V494" i="54"/>
  <c r="V431" i="54"/>
  <c r="V368" i="54"/>
  <c r="V704" i="54"/>
  <c r="V410" i="54"/>
  <c r="V620" i="54"/>
  <c r="V641" i="54"/>
  <c r="V578" i="54"/>
  <c r="V515" i="54"/>
  <c r="V452" i="54"/>
  <c r="V788" i="54"/>
  <c r="V683" i="54"/>
  <c r="V389" i="54"/>
  <c r="V725" i="54"/>
  <c r="V662" i="54"/>
  <c r="V599" i="54"/>
  <c r="V536" i="54"/>
  <c r="V746" i="54"/>
  <c r="V473" i="54"/>
  <c r="V347" i="54"/>
  <c r="V767" i="54"/>
  <c r="H78" i="64"/>
  <c r="K78" i="64" s="1"/>
  <c r="H76" i="64"/>
  <c r="K76" i="64" s="1"/>
  <c r="H73" i="64"/>
  <c r="K73" i="64" s="1"/>
  <c r="H82" i="64"/>
  <c r="K82" i="64" s="1"/>
  <c r="H77" i="64"/>
  <c r="K77" i="64" s="1"/>
  <c r="H74" i="64"/>
  <c r="K74" i="64" s="1"/>
  <c r="H84" i="64"/>
  <c r="K84" i="64" s="1"/>
  <c r="H75" i="64"/>
  <c r="K75" i="64" s="1"/>
  <c r="H80" i="64"/>
  <c r="K80" i="64" s="1"/>
  <c r="H83" i="64"/>
  <c r="K83" i="64" s="1"/>
  <c r="H79" i="64"/>
  <c r="K79" i="64" s="1"/>
  <c r="AB109" i="54"/>
  <c r="AG109" i="54" s="1"/>
  <c r="AK109" i="54" s="1"/>
  <c r="AB89" i="54"/>
  <c r="AG89" i="54" s="1"/>
  <c r="AK89" i="54" s="1"/>
  <c r="AB69" i="54"/>
  <c r="AG69" i="54" s="1"/>
  <c r="AK69" i="54" s="1"/>
  <c r="AB49" i="54"/>
  <c r="AG49" i="54" s="1"/>
  <c r="AK49" i="54" s="1"/>
  <c r="AB29" i="54"/>
  <c r="AG29" i="54" s="1"/>
  <c r="AK29" i="54" s="1"/>
  <c r="I79" i="64"/>
  <c r="L79" i="64" s="1"/>
  <c r="I77" i="64"/>
  <c r="L77" i="64" s="1"/>
  <c r="I82" i="64"/>
  <c r="L82" i="64" s="1"/>
  <c r="I78" i="64"/>
  <c r="L78" i="64" s="1"/>
  <c r="I73" i="64"/>
  <c r="L73" i="64" s="1"/>
  <c r="I74" i="64"/>
  <c r="L74" i="64" s="1"/>
  <c r="I80" i="64"/>
  <c r="L80" i="64" s="1"/>
  <c r="I76" i="64"/>
  <c r="L76" i="64" s="1"/>
  <c r="I83" i="64"/>
  <c r="L83" i="64" s="1"/>
  <c r="I84" i="64"/>
  <c r="L84" i="64" s="1"/>
  <c r="I75" i="64"/>
  <c r="L75" i="64" s="1"/>
  <c r="AD109" i="54"/>
  <c r="AH109" i="54" s="1"/>
  <c r="AL109" i="54" s="1"/>
  <c r="AD89" i="54"/>
  <c r="AH89" i="54" s="1"/>
  <c r="AL89" i="54" s="1"/>
  <c r="AD69" i="54"/>
  <c r="AH69" i="54" s="1"/>
  <c r="AL69" i="54" s="1"/>
  <c r="AD49" i="54"/>
  <c r="AH49" i="54" s="1"/>
  <c r="AL49" i="54" s="1"/>
  <c r="AD29" i="54"/>
  <c r="AH29" i="54" s="1"/>
  <c r="AL29" i="54" s="1"/>
  <c r="Z744" i="54"/>
  <c r="AF744" i="54" s="1"/>
  <c r="Z366" i="54"/>
  <c r="AF366" i="54" s="1"/>
  <c r="AB324" i="54"/>
  <c r="AG324" i="54" s="1"/>
  <c r="AB9" i="54"/>
  <c r="AG9" i="54" s="1"/>
  <c r="AK9" i="54" s="1"/>
  <c r="AD9" i="54"/>
  <c r="AH9" i="54" s="1"/>
  <c r="AL9" i="54" s="1"/>
  <c r="AD324" i="54"/>
  <c r="AH324" i="54" s="1"/>
  <c r="BM76" i="67" l="1"/>
  <c r="BQ76" i="67"/>
  <c r="BN76" i="67"/>
  <c r="BO76" i="67"/>
  <c r="BM70" i="67"/>
  <c r="BQ70" i="67"/>
  <c r="BN70" i="67"/>
  <c r="BO70" i="67"/>
  <c r="BO64" i="67"/>
  <c r="BM64" i="67"/>
  <c r="BQ64" i="67"/>
  <c r="BN64" i="67"/>
  <c r="BN92" i="67"/>
  <c r="BO92" i="67"/>
  <c r="BM92" i="67"/>
  <c r="BQ92" i="67"/>
  <c r="BP76" i="67"/>
  <c r="BN69" i="67"/>
  <c r="BO69" i="67"/>
  <c r="BM69" i="67"/>
  <c r="BQ69" i="67"/>
  <c r="BP70" i="67"/>
  <c r="BO72" i="67"/>
  <c r="BM72" i="67"/>
  <c r="BQ72" i="67"/>
  <c r="BN72" i="67"/>
  <c r="BM73" i="67"/>
  <c r="BQ73" i="67"/>
  <c r="BN73" i="67"/>
  <c r="BO73" i="67"/>
  <c r="BP64" i="67"/>
  <c r="BP92" i="67"/>
  <c r="BM93" i="67"/>
  <c r="BQ93" i="67"/>
  <c r="BN93" i="67"/>
  <c r="BO93" i="67"/>
  <c r="BP69" i="67"/>
  <c r="BP72" i="67"/>
  <c r="BP73" i="67"/>
  <c r="BM85" i="67"/>
  <c r="BQ85" i="67"/>
  <c r="BN85" i="67"/>
  <c r="BO85" i="67"/>
  <c r="BM80" i="67"/>
  <c r="BQ80" i="67"/>
  <c r="BN80" i="67"/>
  <c r="BO80" i="67"/>
  <c r="BP93" i="67"/>
  <c r="BM88" i="67"/>
  <c r="BQ88" i="67"/>
  <c r="BN88" i="67"/>
  <c r="BO88" i="67"/>
  <c r="BM84" i="67"/>
  <c r="BQ84" i="67"/>
  <c r="BN84" i="67"/>
  <c r="BO84" i="67"/>
  <c r="BO68" i="67"/>
  <c r="BM68" i="67"/>
  <c r="BQ68" i="67"/>
  <c r="BN68" i="67"/>
  <c r="BM89" i="67"/>
  <c r="BQ89" i="67"/>
  <c r="BN89" i="67"/>
  <c r="BO89" i="67"/>
  <c r="BP85" i="67"/>
  <c r="BP80" i="67"/>
  <c r="AI94" i="67"/>
  <c r="BC95" i="67" s="1"/>
  <c r="AI98" i="67"/>
  <c r="BC99" i="67" s="1"/>
  <c r="AI102" i="67"/>
  <c r="BC103" i="67" s="1"/>
  <c r="AI106" i="67"/>
  <c r="BC107" i="67" s="1"/>
  <c r="AI110" i="67"/>
  <c r="BC111" i="67" s="1"/>
  <c r="AI114" i="67"/>
  <c r="BC115" i="67" s="1"/>
  <c r="AI118" i="67"/>
  <c r="BC119" i="67" s="1"/>
  <c r="AI122" i="67"/>
  <c r="BC123" i="67" s="1"/>
  <c r="AG95" i="67"/>
  <c r="BA96" i="67" s="1"/>
  <c r="AG99" i="67"/>
  <c r="BA100" i="67" s="1"/>
  <c r="AG103" i="67"/>
  <c r="BA104" i="67" s="1"/>
  <c r="AG107" i="67"/>
  <c r="BA108" i="67" s="1"/>
  <c r="AG111" i="67"/>
  <c r="BA112" i="67" s="1"/>
  <c r="AG115" i="67"/>
  <c r="BA116" i="67" s="1"/>
  <c r="AG119" i="67"/>
  <c r="BA120" i="67" s="1"/>
  <c r="AI95" i="67"/>
  <c r="BC96" i="67" s="1"/>
  <c r="AI99" i="67"/>
  <c r="BC100" i="67" s="1"/>
  <c r="AI103" i="67"/>
  <c r="BC104" i="67" s="1"/>
  <c r="AI107" i="67"/>
  <c r="BC108" i="67" s="1"/>
  <c r="AI111" i="67"/>
  <c r="BC112" i="67" s="1"/>
  <c r="AI115" i="67"/>
  <c r="BC116" i="67" s="1"/>
  <c r="AI119" i="67"/>
  <c r="BC120" i="67" s="1"/>
  <c r="AG96" i="67"/>
  <c r="BA97" i="67" s="1"/>
  <c r="AG100" i="67"/>
  <c r="BA101" i="67" s="1"/>
  <c r="AG104" i="67"/>
  <c r="BA105" i="67" s="1"/>
  <c r="AG108" i="67"/>
  <c r="BA109" i="67" s="1"/>
  <c r="BJ109" i="67" s="1"/>
  <c r="AG112" i="67"/>
  <c r="BA113" i="67" s="1"/>
  <c r="AG116" i="67"/>
  <c r="BA117" i="67" s="1"/>
  <c r="AG120" i="67"/>
  <c r="BA121" i="67" s="1"/>
  <c r="AI100" i="67"/>
  <c r="BC101" i="67" s="1"/>
  <c r="AI108" i="67"/>
  <c r="BC109" i="67" s="1"/>
  <c r="AI116" i="67"/>
  <c r="BC117" i="67" s="1"/>
  <c r="AG98" i="67"/>
  <c r="BA99" i="67" s="1"/>
  <c r="AG106" i="67"/>
  <c r="BA107" i="67" s="1"/>
  <c r="BJ107" i="67" s="1"/>
  <c r="AG114" i="67"/>
  <c r="BA115" i="67" s="1"/>
  <c r="AG122" i="67"/>
  <c r="BA123" i="67" s="1"/>
  <c r="BJ123" i="67" s="1"/>
  <c r="AI93" i="67"/>
  <c r="BC94" i="67" s="1"/>
  <c r="AI101" i="67"/>
  <c r="BC102" i="67" s="1"/>
  <c r="AI109" i="67"/>
  <c r="BC110" i="67" s="1"/>
  <c r="AI117" i="67"/>
  <c r="BC118" i="67" s="1"/>
  <c r="AG93" i="67"/>
  <c r="BA94" i="67" s="1"/>
  <c r="BJ94" i="67" s="1"/>
  <c r="AG101" i="67"/>
  <c r="BA102" i="67" s="1"/>
  <c r="BJ102" i="67" s="1"/>
  <c r="AG109" i="67"/>
  <c r="BA110" i="67" s="1"/>
  <c r="BJ110" i="67" s="1"/>
  <c r="AG117" i="67"/>
  <c r="BA118" i="67" s="1"/>
  <c r="BJ118" i="67" s="1"/>
  <c r="AI96" i="67"/>
  <c r="BC97" i="67" s="1"/>
  <c r="AI112" i="67"/>
  <c r="BC113" i="67" s="1"/>
  <c r="AG94" i="67"/>
  <c r="BA95" i="67" s="1"/>
  <c r="AG110" i="67"/>
  <c r="BA111" i="67" s="1"/>
  <c r="AI97" i="67"/>
  <c r="BC98" i="67" s="1"/>
  <c r="AI113" i="67"/>
  <c r="BC114" i="67" s="1"/>
  <c r="AG97" i="67"/>
  <c r="BA98" i="67" s="1"/>
  <c r="AG113" i="67"/>
  <c r="BA114" i="67" s="1"/>
  <c r="AI104" i="67"/>
  <c r="BC105" i="67" s="1"/>
  <c r="AI120" i="67"/>
  <c r="BC121" i="67" s="1"/>
  <c r="AG102" i="67"/>
  <c r="BA103" i="67" s="1"/>
  <c r="BJ103" i="67" s="1"/>
  <c r="AG118" i="67"/>
  <c r="BA119" i="67" s="1"/>
  <c r="BJ119" i="67" s="1"/>
  <c r="AI105" i="67"/>
  <c r="BC106" i="67" s="1"/>
  <c r="AI121" i="67"/>
  <c r="BC122" i="67" s="1"/>
  <c r="AG105" i="67"/>
  <c r="BA106" i="67" s="1"/>
  <c r="AG121" i="67"/>
  <c r="BA122" i="67" s="1"/>
  <c r="DP176" i="65"/>
  <c r="DP175" i="65"/>
  <c r="DS179" i="65"/>
  <c r="DP174" i="65"/>
  <c r="DP190" i="65"/>
  <c r="DP206" i="65"/>
  <c r="DP222" i="65"/>
  <c r="DP238" i="65"/>
  <c r="DP237" i="65"/>
  <c r="DP192" i="65"/>
  <c r="DP208" i="65"/>
  <c r="DP224" i="65"/>
  <c r="DP236" i="65"/>
  <c r="DP248" i="65"/>
  <c r="DP191" i="65"/>
  <c r="DS195" i="65"/>
  <c r="DP207" i="65"/>
  <c r="DS211" i="65"/>
  <c r="DP223" i="65"/>
  <c r="DS227" i="65"/>
  <c r="DS251" i="65"/>
  <c r="M13" i="65"/>
  <c r="AZ13" i="65"/>
  <c r="AB92" i="64"/>
  <c r="AC96" i="64"/>
  <c r="AB98" i="64"/>
  <c r="AC100" i="64"/>
  <c r="AC92" i="64"/>
  <c r="AA93" i="64"/>
  <c r="AA94" i="64"/>
  <c r="AC98" i="64"/>
  <c r="AA99" i="64"/>
  <c r="AA92" i="64"/>
  <c r="AC94" i="64"/>
  <c r="AA96" i="64"/>
  <c r="AA97" i="64"/>
  <c r="AA100" i="64"/>
  <c r="AA101" i="64"/>
  <c r="AA102" i="64"/>
  <c r="AB96" i="64"/>
  <c r="AB100" i="64"/>
  <c r="AB102" i="64"/>
  <c r="AC102" i="64"/>
  <c r="AB94" i="64"/>
  <c r="AA98" i="64"/>
  <c r="AA95" i="64"/>
  <c r="AB99" i="64"/>
  <c r="AC101" i="64"/>
  <c r="AC97" i="64"/>
  <c r="AC93" i="64"/>
  <c r="AB97" i="64"/>
  <c r="AC95" i="64"/>
  <c r="AB93" i="64"/>
  <c r="AB95" i="64"/>
  <c r="AC99" i="64"/>
  <c r="AB101" i="64"/>
  <c r="DP178" i="65"/>
  <c r="DP177" i="65"/>
  <c r="DS180" i="65"/>
  <c r="DS175" i="65"/>
  <c r="DS191" i="65"/>
  <c r="DS207" i="65"/>
  <c r="DS223" i="65"/>
  <c r="DP239" i="65"/>
  <c r="DP194" i="65"/>
  <c r="DP210" i="65"/>
  <c r="DP226" i="65"/>
  <c r="DP250" i="65"/>
  <c r="DP193" i="65"/>
  <c r="DP209" i="65"/>
  <c r="DP225" i="65"/>
  <c r="DS237" i="65"/>
  <c r="DP249" i="65"/>
  <c r="DS196" i="65"/>
  <c r="DS212" i="65"/>
  <c r="DS228" i="65"/>
  <c r="DP240" i="65"/>
  <c r="DS252" i="65"/>
  <c r="BA13" i="65"/>
  <c r="N13" i="65"/>
  <c r="CZ192" i="65"/>
  <c r="CZ224" i="65"/>
  <c r="CZ248" i="65"/>
  <c r="CZ190" i="65"/>
  <c r="CZ194" i="65"/>
  <c r="CZ206" i="65"/>
  <c r="CZ210" i="65"/>
  <c r="CZ222" i="65"/>
  <c r="CZ238" i="65"/>
  <c r="CZ250" i="65"/>
  <c r="L13" i="65"/>
  <c r="AY13" i="65"/>
  <c r="Z767" i="54"/>
  <c r="AF767" i="54" s="1"/>
  <c r="Z788" i="54"/>
  <c r="AF788" i="54" s="1"/>
  <c r="AJ788" i="54" s="1"/>
  <c r="AB767" i="54"/>
  <c r="AG767" i="54" s="1"/>
  <c r="EQ13" i="65"/>
  <c r="EQ16" i="65"/>
  <c r="AD788" i="54"/>
  <c r="AH788" i="54" s="1"/>
  <c r="AL788" i="54" s="1"/>
  <c r="AD767" i="54"/>
  <c r="AH767" i="54" s="1"/>
  <c r="D86" i="64"/>
  <c r="D95" i="64"/>
  <c r="D91" i="64"/>
  <c r="D88" i="64"/>
  <c r="D87" i="64"/>
  <c r="D85" i="64"/>
  <c r="D94" i="64"/>
  <c r="D89" i="64"/>
  <c r="D90" i="64"/>
  <c r="D96" i="64"/>
  <c r="D93" i="64"/>
  <c r="F88" i="64"/>
  <c r="F93" i="64"/>
  <c r="F91" i="64"/>
  <c r="F90" i="64"/>
  <c r="F94" i="64"/>
  <c r="F96" i="64"/>
  <c r="F87" i="64"/>
  <c r="F89" i="64"/>
  <c r="F85" i="64"/>
  <c r="F95" i="64"/>
  <c r="F86" i="64"/>
  <c r="E85" i="64"/>
  <c r="E88" i="64"/>
  <c r="E89" i="64"/>
  <c r="E96" i="64"/>
  <c r="E86" i="64"/>
  <c r="E93" i="64"/>
  <c r="E95" i="64"/>
  <c r="E90" i="64"/>
  <c r="E94" i="64"/>
  <c r="E91" i="64"/>
  <c r="E87" i="64"/>
  <c r="AD744" i="54"/>
  <c r="AH744" i="54" s="1"/>
  <c r="AD366" i="54"/>
  <c r="AH366" i="54" s="1"/>
  <c r="AB744" i="54"/>
  <c r="AG744" i="54" s="1"/>
  <c r="AB366" i="54"/>
  <c r="AG366" i="54" s="1"/>
  <c r="Z304" i="54"/>
  <c r="AF304" i="54" s="1"/>
  <c r="Z10" i="54"/>
  <c r="AF10" i="54" s="1"/>
  <c r="AJ10" i="54" s="1"/>
  <c r="BJ116" i="67" l="1"/>
  <c r="BJ100" i="67"/>
  <c r="BJ111" i="67"/>
  <c r="BJ106" i="67"/>
  <c r="BJ98" i="67"/>
  <c r="BL98" i="67" s="1"/>
  <c r="BP98" i="67" s="1"/>
  <c r="BJ95" i="67"/>
  <c r="BL95" i="67" s="1"/>
  <c r="BL116" i="67"/>
  <c r="BL94" i="67"/>
  <c r="BP94" i="67" s="1"/>
  <c r="BJ99" i="67"/>
  <c r="BJ121" i="67"/>
  <c r="BJ105" i="67"/>
  <c r="BJ112" i="67"/>
  <c r="BJ96" i="67"/>
  <c r="BL107" i="67"/>
  <c r="BJ122" i="67"/>
  <c r="BL119" i="67"/>
  <c r="BJ114" i="67"/>
  <c r="BL111" i="67"/>
  <c r="BP111" i="67" s="1"/>
  <c r="BL118" i="67"/>
  <c r="BL123" i="67"/>
  <c r="BP123" i="67" s="1"/>
  <c r="BJ117" i="67"/>
  <c r="BJ101" i="67"/>
  <c r="BJ108" i="67"/>
  <c r="BL102" i="67"/>
  <c r="BL109" i="67"/>
  <c r="BP109" i="67" s="1"/>
  <c r="BL100" i="67"/>
  <c r="BL106" i="67"/>
  <c r="BP106" i="67" s="1"/>
  <c r="BL103" i="67"/>
  <c r="BL110" i="67"/>
  <c r="BJ115" i="67"/>
  <c r="BJ113" i="67"/>
  <c r="BJ97" i="67"/>
  <c r="BJ120" i="67"/>
  <c r="BJ104" i="67"/>
  <c r="FB101" i="65"/>
  <c r="FA101" i="65" s="1"/>
  <c r="FB103" i="65"/>
  <c r="FA103" i="65" s="1"/>
  <c r="FB102" i="65"/>
  <c r="FA102" i="65" s="1"/>
  <c r="CZ207" i="65"/>
  <c r="S96" i="67"/>
  <c r="Y96" i="67" s="1"/>
  <c r="S100" i="67"/>
  <c r="Y100" i="67" s="1"/>
  <c r="S104" i="67"/>
  <c r="Y104" i="67" s="1"/>
  <c r="S108" i="67"/>
  <c r="Y108" i="67" s="1"/>
  <c r="S112" i="67"/>
  <c r="Y112" i="67" s="1"/>
  <c r="S116" i="67"/>
  <c r="Y116" i="67" s="1"/>
  <c r="S120" i="67"/>
  <c r="Y120" i="67" s="1"/>
  <c r="S95" i="67"/>
  <c r="Y95" i="67" s="1"/>
  <c r="S99" i="67"/>
  <c r="Y99" i="67" s="1"/>
  <c r="S103" i="67"/>
  <c r="Y103" i="67" s="1"/>
  <c r="S107" i="67"/>
  <c r="Y107" i="67" s="1"/>
  <c r="S111" i="67"/>
  <c r="Y111" i="67" s="1"/>
  <c r="S115" i="67"/>
  <c r="Y115" i="67" s="1"/>
  <c r="S119" i="67"/>
  <c r="Y119" i="67" s="1"/>
  <c r="S94" i="67"/>
  <c r="Y94" i="67" s="1"/>
  <c r="S98" i="67"/>
  <c r="Y98" i="67" s="1"/>
  <c r="S102" i="67"/>
  <c r="Y102" i="67" s="1"/>
  <c r="S106" i="67"/>
  <c r="Y106" i="67" s="1"/>
  <c r="S110" i="67"/>
  <c r="Y110" i="67" s="1"/>
  <c r="S114" i="67"/>
  <c r="Y114" i="67" s="1"/>
  <c r="S118" i="67"/>
  <c r="Y118" i="67" s="1"/>
  <c r="S122" i="67"/>
  <c r="Y122" i="67" s="1"/>
  <c r="S93" i="67"/>
  <c r="Y93" i="67" s="1"/>
  <c r="S97" i="67"/>
  <c r="Y97" i="67" s="1"/>
  <c r="S101" i="67"/>
  <c r="Y101" i="67" s="1"/>
  <c r="S105" i="67"/>
  <c r="Y105" i="67" s="1"/>
  <c r="S109" i="67"/>
  <c r="Y109" i="67" s="1"/>
  <c r="S113" i="67"/>
  <c r="Y113" i="67" s="1"/>
  <c r="S117" i="67"/>
  <c r="Y117" i="67" s="1"/>
  <c r="S121" i="67"/>
  <c r="Y121" i="67" s="1"/>
  <c r="U94" i="67"/>
  <c r="AA94" i="67" s="1"/>
  <c r="U98" i="67"/>
  <c r="AA98" i="67" s="1"/>
  <c r="U102" i="67"/>
  <c r="AA102" i="67" s="1"/>
  <c r="U106" i="67"/>
  <c r="AA106" i="67" s="1"/>
  <c r="U110" i="67"/>
  <c r="AA110" i="67" s="1"/>
  <c r="U114" i="67"/>
  <c r="AA114" i="67" s="1"/>
  <c r="U118" i="67"/>
  <c r="AA118" i="67" s="1"/>
  <c r="U122" i="67"/>
  <c r="AA122" i="67" s="1"/>
  <c r="U93" i="67"/>
  <c r="AA93" i="67" s="1"/>
  <c r="U97" i="67"/>
  <c r="AA97" i="67" s="1"/>
  <c r="U101" i="67"/>
  <c r="AA101" i="67" s="1"/>
  <c r="U105" i="67"/>
  <c r="AA105" i="67" s="1"/>
  <c r="U109" i="67"/>
  <c r="AA109" i="67" s="1"/>
  <c r="U113" i="67"/>
  <c r="AA113" i="67" s="1"/>
  <c r="U117" i="67"/>
  <c r="AA117" i="67" s="1"/>
  <c r="U121" i="67"/>
  <c r="AA121" i="67" s="1"/>
  <c r="U96" i="67"/>
  <c r="AA96" i="67" s="1"/>
  <c r="U100" i="67"/>
  <c r="AA100" i="67" s="1"/>
  <c r="U104" i="67"/>
  <c r="AA104" i="67" s="1"/>
  <c r="U108" i="67"/>
  <c r="AA108" i="67" s="1"/>
  <c r="U112" i="67"/>
  <c r="AA112" i="67" s="1"/>
  <c r="U116" i="67"/>
  <c r="AA116" i="67" s="1"/>
  <c r="U120" i="67"/>
  <c r="AA120" i="67" s="1"/>
  <c r="U95" i="67"/>
  <c r="AA95" i="67" s="1"/>
  <c r="U99" i="67"/>
  <c r="AA99" i="67" s="1"/>
  <c r="U103" i="67"/>
  <c r="AA103" i="67" s="1"/>
  <c r="U107" i="67"/>
  <c r="AA107" i="67" s="1"/>
  <c r="U111" i="67"/>
  <c r="AA111" i="67" s="1"/>
  <c r="U115" i="67"/>
  <c r="AA115" i="67" s="1"/>
  <c r="U119" i="67"/>
  <c r="AA119" i="67" s="1"/>
  <c r="T93" i="67"/>
  <c r="Z93" i="67" s="1"/>
  <c r="T97" i="67"/>
  <c r="Z97" i="67" s="1"/>
  <c r="T101" i="67"/>
  <c r="Z101" i="67" s="1"/>
  <c r="T105" i="67"/>
  <c r="Z105" i="67" s="1"/>
  <c r="T109" i="67"/>
  <c r="Z109" i="67" s="1"/>
  <c r="T113" i="67"/>
  <c r="Z113" i="67" s="1"/>
  <c r="T117" i="67"/>
  <c r="Z117" i="67" s="1"/>
  <c r="T121" i="67"/>
  <c r="Z121" i="67" s="1"/>
  <c r="T96" i="67"/>
  <c r="Z96" i="67" s="1"/>
  <c r="T100" i="67"/>
  <c r="Z100" i="67" s="1"/>
  <c r="T104" i="67"/>
  <c r="Z104" i="67" s="1"/>
  <c r="T108" i="67"/>
  <c r="Z108" i="67" s="1"/>
  <c r="T112" i="67"/>
  <c r="Z112" i="67" s="1"/>
  <c r="T116" i="67"/>
  <c r="Z116" i="67" s="1"/>
  <c r="T120" i="67"/>
  <c r="Z120" i="67" s="1"/>
  <c r="T95" i="67"/>
  <c r="Z95" i="67" s="1"/>
  <c r="T99" i="67"/>
  <c r="Z99" i="67" s="1"/>
  <c r="T103" i="67"/>
  <c r="Z103" i="67" s="1"/>
  <c r="T107" i="67"/>
  <c r="Z107" i="67" s="1"/>
  <c r="T111" i="67"/>
  <c r="Z111" i="67" s="1"/>
  <c r="T115" i="67"/>
  <c r="Z115" i="67" s="1"/>
  <c r="T119" i="67"/>
  <c r="Z119" i="67" s="1"/>
  <c r="T94" i="67"/>
  <c r="Z94" i="67" s="1"/>
  <c r="T98" i="67"/>
  <c r="Z98" i="67" s="1"/>
  <c r="T102" i="67"/>
  <c r="Z102" i="67" s="1"/>
  <c r="T106" i="67"/>
  <c r="Z106" i="67" s="1"/>
  <c r="T110" i="67"/>
  <c r="Z110" i="67" s="1"/>
  <c r="T114" i="67"/>
  <c r="Z114" i="67" s="1"/>
  <c r="T118" i="67"/>
  <c r="Z118" i="67" s="1"/>
  <c r="T122" i="67"/>
  <c r="Z122" i="67" s="1"/>
  <c r="CZ223" i="65"/>
  <c r="CZ191" i="65"/>
  <c r="CZ236" i="65"/>
  <c r="CZ208" i="65"/>
  <c r="CZ237" i="65"/>
  <c r="CZ175" i="65"/>
  <c r="CZ239" i="65"/>
  <c r="CZ225" i="65"/>
  <c r="CZ193" i="65"/>
  <c r="CZ177" i="65"/>
  <c r="CZ178" i="65"/>
  <c r="CZ226" i="65"/>
  <c r="CZ174" i="65"/>
  <c r="CZ176" i="65"/>
  <c r="CZ240" i="65"/>
  <c r="CZ249" i="65"/>
  <c r="W103" i="64"/>
  <c r="W105" i="64"/>
  <c r="W107" i="64"/>
  <c r="W109" i="64"/>
  <c r="W104" i="64"/>
  <c r="W106" i="64"/>
  <c r="W108" i="64"/>
  <c r="DP247" i="65"/>
  <c r="CZ247" i="65"/>
  <c r="DP205" i="65"/>
  <c r="CZ205" i="65"/>
  <c r="DP173" i="65"/>
  <c r="CZ173" i="65"/>
  <c r="DR228" i="65"/>
  <c r="DO193" i="65"/>
  <c r="DO210" i="65"/>
  <c r="DO239" i="65"/>
  <c r="DO177" i="65"/>
  <c r="DR212" i="65"/>
  <c r="DR196" i="65"/>
  <c r="DR180" i="65"/>
  <c r="DR175" i="65"/>
  <c r="DR207" i="65"/>
  <c r="DR223" i="65"/>
  <c r="DO240" i="65"/>
  <c r="DO209" i="65"/>
  <c r="DR191" i="65"/>
  <c r="DR252" i="65"/>
  <c r="DR237" i="65"/>
  <c r="DO250" i="65"/>
  <c r="DO226" i="65"/>
  <c r="DO178" i="65"/>
  <c r="DO194" i="65"/>
  <c r="DO225" i="65"/>
  <c r="DP211" i="65"/>
  <c r="CZ211" i="65"/>
  <c r="CZ252" i="65"/>
  <c r="DP252" i="65"/>
  <c r="DP228" i="65"/>
  <c r="CZ228" i="65"/>
  <c r="DP196" i="65"/>
  <c r="CZ196" i="65"/>
  <c r="DP180" i="65"/>
  <c r="CZ180" i="65"/>
  <c r="AY8" i="65"/>
  <c r="FB41" i="65" s="1"/>
  <c r="FA41" i="65" s="1"/>
  <c r="DO189" i="65"/>
  <c r="DO173" i="65"/>
  <c r="DO221" i="65"/>
  <c r="DO252" i="65"/>
  <c r="DO179" i="65"/>
  <c r="DO228" i="65"/>
  <c r="DO211" i="65"/>
  <c r="DO205" i="65"/>
  <c r="DO247" i="65"/>
  <c r="DO195" i="65"/>
  <c r="DO227" i="65"/>
  <c r="DO212" i="65"/>
  <c r="DO180" i="65"/>
  <c r="DO235" i="65"/>
  <c r="DO196" i="65"/>
  <c r="DP235" i="65"/>
  <c r="CZ235" i="65"/>
  <c r="DP221" i="65"/>
  <c r="CZ221" i="65"/>
  <c r="DP189" i="65"/>
  <c r="CZ189" i="65"/>
  <c r="DP251" i="65"/>
  <c r="CZ251" i="65"/>
  <c r="DP227" i="65"/>
  <c r="CZ227" i="65"/>
  <c r="DP195" i="65"/>
  <c r="CZ195" i="65"/>
  <c r="DP212" i="65"/>
  <c r="CZ212" i="65"/>
  <c r="CZ209" i="65"/>
  <c r="DP179" i="65"/>
  <c r="CZ179" i="65"/>
  <c r="DR211" i="65"/>
  <c r="DO224" i="65"/>
  <c r="DR251" i="65"/>
  <c r="DO248" i="65"/>
  <c r="DR195" i="65"/>
  <c r="DO208" i="65"/>
  <c r="DO190" i="65"/>
  <c r="DR179" i="65"/>
  <c r="DO222" i="65"/>
  <c r="DO237" i="65"/>
  <c r="DO206" i="65"/>
  <c r="DO238" i="65"/>
  <c r="DO223" i="65"/>
  <c r="DO236" i="65"/>
  <c r="DR227" i="65"/>
  <c r="DO175" i="65"/>
  <c r="DO207" i="65"/>
  <c r="DO174" i="65"/>
  <c r="DO192" i="65"/>
  <c r="DO191" i="65"/>
  <c r="DO176" i="65"/>
  <c r="AB788" i="54"/>
  <c r="AG788" i="54" s="1"/>
  <c r="AK788" i="54" s="1"/>
  <c r="T369" i="54"/>
  <c r="T390" i="54"/>
  <c r="T453" i="54"/>
  <c r="T495" i="54"/>
  <c r="T411" i="54"/>
  <c r="T768" i="54"/>
  <c r="T600" i="54"/>
  <c r="T537" i="54"/>
  <c r="T432" i="54"/>
  <c r="T705" i="54"/>
  <c r="T348" i="54"/>
  <c r="T579" i="54"/>
  <c r="T516" i="54"/>
  <c r="T747" i="54"/>
  <c r="T558" i="54"/>
  <c r="T663" i="54"/>
  <c r="V201" i="54"/>
  <c r="V222" i="54"/>
  <c r="V243" i="54"/>
  <c r="V180" i="54"/>
  <c r="V159" i="54"/>
  <c r="V285" i="54"/>
  <c r="V306" i="54"/>
  <c r="V327" i="54"/>
  <c r="V264" i="54"/>
  <c r="V138" i="54"/>
  <c r="V33" i="54"/>
  <c r="V54" i="54"/>
  <c r="V75" i="54"/>
  <c r="V12" i="54"/>
  <c r="V117" i="54"/>
  <c r="V96" i="54"/>
  <c r="DS347" i="65"/>
  <c r="X54" i="54"/>
  <c r="X138" i="54"/>
  <c r="X222" i="54"/>
  <c r="X306" i="54"/>
  <c r="X75" i="54"/>
  <c r="X159" i="54"/>
  <c r="X243" i="54"/>
  <c r="X327" i="54"/>
  <c r="X12" i="54"/>
  <c r="X96" i="54"/>
  <c r="X180" i="54"/>
  <c r="X264" i="54"/>
  <c r="X117" i="54"/>
  <c r="X201" i="54"/>
  <c r="X33" i="54"/>
  <c r="X285" i="54"/>
  <c r="T12" i="54"/>
  <c r="T96" i="54"/>
  <c r="T33" i="54"/>
  <c r="T117" i="54"/>
  <c r="T54" i="54"/>
  <c r="T222" i="54"/>
  <c r="T306" i="54"/>
  <c r="T75" i="54"/>
  <c r="T243" i="54"/>
  <c r="T327" i="54"/>
  <c r="T159" i="54"/>
  <c r="T285" i="54"/>
  <c r="T138" i="54"/>
  <c r="T180" i="54"/>
  <c r="T264" i="54"/>
  <c r="T201" i="54"/>
  <c r="X621" i="54"/>
  <c r="X642" i="54"/>
  <c r="X663" i="54"/>
  <c r="X747" i="54"/>
  <c r="X705" i="54"/>
  <c r="X558" i="54"/>
  <c r="X369" i="54"/>
  <c r="X390" i="54"/>
  <c r="X411" i="54"/>
  <c r="X348" i="54"/>
  <c r="X684" i="54"/>
  <c r="X789" i="54"/>
  <c r="X516" i="54"/>
  <c r="X453" i="54"/>
  <c r="X474" i="54"/>
  <c r="X495" i="54"/>
  <c r="X432" i="54"/>
  <c r="X768" i="54"/>
  <c r="X726" i="54"/>
  <c r="X537" i="54"/>
  <c r="X579" i="54"/>
  <c r="X600" i="54"/>
  <c r="V537" i="54"/>
  <c r="V474" i="54"/>
  <c r="V411" i="54"/>
  <c r="V348" i="54"/>
  <c r="V684" i="54"/>
  <c r="V390" i="54"/>
  <c r="V747" i="54"/>
  <c r="V621" i="54"/>
  <c r="V558" i="54"/>
  <c r="V495" i="54"/>
  <c r="V432" i="54"/>
  <c r="V768" i="54"/>
  <c r="V453" i="54"/>
  <c r="V663" i="54"/>
  <c r="V369" i="54"/>
  <c r="V705" i="54"/>
  <c r="V642" i="54"/>
  <c r="V579" i="54"/>
  <c r="V516" i="54"/>
  <c r="V789" i="54"/>
  <c r="V726" i="54"/>
  <c r="V600" i="54"/>
  <c r="I90" i="64"/>
  <c r="L90" i="64" s="1"/>
  <c r="I88" i="64"/>
  <c r="L88" i="64" s="1"/>
  <c r="I95" i="64"/>
  <c r="L95" i="64" s="1"/>
  <c r="I91" i="64"/>
  <c r="L91" i="64" s="1"/>
  <c r="I86" i="64"/>
  <c r="L86" i="64" s="1"/>
  <c r="I85" i="64"/>
  <c r="L85" i="64" s="1"/>
  <c r="I94" i="64"/>
  <c r="L94" i="64" s="1"/>
  <c r="I96" i="64"/>
  <c r="L96" i="64" s="1"/>
  <c r="I93" i="64"/>
  <c r="L93" i="64" s="1"/>
  <c r="I87" i="64"/>
  <c r="L87" i="64" s="1"/>
  <c r="I89" i="64"/>
  <c r="L89" i="64" s="1"/>
  <c r="AD130" i="54"/>
  <c r="AH130" i="54" s="1"/>
  <c r="AL130" i="54" s="1"/>
  <c r="AD110" i="54"/>
  <c r="AH110" i="54" s="1"/>
  <c r="AL110" i="54" s="1"/>
  <c r="AD90" i="54"/>
  <c r="AH90" i="54" s="1"/>
  <c r="AL90" i="54" s="1"/>
  <c r="AD70" i="54"/>
  <c r="AH70" i="54" s="1"/>
  <c r="AL70" i="54" s="1"/>
  <c r="AD50" i="54"/>
  <c r="AH50" i="54" s="1"/>
  <c r="AL50" i="54" s="1"/>
  <c r="AD30" i="54"/>
  <c r="AH30" i="54" s="1"/>
  <c r="AL30" i="54" s="1"/>
  <c r="H91" i="64"/>
  <c r="K91" i="64" s="1"/>
  <c r="H95" i="64"/>
  <c r="K95" i="64" s="1"/>
  <c r="H86" i="64"/>
  <c r="K86" i="64" s="1"/>
  <c r="H90" i="64"/>
  <c r="K90" i="64" s="1"/>
  <c r="H96" i="64"/>
  <c r="K96" i="64" s="1"/>
  <c r="H93" i="64"/>
  <c r="K93" i="64" s="1"/>
  <c r="H87" i="64"/>
  <c r="K87" i="64" s="1"/>
  <c r="H94" i="64"/>
  <c r="K94" i="64" s="1"/>
  <c r="H89" i="64"/>
  <c r="K89" i="64" s="1"/>
  <c r="H85" i="64"/>
  <c r="K85" i="64" s="1"/>
  <c r="H88" i="64"/>
  <c r="K88" i="64" s="1"/>
  <c r="AB130" i="54"/>
  <c r="AG130" i="54" s="1"/>
  <c r="AK130" i="54" s="1"/>
  <c r="AB110" i="54"/>
  <c r="AG110" i="54" s="1"/>
  <c r="AK110" i="54" s="1"/>
  <c r="AB90" i="54"/>
  <c r="AG90" i="54" s="1"/>
  <c r="AK90" i="54" s="1"/>
  <c r="AB70" i="54"/>
  <c r="AG70" i="54" s="1"/>
  <c r="AK70" i="54" s="1"/>
  <c r="AB50" i="54"/>
  <c r="AG50" i="54" s="1"/>
  <c r="AK50" i="54" s="1"/>
  <c r="AB30" i="54"/>
  <c r="AG30" i="54" s="1"/>
  <c r="AK30" i="54" s="1"/>
  <c r="G91" i="64"/>
  <c r="J91" i="64" s="1"/>
  <c r="G90" i="64"/>
  <c r="J90" i="64" s="1"/>
  <c r="G89" i="64"/>
  <c r="J89" i="64" s="1"/>
  <c r="G86" i="64"/>
  <c r="J86" i="64" s="1"/>
  <c r="G85" i="64"/>
  <c r="J85" i="64" s="1"/>
  <c r="G96" i="64"/>
  <c r="J96" i="64" s="1"/>
  <c r="G93" i="64"/>
  <c r="J93" i="64" s="1"/>
  <c r="G87" i="64"/>
  <c r="J87" i="64" s="1"/>
  <c r="G94" i="64"/>
  <c r="J94" i="64" s="1"/>
  <c r="G95" i="64"/>
  <c r="J95" i="64" s="1"/>
  <c r="G88" i="64"/>
  <c r="J88" i="64" s="1"/>
  <c r="Z130" i="54"/>
  <c r="AF130" i="54" s="1"/>
  <c r="AJ130" i="54" s="1"/>
  <c r="Z110" i="54"/>
  <c r="AF110" i="54" s="1"/>
  <c r="AJ110" i="54" s="1"/>
  <c r="Z90" i="54"/>
  <c r="AF90" i="54" s="1"/>
  <c r="AJ90" i="54" s="1"/>
  <c r="Z70" i="54"/>
  <c r="AF70" i="54" s="1"/>
  <c r="AJ70" i="54" s="1"/>
  <c r="Z50" i="54"/>
  <c r="AF50" i="54" s="1"/>
  <c r="AJ50" i="54" s="1"/>
  <c r="Z30" i="54"/>
  <c r="AF30" i="54" s="1"/>
  <c r="AJ30" i="54" s="1"/>
  <c r="Z724" i="54"/>
  <c r="AF724" i="54" s="1"/>
  <c r="Z346" i="54"/>
  <c r="AF346" i="54" s="1"/>
  <c r="AD304" i="54"/>
  <c r="AH304" i="54" s="1"/>
  <c r="AD10" i="54"/>
  <c r="AH10" i="54" s="1"/>
  <c r="AL10" i="54" s="1"/>
  <c r="AB304" i="54"/>
  <c r="AG304" i="54" s="1"/>
  <c r="AB10" i="54"/>
  <c r="AG10" i="54" s="1"/>
  <c r="AK10" i="54" s="1"/>
  <c r="BM110" i="67" l="1"/>
  <c r="BQ110" i="67"/>
  <c r="BN110" i="67"/>
  <c r="BO110" i="67"/>
  <c r="BL112" i="67"/>
  <c r="BL97" i="67"/>
  <c r="BP110" i="67"/>
  <c r="BL101" i="67"/>
  <c r="BM118" i="67"/>
  <c r="BQ118" i="67"/>
  <c r="BN118" i="67"/>
  <c r="BO118" i="67"/>
  <c r="BL114" i="67"/>
  <c r="BP114" i="67" s="1"/>
  <c r="BO107" i="67"/>
  <c r="BQ107" i="67"/>
  <c r="BM107" i="67"/>
  <c r="BN107" i="67"/>
  <c r="BL105" i="67"/>
  <c r="BM98" i="67"/>
  <c r="BQ98" i="67"/>
  <c r="BN98" i="67"/>
  <c r="BO98" i="67"/>
  <c r="BM106" i="67"/>
  <c r="BQ106" i="67"/>
  <c r="BN106" i="67"/>
  <c r="BO106" i="67"/>
  <c r="BM109" i="67"/>
  <c r="BQ109" i="67"/>
  <c r="BN109" i="67"/>
  <c r="BO109" i="67"/>
  <c r="BM94" i="67"/>
  <c r="BQ94" i="67"/>
  <c r="BN94" i="67"/>
  <c r="BO94" i="67"/>
  <c r="BL113" i="67"/>
  <c r="BP113" i="67" s="1"/>
  <c r="BO95" i="67"/>
  <c r="BM95" i="67"/>
  <c r="BN95" i="67"/>
  <c r="BQ95" i="67"/>
  <c r="BO103" i="67"/>
  <c r="BM103" i="67"/>
  <c r="BN103" i="67"/>
  <c r="BQ103" i="67"/>
  <c r="BN100" i="67"/>
  <c r="BO100" i="67"/>
  <c r="BM100" i="67"/>
  <c r="BQ100" i="67"/>
  <c r="BM102" i="67"/>
  <c r="BQ102" i="67"/>
  <c r="BN102" i="67"/>
  <c r="BO102" i="67"/>
  <c r="BL117" i="67"/>
  <c r="BP118" i="67"/>
  <c r="BO119" i="67"/>
  <c r="BM119" i="67"/>
  <c r="BN119" i="67"/>
  <c r="BQ119" i="67"/>
  <c r="BP107" i="67"/>
  <c r="BL121" i="67"/>
  <c r="BN116" i="67"/>
  <c r="BO116" i="67"/>
  <c r="BM116" i="67"/>
  <c r="BQ116" i="67"/>
  <c r="BL120" i="67"/>
  <c r="BP120" i="67" s="1"/>
  <c r="BL108" i="67"/>
  <c r="BL122" i="67"/>
  <c r="BP122" i="67" s="1"/>
  <c r="BL104" i="67"/>
  <c r="BL115" i="67"/>
  <c r="BP115" i="67" s="1"/>
  <c r="BP95" i="67"/>
  <c r="BP103" i="67"/>
  <c r="BP100" i="67"/>
  <c r="BP102" i="67"/>
  <c r="BO123" i="67"/>
  <c r="BQ123" i="67"/>
  <c r="BM123" i="67"/>
  <c r="BN123" i="67"/>
  <c r="BO111" i="67"/>
  <c r="BM111" i="67"/>
  <c r="BN111" i="67"/>
  <c r="BQ111" i="67"/>
  <c r="BP119" i="67"/>
  <c r="BL96" i="67"/>
  <c r="BP96" i="67" s="1"/>
  <c r="BL99" i="67"/>
  <c r="BP116" i="67"/>
  <c r="T684" i="54"/>
  <c r="T789" i="54"/>
  <c r="T621" i="54"/>
  <c r="DR249" i="65"/>
  <c r="DO249" i="65"/>
  <c r="AZ8" i="65"/>
  <c r="FB42" i="65" s="1"/>
  <c r="FA42" i="65" s="1"/>
  <c r="DP254" i="65"/>
  <c r="DP270" i="65"/>
  <c r="DP286" i="65"/>
  <c r="DP302" i="65"/>
  <c r="DP318" i="65"/>
  <c r="DP330" i="65"/>
  <c r="DP329" i="65"/>
  <c r="DP272" i="65"/>
  <c r="DP304" i="65"/>
  <c r="DP328" i="65"/>
  <c r="DP340" i="65"/>
  <c r="DP255" i="65"/>
  <c r="DS259" i="65"/>
  <c r="DP287" i="65"/>
  <c r="DS291" i="65"/>
  <c r="DP303" i="65"/>
  <c r="DP319" i="65"/>
  <c r="DS343" i="65"/>
  <c r="BA8" i="65"/>
  <c r="FB43" i="65" s="1"/>
  <c r="FA43" i="65" s="1"/>
  <c r="DS255" i="65"/>
  <c r="DS271" i="65"/>
  <c r="DS287" i="65"/>
  <c r="DS303" i="65"/>
  <c r="DS319" i="65"/>
  <c r="DP331" i="65"/>
  <c r="DP258" i="65"/>
  <c r="DP274" i="65"/>
  <c r="DP290" i="65"/>
  <c r="DP257" i="65"/>
  <c r="DP273" i="65"/>
  <c r="DP305" i="65"/>
  <c r="DS329" i="65"/>
  <c r="DS276" i="65"/>
  <c r="DS308" i="65"/>
  <c r="DP332" i="65"/>
  <c r="T474" i="54"/>
  <c r="U106" i="64"/>
  <c r="U108" i="64"/>
  <c r="U104" i="64"/>
  <c r="U109" i="64"/>
  <c r="U105" i="64"/>
  <c r="U103" i="64"/>
  <c r="U107" i="64"/>
  <c r="DO251" i="65"/>
  <c r="T726" i="54"/>
  <c r="V104" i="64"/>
  <c r="V108" i="64"/>
  <c r="V106" i="64"/>
  <c r="V107" i="64"/>
  <c r="V103" i="64"/>
  <c r="V109" i="64"/>
  <c r="V105" i="64"/>
  <c r="T642" i="54"/>
  <c r="DP285" i="65"/>
  <c r="DP307" i="65"/>
  <c r="DP327" i="65"/>
  <c r="DP253" i="65"/>
  <c r="DP269" i="65"/>
  <c r="DP292" i="65"/>
  <c r="DP317" i="65"/>
  <c r="DP308" i="65"/>
  <c r="DP339" i="65"/>
  <c r="DP260" i="65"/>
  <c r="DP291" i="65"/>
  <c r="DP301" i="65"/>
  <c r="DP275" i="65"/>
  <c r="DP276" i="65"/>
  <c r="DP259" i="65"/>
  <c r="DS292" i="65"/>
  <c r="DP306" i="65"/>
  <c r="DS341" i="65"/>
  <c r="DS260" i="65"/>
  <c r="DP289" i="65"/>
  <c r="DP343" i="65"/>
  <c r="DP271" i="65"/>
  <c r="DS307" i="65"/>
  <c r="DS275" i="65"/>
  <c r="DP256" i="65"/>
  <c r="DP288" i="65"/>
  <c r="L8" i="65"/>
  <c r="D97" i="64"/>
  <c r="D102" i="64"/>
  <c r="D100" i="64"/>
  <c r="D98" i="64"/>
  <c r="D101" i="64"/>
  <c r="D99" i="64"/>
  <c r="F97" i="64"/>
  <c r="F99" i="64"/>
  <c r="F101" i="64"/>
  <c r="F100" i="64"/>
  <c r="F98" i="64"/>
  <c r="F102" i="64"/>
  <c r="E102" i="64"/>
  <c r="E97" i="64"/>
  <c r="E98" i="64"/>
  <c r="E101" i="64"/>
  <c r="E100" i="64"/>
  <c r="E99" i="64"/>
  <c r="AB724" i="54"/>
  <c r="AG724" i="54" s="1"/>
  <c r="AB346" i="54"/>
  <c r="AG346" i="54" s="1"/>
  <c r="AD346" i="54"/>
  <c r="AH346" i="54" s="1"/>
  <c r="AD724" i="54"/>
  <c r="AH724" i="54" s="1"/>
  <c r="BM97" i="67" l="1"/>
  <c r="BQ97" i="67"/>
  <c r="BN97" i="67"/>
  <c r="BO97" i="67"/>
  <c r="BN104" i="67"/>
  <c r="BO104" i="67"/>
  <c r="BQ104" i="67"/>
  <c r="BM104" i="67"/>
  <c r="BN108" i="67"/>
  <c r="BO108" i="67"/>
  <c r="BM108" i="67"/>
  <c r="BQ108" i="67"/>
  <c r="BM121" i="67"/>
  <c r="BQ121" i="67"/>
  <c r="BN121" i="67"/>
  <c r="BO121" i="67"/>
  <c r="BM117" i="67"/>
  <c r="BQ117" i="67"/>
  <c r="BN117" i="67"/>
  <c r="BO117" i="67"/>
  <c r="BM105" i="67"/>
  <c r="BQ105" i="67"/>
  <c r="BN105" i="67"/>
  <c r="BO105" i="67"/>
  <c r="BM101" i="67"/>
  <c r="BQ101" i="67"/>
  <c r="BN101" i="67"/>
  <c r="BO101" i="67"/>
  <c r="BP97" i="67"/>
  <c r="BN96" i="67"/>
  <c r="BO96" i="67"/>
  <c r="BQ96" i="67"/>
  <c r="BM96" i="67"/>
  <c r="BO99" i="67"/>
  <c r="BQ99" i="67"/>
  <c r="BM99" i="67"/>
  <c r="BN99" i="67"/>
  <c r="BP104" i="67"/>
  <c r="BP108" i="67"/>
  <c r="BP121" i="67"/>
  <c r="BP117" i="67"/>
  <c r="BP105" i="67"/>
  <c r="BP101" i="67"/>
  <c r="BN112" i="67"/>
  <c r="BO112" i="67"/>
  <c r="BQ112" i="67"/>
  <c r="BM112" i="67"/>
  <c r="BP99" i="67"/>
  <c r="BO115" i="67"/>
  <c r="BQ115" i="67"/>
  <c r="BM115" i="67"/>
  <c r="BN115" i="67"/>
  <c r="BM122" i="67"/>
  <c r="BQ122" i="67"/>
  <c r="BN122" i="67"/>
  <c r="BO122" i="67"/>
  <c r="BN120" i="67"/>
  <c r="BO120" i="67"/>
  <c r="BQ120" i="67"/>
  <c r="BM120" i="67"/>
  <c r="BM113" i="67"/>
  <c r="BQ113" i="67"/>
  <c r="BN113" i="67"/>
  <c r="BO113" i="67"/>
  <c r="BM114" i="67"/>
  <c r="BQ114" i="67"/>
  <c r="BN114" i="67"/>
  <c r="BO114" i="67"/>
  <c r="BP112" i="67"/>
  <c r="CZ320" i="65"/>
  <c r="CZ253" i="65"/>
  <c r="CZ306" i="65"/>
  <c r="CZ305" i="65"/>
  <c r="AC106" i="64"/>
  <c r="AA107" i="64"/>
  <c r="AA103" i="64"/>
  <c r="AA104" i="64"/>
  <c r="AA108" i="64"/>
  <c r="AB104" i="64"/>
  <c r="AC108" i="64"/>
  <c r="AB106" i="64"/>
  <c r="AA105" i="64"/>
  <c r="AB108" i="64"/>
  <c r="AA109" i="64"/>
  <c r="AC104" i="64"/>
  <c r="AA106" i="64"/>
  <c r="AB107" i="64"/>
  <c r="AC103" i="64"/>
  <c r="AB109" i="64"/>
  <c r="AC109" i="64"/>
  <c r="AC105" i="64"/>
  <c r="AB105" i="64"/>
  <c r="AC107" i="64"/>
  <c r="AB103" i="64"/>
  <c r="CZ290" i="65"/>
  <c r="CZ308" i="65"/>
  <c r="CZ344" i="65"/>
  <c r="CZ301" i="65"/>
  <c r="CZ331" i="65"/>
  <c r="CZ289" i="65"/>
  <c r="CZ339" i="65"/>
  <c r="DP342" i="65"/>
  <c r="CZ258" i="65"/>
  <c r="DP341" i="65"/>
  <c r="CZ260" i="65"/>
  <c r="CZ317" i="65"/>
  <c r="CZ321" i="65"/>
  <c r="CZ276" i="65"/>
  <c r="CZ275" i="65"/>
  <c r="CZ269" i="65"/>
  <c r="CZ292" i="65"/>
  <c r="CZ285" i="65"/>
  <c r="CZ274" i="65"/>
  <c r="CZ332" i="65"/>
  <c r="CZ259" i="65"/>
  <c r="CZ257" i="65"/>
  <c r="CZ291" i="65"/>
  <c r="CZ288" i="65"/>
  <c r="CZ340" i="65"/>
  <c r="CZ327" i="65"/>
  <c r="CZ273" i="65"/>
  <c r="CZ270" i="65"/>
  <c r="CZ254" i="65"/>
  <c r="CZ272" i="65"/>
  <c r="CZ342" i="65"/>
  <c r="CZ271" i="65"/>
  <c r="CZ329" i="65"/>
  <c r="CZ343" i="65"/>
  <c r="CZ330" i="65"/>
  <c r="CZ286" i="65"/>
  <c r="CZ287" i="65"/>
  <c r="CZ256" i="65"/>
  <c r="CZ307" i="65"/>
  <c r="CZ319" i="65"/>
  <c r="CZ255" i="65"/>
  <c r="CZ302" i="65"/>
  <c r="CZ318" i="65"/>
  <c r="CZ304" i="65"/>
  <c r="CZ303" i="65"/>
  <c r="CZ341" i="65"/>
  <c r="CZ328" i="65"/>
  <c r="DP320" i="65"/>
  <c r="DS320" i="65"/>
  <c r="DP321" i="65"/>
  <c r="DS321" i="65"/>
  <c r="DP344" i="65"/>
  <c r="DS344" i="65"/>
  <c r="EJ24" i="65"/>
  <c r="EJ26" i="65"/>
  <c r="EJ19" i="65"/>
  <c r="T76" i="54"/>
  <c r="T160" i="54"/>
  <c r="T13" i="54"/>
  <c r="T97" i="54"/>
  <c r="T34" i="54"/>
  <c r="T202" i="54"/>
  <c r="T286" i="54"/>
  <c r="T55" i="54"/>
  <c r="T223" i="54"/>
  <c r="T307" i="54"/>
  <c r="T265" i="54"/>
  <c r="T118" i="54"/>
  <c r="T244" i="54"/>
  <c r="T328" i="54"/>
  <c r="T139" i="54"/>
  <c r="T181" i="54"/>
  <c r="N8" i="65"/>
  <c r="M8" i="65"/>
  <c r="Z768" i="54"/>
  <c r="AF768" i="54" s="1"/>
  <c r="Z789" i="54"/>
  <c r="AF789" i="54" s="1"/>
  <c r="AJ789" i="54" s="1"/>
  <c r="DO275" i="65"/>
  <c r="DO339" i="65"/>
  <c r="DO253" i="65"/>
  <c r="DO291" i="65"/>
  <c r="DO292" i="65"/>
  <c r="DO276" i="65"/>
  <c r="DO327" i="65"/>
  <c r="DO260" i="65"/>
  <c r="DO301" i="65"/>
  <c r="DO307" i="65"/>
  <c r="DO317" i="65"/>
  <c r="DO259" i="65"/>
  <c r="DO269" i="65"/>
  <c r="DO308" i="65"/>
  <c r="DO285" i="65"/>
  <c r="G99" i="64"/>
  <c r="J99" i="64" s="1"/>
  <c r="G101" i="64"/>
  <c r="J101" i="64" s="1"/>
  <c r="G102" i="64"/>
  <c r="J102" i="64" s="1"/>
  <c r="G98" i="64"/>
  <c r="J98" i="64" s="1"/>
  <c r="G100" i="64"/>
  <c r="J100" i="64" s="1"/>
  <c r="G97" i="64"/>
  <c r="J97" i="64" s="1"/>
  <c r="Z151" i="54"/>
  <c r="AF151" i="54" s="1"/>
  <c r="AJ151" i="54" s="1"/>
  <c r="Z131" i="54"/>
  <c r="AF131" i="54" s="1"/>
  <c r="AJ131" i="54" s="1"/>
  <c r="Z111" i="54"/>
  <c r="AF111" i="54" s="1"/>
  <c r="AJ111" i="54" s="1"/>
  <c r="Z91" i="54"/>
  <c r="AF91" i="54" s="1"/>
  <c r="AJ91" i="54" s="1"/>
  <c r="Z71" i="54"/>
  <c r="AF71" i="54" s="1"/>
  <c r="AJ71" i="54" s="1"/>
  <c r="Z51" i="54"/>
  <c r="AF51" i="54" s="1"/>
  <c r="AJ51" i="54" s="1"/>
  <c r="Z31" i="54"/>
  <c r="AF31" i="54" s="1"/>
  <c r="AJ31" i="54" s="1"/>
  <c r="Z305" i="54"/>
  <c r="AF305" i="54" s="1"/>
  <c r="Z326" i="54"/>
  <c r="AF326" i="54" s="1"/>
  <c r="Z11" i="54"/>
  <c r="AF11" i="54" s="1"/>
  <c r="AJ11" i="54" s="1"/>
  <c r="Z284" i="54"/>
  <c r="AF284" i="54" s="1"/>
  <c r="X34" i="54" l="1"/>
  <c r="X118" i="54"/>
  <c r="X202" i="54"/>
  <c r="X286" i="54"/>
  <c r="X55" i="54"/>
  <c r="X139" i="54"/>
  <c r="X223" i="54"/>
  <c r="X307" i="54"/>
  <c r="X76" i="54"/>
  <c r="X160" i="54"/>
  <c r="X244" i="54"/>
  <c r="X328" i="54"/>
  <c r="X97" i="54"/>
  <c r="X181" i="54"/>
  <c r="X13" i="54"/>
  <c r="X265" i="54"/>
  <c r="DR275" i="65"/>
  <c r="DO303" i="65"/>
  <c r="DO330" i="65"/>
  <c r="DO340" i="65"/>
  <c r="DO304" i="65"/>
  <c r="DO255" i="65"/>
  <c r="DO287" i="65"/>
  <c r="DR307" i="65"/>
  <c r="DO302" i="65"/>
  <c r="DO270" i="65"/>
  <c r="DO329" i="65"/>
  <c r="DO256" i="65"/>
  <c r="DR259" i="65"/>
  <c r="DR291" i="65"/>
  <c r="DO319" i="65"/>
  <c r="DR343" i="65"/>
  <c r="DO318" i="65"/>
  <c r="DO254" i="65"/>
  <c r="DO271" i="65"/>
  <c r="DO328" i="65"/>
  <c r="DO286" i="65"/>
  <c r="DO272" i="65"/>
  <c r="DO288" i="65"/>
  <c r="V13" i="54"/>
  <c r="V97" i="54"/>
  <c r="V181" i="54"/>
  <c r="V265" i="54"/>
  <c r="V34" i="54"/>
  <c r="V118" i="54"/>
  <c r="V202" i="54"/>
  <c r="V286" i="54"/>
  <c r="V55" i="54"/>
  <c r="V139" i="54"/>
  <c r="V223" i="54"/>
  <c r="V307" i="54"/>
  <c r="V328" i="54"/>
  <c r="V76" i="54"/>
  <c r="V160" i="54"/>
  <c r="V244" i="54"/>
  <c r="AB789" i="54"/>
  <c r="AG789" i="54" s="1"/>
  <c r="AK789" i="54" s="1"/>
  <c r="AB768" i="54"/>
  <c r="AG768" i="54" s="1"/>
  <c r="DR276" i="65"/>
  <c r="DR308" i="65"/>
  <c r="DR319" i="65"/>
  <c r="DO305" i="65"/>
  <c r="DO331" i="65"/>
  <c r="DR255" i="65"/>
  <c r="DR287" i="65"/>
  <c r="DO289" i="65"/>
  <c r="DO257" i="65"/>
  <c r="DO343" i="65"/>
  <c r="DR341" i="65"/>
  <c r="DR260" i="65"/>
  <c r="DR292" i="65"/>
  <c r="DR303" i="65"/>
  <c r="DO274" i="65"/>
  <c r="DR271" i="65"/>
  <c r="DO290" i="65"/>
  <c r="DO273" i="65"/>
  <c r="DR329" i="65"/>
  <c r="DO332" i="65"/>
  <c r="DO258" i="65"/>
  <c r="DO306" i="65"/>
  <c r="AD789" i="54"/>
  <c r="AH789" i="54" s="1"/>
  <c r="AL789" i="54" s="1"/>
  <c r="AD768" i="54"/>
  <c r="AH768" i="54" s="1"/>
  <c r="H100" i="64"/>
  <c r="K100" i="64" s="1"/>
  <c r="H99" i="64"/>
  <c r="K99" i="64" s="1"/>
  <c r="H97" i="64"/>
  <c r="K97" i="64" s="1"/>
  <c r="H102" i="64"/>
  <c r="K102" i="64" s="1"/>
  <c r="H98" i="64"/>
  <c r="K98" i="64" s="1"/>
  <c r="H101" i="64"/>
  <c r="K101" i="64" s="1"/>
  <c r="AB151" i="54"/>
  <c r="AG151" i="54" s="1"/>
  <c r="AK151" i="54" s="1"/>
  <c r="AB131" i="54"/>
  <c r="AG131" i="54" s="1"/>
  <c r="AK131" i="54" s="1"/>
  <c r="AB111" i="54"/>
  <c r="AG111" i="54" s="1"/>
  <c r="AK111" i="54" s="1"/>
  <c r="AB91" i="54"/>
  <c r="AG91" i="54" s="1"/>
  <c r="AK91" i="54" s="1"/>
  <c r="AB71" i="54"/>
  <c r="AG71" i="54" s="1"/>
  <c r="AK71" i="54" s="1"/>
  <c r="AB51" i="54"/>
  <c r="AG51" i="54" s="1"/>
  <c r="AK51" i="54" s="1"/>
  <c r="AB31" i="54"/>
  <c r="AG31" i="54" s="1"/>
  <c r="AK31" i="54" s="1"/>
  <c r="I97" i="64"/>
  <c r="L97" i="64" s="1"/>
  <c r="I99" i="64"/>
  <c r="L99" i="64" s="1"/>
  <c r="I100" i="64"/>
  <c r="L100" i="64" s="1"/>
  <c r="I102" i="64"/>
  <c r="L102" i="64" s="1"/>
  <c r="I98" i="64"/>
  <c r="L98" i="64" s="1"/>
  <c r="I101" i="64"/>
  <c r="L101" i="64" s="1"/>
  <c r="AD151" i="54"/>
  <c r="AH151" i="54" s="1"/>
  <c r="AL151" i="54" s="1"/>
  <c r="AD131" i="54"/>
  <c r="AH131" i="54" s="1"/>
  <c r="AL131" i="54" s="1"/>
  <c r="AD111" i="54"/>
  <c r="AH111" i="54" s="1"/>
  <c r="AL111" i="54" s="1"/>
  <c r="AD91" i="54"/>
  <c r="AH91" i="54" s="1"/>
  <c r="AL91" i="54" s="1"/>
  <c r="AD71" i="54"/>
  <c r="AH71" i="54" s="1"/>
  <c r="AL71" i="54" s="1"/>
  <c r="AD51" i="54"/>
  <c r="AH51" i="54" s="1"/>
  <c r="AL51" i="54" s="1"/>
  <c r="AD31" i="54"/>
  <c r="AH31" i="54" s="1"/>
  <c r="AL31" i="54" s="1"/>
  <c r="Z746" i="54"/>
  <c r="AF746" i="54" s="1"/>
  <c r="Z704" i="54"/>
  <c r="AF704" i="54" s="1"/>
  <c r="AB11" i="54"/>
  <c r="AG11" i="54" s="1"/>
  <c r="AK11" i="54" s="1"/>
  <c r="AB326" i="54"/>
  <c r="AG326" i="54" s="1"/>
  <c r="AB284" i="54"/>
  <c r="AG284" i="54" s="1"/>
  <c r="AB305" i="54"/>
  <c r="AG305" i="54" s="1"/>
  <c r="AD284" i="54"/>
  <c r="AH284" i="54" s="1"/>
  <c r="AD11" i="54"/>
  <c r="AH11" i="54" s="1"/>
  <c r="AL11" i="54" s="1"/>
  <c r="AD305" i="54"/>
  <c r="AH305" i="54" s="1"/>
  <c r="AD326" i="54"/>
  <c r="AH326" i="54" s="1"/>
  <c r="T391" i="54" l="1"/>
  <c r="U110" i="64"/>
  <c r="U112" i="64"/>
  <c r="U113" i="64"/>
  <c r="U111" i="64"/>
  <c r="V112" i="64"/>
  <c r="V110" i="64"/>
  <c r="V113" i="64"/>
  <c r="V111" i="64"/>
  <c r="EQ20" i="65"/>
  <c r="W112" i="64"/>
  <c r="W110" i="64"/>
  <c r="W113" i="64"/>
  <c r="W111" i="64"/>
  <c r="DO320" i="65"/>
  <c r="DR320" i="65"/>
  <c r="DO342" i="65"/>
  <c r="DO341" i="65"/>
  <c r="DO321" i="65"/>
  <c r="DR321" i="65"/>
  <c r="DO344" i="65"/>
  <c r="DR344" i="65"/>
  <c r="T664" i="54"/>
  <c r="T559" i="54"/>
  <c r="T601" i="54"/>
  <c r="T538" i="54"/>
  <c r="T790" i="54"/>
  <c r="T433" i="54"/>
  <c r="T685" i="54"/>
  <c r="T643" i="54"/>
  <c r="T454" i="54"/>
  <c r="T475" i="54"/>
  <c r="T748" i="54"/>
  <c r="T769" i="54"/>
  <c r="T727" i="54"/>
  <c r="T370" i="54"/>
  <c r="T706" i="54"/>
  <c r="T517" i="54"/>
  <c r="T622" i="54"/>
  <c r="T496" i="54"/>
  <c r="T349" i="54"/>
  <c r="T580" i="54"/>
  <c r="T412" i="54"/>
  <c r="EJ23" i="65"/>
  <c r="EJ27" i="65"/>
  <c r="EJ20" i="65"/>
  <c r="EQ27" i="65"/>
  <c r="V349" i="54"/>
  <c r="V685" i="54"/>
  <c r="V622" i="54"/>
  <c r="V559" i="54"/>
  <c r="V496" i="54"/>
  <c r="V769" i="54"/>
  <c r="V538" i="54"/>
  <c r="V433" i="54"/>
  <c r="V370" i="54"/>
  <c r="V706" i="54"/>
  <c r="V643" i="54"/>
  <c r="V580" i="54"/>
  <c r="V790" i="54"/>
  <c r="V475" i="54"/>
  <c r="V517" i="54"/>
  <c r="V454" i="54"/>
  <c r="V391" i="54"/>
  <c r="V727" i="54"/>
  <c r="V664" i="54"/>
  <c r="V601" i="54"/>
  <c r="V412" i="54"/>
  <c r="V748" i="54"/>
  <c r="X601" i="54"/>
  <c r="X622" i="54"/>
  <c r="X643" i="54"/>
  <c r="X664" i="54"/>
  <c r="X580" i="54"/>
  <c r="X559" i="54"/>
  <c r="X349" i="54"/>
  <c r="X370" i="54"/>
  <c r="X391" i="54"/>
  <c r="X412" i="54"/>
  <c r="X748" i="54"/>
  <c r="X706" i="54"/>
  <c r="X538" i="54"/>
  <c r="X769" i="54"/>
  <c r="X433" i="54"/>
  <c r="X454" i="54"/>
  <c r="X475" i="54"/>
  <c r="X496" i="54"/>
  <c r="X685" i="54"/>
  <c r="X790" i="54"/>
  <c r="X517" i="54"/>
  <c r="X727" i="54"/>
  <c r="F106" i="64"/>
  <c r="F108" i="64"/>
  <c r="F105" i="64"/>
  <c r="F104" i="64"/>
  <c r="F107" i="64"/>
  <c r="F109" i="64"/>
  <c r="D108" i="64"/>
  <c r="D106" i="64"/>
  <c r="D107" i="64"/>
  <c r="D104" i="64"/>
  <c r="D105" i="64"/>
  <c r="D109" i="64"/>
  <c r="E108" i="64"/>
  <c r="E106" i="64"/>
  <c r="E107" i="64"/>
  <c r="E109" i="64"/>
  <c r="E105" i="64"/>
  <c r="E104" i="64"/>
  <c r="AB746" i="54"/>
  <c r="AG746" i="54" s="1"/>
  <c r="AB704" i="54"/>
  <c r="AG704" i="54" s="1"/>
  <c r="AD746" i="54"/>
  <c r="AH746" i="54" s="1"/>
  <c r="AD704" i="54"/>
  <c r="AH704" i="54" s="1"/>
  <c r="Z264" i="54"/>
  <c r="AF264" i="54" s="1"/>
  <c r="Z12" i="54"/>
  <c r="AF12" i="54" s="1"/>
  <c r="AJ12" i="54" s="1"/>
  <c r="Z285" i="54"/>
  <c r="AF285" i="54" s="1"/>
  <c r="Z306" i="54"/>
  <c r="AF306" i="54" s="1"/>
  <c r="AI126" i="67" l="1"/>
  <c r="BC127" i="67" s="1"/>
  <c r="AI130" i="67"/>
  <c r="BC131" i="67" s="1"/>
  <c r="AI134" i="67"/>
  <c r="BC135" i="67" s="1"/>
  <c r="AI138" i="67"/>
  <c r="BC139" i="67" s="1"/>
  <c r="AI142" i="67"/>
  <c r="BC143" i="67" s="1"/>
  <c r="AI146" i="67"/>
  <c r="BC147" i="67" s="1"/>
  <c r="AI150" i="67"/>
  <c r="BC151" i="67" s="1"/>
  <c r="AG123" i="67"/>
  <c r="BA124" i="67" s="1"/>
  <c r="AG127" i="67"/>
  <c r="BA128" i="67" s="1"/>
  <c r="AG131" i="67"/>
  <c r="BA132" i="67" s="1"/>
  <c r="AG135" i="67"/>
  <c r="BA136" i="67" s="1"/>
  <c r="AG139" i="67"/>
  <c r="BA140" i="67" s="1"/>
  <c r="AG143" i="67"/>
  <c r="BA144" i="67" s="1"/>
  <c r="AG147" i="67"/>
  <c r="BA148" i="67" s="1"/>
  <c r="AG151" i="67"/>
  <c r="BA152" i="67" s="1"/>
  <c r="AI123" i="67"/>
  <c r="BC124" i="67" s="1"/>
  <c r="AI127" i="67"/>
  <c r="BC128" i="67" s="1"/>
  <c r="AI131" i="67"/>
  <c r="BC132" i="67" s="1"/>
  <c r="AI135" i="67"/>
  <c r="BC136" i="67" s="1"/>
  <c r="AI139" i="67"/>
  <c r="BC140" i="67" s="1"/>
  <c r="AI143" i="67"/>
  <c r="BC144" i="67" s="1"/>
  <c r="AI147" i="67"/>
  <c r="BC148" i="67" s="1"/>
  <c r="AI151" i="67"/>
  <c r="BC152" i="67" s="1"/>
  <c r="AG124" i="67"/>
  <c r="BA125" i="67" s="1"/>
  <c r="AG128" i="67"/>
  <c r="BA129" i="67" s="1"/>
  <c r="AG132" i="67"/>
  <c r="BA133" i="67" s="1"/>
  <c r="AG136" i="67"/>
  <c r="BA137" i="67" s="1"/>
  <c r="AG140" i="67"/>
  <c r="BA141" i="67" s="1"/>
  <c r="BJ141" i="67" s="1"/>
  <c r="AG144" i="67"/>
  <c r="BA145" i="67" s="1"/>
  <c r="AG148" i="67"/>
  <c r="BA149" i="67" s="1"/>
  <c r="AG152" i="67"/>
  <c r="BA153" i="67" s="1"/>
  <c r="AI124" i="67"/>
  <c r="BC125" i="67" s="1"/>
  <c r="AI132" i="67"/>
  <c r="BC133" i="67" s="1"/>
  <c r="AI140" i="67"/>
  <c r="BC141" i="67" s="1"/>
  <c r="AI148" i="67"/>
  <c r="BC149" i="67" s="1"/>
  <c r="AG130" i="67"/>
  <c r="BA131" i="67" s="1"/>
  <c r="BJ131" i="67" s="1"/>
  <c r="AG138" i="67"/>
  <c r="BA139" i="67" s="1"/>
  <c r="AG146" i="67"/>
  <c r="BA147" i="67" s="1"/>
  <c r="BJ147" i="67" s="1"/>
  <c r="AI125" i="67"/>
  <c r="BC126" i="67" s="1"/>
  <c r="AI133" i="67"/>
  <c r="BC134" i="67" s="1"/>
  <c r="AI141" i="67"/>
  <c r="BC142" i="67" s="1"/>
  <c r="AI149" i="67"/>
  <c r="BC150" i="67" s="1"/>
  <c r="AG125" i="67"/>
  <c r="BA126" i="67" s="1"/>
  <c r="BJ126" i="67" s="1"/>
  <c r="AG133" i="67"/>
  <c r="BA134" i="67" s="1"/>
  <c r="BJ134" i="67" s="1"/>
  <c r="AG141" i="67"/>
  <c r="BA142" i="67" s="1"/>
  <c r="BJ142" i="67" s="1"/>
  <c r="AI128" i="67"/>
  <c r="BC129" i="67" s="1"/>
  <c r="AI144" i="67"/>
  <c r="BC145" i="67" s="1"/>
  <c r="AG126" i="67"/>
  <c r="BA127" i="67" s="1"/>
  <c r="BJ127" i="67" s="1"/>
  <c r="AG142" i="67"/>
  <c r="BA143" i="67" s="1"/>
  <c r="BJ143" i="67" s="1"/>
  <c r="AI129" i="67"/>
  <c r="BC130" i="67" s="1"/>
  <c r="AI145" i="67"/>
  <c r="BC146" i="67" s="1"/>
  <c r="AG129" i="67"/>
  <c r="BA130" i="67" s="1"/>
  <c r="BJ130" i="67" s="1"/>
  <c r="AG145" i="67"/>
  <c r="BA146" i="67" s="1"/>
  <c r="AI136" i="67"/>
  <c r="BC137" i="67" s="1"/>
  <c r="AI152" i="67"/>
  <c r="BC153" i="67" s="1"/>
  <c r="AG134" i="67"/>
  <c r="BA135" i="67" s="1"/>
  <c r="BJ135" i="67" s="1"/>
  <c r="AG149" i="67"/>
  <c r="BA150" i="67" s="1"/>
  <c r="BJ150" i="67" s="1"/>
  <c r="AI137" i="67"/>
  <c r="BC138" i="67" s="1"/>
  <c r="AG137" i="67"/>
  <c r="BA138" i="67" s="1"/>
  <c r="BJ138" i="67" s="1"/>
  <c r="AG150" i="67"/>
  <c r="BA151" i="67" s="1"/>
  <c r="BJ151" i="67" s="1"/>
  <c r="EQ23" i="65"/>
  <c r="AB110" i="64"/>
  <c r="AB112" i="64"/>
  <c r="AC110" i="64"/>
  <c r="AC112" i="64"/>
  <c r="AA110" i="64"/>
  <c r="AA112" i="64"/>
  <c r="AB113" i="64"/>
  <c r="AA113" i="64"/>
  <c r="AB111" i="64"/>
  <c r="AA111" i="64"/>
  <c r="AC113" i="64"/>
  <c r="AC111" i="64"/>
  <c r="EQ26" i="65"/>
  <c r="EQ24" i="65"/>
  <c r="EQ19" i="65"/>
  <c r="Z790" i="54"/>
  <c r="AF790" i="54" s="1"/>
  <c r="AJ790" i="54" s="1"/>
  <c r="Z769" i="54"/>
  <c r="AF769" i="54" s="1"/>
  <c r="H108" i="64"/>
  <c r="K108" i="64" s="1"/>
  <c r="H109" i="64"/>
  <c r="K109" i="64" s="1"/>
  <c r="H105" i="64"/>
  <c r="K105" i="64" s="1"/>
  <c r="H104" i="64"/>
  <c r="K104" i="64" s="1"/>
  <c r="H106" i="64"/>
  <c r="K106" i="64" s="1"/>
  <c r="H107" i="64"/>
  <c r="K107" i="64" s="1"/>
  <c r="AB172" i="54"/>
  <c r="AG172" i="54" s="1"/>
  <c r="AK172" i="54" s="1"/>
  <c r="AB152" i="54"/>
  <c r="AG152" i="54" s="1"/>
  <c r="AK152" i="54" s="1"/>
  <c r="AB132" i="54"/>
  <c r="AG132" i="54" s="1"/>
  <c r="AK132" i="54" s="1"/>
  <c r="AB112" i="54"/>
  <c r="AG112" i="54" s="1"/>
  <c r="AK112" i="54" s="1"/>
  <c r="AB92" i="54"/>
  <c r="AG92" i="54" s="1"/>
  <c r="AK92" i="54" s="1"/>
  <c r="AB72" i="54"/>
  <c r="AG72" i="54" s="1"/>
  <c r="AK72" i="54" s="1"/>
  <c r="AB52" i="54"/>
  <c r="AG52" i="54" s="1"/>
  <c r="AK52" i="54" s="1"/>
  <c r="AB32" i="54"/>
  <c r="AG32" i="54" s="1"/>
  <c r="AK32" i="54" s="1"/>
  <c r="G104" i="64"/>
  <c r="J104" i="64" s="1"/>
  <c r="G105" i="64"/>
  <c r="J105" i="64" s="1"/>
  <c r="G108" i="64"/>
  <c r="J108" i="64" s="1"/>
  <c r="G107" i="64"/>
  <c r="J107" i="64" s="1"/>
  <c r="G109" i="64"/>
  <c r="J109" i="64" s="1"/>
  <c r="G106" i="64"/>
  <c r="J106" i="64" s="1"/>
  <c r="Z172" i="54"/>
  <c r="AF172" i="54" s="1"/>
  <c r="AJ172" i="54" s="1"/>
  <c r="Z152" i="54"/>
  <c r="AF152" i="54" s="1"/>
  <c r="AJ152" i="54" s="1"/>
  <c r="Z132" i="54"/>
  <c r="AF132" i="54" s="1"/>
  <c r="AJ132" i="54" s="1"/>
  <c r="Z112" i="54"/>
  <c r="AF112" i="54" s="1"/>
  <c r="AJ112" i="54" s="1"/>
  <c r="Z92" i="54"/>
  <c r="AF92" i="54" s="1"/>
  <c r="AJ92" i="54" s="1"/>
  <c r="Z72" i="54"/>
  <c r="AF72" i="54" s="1"/>
  <c r="AJ72" i="54" s="1"/>
  <c r="Z52" i="54"/>
  <c r="AF52" i="54" s="1"/>
  <c r="AJ52" i="54" s="1"/>
  <c r="Z32" i="54"/>
  <c r="AF32" i="54" s="1"/>
  <c r="AJ32" i="54" s="1"/>
  <c r="I104" i="64"/>
  <c r="L104" i="64" s="1"/>
  <c r="I105" i="64"/>
  <c r="L105" i="64" s="1"/>
  <c r="I108" i="64"/>
  <c r="L108" i="64" s="1"/>
  <c r="I107" i="64"/>
  <c r="L107" i="64" s="1"/>
  <c r="I106" i="64"/>
  <c r="L106" i="64" s="1"/>
  <c r="I109" i="64"/>
  <c r="L109" i="64" s="1"/>
  <c r="AD172" i="54"/>
  <c r="AH172" i="54" s="1"/>
  <c r="AL172" i="54" s="1"/>
  <c r="AD152" i="54"/>
  <c r="AH152" i="54" s="1"/>
  <c r="AL152" i="54" s="1"/>
  <c r="AD132" i="54"/>
  <c r="AH132" i="54" s="1"/>
  <c r="AL132" i="54" s="1"/>
  <c r="AD112" i="54"/>
  <c r="AH112" i="54" s="1"/>
  <c r="AL112" i="54" s="1"/>
  <c r="AD92" i="54"/>
  <c r="AH92" i="54" s="1"/>
  <c r="AL92" i="54" s="1"/>
  <c r="AD72" i="54"/>
  <c r="AH72" i="54" s="1"/>
  <c r="AL72" i="54" s="1"/>
  <c r="AD52" i="54"/>
  <c r="AH52" i="54" s="1"/>
  <c r="AL52" i="54" s="1"/>
  <c r="AD32" i="54"/>
  <c r="AH32" i="54" s="1"/>
  <c r="AL32" i="54" s="1"/>
  <c r="Z684" i="54"/>
  <c r="AF684" i="54" s="1"/>
  <c r="Z726" i="54"/>
  <c r="AF726" i="54" s="1"/>
  <c r="AB12" i="54"/>
  <c r="AG12" i="54" s="1"/>
  <c r="AK12" i="54" s="1"/>
  <c r="AB285" i="54"/>
  <c r="AG285" i="54" s="1"/>
  <c r="AB264" i="54"/>
  <c r="AG264" i="54" s="1"/>
  <c r="AB306" i="54"/>
  <c r="AG306" i="54" s="1"/>
  <c r="AD264" i="54"/>
  <c r="AH264" i="54" s="1"/>
  <c r="AD285" i="54"/>
  <c r="AH285" i="54" s="1"/>
  <c r="AD306" i="54"/>
  <c r="AH306" i="54" s="1"/>
  <c r="AD12" i="54"/>
  <c r="AH12" i="54" s="1"/>
  <c r="AL12" i="54" s="1"/>
  <c r="BL151" i="67" l="1"/>
  <c r="BL127" i="67"/>
  <c r="BP127" i="67" s="1"/>
  <c r="BJ125" i="67"/>
  <c r="BL138" i="67"/>
  <c r="BL126" i="67"/>
  <c r="BP126" i="67" s="1"/>
  <c r="BJ153" i="67"/>
  <c r="BJ137" i="67"/>
  <c r="BJ152" i="67"/>
  <c r="BJ136" i="67"/>
  <c r="BL135" i="67"/>
  <c r="BP134" i="67"/>
  <c r="BL134" i="67"/>
  <c r="BL141" i="67"/>
  <c r="BJ140" i="67"/>
  <c r="BL147" i="67"/>
  <c r="BJ149" i="67"/>
  <c r="BJ133" i="67"/>
  <c r="BJ148" i="67"/>
  <c r="BJ132" i="67"/>
  <c r="BL130" i="67"/>
  <c r="BP130" i="67" s="1"/>
  <c r="BL131" i="67"/>
  <c r="BJ124" i="67"/>
  <c r="BP150" i="67"/>
  <c r="BL150" i="67"/>
  <c r="BJ146" i="67"/>
  <c r="BL143" i="67"/>
  <c r="BL142" i="67"/>
  <c r="BJ139" i="67"/>
  <c r="BJ145" i="67"/>
  <c r="BJ129" i="67"/>
  <c r="BJ144" i="67"/>
  <c r="BJ128" i="67"/>
  <c r="AD769" i="54"/>
  <c r="AH769" i="54" s="1"/>
  <c r="AD790" i="54"/>
  <c r="AH790" i="54" s="1"/>
  <c r="AL790" i="54" s="1"/>
  <c r="AB790" i="54"/>
  <c r="AG790" i="54" s="1"/>
  <c r="AK790" i="54" s="1"/>
  <c r="AB769" i="54"/>
  <c r="AG769" i="54" s="1"/>
  <c r="X14" i="54"/>
  <c r="X98" i="54"/>
  <c r="X182" i="54"/>
  <c r="X266" i="54"/>
  <c r="X35" i="54"/>
  <c r="X119" i="54"/>
  <c r="X203" i="54"/>
  <c r="X287" i="54"/>
  <c r="X56" i="54"/>
  <c r="X140" i="54"/>
  <c r="X224" i="54"/>
  <c r="X308" i="54"/>
  <c r="X77" i="54"/>
  <c r="X161" i="54"/>
  <c r="X245" i="54"/>
  <c r="X329" i="54"/>
  <c r="V77" i="54"/>
  <c r="V161" i="54"/>
  <c r="V245" i="54"/>
  <c r="V329" i="54"/>
  <c r="V14" i="54"/>
  <c r="V98" i="54"/>
  <c r="V182" i="54"/>
  <c r="V266" i="54"/>
  <c r="V35" i="54"/>
  <c r="V119" i="54"/>
  <c r="V203" i="54"/>
  <c r="V287" i="54"/>
  <c r="V308" i="54"/>
  <c r="V56" i="54"/>
  <c r="V140" i="54"/>
  <c r="V224" i="54"/>
  <c r="T56" i="54"/>
  <c r="T140" i="54"/>
  <c r="T77" i="54"/>
  <c r="T161" i="54"/>
  <c r="T14" i="54"/>
  <c r="T98" i="54"/>
  <c r="T182" i="54"/>
  <c r="T266" i="54"/>
  <c r="T119" i="54"/>
  <c r="T329" i="54"/>
  <c r="T35" i="54"/>
  <c r="T203" i="54"/>
  <c r="T287" i="54"/>
  <c r="T245" i="54"/>
  <c r="T224" i="54"/>
  <c r="T308" i="54"/>
  <c r="D112" i="64"/>
  <c r="D115" i="64"/>
  <c r="D110" i="64"/>
  <c r="D116" i="64"/>
  <c r="D111" i="64"/>
  <c r="D113" i="64"/>
  <c r="F116" i="64"/>
  <c r="F111" i="64"/>
  <c r="F115" i="64"/>
  <c r="F113" i="64"/>
  <c r="F112" i="64"/>
  <c r="F110" i="64"/>
  <c r="E110" i="64"/>
  <c r="E113" i="64"/>
  <c r="E112" i="64"/>
  <c r="E111" i="64"/>
  <c r="E115" i="64"/>
  <c r="E116" i="64"/>
  <c r="AB684" i="54"/>
  <c r="AG684" i="54" s="1"/>
  <c r="AB726" i="54"/>
  <c r="AG726" i="54" s="1"/>
  <c r="AD684" i="54"/>
  <c r="AH684" i="54" s="1"/>
  <c r="AD726" i="54"/>
  <c r="AH726" i="54" s="1"/>
  <c r="BM143" i="67" l="1"/>
  <c r="BQ143" i="67"/>
  <c r="BN143" i="67"/>
  <c r="BO143" i="67"/>
  <c r="BL133" i="67"/>
  <c r="BL152" i="67"/>
  <c r="BP152" i="67" s="1"/>
  <c r="BL128" i="67"/>
  <c r="BL139" i="67"/>
  <c r="BP143" i="67"/>
  <c r="BL124" i="67"/>
  <c r="BL149" i="67"/>
  <c r="BP149" i="67" s="1"/>
  <c r="BO141" i="67"/>
  <c r="BM141" i="67"/>
  <c r="BQ141" i="67"/>
  <c r="BN141" i="67"/>
  <c r="BM135" i="67"/>
  <c r="BQ135" i="67"/>
  <c r="BN135" i="67"/>
  <c r="BO135" i="67"/>
  <c r="BL137" i="67"/>
  <c r="BN138" i="67"/>
  <c r="BO138" i="67"/>
  <c r="BM138" i="67"/>
  <c r="BQ138" i="67"/>
  <c r="BL140" i="67"/>
  <c r="BP140" i="67" s="1"/>
  <c r="BL144" i="67"/>
  <c r="BN142" i="67"/>
  <c r="BO142" i="67"/>
  <c r="BM142" i="67"/>
  <c r="BQ142" i="67"/>
  <c r="BL146" i="67"/>
  <c r="BP146" i="67" s="1"/>
  <c r="BM131" i="67"/>
  <c r="BQ131" i="67"/>
  <c r="BN131" i="67"/>
  <c r="BO131" i="67"/>
  <c r="BL132" i="67"/>
  <c r="BM147" i="67"/>
  <c r="BQ147" i="67"/>
  <c r="BN147" i="67"/>
  <c r="BO147" i="67"/>
  <c r="BP141" i="67"/>
  <c r="BP135" i="67"/>
  <c r="BL153" i="67"/>
  <c r="BP138" i="67"/>
  <c r="BM151" i="67"/>
  <c r="BQ151" i="67"/>
  <c r="BN151" i="67"/>
  <c r="BO151" i="67"/>
  <c r="BL145" i="67"/>
  <c r="BN130" i="67"/>
  <c r="BO130" i="67"/>
  <c r="BM130" i="67"/>
  <c r="BQ130" i="67"/>
  <c r="BM127" i="67"/>
  <c r="BQ127" i="67"/>
  <c r="BN127" i="67"/>
  <c r="BO127" i="67"/>
  <c r="BL129" i="67"/>
  <c r="BP129" i="67" s="1"/>
  <c r="BP142" i="67"/>
  <c r="BN150" i="67"/>
  <c r="BO150" i="67"/>
  <c r="BQ150" i="67"/>
  <c r="BM150" i="67"/>
  <c r="BP131" i="67"/>
  <c r="BL148" i="67"/>
  <c r="BP148" i="67" s="1"/>
  <c r="BP147" i="67"/>
  <c r="BN134" i="67"/>
  <c r="BO134" i="67"/>
  <c r="BQ134" i="67"/>
  <c r="BM134" i="67"/>
  <c r="BL136" i="67"/>
  <c r="BN126" i="67"/>
  <c r="BO126" i="67"/>
  <c r="BM126" i="67"/>
  <c r="BQ126" i="67"/>
  <c r="BL125" i="67"/>
  <c r="BP125" i="67" s="1"/>
  <c r="BP151" i="67"/>
  <c r="U114" i="64"/>
  <c r="U116" i="64"/>
  <c r="U118" i="64"/>
  <c r="U120" i="64"/>
  <c r="U122" i="64"/>
  <c r="U124" i="64"/>
  <c r="U115" i="64"/>
  <c r="U117" i="64"/>
  <c r="U121" i="64"/>
  <c r="U119" i="64"/>
  <c r="U123" i="64"/>
  <c r="V116" i="64"/>
  <c r="V120" i="64"/>
  <c r="V114" i="64"/>
  <c r="V122" i="64"/>
  <c r="V118" i="64"/>
  <c r="V121" i="64"/>
  <c r="V123" i="64"/>
  <c r="V124" i="64"/>
  <c r="V119" i="64"/>
  <c r="V117" i="64"/>
  <c r="V115" i="64"/>
  <c r="W121" i="64"/>
  <c r="W123" i="64"/>
  <c r="W116" i="64"/>
  <c r="W114" i="64"/>
  <c r="W119" i="64"/>
  <c r="W115" i="64"/>
  <c r="W120" i="64"/>
  <c r="W122" i="64"/>
  <c r="W118" i="64"/>
  <c r="W124" i="64"/>
  <c r="W117" i="64"/>
  <c r="V413" i="54"/>
  <c r="V350" i="54"/>
  <c r="V686" i="54"/>
  <c r="V623" i="54"/>
  <c r="V560" i="54"/>
  <c r="V770" i="54"/>
  <c r="V602" i="54"/>
  <c r="V497" i="54"/>
  <c r="V434" i="54"/>
  <c r="V371" i="54"/>
  <c r="V707" i="54"/>
  <c r="V644" i="54"/>
  <c r="V791" i="54"/>
  <c r="V665" i="54"/>
  <c r="V476" i="54"/>
  <c r="V749" i="54"/>
  <c r="V581" i="54"/>
  <c r="V518" i="54"/>
  <c r="V455" i="54"/>
  <c r="V392" i="54"/>
  <c r="V728" i="54"/>
  <c r="V539" i="54"/>
  <c r="X665" i="54"/>
  <c r="X602" i="54"/>
  <c r="X623" i="54"/>
  <c r="X707" i="54"/>
  <c r="X749" i="54"/>
  <c r="X539" i="54"/>
  <c r="X413" i="54"/>
  <c r="X350" i="54"/>
  <c r="X371" i="54"/>
  <c r="X392" i="54"/>
  <c r="X791" i="54"/>
  <c r="X686" i="54"/>
  <c r="X518" i="54"/>
  <c r="X644" i="54"/>
  <c r="X497" i="54"/>
  <c r="X434" i="54"/>
  <c r="X455" i="54"/>
  <c r="X476" i="54"/>
  <c r="X728" i="54"/>
  <c r="X770" i="54"/>
  <c r="X581" i="54"/>
  <c r="X560" i="54"/>
  <c r="T350" i="54"/>
  <c r="T455" i="54"/>
  <c r="T560" i="54"/>
  <c r="T665" i="54"/>
  <c r="T770" i="54"/>
  <c r="T371" i="54"/>
  <c r="T791" i="54"/>
  <c r="T434" i="54"/>
  <c r="T539" i="54"/>
  <c r="T644" i="54"/>
  <c r="T749" i="54"/>
  <c r="T623" i="54"/>
  <c r="T497" i="54"/>
  <c r="T476" i="54"/>
  <c r="T686" i="54"/>
  <c r="T413" i="54"/>
  <c r="T518" i="54"/>
  <c r="T392" i="54"/>
  <c r="T728" i="54"/>
  <c r="T602" i="54"/>
  <c r="T707" i="54"/>
  <c r="T581" i="54"/>
  <c r="G113" i="64"/>
  <c r="J113" i="64" s="1"/>
  <c r="G115" i="64"/>
  <c r="J115" i="64" s="1"/>
  <c r="G116" i="64"/>
  <c r="J116" i="64" s="1"/>
  <c r="G111" i="64"/>
  <c r="J111" i="64" s="1"/>
  <c r="G112" i="64"/>
  <c r="J112" i="64" s="1"/>
  <c r="G110" i="64"/>
  <c r="J110" i="64" s="1"/>
  <c r="Z193" i="54"/>
  <c r="AF193" i="54" s="1"/>
  <c r="AJ193" i="54" s="1"/>
  <c r="Z173" i="54"/>
  <c r="AF173" i="54" s="1"/>
  <c r="AJ173" i="54" s="1"/>
  <c r="Z153" i="54"/>
  <c r="AF153" i="54" s="1"/>
  <c r="AJ153" i="54" s="1"/>
  <c r="Z133" i="54"/>
  <c r="AF133" i="54" s="1"/>
  <c r="AJ133" i="54" s="1"/>
  <c r="Z113" i="54"/>
  <c r="AF113" i="54" s="1"/>
  <c r="AJ113" i="54" s="1"/>
  <c r="Z93" i="54"/>
  <c r="AF93" i="54" s="1"/>
  <c r="AJ93" i="54" s="1"/>
  <c r="Z73" i="54"/>
  <c r="AF73" i="54" s="1"/>
  <c r="AJ73" i="54" s="1"/>
  <c r="Z53" i="54"/>
  <c r="AF53" i="54" s="1"/>
  <c r="AJ53" i="54" s="1"/>
  <c r="Z33" i="54"/>
  <c r="AF33" i="54" s="1"/>
  <c r="AJ33" i="54" s="1"/>
  <c r="Z286" i="54"/>
  <c r="AF286" i="54" s="1"/>
  <c r="Z13" i="54"/>
  <c r="AF13" i="54" s="1"/>
  <c r="AJ13" i="54" s="1"/>
  <c r="Z244" i="54"/>
  <c r="AF244" i="54" s="1"/>
  <c r="Z307" i="54"/>
  <c r="AF307" i="54" s="1"/>
  <c r="Z265" i="54"/>
  <c r="AF265" i="54" s="1"/>
  <c r="BM139" i="67" l="1"/>
  <c r="BQ139" i="67"/>
  <c r="BN139" i="67"/>
  <c r="BO139" i="67"/>
  <c r="BM136" i="67"/>
  <c r="BQ136" i="67"/>
  <c r="BN136" i="67"/>
  <c r="BO136" i="67"/>
  <c r="BO153" i="67"/>
  <c r="BM153" i="67"/>
  <c r="BQ153" i="67"/>
  <c r="BN153" i="67"/>
  <c r="BM132" i="67"/>
  <c r="BQ132" i="67"/>
  <c r="BN132" i="67"/>
  <c r="BO132" i="67"/>
  <c r="BM144" i="67"/>
  <c r="BQ144" i="67"/>
  <c r="BN144" i="67"/>
  <c r="BO144" i="67"/>
  <c r="BO137" i="67"/>
  <c r="BM137" i="67"/>
  <c r="BQ137" i="67"/>
  <c r="BN137" i="67"/>
  <c r="BM124" i="67"/>
  <c r="BQ124" i="67"/>
  <c r="BN124" i="67"/>
  <c r="BO124" i="67"/>
  <c r="BP139" i="67"/>
  <c r="BM148" i="67"/>
  <c r="BQ148" i="67"/>
  <c r="BN148" i="67"/>
  <c r="BO148" i="67"/>
  <c r="BO129" i="67"/>
  <c r="BM129" i="67"/>
  <c r="BQ129" i="67"/>
  <c r="BN129" i="67"/>
  <c r="BM152" i="67"/>
  <c r="BQ152" i="67"/>
  <c r="BN152" i="67"/>
  <c r="BO152" i="67"/>
  <c r="BP136" i="67"/>
  <c r="BO145" i="67"/>
  <c r="BM145" i="67"/>
  <c r="BQ145" i="67"/>
  <c r="BN145" i="67"/>
  <c r="BP153" i="67"/>
  <c r="BP132" i="67"/>
  <c r="BP144" i="67"/>
  <c r="BP137" i="67"/>
  <c r="BP124" i="67"/>
  <c r="BM128" i="67"/>
  <c r="BQ128" i="67"/>
  <c r="BN128" i="67"/>
  <c r="BO128" i="67"/>
  <c r="BO133" i="67"/>
  <c r="BM133" i="67"/>
  <c r="BQ133" i="67"/>
  <c r="BN133" i="67"/>
  <c r="BO125" i="67"/>
  <c r="BM125" i="67"/>
  <c r="BQ125" i="67"/>
  <c r="BN125" i="67"/>
  <c r="BP145" i="67"/>
  <c r="BN146" i="67"/>
  <c r="BO146" i="67"/>
  <c r="BM146" i="67"/>
  <c r="BQ146" i="67"/>
  <c r="BM140" i="67"/>
  <c r="BQ140" i="67"/>
  <c r="BN140" i="67"/>
  <c r="BO140" i="67"/>
  <c r="BO149" i="67"/>
  <c r="BM149" i="67"/>
  <c r="BQ149" i="67"/>
  <c r="BN149" i="67"/>
  <c r="BP128" i="67"/>
  <c r="BP133" i="67"/>
  <c r="AB114" i="64"/>
  <c r="AB116" i="64"/>
  <c r="AB118" i="64"/>
  <c r="AC120" i="64"/>
  <c r="AC121" i="64"/>
  <c r="AA122" i="64"/>
  <c r="AA123" i="64"/>
  <c r="AC114" i="64"/>
  <c r="AC116" i="64"/>
  <c r="AC118" i="64"/>
  <c r="AB122" i="64"/>
  <c r="AC123" i="64"/>
  <c r="AA114" i="64"/>
  <c r="AA118" i="64"/>
  <c r="AC122" i="64"/>
  <c r="AB120" i="64"/>
  <c r="AA116" i="64"/>
  <c r="AA119" i="64"/>
  <c r="AC115" i="64"/>
  <c r="AB117" i="64"/>
  <c r="AA117" i="64"/>
  <c r="AB121" i="64"/>
  <c r="AA121" i="64"/>
  <c r="AC119" i="64"/>
  <c r="AA124" i="64"/>
  <c r="AA115" i="64"/>
  <c r="AA120" i="64"/>
  <c r="AC124" i="64"/>
  <c r="AB119" i="64"/>
  <c r="AB115" i="64"/>
  <c r="AB124" i="64"/>
  <c r="AC117" i="64"/>
  <c r="AB123" i="64"/>
  <c r="AD791" i="54"/>
  <c r="AH791" i="54" s="1"/>
  <c r="AL791" i="54" s="1"/>
  <c r="Z770" i="54"/>
  <c r="AF770" i="54" s="1"/>
  <c r="Z791" i="54"/>
  <c r="AF791" i="54" s="1"/>
  <c r="AJ791" i="54" s="1"/>
  <c r="AB770" i="54"/>
  <c r="AG770" i="54" s="1"/>
  <c r="I115" i="64"/>
  <c r="L115" i="64" s="1"/>
  <c r="I112" i="64"/>
  <c r="L112" i="64" s="1"/>
  <c r="I110" i="64"/>
  <c r="L110" i="64" s="1"/>
  <c r="I113" i="64"/>
  <c r="L113" i="64" s="1"/>
  <c r="I116" i="64"/>
  <c r="L116" i="64" s="1"/>
  <c r="I111" i="64"/>
  <c r="L111" i="64" s="1"/>
  <c r="AD193" i="54"/>
  <c r="AH193" i="54" s="1"/>
  <c r="AL193" i="54" s="1"/>
  <c r="AD173" i="54"/>
  <c r="AH173" i="54" s="1"/>
  <c r="AL173" i="54" s="1"/>
  <c r="AD153" i="54"/>
  <c r="AH153" i="54" s="1"/>
  <c r="AL153" i="54" s="1"/>
  <c r="AD133" i="54"/>
  <c r="AH133" i="54" s="1"/>
  <c r="AL133" i="54" s="1"/>
  <c r="AD113" i="54"/>
  <c r="AH113" i="54" s="1"/>
  <c r="AL113" i="54" s="1"/>
  <c r="AD93" i="54"/>
  <c r="AH93" i="54" s="1"/>
  <c r="AL93" i="54" s="1"/>
  <c r="AD73" i="54"/>
  <c r="AH73" i="54" s="1"/>
  <c r="AL73" i="54" s="1"/>
  <c r="AD53" i="54"/>
  <c r="AH53" i="54" s="1"/>
  <c r="AL53" i="54" s="1"/>
  <c r="AD33" i="54"/>
  <c r="AH33" i="54" s="1"/>
  <c r="AL33" i="54" s="1"/>
  <c r="H112" i="64"/>
  <c r="K112" i="64" s="1"/>
  <c r="H115" i="64"/>
  <c r="K115" i="64" s="1"/>
  <c r="H113" i="64"/>
  <c r="K113" i="64" s="1"/>
  <c r="H110" i="64"/>
  <c r="K110" i="64" s="1"/>
  <c r="H116" i="64"/>
  <c r="K116" i="64" s="1"/>
  <c r="H111" i="64"/>
  <c r="K111" i="64" s="1"/>
  <c r="AB193" i="54"/>
  <c r="AG193" i="54" s="1"/>
  <c r="AK193" i="54" s="1"/>
  <c r="AB173" i="54"/>
  <c r="AG173" i="54" s="1"/>
  <c r="AK173" i="54" s="1"/>
  <c r="AB153" i="54"/>
  <c r="AG153" i="54" s="1"/>
  <c r="AK153" i="54" s="1"/>
  <c r="AB133" i="54"/>
  <c r="AG133" i="54" s="1"/>
  <c r="AK133" i="54" s="1"/>
  <c r="AB113" i="54"/>
  <c r="AG113" i="54" s="1"/>
  <c r="AK113" i="54" s="1"/>
  <c r="AB93" i="54"/>
  <c r="AG93" i="54" s="1"/>
  <c r="AK93" i="54" s="1"/>
  <c r="AB73" i="54"/>
  <c r="AG73" i="54" s="1"/>
  <c r="AK73" i="54" s="1"/>
  <c r="AB53" i="54"/>
  <c r="AG53" i="54" s="1"/>
  <c r="AK53" i="54" s="1"/>
  <c r="AB33" i="54"/>
  <c r="AG33" i="54" s="1"/>
  <c r="AK33" i="54" s="1"/>
  <c r="Z706" i="54"/>
  <c r="AF706" i="54" s="1"/>
  <c r="Z664" i="54"/>
  <c r="AF664" i="54" s="1"/>
  <c r="AB244" i="54"/>
  <c r="AG244" i="54" s="1"/>
  <c r="AB13" i="54"/>
  <c r="AG13" i="54" s="1"/>
  <c r="AK13" i="54" s="1"/>
  <c r="AB307" i="54"/>
  <c r="AG307" i="54" s="1"/>
  <c r="AB265" i="54"/>
  <c r="AG265" i="54" s="1"/>
  <c r="AB286" i="54"/>
  <c r="AG286" i="54" s="1"/>
  <c r="AD244" i="54"/>
  <c r="AH244" i="54" s="1"/>
  <c r="AD307" i="54"/>
  <c r="AH307" i="54" s="1"/>
  <c r="AD265" i="54"/>
  <c r="AH265" i="54" s="1"/>
  <c r="AD13" i="54"/>
  <c r="AH13" i="54" s="1"/>
  <c r="AL13" i="54" s="1"/>
  <c r="AD286" i="54"/>
  <c r="AH286" i="54" s="1"/>
  <c r="V135" i="64" l="1"/>
  <c r="V127" i="64"/>
  <c r="V128" i="64"/>
  <c r="V129" i="64"/>
  <c r="V131" i="64"/>
  <c r="V130" i="64"/>
  <c r="V132" i="64"/>
  <c r="V133" i="64"/>
  <c r="V126" i="64"/>
  <c r="V134" i="64"/>
  <c r="V125" i="64"/>
  <c r="AB791" i="54"/>
  <c r="AG791" i="54" s="1"/>
  <c r="AK791" i="54" s="1"/>
  <c r="AD770" i="54"/>
  <c r="AH770" i="54" s="1"/>
  <c r="X708" i="54"/>
  <c r="X729" i="54"/>
  <c r="X372" i="54"/>
  <c r="X624" i="54"/>
  <c r="X666" i="54"/>
  <c r="T792" i="54"/>
  <c r="V309" i="54"/>
  <c r="V330" i="54"/>
  <c r="V267" i="54"/>
  <c r="V204" i="54"/>
  <c r="V183" i="54"/>
  <c r="V57" i="54"/>
  <c r="V78" i="54"/>
  <c r="V15" i="54"/>
  <c r="V288" i="54"/>
  <c r="V225" i="54"/>
  <c r="V141" i="54"/>
  <c r="V162" i="54"/>
  <c r="V99" i="54"/>
  <c r="V36" i="54"/>
  <c r="V246" i="54"/>
  <c r="V120" i="54"/>
  <c r="V561" i="54"/>
  <c r="V498" i="54"/>
  <c r="V435" i="54"/>
  <c r="V372" i="54"/>
  <c r="V708" i="54"/>
  <c r="V351" i="54"/>
  <c r="V771" i="54"/>
  <c r="V645" i="54"/>
  <c r="V582" i="54"/>
  <c r="V519" i="54"/>
  <c r="V456" i="54"/>
  <c r="V792" i="54"/>
  <c r="V414" i="54"/>
  <c r="V624" i="54"/>
  <c r="V393" i="54"/>
  <c r="V729" i="54"/>
  <c r="V666" i="54"/>
  <c r="V603" i="54"/>
  <c r="V540" i="54"/>
  <c r="V750" i="54"/>
  <c r="V477" i="54"/>
  <c r="V687" i="54"/>
  <c r="X78" i="54"/>
  <c r="X162" i="54"/>
  <c r="X246" i="54"/>
  <c r="X330" i="54"/>
  <c r="X15" i="54"/>
  <c r="X99" i="54"/>
  <c r="X183" i="54"/>
  <c r="X267" i="54"/>
  <c r="X36" i="54"/>
  <c r="X120" i="54"/>
  <c r="X204" i="54"/>
  <c r="X288" i="54"/>
  <c r="X57" i="54"/>
  <c r="X309" i="54"/>
  <c r="X141" i="54"/>
  <c r="X225" i="54"/>
  <c r="T36" i="54"/>
  <c r="T120" i="54"/>
  <c r="T57" i="54"/>
  <c r="T141" i="54"/>
  <c r="T78" i="54"/>
  <c r="T162" i="54"/>
  <c r="T246" i="54"/>
  <c r="T330" i="54"/>
  <c r="T15" i="54"/>
  <c r="T183" i="54"/>
  <c r="T267" i="54"/>
  <c r="T99" i="54"/>
  <c r="T204" i="54"/>
  <c r="T288" i="54"/>
  <c r="T225" i="54"/>
  <c r="T309" i="54"/>
  <c r="D121" i="64"/>
  <c r="D118" i="64"/>
  <c r="D122" i="64"/>
  <c r="D120" i="64"/>
  <c r="D119" i="64"/>
  <c r="D117" i="64"/>
  <c r="F117" i="64"/>
  <c r="F118" i="64"/>
  <c r="F121" i="64"/>
  <c r="F119" i="64"/>
  <c r="F122" i="64"/>
  <c r="F120" i="64"/>
  <c r="E120" i="64"/>
  <c r="E119" i="64"/>
  <c r="E121" i="64"/>
  <c r="E117" i="64"/>
  <c r="E122" i="64"/>
  <c r="E118" i="64"/>
  <c r="AD664" i="54"/>
  <c r="AH664" i="54" s="1"/>
  <c r="AD706" i="54"/>
  <c r="AH706" i="54" s="1"/>
  <c r="AB706" i="54"/>
  <c r="AG706" i="54" s="1"/>
  <c r="AB664" i="54"/>
  <c r="AG664" i="54" s="1"/>
  <c r="Z308" i="54"/>
  <c r="AF308" i="54" s="1"/>
  <c r="Z287" i="54"/>
  <c r="AF287" i="54" s="1"/>
  <c r="Z224" i="54"/>
  <c r="AF224" i="54" s="1"/>
  <c r="Z266" i="54"/>
  <c r="AF266" i="54" s="1"/>
  <c r="Z245" i="54"/>
  <c r="AF245" i="54" s="1"/>
  <c r="Z14" i="54"/>
  <c r="AF14" i="54" s="1"/>
  <c r="AJ14" i="54" s="1"/>
  <c r="X645" i="54" l="1"/>
  <c r="W129" i="64"/>
  <c r="W131" i="64"/>
  <c r="W130" i="64"/>
  <c r="W126" i="64"/>
  <c r="W134" i="64"/>
  <c r="W128" i="64"/>
  <c r="W133" i="64"/>
  <c r="W125" i="64"/>
  <c r="W127" i="64"/>
  <c r="W132" i="64"/>
  <c r="W135" i="64"/>
  <c r="X519" i="54"/>
  <c r="X477" i="54"/>
  <c r="T708" i="54"/>
  <c r="U128" i="64"/>
  <c r="U134" i="64"/>
  <c r="U126" i="64"/>
  <c r="U130" i="64"/>
  <c r="U125" i="64"/>
  <c r="U131" i="64"/>
  <c r="U135" i="64"/>
  <c r="U127" i="64"/>
  <c r="U133" i="64"/>
  <c r="U129" i="64"/>
  <c r="U132" i="64"/>
  <c r="AZ14" i="65"/>
  <c r="DP262" i="65"/>
  <c r="DP278" i="65"/>
  <c r="DP294" i="65"/>
  <c r="DP310" i="65"/>
  <c r="DP334" i="65"/>
  <c r="DP346" i="65"/>
  <c r="DS325" i="65"/>
  <c r="DS349" i="65"/>
  <c r="DP264" i="65"/>
  <c r="DP280" i="65"/>
  <c r="DP296" i="65"/>
  <c r="DP312" i="65"/>
  <c r="DP324" i="65"/>
  <c r="DP336" i="65"/>
  <c r="DP263" i="65"/>
  <c r="DS267" i="65"/>
  <c r="DP279" i="65"/>
  <c r="DS283" i="65"/>
  <c r="DP295" i="65"/>
  <c r="DS299" i="65"/>
  <c r="DP311" i="65"/>
  <c r="DS315" i="65"/>
  <c r="DP323" i="65"/>
  <c r="DP335" i="65"/>
  <c r="M14" i="65"/>
  <c r="T603" i="54"/>
  <c r="X603" i="54"/>
  <c r="X393" i="54"/>
  <c r="X540" i="54"/>
  <c r="X582" i="54"/>
  <c r="X351" i="54"/>
  <c r="X687" i="54"/>
  <c r="X771" i="54"/>
  <c r="X435" i="54"/>
  <c r="T729" i="54"/>
  <c r="T750" i="54"/>
  <c r="X414" i="54"/>
  <c r="T519" i="54"/>
  <c r="T393" i="54"/>
  <c r="T645" i="54"/>
  <c r="T540" i="54"/>
  <c r="T666" i="54"/>
  <c r="T687" i="54"/>
  <c r="T561" i="54"/>
  <c r="T498" i="54"/>
  <c r="T351" i="54"/>
  <c r="T477" i="54"/>
  <c r="T771" i="54"/>
  <c r="X456" i="54"/>
  <c r="X561" i="54"/>
  <c r="X498" i="54"/>
  <c r="T456" i="54"/>
  <c r="T414" i="54"/>
  <c r="T582" i="54"/>
  <c r="X750" i="54"/>
  <c r="X792" i="54"/>
  <c r="T624" i="54"/>
  <c r="T372" i="54"/>
  <c r="T435" i="54"/>
  <c r="G117" i="64"/>
  <c r="J117" i="64" s="1"/>
  <c r="G118" i="64"/>
  <c r="J118" i="64" s="1"/>
  <c r="G120" i="64"/>
  <c r="J120" i="64" s="1"/>
  <c r="G122" i="64"/>
  <c r="J122" i="64" s="1"/>
  <c r="G119" i="64"/>
  <c r="J119" i="64" s="1"/>
  <c r="G121" i="64"/>
  <c r="J121" i="64" s="1"/>
  <c r="Z214" i="54"/>
  <c r="AF214" i="54" s="1"/>
  <c r="AJ214" i="54" s="1"/>
  <c r="Z194" i="54"/>
  <c r="AF194" i="54" s="1"/>
  <c r="AJ194" i="54" s="1"/>
  <c r="Z174" i="54"/>
  <c r="AF174" i="54" s="1"/>
  <c r="AJ174" i="54" s="1"/>
  <c r="Z154" i="54"/>
  <c r="AF154" i="54" s="1"/>
  <c r="AJ154" i="54" s="1"/>
  <c r="Z134" i="54"/>
  <c r="AF134" i="54" s="1"/>
  <c r="AJ134" i="54" s="1"/>
  <c r="Z114" i="54"/>
  <c r="AF114" i="54" s="1"/>
  <c r="AJ114" i="54" s="1"/>
  <c r="Z94" i="54"/>
  <c r="AF94" i="54" s="1"/>
  <c r="AJ94" i="54" s="1"/>
  <c r="Z74" i="54"/>
  <c r="AF74" i="54" s="1"/>
  <c r="AJ74" i="54" s="1"/>
  <c r="Z54" i="54"/>
  <c r="AF54" i="54" s="1"/>
  <c r="AJ54" i="54" s="1"/>
  <c r="Z34" i="54"/>
  <c r="AF34" i="54" s="1"/>
  <c r="AJ34" i="54" s="1"/>
  <c r="H121" i="64"/>
  <c r="K121" i="64" s="1"/>
  <c r="H117" i="64"/>
  <c r="K117" i="64" s="1"/>
  <c r="H122" i="64"/>
  <c r="K122" i="64" s="1"/>
  <c r="H119" i="64"/>
  <c r="K119" i="64" s="1"/>
  <c r="H118" i="64"/>
  <c r="H120" i="64"/>
  <c r="K120" i="64" s="1"/>
  <c r="AB214" i="54"/>
  <c r="AG214" i="54" s="1"/>
  <c r="AK214" i="54" s="1"/>
  <c r="AB194" i="54"/>
  <c r="AG194" i="54" s="1"/>
  <c r="AK194" i="54" s="1"/>
  <c r="AB174" i="54"/>
  <c r="AG174" i="54" s="1"/>
  <c r="AK174" i="54" s="1"/>
  <c r="AB154" i="54"/>
  <c r="AG154" i="54" s="1"/>
  <c r="AK154" i="54" s="1"/>
  <c r="AB134" i="54"/>
  <c r="AG134" i="54" s="1"/>
  <c r="AK134" i="54" s="1"/>
  <c r="AB114" i="54"/>
  <c r="AG114" i="54" s="1"/>
  <c r="AK114" i="54" s="1"/>
  <c r="AB94" i="54"/>
  <c r="AG94" i="54" s="1"/>
  <c r="AK94" i="54" s="1"/>
  <c r="AB74" i="54"/>
  <c r="AG74" i="54" s="1"/>
  <c r="AK74" i="54" s="1"/>
  <c r="AB54" i="54"/>
  <c r="AG54" i="54" s="1"/>
  <c r="AK54" i="54" s="1"/>
  <c r="AB34" i="54"/>
  <c r="AG34" i="54" s="1"/>
  <c r="AK34" i="54" s="1"/>
  <c r="I117" i="64"/>
  <c r="L117" i="64" s="1"/>
  <c r="I121" i="64"/>
  <c r="L121" i="64" s="1"/>
  <c r="I118" i="64"/>
  <c r="L118" i="64" s="1"/>
  <c r="I120" i="64"/>
  <c r="L120" i="64" s="1"/>
  <c r="I122" i="64"/>
  <c r="L122" i="64" s="1"/>
  <c r="I119" i="64"/>
  <c r="L119" i="64" s="1"/>
  <c r="AD214" i="54"/>
  <c r="AH214" i="54" s="1"/>
  <c r="AL214" i="54" s="1"/>
  <c r="AD194" i="54"/>
  <c r="AH194" i="54" s="1"/>
  <c r="AL194" i="54" s="1"/>
  <c r="AD174" i="54"/>
  <c r="AH174" i="54" s="1"/>
  <c r="AL174" i="54" s="1"/>
  <c r="AD154" i="54"/>
  <c r="AH154" i="54" s="1"/>
  <c r="AL154" i="54" s="1"/>
  <c r="AD134" i="54"/>
  <c r="AH134" i="54" s="1"/>
  <c r="AL134" i="54" s="1"/>
  <c r="AD114" i="54"/>
  <c r="AH114" i="54" s="1"/>
  <c r="AL114" i="54" s="1"/>
  <c r="AD94" i="54"/>
  <c r="AH94" i="54" s="1"/>
  <c r="AL94" i="54" s="1"/>
  <c r="AD74" i="54"/>
  <c r="AH74" i="54" s="1"/>
  <c r="AL74" i="54" s="1"/>
  <c r="AD54" i="54"/>
  <c r="AH54" i="54" s="1"/>
  <c r="AL54" i="54" s="1"/>
  <c r="AD34" i="54"/>
  <c r="AH34" i="54" s="1"/>
  <c r="AL34" i="54" s="1"/>
  <c r="K118" i="64"/>
  <c r="Z686" i="54"/>
  <c r="AF686" i="54" s="1"/>
  <c r="Z644" i="54"/>
  <c r="AF644" i="54" s="1"/>
  <c r="AB224" i="54"/>
  <c r="AG224" i="54" s="1"/>
  <c r="AB14" i="54"/>
  <c r="AG14" i="54" s="1"/>
  <c r="AK14" i="54" s="1"/>
  <c r="AB245" i="54"/>
  <c r="AG245" i="54" s="1"/>
  <c r="AB266" i="54"/>
  <c r="AG266" i="54" s="1"/>
  <c r="AB308" i="54"/>
  <c r="AG308" i="54" s="1"/>
  <c r="AB287" i="54"/>
  <c r="AG287" i="54" s="1"/>
  <c r="AD245" i="54"/>
  <c r="AH245" i="54" s="1"/>
  <c r="AD308" i="54"/>
  <c r="AH308" i="54" s="1"/>
  <c r="AD266" i="54"/>
  <c r="AH266" i="54" s="1"/>
  <c r="AD224" i="54"/>
  <c r="AH224" i="54" s="1"/>
  <c r="AD287" i="54"/>
  <c r="AH287" i="54" s="1"/>
  <c r="AD14" i="54"/>
  <c r="AH14" i="54" s="1"/>
  <c r="AL14" i="54" s="1"/>
  <c r="FB114" i="65" l="1"/>
  <c r="FA114" i="65" s="1"/>
  <c r="T125" i="67"/>
  <c r="Z125" i="67" s="1"/>
  <c r="T129" i="67"/>
  <c r="Z129" i="67" s="1"/>
  <c r="T133" i="67"/>
  <c r="Z133" i="67" s="1"/>
  <c r="T137" i="67"/>
  <c r="Z137" i="67" s="1"/>
  <c r="T141" i="67"/>
  <c r="Z141" i="67" s="1"/>
  <c r="T145" i="67"/>
  <c r="Z145" i="67" s="1"/>
  <c r="T149" i="67"/>
  <c r="Z149" i="67" s="1"/>
  <c r="T124" i="67"/>
  <c r="Z124" i="67" s="1"/>
  <c r="T128" i="67"/>
  <c r="Z128" i="67" s="1"/>
  <c r="T132" i="67"/>
  <c r="Z132" i="67" s="1"/>
  <c r="T136" i="67"/>
  <c r="Z136" i="67" s="1"/>
  <c r="T140" i="67"/>
  <c r="Z140" i="67" s="1"/>
  <c r="T144" i="67"/>
  <c r="Z144" i="67" s="1"/>
  <c r="T148" i="67"/>
  <c r="Z148" i="67" s="1"/>
  <c r="T152" i="67"/>
  <c r="Z152" i="67" s="1"/>
  <c r="T123" i="67"/>
  <c r="Z123" i="67" s="1"/>
  <c r="T127" i="67"/>
  <c r="Z127" i="67" s="1"/>
  <c r="T131" i="67"/>
  <c r="Z131" i="67" s="1"/>
  <c r="T135" i="67"/>
  <c r="Z135" i="67" s="1"/>
  <c r="T139" i="67"/>
  <c r="Z139" i="67" s="1"/>
  <c r="T143" i="67"/>
  <c r="Z143" i="67" s="1"/>
  <c r="T147" i="67"/>
  <c r="Z147" i="67" s="1"/>
  <c r="T151" i="67"/>
  <c r="Z151" i="67" s="1"/>
  <c r="T126" i="67"/>
  <c r="Z126" i="67" s="1"/>
  <c r="T130" i="67"/>
  <c r="Z130" i="67" s="1"/>
  <c r="T134" i="67"/>
  <c r="Z134" i="67" s="1"/>
  <c r="T138" i="67"/>
  <c r="Z138" i="67" s="1"/>
  <c r="T142" i="67"/>
  <c r="Z142" i="67" s="1"/>
  <c r="T146" i="67"/>
  <c r="Z146" i="67" s="1"/>
  <c r="T150" i="67"/>
  <c r="Z150" i="67" s="1"/>
  <c r="AY9" i="65"/>
  <c r="FB53" i="65" s="1"/>
  <c r="FA53" i="65" s="1"/>
  <c r="AY14" i="65"/>
  <c r="L14" i="65"/>
  <c r="AB130" i="64"/>
  <c r="AC131" i="64"/>
  <c r="AC130" i="64"/>
  <c r="AB134" i="64"/>
  <c r="AC135" i="64"/>
  <c r="AC128" i="64"/>
  <c r="AB126" i="64"/>
  <c r="AA130" i="64"/>
  <c r="AC126" i="64"/>
  <c r="AB128" i="64"/>
  <c r="AC129" i="64"/>
  <c r="AA131" i="64"/>
  <c r="AC134" i="64"/>
  <c r="AC127" i="64"/>
  <c r="AC133" i="64"/>
  <c r="AC125" i="64"/>
  <c r="AC132" i="64"/>
  <c r="AB133" i="64"/>
  <c r="AA125" i="64"/>
  <c r="AA132" i="64"/>
  <c r="AB127" i="64"/>
  <c r="AA134" i="64"/>
  <c r="AA127" i="64"/>
  <c r="AA128" i="64"/>
  <c r="AA133" i="64"/>
  <c r="AB132" i="64"/>
  <c r="AA126" i="64"/>
  <c r="AB131" i="64"/>
  <c r="AB129" i="64"/>
  <c r="AB125" i="64"/>
  <c r="AB135" i="64"/>
  <c r="AA129" i="64"/>
  <c r="AA135" i="64"/>
  <c r="DO295" i="65"/>
  <c r="DO294" i="65"/>
  <c r="DR349" i="65"/>
  <c r="DO279" i="65"/>
  <c r="DO310" i="65"/>
  <c r="DR283" i="65"/>
  <c r="DO324" i="65"/>
  <c r="DR299" i="65"/>
  <c r="DO264" i="65"/>
  <c r="DO346" i="65"/>
  <c r="DO262" i="65"/>
  <c r="DO296" i="65"/>
  <c r="DO311" i="65"/>
  <c r="DO323" i="65"/>
  <c r="DR267" i="65"/>
  <c r="DO312" i="65"/>
  <c r="DO280" i="65"/>
  <c r="DO263" i="65"/>
  <c r="DO335" i="65"/>
  <c r="DR315" i="65"/>
  <c r="DO334" i="65"/>
  <c r="DO336" i="65"/>
  <c r="DO278" i="65"/>
  <c r="DR325" i="65"/>
  <c r="BA14" i="65"/>
  <c r="DS263" i="65"/>
  <c r="DS279" i="65"/>
  <c r="DS295" i="65"/>
  <c r="DS311" i="65"/>
  <c r="DS335" i="65"/>
  <c r="DP347" i="65"/>
  <c r="DP266" i="65"/>
  <c r="DP282" i="65"/>
  <c r="DP298" i="65"/>
  <c r="DP314" i="65"/>
  <c r="DS326" i="65"/>
  <c r="DP338" i="65"/>
  <c r="DS350" i="65"/>
  <c r="DP265" i="65"/>
  <c r="DP281" i="65"/>
  <c r="DP297" i="65"/>
  <c r="DP313" i="65"/>
  <c r="DP337" i="65"/>
  <c r="DS268" i="65"/>
  <c r="DS284" i="65"/>
  <c r="DS300" i="65"/>
  <c r="DS316" i="65"/>
  <c r="DS324" i="65"/>
  <c r="DP348" i="65"/>
  <c r="N14" i="65"/>
  <c r="Z771" i="54"/>
  <c r="AF771" i="54" s="1"/>
  <c r="AB792" i="54"/>
  <c r="AG792" i="54" s="1"/>
  <c r="AK792" i="54" s="1"/>
  <c r="Z792" i="54"/>
  <c r="AF792" i="54" s="1"/>
  <c r="AJ792" i="54" s="1"/>
  <c r="T16" i="54"/>
  <c r="T100" i="54"/>
  <c r="T37" i="54"/>
  <c r="T121" i="54"/>
  <c r="T58" i="54"/>
  <c r="T142" i="54"/>
  <c r="T226" i="54"/>
  <c r="T310" i="54"/>
  <c r="T163" i="54"/>
  <c r="T247" i="54"/>
  <c r="T331" i="54"/>
  <c r="T79" i="54"/>
  <c r="T184" i="54"/>
  <c r="T268" i="54"/>
  <c r="T205" i="54"/>
  <c r="T289" i="54"/>
  <c r="D126" i="64"/>
  <c r="D128" i="64"/>
  <c r="D123" i="64"/>
  <c r="D129" i="64"/>
  <c r="D124" i="64"/>
  <c r="D127" i="64"/>
  <c r="F126" i="64"/>
  <c r="F123" i="64"/>
  <c r="F129" i="64"/>
  <c r="F127" i="64"/>
  <c r="F124" i="64"/>
  <c r="F128" i="64"/>
  <c r="E128" i="64"/>
  <c r="E124" i="64"/>
  <c r="E129" i="64"/>
  <c r="E126" i="64"/>
  <c r="E127" i="64"/>
  <c r="E123" i="64"/>
  <c r="AD686" i="54"/>
  <c r="AH686" i="54" s="1"/>
  <c r="AD644" i="54"/>
  <c r="AH644" i="54" s="1"/>
  <c r="AB644" i="54"/>
  <c r="AG644" i="54" s="1"/>
  <c r="AB686" i="54"/>
  <c r="AG686" i="54" s="1"/>
  <c r="FB113" i="65" l="1"/>
  <c r="FA113" i="65" s="1"/>
  <c r="FB115" i="65"/>
  <c r="FA115" i="65" s="1"/>
  <c r="U126" i="67"/>
  <c r="AA126" i="67" s="1"/>
  <c r="U130" i="67"/>
  <c r="AA130" i="67" s="1"/>
  <c r="U134" i="67"/>
  <c r="AA134" i="67" s="1"/>
  <c r="U138" i="67"/>
  <c r="AA138" i="67" s="1"/>
  <c r="U142" i="67"/>
  <c r="AA142" i="67" s="1"/>
  <c r="U146" i="67"/>
  <c r="AA146" i="67" s="1"/>
  <c r="U150" i="67"/>
  <c r="AA150" i="67" s="1"/>
  <c r="U125" i="67"/>
  <c r="AA125" i="67" s="1"/>
  <c r="U129" i="67"/>
  <c r="AA129" i="67" s="1"/>
  <c r="U133" i="67"/>
  <c r="AA133" i="67" s="1"/>
  <c r="U137" i="67"/>
  <c r="AA137" i="67" s="1"/>
  <c r="U141" i="67"/>
  <c r="AA141" i="67" s="1"/>
  <c r="U145" i="67"/>
  <c r="AA145" i="67" s="1"/>
  <c r="U149" i="67"/>
  <c r="AA149" i="67" s="1"/>
  <c r="U124" i="67"/>
  <c r="AA124" i="67" s="1"/>
  <c r="U128" i="67"/>
  <c r="AA128" i="67" s="1"/>
  <c r="U132" i="67"/>
  <c r="AA132" i="67" s="1"/>
  <c r="U136" i="67"/>
  <c r="AA136" i="67" s="1"/>
  <c r="U140" i="67"/>
  <c r="AA140" i="67" s="1"/>
  <c r="U144" i="67"/>
  <c r="AA144" i="67" s="1"/>
  <c r="U148" i="67"/>
  <c r="AA148" i="67" s="1"/>
  <c r="U152" i="67"/>
  <c r="AA152" i="67" s="1"/>
  <c r="U123" i="67"/>
  <c r="AA123" i="67" s="1"/>
  <c r="U127" i="67"/>
  <c r="AA127" i="67" s="1"/>
  <c r="U131" i="67"/>
  <c r="AA131" i="67" s="1"/>
  <c r="U135" i="67"/>
  <c r="AA135" i="67" s="1"/>
  <c r="U139" i="67"/>
  <c r="AA139" i="67" s="1"/>
  <c r="U143" i="67"/>
  <c r="AA143" i="67" s="1"/>
  <c r="U147" i="67"/>
  <c r="AA147" i="67" s="1"/>
  <c r="U151" i="67"/>
  <c r="AA151" i="67" s="1"/>
  <c r="S124" i="67"/>
  <c r="Y124" i="67" s="1"/>
  <c r="S128" i="67"/>
  <c r="Y128" i="67" s="1"/>
  <c r="S132" i="67"/>
  <c r="Y132" i="67" s="1"/>
  <c r="S136" i="67"/>
  <c r="Y136" i="67" s="1"/>
  <c r="S140" i="67"/>
  <c r="Y140" i="67" s="1"/>
  <c r="S144" i="67"/>
  <c r="Y144" i="67" s="1"/>
  <c r="S148" i="67"/>
  <c r="Y148" i="67" s="1"/>
  <c r="S152" i="67"/>
  <c r="Y152" i="67" s="1"/>
  <c r="S123" i="67"/>
  <c r="Y123" i="67" s="1"/>
  <c r="S127" i="67"/>
  <c r="Y127" i="67" s="1"/>
  <c r="S131" i="67"/>
  <c r="Y131" i="67" s="1"/>
  <c r="S135" i="67"/>
  <c r="Y135" i="67" s="1"/>
  <c r="S139" i="67"/>
  <c r="Y139" i="67" s="1"/>
  <c r="S143" i="67"/>
  <c r="Y143" i="67" s="1"/>
  <c r="S147" i="67"/>
  <c r="Y147" i="67" s="1"/>
  <c r="S151" i="67"/>
  <c r="Y151" i="67" s="1"/>
  <c r="S126" i="67"/>
  <c r="Y126" i="67" s="1"/>
  <c r="S130" i="67"/>
  <c r="Y130" i="67" s="1"/>
  <c r="S134" i="67"/>
  <c r="Y134" i="67" s="1"/>
  <c r="S138" i="67"/>
  <c r="Y138" i="67" s="1"/>
  <c r="S142" i="67"/>
  <c r="Y142" i="67" s="1"/>
  <c r="S146" i="67"/>
  <c r="Y146" i="67" s="1"/>
  <c r="S150" i="67"/>
  <c r="Y150" i="67" s="1"/>
  <c r="S125" i="67"/>
  <c r="Y125" i="67" s="1"/>
  <c r="S129" i="67"/>
  <c r="Y129" i="67" s="1"/>
  <c r="S133" i="67"/>
  <c r="Y133" i="67" s="1"/>
  <c r="S137" i="67"/>
  <c r="Y137" i="67" s="1"/>
  <c r="S141" i="67"/>
  <c r="Y141" i="67" s="1"/>
  <c r="S145" i="67"/>
  <c r="Y145" i="67" s="1"/>
  <c r="S149" i="67"/>
  <c r="Y149" i="67" s="1"/>
  <c r="DR295" i="65"/>
  <c r="DR300" i="65"/>
  <c r="DR335" i="65"/>
  <c r="DR263" i="65"/>
  <c r="DO265" i="65"/>
  <c r="DR326" i="65"/>
  <c r="DR324" i="65"/>
  <c r="DO281" i="65"/>
  <c r="DO314" i="65"/>
  <c r="DR311" i="65"/>
  <c r="DR316" i="65"/>
  <c r="DO298" i="65"/>
  <c r="DO313" i="65"/>
  <c r="DR279" i="65"/>
  <c r="DO348" i="65"/>
  <c r="DO337" i="65"/>
  <c r="DO297" i="65"/>
  <c r="DR268" i="65"/>
  <c r="DO282" i="65"/>
  <c r="DO338" i="65"/>
  <c r="DR284" i="65"/>
  <c r="DO266" i="65"/>
  <c r="DR350" i="65"/>
  <c r="CZ338" i="65"/>
  <c r="CZ314" i="65"/>
  <c r="CZ282" i="65"/>
  <c r="CZ347" i="65"/>
  <c r="CZ311" i="65"/>
  <c r="CZ279" i="65"/>
  <c r="CZ336" i="65"/>
  <c r="CZ300" i="65"/>
  <c r="DP300" i="65"/>
  <c r="DP268" i="65"/>
  <c r="CZ268" i="65"/>
  <c r="CZ337" i="65"/>
  <c r="DP309" i="65"/>
  <c r="CZ309" i="65"/>
  <c r="DP277" i="65"/>
  <c r="CZ277" i="65"/>
  <c r="DO284" i="65"/>
  <c r="DO267" i="65"/>
  <c r="DO293" i="65"/>
  <c r="DO325" i="65"/>
  <c r="DO315" i="65"/>
  <c r="DO268" i="65"/>
  <c r="DO309" i="65"/>
  <c r="DO322" i="65"/>
  <c r="DO283" i="65"/>
  <c r="DO300" i="65"/>
  <c r="DO333" i="65"/>
  <c r="DO277" i="65"/>
  <c r="DO326" i="65"/>
  <c r="DO316" i="65"/>
  <c r="DO261" i="65"/>
  <c r="DO299" i="65"/>
  <c r="DO350" i="65"/>
  <c r="DO345" i="65"/>
  <c r="CZ334" i="65"/>
  <c r="CZ310" i="65"/>
  <c r="CZ278" i="65"/>
  <c r="CZ335" i="65"/>
  <c r="CZ299" i="65"/>
  <c r="DP299" i="65"/>
  <c r="DP267" i="65"/>
  <c r="CZ267" i="65"/>
  <c r="CZ324" i="65"/>
  <c r="CZ296" i="65"/>
  <c r="CZ264" i="65"/>
  <c r="CZ333" i="65"/>
  <c r="DP333" i="65"/>
  <c r="CZ297" i="65"/>
  <c r="CZ265" i="65"/>
  <c r="DP350" i="65"/>
  <c r="CZ350" i="65"/>
  <c r="DP326" i="65"/>
  <c r="CZ326" i="65"/>
  <c r="CZ298" i="65"/>
  <c r="CZ266" i="65"/>
  <c r="CZ323" i="65"/>
  <c r="CZ295" i="65"/>
  <c r="CZ263" i="65"/>
  <c r="CZ316" i="65"/>
  <c r="DP316" i="65"/>
  <c r="DP284" i="65"/>
  <c r="CZ284" i="65"/>
  <c r="DP349" i="65"/>
  <c r="CZ349" i="65"/>
  <c r="CZ325" i="65"/>
  <c r="DP325" i="65"/>
  <c r="DP293" i="65"/>
  <c r="CZ293" i="65"/>
  <c r="DP261" i="65"/>
  <c r="CZ261" i="65"/>
  <c r="CZ346" i="65"/>
  <c r="DP322" i="65"/>
  <c r="CZ322" i="65"/>
  <c r="CZ294" i="65"/>
  <c r="CZ262" i="65"/>
  <c r="DP315" i="65"/>
  <c r="CZ315" i="65"/>
  <c r="DP283" i="65"/>
  <c r="CZ283" i="65"/>
  <c r="CZ348" i="65"/>
  <c r="CZ312" i="65"/>
  <c r="CZ280" i="65"/>
  <c r="DP345" i="65"/>
  <c r="CZ345" i="65"/>
  <c r="CZ313" i="65"/>
  <c r="CZ281" i="65"/>
  <c r="DP406" i="65"/>
  <c r="DP351" i="65"/>
  <c r="DP389" i="65"/>
  <c r="DP405" i="65"/>
  <c r="DP367" i="65"/>
  <c r="DP425" i="65"/>
  <c r="DP437" i="65"/>
  <c r="DP373" i="65"/>
  <c r="DP383" i="65"/>
  <c r="DP358" i="65"/>
  <c r="DP390" i="65"/>
  <c r="DP357" i="65"/>
  <c r="DP374" i="65"/>
  <c r="DP399" i="65"/>
  <c r="DP415" i="65"/>
  <c r="AB771" i="54"/>
  <c r="AG771" i="54" s="1"/>
  <c r="AD792" i="54"/>
  <c r="AH792" i="54" s="1"/>
  <c r="AL792" i="54" s="1"/>
  <c r="AD771" i="54"/>
  <c r="AH771" i="54" s="1"/>
  <c r="T583" i="54"/>
  <c r="V37" i="54"/>
  <c r="V58" i="54"/>
  <c r="V79" i="54"/>
  <c r="V268" i="54"/>
  <c r="V331" i="54"/>
  <c r="V121" i="54"/>
  <c r="V142" i="54"/>
  <c r="V163" i="54"/>
  <c r="V184" i="54"/>
  <c r="V310" i="54"/>
  <c r="V205" i="54"/>
  <c r="V226" i="54"/>
  <c r="V247" i="54"/>
  <c r="V16" i="54"/>
  <c r="V289" i="54"/>
  <c r="V100" i="54"/>
  <c r="V793" i="54"/>
  <c r="V436" i="54"/>
  <c r="V667" i="54"/>
  <c r="V772" i="54"/>
  <c r="V541" i="54"/>
  <c r="V688" i="54"/>
  <c r="V499" i="54"/>
  <c r="X58" i="54"/>
  <c r="X142" i="54"/>
  <c r="X226" i="54"/>
  <c r="X310" i="54"/>
  <c r="X79" i="54"/>
  <c r="X163" i="54"/>
  <c r="X247" i="54"/>
  <c r="X331" i="54"/>
  <c r="X16" i="54"/>
  <c r="X100" i="54"/>
  <c r="X184" i="54"/>
  <c r="X268" i="54"/>
  <c r="X37" i="54"/>
  <c r="X121" i="54"/>
  <c r="X205" i="54"/>
  <c r="X289" i="54"/>
  <c r="G126" i="64"/>
  <c r="J126" i="64" s="1"/>
  <c r="G123" i="64"/>
  <c r="J123" i="64" s="1"/>
  <c r="G124" i="64"/>
  <c r="J124" i="64" s="1"/>
  <c r="G127" i="64"/>
  <c r="J127" i="64" s="1"/>
  <c r="G129" i="64"/>
  <c r="J129" i="64" s="1"/>
  <c r="G128" i="64"/>
  <c r="J128" i="64" s="1"/>
  <c r="Z235" i="54"/>
  <c r="AF235" i="54" s="1"/>
  <c r="AJ235" i="54" s="1"/>
  <c r="Z215" i="54"/>
  <c r="AF215" i="54" s="1"/>
  <c r="AJ215" i="54" s="1"/>
  <c r="Z195" i="54"/>
  <c r="AF195" i="54" s="1"/>
  <c r="AJ195" i="54" s="1"/>
  <c r="Z175" i="54"/>
  <c r="AF175" i="54" s="1"/>
  <c r="AJ175" i="54" s="1"/>
  <c r="Z155" i="54"/>
  <c r="AF155" i="54" s="1"/>
  <c r="AJ155" i="54" s="1"/>
  <c r="Z135" i="54"/>
  <c r="AF135" i="54" s="1"/>
  <c r="AJ135" i="54" s="1"/>
  <c r="Z115" i="54"/>
  <c r="AF115" i="54" s="1"/>
  <c r="AJ115" i="54" s="1"/>
  <c r="Z95" i="54"/>
  <c r="AF95" i="54" s="1"/>
  <c r="AJ95" i="54" s="1"/>
  <c r="Z75" i="54"/>
  <c r="AF75" i="54" s="1"/>
  <c r="AJ75" i="54" s="1"/>
  <c r="Z55" i="54"/>
  <c r="AF55" i="54" s="1"/>
  <c r="AJ55" i="54" s="1"/>
  <c r="Z35" i="54"/>
  <c r="AF35" i="54" s="1"/>
  <c r="AJ35" i="54" s="1"/>
  <c r="Z288" i="54"/>
  <c r="AF288" i="54" s="1"/>
  <c r="Z15" i="54"/>
  <c r="AF15" i="54" s="1"/>
  <c r="AJ15" i="54" s="1"/>
  <c r="Z267" i="54"/>
  <c r="AF267" i="54" s="1"/>
  <c r="Z246" i="54"/>
  <c r="AF246" i="54" s="1"/>
  <c r="Z225" i="54"/>
  <c r="AF225" i="54" s="1"/>
  <c r="Z309" i="54"/>
  <c r="AF309" i="54" s="1"/>
  <c r="Z204" i="54"/>
  <c r="AF204" i="54" s="1"/>
  <c r="BA9" i="65" l="1"/>
  <c r="FB55" i="65" s="1"/>
  <c r="FA55" i="65" s="1"/>
  <c r="DP355" i="65"/>
  <c r="DP371" i="65"/>
  <c r="DP403" i="65"/>
  <c r="DS358" i="65"/>
  <c r="DS390" i="65"/>
  <c r="DS369" i="65"/>
  <c r="DS385" i="65"/>
  <c r="DS401" i="65"/>
  <c r="DP356" i="65"/>
  <c r="DP388" i="65"/>
  <c r="DS427" i="65"/>
  <c r="DP430" i="65"/>
  <c r="DS417" i="65"/>
  <c r="DP429" i="65"/>
  <c r="T394" i="54"/>
  <c r="U137" i="64"/>
  <c r="U145" i="64"/>
  <c r="U136" i="64"/>
  <c r="U141" i="64"/>
  <c r="U143" i="64"/>
  <c r="U139" i="64"/>
  <c r="U144" i="64"/>
  <c r="U146" i="64"/>
  <c r="U138" i="64"/>
  <c r="U142" i="64"/>
  <c r="U140" i="64"/>
  <c r="DR347" i="65"/>
  <c r="DO347" i="65"/>
  <c r="DO349" i="65"/>
  <c r="V136" i="64"/>
  <c r="V139" i="64"/>
  <c r="V141" i="64"/>
  <c r="V143" i="64"/>
  <c r="V145" i="64"/>
  <c r="V137" i="64"/>
  <c r="V138" i="64"/>
  <c r="V142" i="64"/>
  <c r="V144" i="64"/>
  <c r="V140" i="64"/>
  <c r="V146" i="64"/>
  <c r="AZ9" i="65"/>
  <c r="FB54" i="65" s="1"/>
  <c r="FA54" i="65" s="1"/>
  <c r="X667" i="54"/>
  <c r="W136" i="64"/>
  <c r="W137" i="64"/>
  <c r="W143" i="64"/>
  <c r="W146" i="64"/>
  <c r="W141" i="64"/>
  <c r="W145" i="64"/>
  <c r="W144" i="64"/>
  <c r="W139" i="64"/>
  <c r="W142" i="64"/>
  <c r="W138" i="64"/>
  <c r="W140" i="64"/>
  <c r="T457" i="54"/>
  <c r="V646" i="54"/>
  <c r="V352" i="54"/>
  <c r="V730" i="54"/>
  <c r="V709" i="54"/>
  <c r="T730" i="54"/>
  <c r="T688" i="54"/>
  <c r="T562" i="54"/>
  <c r="T415" i="54"/>
  <c r="T436" i="54"/>
  <c r="T646" i="54"/>
  <c r="T751" i="54"/>
  <c r="T499" i="54"/>
  <c r="T520" i="54"/>
  <c r="T604" i="54"/>
  <c r="T478" i="54"/>
  <c r="T772" i="54"/>
  <c r="T709" i="54"/>
  <c r="T373" i="54"/>
  <c r="T625" i="54"/>
  <c r="X373" i="54"/>
  <c r="X751" i="54"/>
  <c r="V562" i="54"/>
  <c r="V415" i="54"/>
  <c r="V751" i="54"/>
  <c r="V394" i="54"/>
  <c r="V520" i="54"/>
  <c r="V373" i="54"/>
  <c r="V625" i="54"/>
  <c r="V478" i="54"/>
  <c r="V604" i="54"/>
  <c r="V457" i="54"/>
  <c r="V583" i="54"/>
  <c r="T793" i="54"/>
  <c r="T667" i="54"/>
  <c r="X730" i="54"/>
  <c r="X478" i="54"/>
  <c r="X688" i="54"/>
  <c r="X709" i="54"/>
  <c r="X436" i="54"/>
  <c r="X583" i="54"/>
  <c r="X415" i="54"/>
  <c r="X541" i="54"/>
  <c r="X646" i="54"/>
  <c r="X562" i="54"/>
  <c r="X499" i="54"/>
  <c r="X604" i="54"/>
  <c r="X394" i="54"/>
  <c r="X793" i="54"/>
  <c r="X625" i="54"/>
  <c r="X772" i="54"/>
  <c r="X457" i="54"/>
  <c r="X352" i="54"/>
  <c r="X520" i="54"/>
  <c r="T541" i="54"/>
  <c r="T352" i="54"/>
  <c r="DS439" i="65"/>
  <c r="DS353" i="65"/>
  <c r="DP404" i="65"/>
  <c r="DP387" i="65"/>
  <c r="DS374" i="65"/>
  <c r="DP372" i="65"/>
  <c r="DS406" i="65"/>
  <c r="DP441" i="65"/>
  <c r="L9" i="65"/>
  <c r="H126" i="64"/>
  <c r="K126" i="64" s="1"/>
  <c r="H128" i="64"/>
  <c r="K128" i="64" s="1"/>
  <c r="H123" i="64"/>
  <c r="K123" i="64" s="1"/>
  <c r="H124" i="64"/>
  <c r="K124" i="64" s="1"/>
  <c r="H127" i="64"/>
  <c r="K127" i="64" s="1"/>
  <c r="H129" i="64"/>
  <c r="K129" i="64" s="1"/>
  <c r="AB235" i="54"/>
  <c r="AG235" i="54" s="1"/>
  <c r="AK235" i="54" s="1"/>
  <c r="AB215" i="54"/>
  <c r="AG215" i="54" s="1"/>
  <c r="AK215" i="54" s="1"/>
  <c r="AB195" i="54"/>
  <c r="AG195" i="54" s="1"/>
  <c r="AK195" i="54" s="1"/>
  <c r="AB175" i="54"/>
  <c r="AG175" i="54" s="1"/>
  <c r="AK175" i="54" s="1"/>
  <c r="AB155" i="54"/>
  <c r="AG155" i="54" s="1"/>
  <c r="AK155" i="54" s="1"/>
  <c r="AB135" i="54"/>
  <c r="AG135" i="54" s="1"/>
  <c r="AK135" i="54" s="1"/>
  <c r="AB115" i="54"/>
  <c r="AG115" i="54" s="1"/>
  <c r="AK115" i="54" s="1"/>
  <c r="AB95" i="54"/>
  <c r="AG95" i="54" s="1"/>
  <c r="AK95" i="54" s="1"/>
  <c r="AB75" i="54"/>
  <c r="AG75" i="54" s="1"/>
  <c r="AK75" i="54" s="1"/>
  <c r="AB55" i="54"/>
  <c r="AG55" i="54" s="1"/>
  <c r="AK55" i="54" s="1"/>
  <c r="AB35" i="54"/>
  <c r="AG35" i="54" s="1"/>
  <c r="AK35" i="54" s="1"/>
  <c r="I126" i="64"/>
  <c r="L126" i="64" s="1"/>
  <c r="I127" i="64"/>
  <c r="L127" i="64" s="1"/>
  <c r="I129" i="64"/>
  <c r="L129" i="64" s="1"/>
  <c r="I128" i="64"/>
  <c r="L128" i="64" s="1"/>
  <c r="I124" i="64"/>
  <c r="L124" i="64" s="1"/>
  <c r="I123" i="64"/>
  <c r="L123" i="64" s="1"/>
  <c r="AD235" i="54"/>
  <c r="AH235" i="54" s="1"/>
  <c r="AL235" i="54" s="1"/>
  <c r="AD215" i="54"/>
  <c r="AH215" i="54" s="1"/>
  <c r="AL215" i="54" s="1"/>
  <c r="AD195" i="54"/>
  <c r="AH195" i="54" s="1"/>
  <c r="AL195" i="54" s="1"/>
  <c r="AD175" i="54"/>
  <c r="AH175" i="54" s="1"/>
  <c r="AL175" i="54" s="1"/>
  <c r="AD155" i="54"/>
  <c r="AH155" i="54" s="1"/>
  <c r="AL155" i="54" s="1"/>
  <c r="AD135" i="54"/>
  <c r="AH135" i="54" s="1"/>
  <c r="AL135" i="54" s="1"/>
  <c r="AD115" i="54"/>
  <c r="AH115" i="54" s="1"/>
  <c r="AL115" i="54" s="1"/>
  <c r="AD95" i="54"/>
  <c r="AH95" i="54" s="1"/>
  <c r="AL95" i="54" s="1"/>
  <c r="AD75" i="54"/>
  <c r="AH75" i="54" s="1"/>
  <c r="AL75" i="54" s="1"/>
  <c r="AD55" i="54"/>
  <c r="AH55" i="54" s="1"/>
  <c r="AL55" i="54" s="1"/>
  <c r="AD35" i="54"/>
  <c r="AH35" i="54" s="1"/>
  <c r="AL35" i="54" s="1"/>
  <c r="Z666" i="54"/>
  <c r="AF666" i="54" s="1"/>
  <c r="Z624" i="54"/>
  <c r="AF624" i="54" s="1"/>
  <c r="AD309" i="54"/>
  <c r="AH309" i="54" s="1"/>
  <c r="AD15" i="54"/>
  <c r="AH15" i="54" s="1"/>
  <c r="AL15" i="54" s="1"/>
  <c r="AD204" i="54"/>
  <c r="AH204" i="54" s="1"/>
  <c r="AD246" i="54"/>
  <c r="AH246" i="54" s="1"/>
  <c r="AD225" i="54"/>
  <c r="AH225" i="54" s="1"/>
  <c r="AD267" i="54"/>
  <c r="AH267" i="54" s="1"/>
  <c r="AD288" i="54"/>
  <c r="AH288" i="54" s="1"/>
  <c r="AB225" i="54"/>
  <c r="AG225" i="54" s="1"/>
  <c r="AB267" i="54"/>
  <c r="AG267" i="54" s="1"/>
  <c r="AB204" i="54"/>
  <c r="AG204" i="54" s="1"/>
  <c r="AB288" i="54"/>
  <c r="AG288" i="54" s="1"/>
  <c r="AB246" i="54"/>
  <c r="AG246" i="54" s="1"/>
  <c r="AB15" i="54"/>
  <c r="AG15" i="54" s="1"/>
  <c r="AK15" i="54" s="1"/>
  <c r="AB309" i="54"/>
  <c r="AG309" i="54" s="1"/>
  <c r="AC137" i="64" l="1"/>
  <c r="AB136" i="64"/>
  <c r="AA139" i="64"/>
  <c r="AA140" i="64"/>
  <c r="AA141" i="64"/>
  <c r="AA142" i="64"/>
  <c r="AA143" i="64"/>
  <c r="AA144" i="64"/>
  <c r="AA145" i="64"/>
  <c r="AA146" i="64"/>
  <c r="AC141" i="64"/>
  <c r="AB143" i="64"/>
  <c r="AB137" i="64"/>
  <c r="AB139" i="64"/>
  <c r="AC145" i="64"/>
  <c r="AC136" i="64"/>
  <c r="AC139" i="64"/>
  <c r="AB141" i="64"/>
  <c r="AA137" i="64"/>
  <c r="AC143" i="64"/>
  <c r="AB145" i="64"/>
  <c r="AB146" i="64"/>
  <c r="AB144" i="64"/>
  <c r="AB142" i="64"/>
  <c r="AC138" i="64"/>
  <c r="AB140" i="64"/>
  <c r="AA138" i="64"/>
  <c r="AB138" i="64"/>
  <c r="AC142" i="64"/>
  <c r="AA136" i="64"/>
  <c r="AC146" i="64"/>
  <c r="AC144" i="64"/>
  <c r="AC140" i="64"/>
  <c r="CZ372" i="65"/>
  <c r="CZ404" i="65"/>
  <c r="CZ367" i="65"/>
  <c r="CZ403" i="65"/>
  <c r="CZ355" i="65"/>
  <c r="DS441" i="65"/>
  <c r="CZ441" i="65"/>
  <c r="DP438" i="65"/>
  <c r="CZ438" i="65"/>
  <c r="CZ406" i="65"/>
  <c r="DS357" i="65"/>
  <c r="CZ357" i="65"/>
  <c r="DP427" i="65"/>
  <c r="CZ427" i="65"/>
  <c r="DP400" i="65"/>
  <c r="CZ400" i="65"/>
  <c r="CZ383" i="65"/>
  <c r="DS405" i="65"/>
  <c r="CZ405" i="65"/>
  <c r="DP428" i="65"/>
  <c r="CZ428" i="65"/>
  <c r="CZ351" i="65"/>
  <c r="CZ356" i="65"/>
  <c r="DP417" i="65"/>
  <c r="CZ417" i="65"/>
  <c r="DP402" i="65"/>
  <c r="CZ402" i="65"/>
  <c r="DP354" i="65"/>
  <c r="CZ354" i="65"/>
  <c r="CZ374" i="65"/>
  <c r="DP416" i="65"/>
  <c r="CZ416" i="65"/>
  <c r="CZ437" i="65"/>
  <c r="CZ358" i="65"/>
  <c r="CZ430" i="65"/>
  <c r="DP386" i="65"/>
  <c r="CZ386" i="65"/>
  <c r="DP370" i="65"/>
  <c r="CZ370" i="65"/>
  <c r="CZ429" i="65"/>
  <c r="CZ371" i="65"/>
  <c r="CZ425" i="65"/>
  <c r="DP369" i="65"/>
  <c r="CZ369" i="65"/>
  <c r="DS389" i="65"/>
  <c r="CZ389" i="65"/>
  <c r="DP353" i="65"/>
  <c r="CZ353" i="65"/>
  <c r="CZ399" i="65"/>
  <c r="CZ387" i="65"/>
  <c r="CZ390" i="65"/>
  <c r="DP401" i="65"/>
  <c r="CZ401" i="65"/>
  <c r="DP385" i="65"/>
  <c r="CZ385" i="65"/>
  <c r="DP426" i="65"/>
  <c r="CZ426" i="65"/>
  <c r="DP352" i="65"/>
  <c r="CZ352" i="65"/>
  <c r="DP368" i="65"/>
  <c r="CZ368" i="65"/>
  <c r="CZ388" i="65"/>
  <c r="CZ439" i="65"/>
  <c r="CZ415" i="65"/>
  <c r="DP384" i="65"/>
  <c r="CZ384" i="65"/>
  <c r="CZ442" i="65"/>
  <c r="DS373" i="65"/>
  <c r="CZ373" i="65"/>
  <c r="CZ419" i="65"/>
  <c r="CZ440" i="65"/>
  <c r="CZ418" i="65"/>
  <c r="DP442" i="65"/>
  <c r="DS442" i="65"/>
  <c r="DP419" i="65"/>
  <c r="DS419" i="65"/>
  <c r="DP439" i="65"/>
  <c r="DP440" i="65"/>
  <c r="DP418" i="65"/>
  <c r="DS418" i="65"/>
  <c r="DS445" i="65"/>
  <c r="N9" i="65"/>
  <c r="Z793" i="54"/>
  <c r="AF793" i="54" s="1"/>
  <c r="AJ793" i="54" s="1"/>
  <c r="Z772" i="54"/>
  <c r="AF772" i="54" s="1"/>
  <c r="M9" i="65"/>
  <c r="DO358" i="65"/>
  <c r="DO390" i="65"/>
  <c r="DO373" i="65"/>
  <c r="DO405" i="65"/>
  <c r="DO437" i="65"/>
  <c r="DO399" i="65"/>
  <c r="DO374" i="65"/>
  <c r="DO357" i="65"/>
  <c r="DO389" i="65"/>
  <c r="DO425" i="65"/>
  <c r="DO406" i="65"/>
  <c r="DO367" i="65"/>
  <c r="DO415" i="65"/>
  <c r="DO383" i="65"/>
  <c r="DO351" i="65"/>
  <c r="F134" i="64"/>
  <c r="F133" i="64"/>
  <c r="F132" i="64"/>
  <c r="F135" i="64"/>
  <c r="F131" i="64"/>
  <c r="F130" i="64"/>
  <c r="D130" i="64"/>
  <c r="D132" i="64"/>
  <c r="D135" i="64"/>
  <c r="D131" i="64"/>
  <c r="D133" i="64"/>
  <c r="D134" i="64"/>
  <c r="E132" i="64"/>
  <c r="E133" i="64"/>
  <c r="E131" i="64"/>
  <c r="E134" i="64"/>
  <c r="E130" i="64"/>
  <c r="E135" i="64"/>
  <c r="AD666" i="54"/>
  <c r="AH666" i="54" s="1"/>
  <c r="AD624" i="54"/>
  <c r="AH624" i="54" s="1"/>
  <c r="AB666" i="54"/>
  <c r="AG666" i="54" s="1"/>
  <c r="AB624" i="54"/>
  <c r="AG624" i="54" s="1"/>
  <c r="EJ29" i="65" l="1"/>
  <c r="EJ34" i="65"/>
  <c r="EJ37" i="65"/>
  <c r="EJ33" i="65"/>
  <c r="EJ30" i="65"/>
  <c r="EJ36" i="65"/>
  <c r="X38" i="54"/>
  <c r="X122" i="54"/>
  <c r="X206" i="54"/>
  <c r="X290" i="54"/>
  <c r="X59" i="54"/>
  <c r="X143" i="54"/>
  <c r="X227" i="54"/>
  <c r="X311" i="54"/>
  <c r="X80" i="54"/>
  <c r="X164" i="54"/>
  <c r="X248" i="54"/>
  <c r="X332" i="54"/>
  <c r="X17" i="54"/>
  <c r="X269" i="54"/>
  <c r="X101" i="54"/>
  <c r="X185" i="54"/>
  <c r="DO385" i="65"/>
  <c r="DO426" i="65"/>
  <c r="DR357" i="65"/>
  <c r="DR405" i="65"/>
  <c r="DO352" i="65"/>
  <c r="DO354" i="65"/>
  <c r="DO384" i="65"/>
  <c r="DO402" i="65"/>
  <c r="DR373" i="65"/>
  <c r="DO417" i="65"/>
  <c r="DO400" i="65"/>
  <c r="DO368" i="65"/>
  <c r="DO353" i="65"/>
  <c r="DO438" i="65"/>
  <c r="DR389" i="65"/>
  <c r="DO416" i="65"/>
  <c r="DO386" i="65"/>
  <c r="DR441" i="65"/>
  <c r="DO427" i="65"/>
  <c r="DO428" i="65"/>
  <c r="DO370" i="65"/>
  <c r="DO401" i="65"/>
  <c r="DO369" i="65"/>
  <c r="AD772" i="54"/>
  <c r="AH772" i="54" s="1"/>
  <c r="AD793" i="54"/>
  <c r="AH793" i="54" s="1"/>
  <c r="AL793" i="54" s="1"/>
  <c r="V17" i="54"/>
  <c r="V101" i="54"/>
  <c r="V185" i="54"/>
  <c r="V269" i="54"/>
  <c r="V38" i="54"/>
  <c r="V122" i="54"/>
  <c r="V206" i="54"/>
  <c r="V290" i="54"/>
  <c r="V59" i="54"/>
  <c r="V143" i="54"/>
  <c r="V227" i="54"/>
  <c r="V311" i="54"/>
  <c r="V248" i="54"/>
  <c r="V332" i="54"/>
  <c r="V80" i="54"/>
  <c r="V164" i="54"/>
  <c r="AB772" i="54"/>
  <c r="AG772" i="54" s="1"/>
  <c r="AB793" i="54"/>
  <c r="AG793" i="54" s="1"/>
  <c r="AK793" i="54" s="1"/>
  <c r="DO356" i="65"/>
  <c r="DO372" i="65"/>
  <c r="DR358" i="65"/>
  <c r="DR390" i="65"/>
  <c r="DO355" i="65"/>
  <c r="DR374" i="65"/>
  <c r="DR369" i="65"/>
  <c r="DO430" i="65"/>
  <c r="DO388" i="65"/>
  <c r="DR427" i="65"/>
  <c r="DO371" i="65"/>
  <c r="DR406" i="65"/>
  <c r="DR401" i="65"/>
  <c r="DR439" i="65"/>
  <c r="DR385" i="65"/>
  <c r="DO404" i="65"/>
  <c r="DO429" i="65"/>
  <c r="DR417" i="65"/>
  <c r="DO403" i="65"/>
  <c r="DR353" i="65"/>
  <c r="DO387" i="65"/>
  <c r="DO441" i="65"/>
  <c r="T80" i="54"/>
  <c r="T164" i="54"/>
  <c r="T17" i="54"/>
  <c r="T101" i="54"/>
  <c r="T38" i="54"/>
  <c r="T122" i="54"/>
  <c r="T206" i="54"/>
  <c r="T290" i="54"/>
  <c r="T143" i="54"/>
  <c r="T227" i="54"/>
  <c r="T311" i="54"/>
  <c r="T185" i="54"/>
  <c r="T59" i="54"/>
  <c r="T248" i="54"/>
  <c r="T332" i="54"/>
  <c r="T269" i="54"/>
  <c r="G130" i="64"/>
  <c r="J130" i="64" s="1"/>
  <c r="G134" i="64"/>
  <c r="J134" i="64" s="1"/>
  <c r="G131" i="64"/>
  <c r="J131" i="64" s="1"/>
  <c r="G132" i="64"/>
  <c r="J132" i="64" s="1"/>
  <c r="G133" i="64"/>
  <c r="J133" i="64" s="1"/>
  <c r="G135" i="64"/>
  <c r="J135" i="64" s="1"/>
  <c r="Z256" i="54"/>
  <c r="AF256" i="54" s="1"/>
  <c r="AJ256" i="54" s="1"/>
  <c r="Z236" i="54"/>
  <c r="AF236" i="54" s="1"/>
  <c r="AJ236" i="54" s="1"/>
  <c r="Z216" i="54"/>
  <c r="AF216" i="54" s="1"/>
  <c r="AJ216" i="54" s="1"/>
  <c r="Z196" i="54"/>
  <c r="AF196" i="54" s="1"/>
  <c r="AJ196" i="54" s="1"/>
  <c r="Z176" i="54"/>
  <c r="AF176" i="54" s="1"/>
  <c r="AJ176" i="54" s="1"/>
  <c r="Z156" i="54"/>
  <c r="AF156" i="54" s="1"/>
  <c r="AJ156" i="54" s="1"/>
  <c r="Z136" i="54"/>
  <c r="AF136" i="54" s="1"/>
  <c r="AJ136" i="54" s="1"/>
  <c r="Z116" i="54"/>
  <c r="AF116" i="54" s="1"/>
  <c r="AJ116" i="54" s="1"/>
  <c r="Z96" i="54"/>
  <c r="AF96" i="54" s="1"/>
  <c r="AJ96" i="54" s="1"/>
  <c r="Z76" i="54"/>
  <c r="AF76" i="54" s="1"/>
  <c r="AJ76" i="54" s="1"/>
  <c r="Z56" i="54"/>
  <c r="AF56" i="54" s="1"/>
  <c r="AJ56" i="54" s="1"/>
  <c r="Z36" i="54"/>
  <c r="AF36" i="54" s="1"/>
  <c r="AJ36" i="54" s="1"/>
  <c r="Z247" i="54"/>
  <c r="AF247" i="54" s="1"/>
  <c r="Z268" i="54"/>
  <c r="AF268" i="54" s="1"/>
  <c r="Z184" i="54"/>
  <c r="AF184" i="54" s="1"/>
  <c r="Z205" i="54"/>
  <c r="AF205" i="54" s="1"/>
  <c r="Z16" i="54"/>
  <c r="AF16" i="54" s="1"/>
  <c r="AJ16" i="54" s="1"/>
  <c r="Z310" i="54"/>
  <c r="AF310" i="54" s="1"/>
  <c r="Z289" i="54"/>
  <c r="AF289" i="54" s="1"/>
  <c r="Z226" i="54"/>
  <c r="AF226" i="54" s="1"/>
  <c r="U153" i="64" l="1"/>
  <c r="U149" i="64"/>
  <c r="U157" i="64"/>
  <c r="U151" i="64"/>
  <c r="U155" i="64"/>
  <c r="U147" i="64"/>
  <c r="U156" i="64"/>
  <c r="U148" i="64"/>
  <c r="U154" i="64"/>
  <c r="U150" i="64"/>
  <c r="U152" i="64"/>
  <c r="V147" i="64"/>
  <c r="V149" i="64"/>
  <c r="V151" i="64"/>
  <c r="V153" i="64"/>
  <c r="V155" i="64"/>
  <c r="V157" i="64"/>
  <c r="V156" i="64"/>
  <c r="V154" i="64"/>
  <c r="V152" i="64"/>
  <c r="V150" i="64"/>
  <c r="V148" i="64"/>
  <c r="EQ30" i="65"/>
  <c r="W151" i="64"/>
  <c r="W156" i="64"/>
  <c r="W148" i="64"/>
  <c r="W153" i="64"/>
  <c r="W155" i="64"/>
  <c r="W154" i="64"/>
  <c r="W147" i="64"/>
  <c r="W152" i="64"/>
  <c r="W157" i="64"/>
  <c r="W149" i="64"/>
  <c r="W150" i="64"/>
  <c r="T374" i="54"/>
  <c r="T500" i="54"/>
  <c r="T773" i="54"/>
  <c r="T752" i="54"/>
  <c r="DO439" i="65"/>
  <c r="DO419" i="65"/>
  <c r="DR419" i="65"/>
  <c r="DO442" i="65"/>
  <c r="DR442" i="65"/>
  <c r="DO440" i="65"/>
  <c r="DO418" i="65"/>
  <c r="DR418" i="65"/>
  <c r="T668" i="54"/>
  <c r="T794" i="54"/>
  <c r="T395" i="54"/>
  <c r="T731" i="54"/>
  <c r="T458" i="54"/>
  <c r="T689" i="54"/>
  <c r="T542" i="54"/>
  <c r="T626" i="54"/>
  <c r="T647" i="54"/>
  <c r="T353" i="54"/>
  <c r="T584" i="54"/>
  <c r="T605" i="54"/>
  <c r="T416" i="54"/>
  <c r="T563" i="54"/>
  <c r="T437" i="54"/>
  <c r="T479" i="54"/>
  <c r="T710" i="54"/>
  <c r="T521" i="54"/>
  <c r="EQ34" i="65"/>
  <c r="EQ29" i="65"/>
  <c r="EQ37" i="65"/>
  <c r="V353" i="54"/>
  <c r="V689" i="54"/>
  <c r="V626" i="54"/>
  <c r="V563" i="54"/>
  <c r="V500" i="54"/>
  <c r="V773" i="54"/>
  <c r="V605" i="54"/>
  <c r="V416" i="54"/>
  <c r="V437" i="54"/>
  <c r="V374" i="54"/>
  <c r="V710" i="54"/>
  <c r="V647" i="54"/>
  <c r="V584" i="54"/>
  <c r="V794" i="54"/>
  <c r="V542" i="54"/>
  <c r="V521" i="54"/>
  <c r="V458" i="54"/>
  <c r="V395" i="54"/>
  <c r="V731" i="54"/>
  <c r="V668" i="54"/>
  <c r="V479" i="54"/>
  <c r="V752" i="54"/>
  <c r="X605" i="54"/>
  <c r="X626" i="54"/>
  <c r="X647" i="54"/>
  <c r="X731" i="54"/>
  <c r="X773" i="54"/>
  <c r="X521" i="54"/>
  <c r="X584" i="54"/>
  <c r="X353" i="54"/>
  <c r="X374" i="54"/>
  <c r="X395" i="54"/>
  <c r="X416" i="54"/>
  <c r="X752" i="54"/>
  <c r="X710" i="54"/>
  <c r="X563" i="54"/>
  <c r="X437" i="54"/>
  <c r="X458" i="54"/>
  <c r="X479" i="54"/>
  <c r="X500" i="54"/>
  <c r="X668" i="54"/>
  <c r="X794" i="54"/>
  <c r="X542" i="54"/>
  <c r="X689" i="54"/>
  <c r="H133" i="64"/>
  <c r="K133" i="64" s="1"/>
  <c r="H135" i="64"/>
  <c r="K135" i="64" s="1"/>
  <c r="H130" i="64"/>
  <c r="K130" i="64" s="1"/>
  <c r="H134" i="64"/>
  <c r="K134" i="64" s="1"/>
  <c r="H131" i="64"/>
  <c r="K131" i="64" s="1"/>
  <c r="H132" i="64"/>
  <c r="K132" i="64" s="1"/>
  <c r="AB256" i="54"/>
  <c r="AG256" i="54" s="1"/>
  <c r="AK256" i="54" s="1"/>
  <c r="AB236" i="54"/>
  <c r="AG236" i="54" s="1"/>
  <c r="AK236" i="54" s="1"/>
  <c r="AB216" i="54"/>
  <c r="AG216" i="54" s="1"/>
  <c r="AK216" i="54" s="1"/>
  <c r="AB196" i="54"/>
  <c r="AG196" i="54" s="1"/>
  <c r="AK196" i="54" s="1"/>
  <c r="AB176" i="54"/>
  <c r="AG176" i="54" s="1"/>
  <c r="AK176" i="54" s="1"/>
  <c r="AB156" i="54"/>
  <c r="AG156" i="54" s="1"/>
  <c r="AK156" i="54" s="1"/>
  <c r="AB136" i="54"/>
  <c r="AG136" i="54" s="1"/>
  <c r="AK136" i="54" s="1"/>
  <c r="AB116" i="54"/>
  <c r="AG116" i="54" s="1"/>
  <c r="AK116" i="54" s="1"/>
  <c r="AB96" i="54"/>
  <c r="AG96" i="54" s="1"/>
  <c r="AK96" i="54" s="1"/>
  <c r="AB76" i="54"/>
  <c r="AG76" i="54" s="1"/>
  <c r="AK76" i="54" s="1"/>
  <c r="AB56" i="54"/>
  <c r="AG56" i="54" s="1"/>
  <c r="AK56" i="54" s="1"/>
  <c r="AB36" i="54"/>
  <c r="AG36" i="54" s="1"/>
  <c r="AK36" i="54" s="1"/>
  <c r="I130" i="64"/>
  <c r="L130" i="64" s="1"/>
  <c r="I135" i="64"/>
  <c r="L135" i="64" s="1"/>
  <c r="I134" i="64"/>
  <c r="L134" i="64" s="1"/>
  <c r="I133" i="64"/>
  <c r="L133" i="64" s="1"/>
  <c r="I132" i="64"/>
  <c r="L132" i="64" s="1"/>
  <c r="I131" i="64"/>
  <c r="L131" i="64" s="1"/>
  <c r="AD256" i="54"/>
  <c r="AH256" i="54" s="1"/>
  <c r="AL256" i="54" s="1"/>
  <c r="AD236" i="54"/>
  <c r="AH236" i="54" s="1"/>
  <c r="AL236" i="54" s="1"/>
  <c r="AD216" i="54"/>
  <c r="AH216" i="54" s="1"/>
  <c r="AL216" i="54" s="1"/>
  <c r="AD196" i="54"/>
  <c r="AH196" i="54" s="1"/>
  <c r="AL196" i="54" s="1"/>
  <c r="AD176" i="54"/>
  <c r="AH176" i="54" s="1"/>
  <c r="AL176" i="54" s="1"/>
  <c r="AD156" i="54"/>
  <c r="AH156" i="54" s="1"/>
  <c r="AL156" i="54" s="1"/>
  <c r="AD136" i="54"/>
  <c r="AH136" i="54" s="1"/>
  <c r="AL136" i="54" s="1"/>
  <c r="AD116" i="54"/>
  <c r="AH116" i="54" s="1"/>
  <c r="AL116" i="54" s="1"/>
  <c r="AD96" i="54"/>
  <c r="AH96" i="54" s="1"/>
  <c r="AL96" i="54" s="1"/>
  <c r="AD76" i="54"/>
  <c r="AH76" i="54" s="1"/>
  <c r="AL76" i="54" s="1"/>
  <c r="AD56" i="54"/>
  <c r="AH56" i="54" s="1"/>
  <c r="AL56" i="54" s="1"/>
  <c r="AD36" i="54"/>
  <c r="AH36" i="54" s="1"/>
  <c r="AL36" i="54" s="1"/>
  <c r="Z646" i="54"/>
  <c r="AF646" i="54" s="1"/>
  <c r="Z604" i="54"/>
  <c r="AF604" i="54" s="1"/>
  <c r="AB247" i="54"/>
  <c r="AG247" i="54" s="1"/>
  <c r="AB16" i="54"/>
  <c r="AG16" i="54" s="1"/>
  <c r="AK16" i="54" s="1"/>
  <c r="AB226" i="54"/>
  <c r="AG226" i="54" s="1"/>
  <c r="AB268" i="54"/>
  <c r="AG268" i="54" s="1"/>
  <c r="AB205" i="54"/>
  <c r="AG205" i="54" s="1"/>
  <c r="AB184" i="54"/>
  <c r="AG184" i="54" s="1"/>
  <c r="AB310" i="54"/>
  <c r="AG310" i="54" s="1"/>
  <c r="AB289" i="54"/>
  <c r="AG289" i="54" s="1"/>
  <c r="AD268" i="54"/>
  <c r="AH268" i="54" s="1"/>
  <c r="AD247" i="54"/>
  <c r="AH247" i="54" s="1"/>
  <c r="AD289" i="54"/>
  <c r="AH289" i="54" s="1"/>
  <c r="AD16" i="54"/>
  <c r="AH16" i="54" s="1"/>
  <c r="AL16" i="54" s="1"/>
  <c r="AD226" i="54"/>
  <c r="AH226" i="54" s="1"/>
  <c r="AD205" i="54"/>
  <c r="AH205" i="54" s="1"/>
  <c r="AD184" i="54"/>
  <c r="AH184" i="54" s="1"/>
  <c r="AD310" i="54"/>
  <c r="AH310" i="54" s="1"/>
  <c r="AI154" i="67" l="1"/>
  <c r="BC155" i="67" s="1"/>
  <c r="AI158" i="67"/>
  <c r="BC159" i="67" s="1"/>
  <c r="AI162" i="67"/>
  <c r="BC163" i="67" s="1"/>
  <c r="AI166" i="67"/>
  <c r="BC167" i="67" s="1"/>
  <c r="AI170" i="67"/>
  <c r="BC171" i="67" s="1"/>
  <c r="AI174" i="67"/>
  <c r="BC175" i="67" s="1"/>
  <c r="AI178" i="67"/>
  <c r="BC179" i="67" s="1"/>
  <c r="AI182" i="67"/>
  <c r="BC183" i="67" s="1"/>
  <c r="AG155" i="67"/>
  <c r="BA156" i="67" s="1"/>
  <c r="AG159" i="67"/>
  <c r="BA160" i="67" s="1"/>
  <c r="AG163" i="67"/>
  <c r="BA164" i="67" s="1"/>
  <c r="AG167" i="67"/>
  <c r="BA168" i="67" s="1"/>
  <c r="AG171" i="67"/>
  <c r="BA172" i="67" s="1"/>
  <c r="AG175" i="67"/>
  <c r="BA176" i="67" s="1"/>
  <c r="BJ176" i="67" s="1"/>
  <c r="AG179" i="67"/>
  <c r="BA180" i="67" s="1"/>
  <c r="AI155" i="67"/>
  <c r="BC156" i="67" s="1"/>
  <c r="AI159" i="67"/>
  <c r="BC160" i="67" s="1"/>
  <c r="AI163" i="67"/>
  <c r="BC164" i="67" s="1"/>
  <c r="AI167" i="67"/>
  <c r="BC168" i="67" s="1"/>
  <c r="AI171" i="67"/>
  <c r="BC172" i="67" s="1"/>
  <c r="AI175" i="67"/>
  <c r="BC176" i="67" s="1"/>
  <c r="AI179" i="67"/>
  <c r="BC180" i="67" s="1"/>
  <c r="AG156" i="67"/>
  <c r="BA157" i="67" s="1"/>
  <c r="BJ157" i="67" s="1"/>
  <c r="AG160" i="67"/>
  <c r="BA161" i="67" s="1"/>
  <c r="AI156" i="67"/>
  <c r="BC157" i="67" s="1"/>
  <c r="AI164" i="67"/>
  <c r="BC165" i="67" s="1"/>
  <c r="AI172" i="67"/>
  <c r="BC173" i="67" s="1"/>
  <c r="AI180" i="67"/>
  <c r="BC181" i="67" s="1"/>
  <c r="AG154" i="67"/>
  <c r="BA155" i="67" s="1"/>
  <c r="BJ155" i="67" s="1"/>
  <c r="AG162" i="67"/>
  <c r="BA163" i="67" s="1"/>
  <c r="AG168" i="67"/>
  <c r="BA169" i="67" s="1"/>
  <c r="AG173" i="67"/>
  <c r="BA174" i="67" s="1"/>
  <c r="AG178" i="67"/>
  <c r="BA179" i="67" s="1"/>
  <c r="AI157" i="67"/>
  <c r="BC158" i="67" s="1"/>
  <c r="AI165" i="67"/>
  <c r="BC166" i="67" s="1"/>
  <c r="AI173" i="67"/>
  <c r="BC174" i="67" s="1"/>
  <c r="AI181" i="67"/>
  <c r="BC182" i="67" s="1"/>
  <c r="AI160" i="67"/>
  <c r="BC161" i="67" s="1"/>
  <c r="AI176" i="67"/>
  <c r="BC177" i="67" s="1"/>
  <c r="AG153" i="67"/>
  <c r="BA154" i="67" s="1"/>
  <c r="AG164" i="67"/>
  <c r="BA165" i="67" s="1"/>
  <c r="AG170" i="67"/>
  <c r="BA171" i="67" s="1"/>
  <c r="BJ171" i="67" s="1"/>
  <c r="AG177" i="67"/>
  <c r="BA178" i="67" s="1"/>
  <c r="BJ178" i="67" s="1"/>
  <c r="AI161" i="67"/>
  <c r="BC162" i="67" s="1"/>
  <c r="AI177" i="67"/>
  <c r="BC178" i="67" s="1"/>
  <c r="AG157" i="67"/>
  <c r="BA158" i="67" s="1"/>
  <c r="BJ158" i="67" s="1"/>
  <c r="AG165" i="67"/>
  <c r="BA166" i="67" s="1"/>
  <c r="BJ166" i="67" s="1"/>
  <c r="AG172" i="67"/>
  <c r="BA173" i="67" s="1"/>
  <c r="BJ173" i="67" s="1"/>
  <c r="AG180" i="67"/>
  <c r="BA181" i="67" s="1"/>
  <c r="AI168" i="67"/>
  <c r="BC169" i="67" s="1"/>
  <c r="AG158" i="67"/>
  <c r="BA159" i="67" s="1"/>
  <c r="AG166" i="67"/>
  <c r="BA167" i="67" s="1"/>
  <c r="BJ167" i="67" s="1"/>
  <c r="AG174" i="67"/>
  <c r="BA175" i="67" s="1"/>
  <c r="AG181" i="67"/>
  <c r="BA182" i="67" s="1"/>
  <c r="BJ182" i="67" s="1"/>
  <c r="AI153" i="67"/>
  <c r="BC154" i="67" s="1"/>
  <c r="AI169" i="67"/>
  <c r="BC170" i="67" s="1"/>
  <c r="AG161" i="67"/>
  <c r="BA162" i="67" s="1"/>
  <c r="AG169" i="67"/>
  <c r="BA170" i="67" s="1"/>
  <c r="AG176" i="67"/>
  <c r="BA177" i="67" s="1"/>
  <c r="BJ177" i="67" s="1"/>
  <c r="AG182" i="67"/>
  <c r="BA183" i="67" s="1"/>
  <c r="BJ183" i="67" s="1"/>
  <c r="EQ33" i="65"/>
  <c r="EQ36" i="65"/>
  <c r="AA147" i="64"/>
  <c r="AA148" i="64"/>
  <c r="AA149" i="64"/>
  <c r="AA150" i="64"/>
  <c r="AA151" i="64"/>
  <c r="AA152" i="64"/>
  <c r="AA153" i="64"/>
  <c r="AA154" i="64"/>
  <c r="AA155" i="64"/>
  <c r="AA156" i="64"/>
  <c r="AA157" i="64"/>
  <c r="AC149" i="64"/>
  <c r="AB151" i="64"/>
  <c r="AC157" i="64"/>
  <c r="AB147" i="64"/>
  <c r="AC153" i="64"/>
  <c r="AB155" i="64"/>
  <c r="AC147" i="64"/>
  <c r="AB149" i="64"/>
  <c r="AC155" i="64"/>
  <c r="AB157" i="64"/>
  <c r="AB153" i="64"/>
  <c r="AC151" i="64"/>
  <c r="AB156" i="64"/>
  <c r="AB154" i="64"/>
  <c r="AB152" i="64"/>
  <c r="AB150" i="64"/>
  <c r="AB148" i="64"/>
  <c r="AC156" i="64"/>
  <c r="AC152" i="64"/>
  <c r="AC148" i="64"/>
  <c r="AC154" i="64"/>
  <c r="AC150" i="64"/>
  <c r="Z773" i="54"/>
  <c r="AF773" i="54" s="1"/>
  <c r="Z794" i="54"/>
  <c r="AF794" i="54" s="1"/>
  <c r="AJ794" i="54" s="1"/>
  <c r="AB794" i="54"/>
  <c r="AG794" i="54" s="1"/>
  <c r="AK794" i="54" s="1"/>
  <c r="AD773" i="54"/>
  <c r="AH773" i="54" s="1"/>
  <c r="AD794" i="54"/>
  <c r="AH794" i="54" s="1"/>
  <c r="AL794" i="54" s="1"/>
  <c r="F141" i="64"/>
  <c r="F139" i="64"/>
  <c r="F137" i="64"/>
  <c r="F140" i="64"/>
  <c r="F142" i="64"/>
  <c r="F138" i="64"/>
  <c r="D139" i="64"/>
  <c r="D141" i="64"/>
  <c r="D137" i="64"/>
  <c r="D140" i="64"/>
  <c r="D142" i="64"/>
  <c r="D138" i="64"/>
  <c r="E138" i="64"/>
  <c r="E137" i="64"/>
  <c r="E140" i="64"/>
  <c r="E141" i="64"/>
  <c r="E139" i="64"/>
  <c r="E142" i="64"/>
  <c r="AB646" i="54"/>
  <c r="AG646" i="54" s="1"/>
  <c r="AB604" i="54"/>
  <c r="AG604" i="54" s="1"/>
  <c r="AD646" i="54"/>
  <c r="AH646" i="54" s="1"/>
  <c r="AD604" i="54"/>
  <c r="AH604" i="54" s="1"/>
  <c r="Z290" i="54"/>
  <c r="AF290" i="54" s="1"/>
  <c r="Z227" i="54"/>
  <c r="AF227" i="54" s="1"/>
  <c r="Z248" i="54"/>
  <c r="AF248" i="54" s="1"/>
  <c r="Z164" i="54"/>
  <c r="AF164" i="54" s="1"/>
  <c r="Z185" i="54"/>
  <c r="AF185" i="54" s="1"/>
  <c r="Z206" i="54"/>
  <c r="AF206" i="54" s="1"/>
  <c r="Z269" i="54"/>
  <c r="AF269" i="54" s="1"/>
  <c r="Z17" i="54"/>
  <c r="AF17" i="54" s="1"/>
  <c r="AJ17" i="54" s="1"/>
  <c r="Z311" i="54"/>
  <c r="AF311" i="54" s="1"/>
  <c r="BJ154" i="67" l="1"/>
  <c r="BJ168" i="67"/>
  <c r="BJ160" i="67"/>
  <c r="BJ163" i="67"/>
  <c r="BL163" i="67" s="1"/>
  <c r="BJ170" i="67"/>
  <c r="BJ179" i="67"/>
  <c r="BL183" i="67"/>
  <c r="BL167" i="67"/>
  <c r="BP167" i="67" s="1"/>
  <c r="BL173" i="67"/>
  <c r="BL154" i="67"/>
  <c r="BP154" i="67" s="1"/>
  <c r="BJ174" i="67"/>
  <c r="BJ161" i="67"/>
  <c r="BL168" i="67"/>
  <c r="BL177" i="67"/>
  <c r="BJ159" i="67"/>
  <c r="BL166" i="67"/>
  <c r="BP166" i="67" s="1"/>
  <c r="BL178" i="67"/>
  <c r="BJ169" i="67"/>
  <c r="BL157" i="67"/>
  <c r="BJ180" i="67"/>
  <c r="BJ164" i="67"/>
  <c r="BL170" i="67"/>
  <c r="BL182" i="67"/>
  <c r="BP182" i="67" s="1"/>
  <c r="BL158" i="67"/>
  <c r="BL171" i="67"/>
  <c r="BP171" i="67" s="1"/>
  <c r="BL176" i="67"/>
  <c r="BL160" i="67"/>
  <c r="BJ162" i="67"/>
  <c r="BJ175" i="67"/>
  <c r="BJ181" i="67"/>
  <c r="BJ165" i="67"/>
  <c r="BL179" i="67"/>
  <c r="BP179" i="67" s="1"/>
  <c r="BL155" i="67"/>
  <c r="BJ172" i="67"/>
  <c r="BJ156" i="67"/>
  <c r="U161" i="64"/>
  <c r="U165" i="64"/>
  <c r="U159" i="64"/>
  <c r="U162" i="64"/>
  <c r="U168" i="64"/>
  <c r="U164" i="64"/>
  <c r="U167" i="64"/>
  <c r="U163" i="64"/>
  <c r="U158" i="64"/>
  <c r="U166" i="64"/>
  <c r="U160" i="64"/>
  <c r="V159" i="64"/>
  <c r="V161" i="64"/>
  <c r="V165" i="64"/>
  <c r="V162" i="64"/>
  <c r="V163" i="64"/>
  <c r="V166" i="64"/>
  <c r="V164" i="64"/>
  <c r="V160" i="64"/>
  <c r="V158" i="64"/>
  <c r="V167" i="64"/>
  <c r="V168" i="64"/>
  <c r="X375" i="54"/>
  <c r="W164" i="64"/>
  <c r="W166" i="64"/>
  <c r="W161" i="64"/>
  <c r="W163" i="64"/>
  <c r="W167" i="64"/>
  <c r="W160" i="64"/>
  <c r="W165" i="64"/>
  <c r="W159" i="64"/>
  <c r="W158" i="64"/>
  <c r="W168" i="64"/>
  <c r="W162" i="64"/>
  <c r="AB773" i="54"/>
  <c r="AG773" i="54" s="1"/>
  <c r="X354" i="54"/>
  <c r="X774" i="54"/>
  <c r="X753" i="54"/>
  <c r="X501" i="54"/>
  <c r="X690" i="54"/>
  <c r="X543" i="54"/>
  <c r="X732" i="54"/>
  <c r="X606" i="54"/>
  <c r="X522" i="54"/>
  <c r="X585" i="54"/>
  <c r="X417" i="54"/>
  <c r="X459" i="54"/>
  <c r="X669" i="54"/>
  <c r="X648" i="54"/>
  <c r="X711" i="54"/>
  <c r="X627" i="54"/>
  <c r="X438" i="54"/>
  <c r="X564" i="54"/>
  <c r="X480" i="54"/>
  <c r="X795" i="54"/>
  <c r="X396" i="54"/>
  <c r="V81" i="54"/>
  <c r="V165" i="54"/>
  <c r="V249" i="54"/>
  <c r="V333" i="54"/>
  <c r="V18" i="54"/>
  <c r="V102" i="54"/>
  <c r="V186" i="54"/>
  <c r="V270" i="54"/>
  <c r="V39" i="54"/>
  <c r="V123" i="54"/>
  <c r="V207" i="54"/>
  <c r="V291" i="54"/>
  <c r="V228" i="54"/>
  <c r="V312" i="54"/>
  <c r="V60" i="54"/>
  <c r="V144" i="54"/>
  <c r="T60" i="54"/>
  <c r="T144" i="54"/>
  <c r="T81" i="54"/>
  <c r="T165" i="54"/>
  <c r="T18" i="54"/>
  <c r="T102" i="54"/>
  <c r="T186" i="54"/>
  <c r="T270" i="54"/>
  <c r="T123" i="54"/>
  <c r="T207" i="54"/>
  <c r="T291" i="54"/>
  <c r="T39" i="54"/>
  <c r="T228" i="54"/>
  <c r="T312" i="54"/>
  <c r="T249" i="54"/>
  <c r="T333" i="54"/>
  <c r="V417" i="54"/>
  <c r="V354" i="54"/>
  <c r="V690" i="54"/>
  <c r="V627" i="54"/>
  <c r="V564" i="54"/>
  <c r="V774" i="54"/>
  <c r="V606" i="54"/>
  <c r="V501" i="54"/>
  <c r="V438" i="54"/>
  <c r="V375" i="54"/>
  <c r="V711" i="54"/>
  <c r="V648" i="54"/>
  <c r="V795" i="54"/>
  <c r="V543" i="54"/>
  <c r="V585" i="54"/>
  <c r="V522" i="54"/>
  <c r="V459" i="54"/>
  <c r="V396" i="54"/>
  <c r="V732" i="54"/>
  <c r="V669" i="54"/>
  <c r="V480" i="54"/>
  <c r="V753" i="54"/>
  <c r="T354" i="54"/>
  <c r="T459" i="54"/>
  <c r="T564" i="54"/>
  <c r="T669" i="54"/>
  <c r="T774" i="54"/>
  <c r="T480" i="54"/>
  <c r="T690" i="54"/>
  <c r="T438" i="54"/>
  <c r="T543" i="54"/>
  <c r="T648" i="54"/>
  <c r="T753" i="54"/>
  <c r="T627" i="54"/>
  <c r="T417" i="54"/>
  <c r="T522" i="54"/>
  <c r="T396" i="54"/>
  <c r="T732" i="54"/>
  <c r="T606" i="54"/>
  <c r="T711" i="54"/>
  <c r="T501" i="54"/>
  <c r="T375" i="54"/>
  <c r="T585" i="54"/>
  <c r="T795" i="54"/>
  <c r="X18" i="54"/>
  <c r="X102" i="54"/>
  <c r="X186" i="54"/>
  <c r="X270" i="54"/>
  <c r="X39" i="54"/>
  <c r="X123" i="54"/>
  <c r="X207" i="54"/>
  <c r="X291" i="54"/>
  <c r="X60" i="54"/>
  <c r="X144" i="54"/>
  <c r="X228" i="54"/>
  <c r="X312" i="54"/>
  <c r="X333" i="54"/>
  <c r="X81" i="54"/>
  <c r="X165" i="54"/>
  <c r="X249" i="54"/>
  <c r="H141" i="64"/>
  <c r="K141" i="64" s="1"/>
  <c r="H139" i="64"/>
  <c r="K139" i="64" s="1"/>
  <c r="H140" i="64"/>
  <c r="K140" i="64" s="1"/>
  <c r="H142" i="64"/>
  <c r="K142" i="64" s="1"/>
  <c r="H138" i="64"/>
  <c r="K138" i="64" s="1"/>
  <c r="H137" i="64"/>
  <c r="K137" i="64" s="1"/>
  <c r="AB277" i="54"/>
  <c r="AG277" i="54" s="1"/>
  <c r="AK277" i="54" s="1"/>
  <c r="AB257" i="54"/>
  <c r="AG257" i="54" s="1"/>
  <c r="AK257" i="54" s="1"/>
  <c r="AB237" i="54"/>
  <c r="AG237" i="54" s="1"/>
  <c r="AK237" i="54" s="1"/>
  <c r="AB217" i="54"/>
  <c r="AG217" i="54" s="1"/>
  <c r="AK217" i="54" s="1"/>
  <c r="AB197" i="54"/>
  <c r="AG197" i="54" s="1"/>
  <c r="AK197" i="54" s="1"/>
  <c r="AB177" i="54"/>
  <c r="AG177" i="54" s="1"/>
  <c r="AK177" i="54" s="1"/>
  <c r="AB157" i="54"/>
  <c r="AG157" i="54" s="1"/>
  <c r="AK157" i="54" s="1"/>
  <c r="AB137" i="54"/>
  <c r="AG137" i="54" s="1"/>
  <c r="AK137" i="54" s="1"/>
  <c r="AB117" i="54"/>
  <c r="AG117" i="54" s="1"/>
  <c r="AK117" i="54" s="1"/>
  <c r="AB97" i="54"/>
  <c r="AG97" i="54" s="1"/>
  <c r="AK97" i="54" s="1"/>
  <c r="AB77" i="54"/>
  <c r="AG77" i="54" s="1"/>
  <c r="AK77" i="54" s="1"/>
  <c r="AB57" i="54"/>
  <c r="AG57" i="54" s="1"/>
  <c r="AK57" i="54" s="1"/>
  <c r="AB37" i="54"/>
  <c r="AG37" i="54" s="1"/>
  <c r="AK37" i="54" s="1"/>
  <c r="I137" i="64"/>
  <c r="L137" i="64" s="1"/>
  <c r="I139" i="64"/>
  <c r="L139" i="64" s="1"/>
  <c r="I142" i="64"/>
  <c r="L142" i="64" s="1"/>
  <c r="I138" i="64"/>
  <c r="L138" i="64" s="1"/>
  <c r="I140" i="64"/>
  <c r="L140" i="64" s="1"/>
  <c r="I141" i="64"/>
  <c r="L141" i="64" s="1"/>
  <c r="AD277" i="54"/>
  <c r="AH277" i="54" s="1"/>
  <c r="AL277" i="54" s="1"/>
  <c r="AD257" i="54"/>
  <c r="AH257" i="54" s="1"/>
  <c r="AL257" i="54" s="1"/>
  <c r="AD237" i="54"/>
  <c r="AH237" i="54" s="1"/>
  <c r="AL237" i="54" s="1"/>
  <c r="AD217" i="54"/>
  <c r="AH217" i="54" s="1"/>
  <c r="AL217" i="54" s="1"/>
  <c r="AD197" i="54"/>
  <c r="AH197" i="54" s="1"/>
  <c r="AL197" i="54" s="1"/>
  <c r="AD177" i="54"/>
  <c r="AH177" i="54" s="1"/>
  <c r="AL177" i="54" s="1"/>
  <c r="AD157" i="54"/>
  <c r="AH157" i="54" s="1"/>
  <c r="AL157" i="54" s="1"/>
  <c r="AD137" i="54"/>
  <c r="AH137" i="54" s="1"/>
  <c r="AL137" i="54" s="1"/>
  <c r="AD117" i="54"/>
  <c r="AH117" i="54" s="1"/>
  <c r="AL117" i="54" s="1"/>
  <c r="AD97" i="54"/>
  <c r="AH97" i="54" s="1"/>
  <c r="AL97" i="54" s="1"/>
  <c r="AD77" i="54"/>
  <c r="AH77" i="54" s="1"/>
  <c r="AL77" i="54" s="1"/>
  <c r="AD57" i="54"/>
  <c r="AH57" i="54" s="1"/>
  <c r="AL57" i="54" s="1"/>
  <c r="AD37" i="54"/>
  <c r="AH37" i="54" s="1"/>
  <c r="AL37" i="54" s="1"/>
  <c r="G139" i="64"/>
  <c r="J139" i="64" s="1"/>
  <c r="G137" i="64"/>
  <c r="J137" i="64" s="1"/>
  <c r="G140" i="64"/>
  <c r="J140" i="64" s="1"/>
  <c r="G142" i="64"/>
  <c r="J142" i="64" s="1"/>
  <c r="G138" i="64"/>
  <c r="J138" i="64" s="1"/>
  <c r="G141" i="64"/>
  <c r="J141" i="64" s="1"/>
  <c r="Z277" i="54"/>
  <c r="AF277" i="54" s="1"/>
  <c r="AJ277" i="54" s="1"/>
  <c r="Z257" i="54"/>
  <c r="AF257" i="54" s="1"/>
  <c r="AJ257" i="54" s="1"/>
  <c r="Z237" i="54"/>
  <c r="AF237" i="54" s="1"/>
  <c r="AJ237" i="54" s="1"/>
  <c r="Z217" i="54"/>
  <c r="AF217" i="54" s="1"/>
  <c r="AJ217" i="54" s="1"/>
  <c r="Z197" i="54"/>
  <c r="AF197" i="54" s="1"/>
  <c r="AJ197" i="54" s="1"/>
  <c r="Z177" i="54"/>
  <c r="AF177" i="54" s="1"/>
  <c r="AJ177" i="54" s="1"/>
  <c r="Z157" i="54"/>
  <c r="AF157" i="54" s="1"/>
  <c r="AJ157" i="54" s="1"/>
  <c r="Z137" i="54"/>
  <c r="AF137" i="54" s="1"/>
  <c r="AJ137" i="54" s="1"/>
  <c r="Z117" i="54"/>
  <c r="AF117" i="54" s="1"/>
  <c r="AJ117" i="54" s="1"/>
  <c r="Z97" i="54"/>
  <c r="AF97" i="54" s="1"/>
  <c r="AJ97" i="54" s="1"/>
  <c r="Z77" i="54"/>
  <c r="AF77" i="54" s="1"/>
  <c r="AJ77" i="54" s="1"/>
  <c r="Z57" i="54"/>
  <c r="AF57" i="54" s="1"/>
  <c r="AJ57" i="54" s="1"/>
  <c r="Z37" i="54"/>
  <c r="AF37" i="54" s="1"/>
  <c r="AJ37" i="54" s="1"/>
  <c r="Z584" i="54"/>
  <c r="AF584" i="54" s="1"/>
  <c r="Z626" i="54"/>
  <c r="AF626" i="54" s="1"/>
  <c r="AB290" i="54"/>
  <c r="AG290" i="54" s="1"/>
  <c r="AB248" i="54"/>
  <c r="AG248" i="54" s="1"/>
  <c r="AB206" i="54"/>
  <c r="AG206" i="54" s="1"/>
  <c r="AB164" i="54"/>
  <c r="AG164" i="54" s="1"/>
  <c r="AB311" i="54"/>
  <c r="AG311" i="54" s="1"/>
  <c r="AB269" i="54"/>
  <c r="AG269" i="54" s="1"/>
  <c r="AB227" i="54"/>
  <c r="AG227" i="54" s="1"/>
  <c r="AB17" i="54"/>
  <c r="AG17" i="54" s="1"/>
  <c r="AK17" i="54" s="1"/>
  <c r="AB185" i="54"/>
  <c r="AG185" i="54" s="1"/>
  <c r="AD227" i="54"/>
  <c r="AH227" i="54" s="1"/>
  <c r="AD206" i="54"/>
  <c r="AH206" i="54" s="1"/>
  <c r="AD185" i="54"/>
  <c r="AH185" i="54" s="1"/>
  <c r="AD311" i="54"/>
  <c r="AH311" i="54" s="1"/>
  <c r="AD269" i="54"/>
  <c r="AH269" i="54" s="1"/>
  <c r="AD248" i="54"/>
  <c r="AH248" i="54" s="1"/>
  <c r="AD17" i="54"/>
  <c r="AH17" i="54" s="1"/>
  <c r="AL17" i="54" s="1"/>
  <c r="AD290" i="54"/>
  <c r="AH290" i="54" s="1"/>
  <c r="AD164" i="54"/>
  <c r="AH164" i="54" s="1"/>
  <c r="BM176" i="67" l="1"/>
  <c r="BQ176" i="67"/>
  <c r="BN176" i="67"/>
  <c r="BO176" i="67"/>
  <c r="BL164" i="67"/>
  <c r="BM168" i="67"/>
  <c r="BQ168" i="67"/>
  <c r="BN168" i="67"/>
  <c r="BO168" i="67"/>
  <c r="BL172" i="67"/>
  <c r="BP172" i="67" s="1"/>
  <c r="BL162" i="67"/>
  <c r="BP176" i="67"/>
  <c r="BL180" i="67"/>
  <c r="BP180" i="67" s="1"/>
  <c r="BO178" i="67"/>
  <c r="BM178" i="67"/>
  <c r="BN178" i="67"/>
  <c r="BQ178" i="67"/>
  <c r="BL159" i="67"/>
  <c r="BP168" i="67"/>
  <c r="BL156" i="67"/>
  <c r="BN179" i="67"/>
  <c r="BO179" i="67"/>
  <c r="BQ179" i="67"/>
  <c r="BM179" i="67"/>
  <c r="BN171" i="67"/>
  <c r="BO171" i="67"/>
  <c r="BQ171" i="67"/>
  <c r="BM171" i="67"/>
  <c r="BO182" i="67"/>
  <c r="BQ182" i="67"/>
  <c r="BM182" i="67"/>
  <c r="BN182" i="67"/>
  <c r="BN154" i="67"/>
  <c r="BO154" i="67"/>
  <c r="BM154" i="67"/>
  <c r="BQ154" i="67"/>
  <c r="BM155" i="67"/>
  <c r="BQ155" i="67"/>
  <c r="BN155" i="67"/>
  <c r="BO155" i="67"/>
  <c r="BL165" i="67"/>
  <c r="BP165" i="67" s="1"/>
  <c r="BM160" i="67"/>
  <c r="BQ160" i="67"/>
  <c r="BN160" i="67"/>
  <c r="BO160" i="67"/>
  <c r="BM163" i="67"/>
  <c r="BQ163" i="67"/>
  <c r="BN163" i="67"/>
  <c r="BO163" i="67"/>
  <c r="BN158" i="67"/>
  <c r="BO158" i="67"/>
  <c r="BM158" i="67"/>
  <c r="BQ158" i="67"/>
  <c r="BO170" i="67"/>
  <c r="BM170" i="67"/>
  <c r="BN170" i="67"/>
  <c r="BQ170" i="67"/>
  <c r="BO157" i="67"/>
  <c r="BM157" i="67"/>
  <c r="BQ157" i="67"/>
  <c r="BN157" i="67"/>
  <c r="BP178" i="67"/>
  <c r="BM177" i="67"/>
  <c r="BQ177" i="67"/>
  <c r="BN177" i="67"/>
  <c r="BO177" i="67"/>
  <c r="BL161" i="67"/>
  <c r="BM173" i="67"/>
  <c r="BQ173" i="67"/>
  <c r="BN173" i="67"/>
  <c r="BO173" i="67"/>
  <c r="BN183" i="67"/>
  <c r="BO183" i="67"/>
  <c r="BM183" i="67"/>
  <c r="BQ183" i="67"/>
  <c r="BL175" i="67"/>
  <c r="BP175" i="67" s="1"/>
  <c r="BL169" i="67"/>
  <c r="BP169" i="67" s="1"/>
  <c r="BN167" i="67"/>
  <c r="BO167" i="67"/>
  <c r="BM167" i="67"/>
  <c r="BQ167" i="67"/>
  <c r="BP155" i="67"/>
  <c r="BL181" i="67"/>
  <c r="BP160" i="67"/>
  <c r="BP163" i="67"/>
  <c r="BP158" i="67"/>
  <c r="BP170" i="67"/>
  <c r="BP157" i="67"/>
  <c r="BN166" i="67"/>
  <c r="BO166" i="67"/>
  <c r="BQ166" i="67"/>
  <c r="BM166" i="67"/>
  <c r="BP177" i="67"/>
  <c r="BL174" i="67"/>
  <c r="BP173" i="67"/>
  <c r="BP183" i="67"/>
  <c r="AY15" i="65"/>
  <c r="L15" i="65"/>
  <c r="BA15" i="65"/>
  <c r="DP363" i="65"/>
  <c r="DP379" i="65"/>
  <c r="DP395" i="65"/>
  <c r="DP411" i="65"/>
  <c r="DS366" i="65"/>
  <c r="DS382" i="65"/>
  <c r="DS398" i="65"/>
  <c r="DS414" i="65"/>
  <c r="DS361" i="65"/>
  <c r="DS377" i="65"/>
  <c r="DS393" i="65"/>
  <c r="DS409" i="65"/>
  <c r="DP364" i="65"/>
  <c r="DP380" i="65"/>
  <c r="DP396" i="65"/>
  <c r="DP412" i="65"/>
  <c r="DP435" i="65"/>
  <c r="DS422" i="65"/>
  <c r="DP446" i="65"/>
  <c r="DS433" i="65"/>
  <c r="DP445" i="65"/>
  <c r="DS424" i="65"/>
  <c r="DP436" i="65"/>
  <c r="DS448" i="65"/>
  <c r="N15" i="65"/>
  <c r="DP362" i="65"/>
  <c r="DP378" i="65"/>
  <c r="DP394" i="65"/>
  <c r="DP410" i="65"/>
  <c r="DP361" i="65"/>
  <c r="DS365" i="65"/>
  <c r="DP377" i="65"/>
  <c r="DS381" i="65"/>
  <c r="DP393" i="65"/>
  <c r="DS397" i="65"/>
  <c r="DP409" i="65"/>
  <c r="DS413" i="65"/>
  <c r="DP360" i="65"/>
  <c r="DP376" i="65"/>
  <c r="DP392" i="65"/>
  <c r="DP408" i="65"/>
  <c r="DP422" i="65"/>
  <c r="DP434" i="65"/>
  <c r="DP421" i="65"/>
  <c r="DP433" i="65"/>
  <c r="DP432" i="65"/>
  <c r="DP444" i="65"/>
  <c r="DS423" i="65"/>
  <c r="DS447" i="65"/>
  <c r="M15" i="65"/>
  <c r="AZ15" i="65"/>
  <c r="F143" i="64"/>
  <c r="F149" i="64"/>
  <c r="F146" i="64"/>
  <c r="F148" i="64"/>
  <c r="F144" i="64"/>
  <c r="F145" i="64"/>
  <c r="D148" i="64"/>
  <c r="D145" i="64"/>
  <c r="D143" i="64"/>
  <c r="D149" i="64"/>
  <c r="D146" i="64"/>
  <c r="D144" i="64"/>
  <c r="E145" i="64"/>
  <c r="E143" i="64"/>
  <c r="E148" i="64"/>
  <c r="E149" i="64"/>
  <c r="E146" i="64"/>
  <c r="E144" i="64"/>
  <c r="AD584" i="54"/>
  <c r="AH584" i="54" s="1"/>
  <c r="AD626" i="54"/>
  <c r="AH626" i="54" s="1"/>
  <c r="AB584" i="54"/>
  <c r="AG584" i="54" s="1"/>
  <c r="AB626" i="54"/>
  <c r="AG626" i="54" s="1"/>
  <c r="BO165" i="67" l="1"/>
  <c r="BM165" i="67"/>
  <c r="BQ165" i="67"/>
  <c r="BN165" i="67"/>
  <c r="BM172" i="67"/>
  <c r="BQ172" i="67"/>
  <c r="BN172" i="67"/>
  <c r="BO172" i="67"/>
  <c r="BO161" i="67"/>
  <c r="BM161" i="67"/>
  <c r="BQ161" i="67"/>
  <c r="BN161" i="67"/>
  <c r="BM159" i="67"/>
  <c r="BQ159" i="67"/>
  <c r="BN159" i="67"/>
  <c r="BO159" i="67"/>
  <c r="BO174" i="67"/>
  <c r="BQ174" i="67"/>
  <c r="BM174" i="67"/>
  <c r="BN174" i="67"/>
  <c r="BM181" i="67"/>
  <c r="BQ181" i="67"/>
  <c r="BN181" i="67"/>
  <c r="BO181" i="67"/>
  <c r="BP161" i="67"/>
  <c r="BM156" i="67"/>
  <c r="BQ156" i="67"/>
  <c r="BN156" i="67"/>
  <c r="BO156" i="67"/>
  <c r="BP159" i="67"/>
  <c r="BN162" i="67"/>
  <c r="BO162" i="67"/>
  <c r="BM162" i="67"/>
  <c r="BQ162" i="67"/>
  <c r="BM164" i="67"/>
  <c r="BQ164" i="67"/>
  <c r="BN164" i="67"/>
  <c r="BO164" i="67"/>
  <c r="BM169" i="67"/>
  <c r="BQ169" i="67"/>
  <c r="BN169" i="67"/>
  <c r="BO169" i="67"/>
  <c r="BP174" i="67"/>
  <c r="BP181" i="67"/>
  <c r="BN175" i="67"/>
  <c r="BO175" i="67"/>
  <c r="BM175" i="67"/>
  <c r="BQ175" i="67"/>
  <c r="BP156" i="67"/>
  <c r="BM180" i="67"/>
  <c r="BQ180" i="67"/>
  <c r="BN180" i="67"/>
  <c r="BO180" i="67"/>
  <c r="BP162" i="67"/>
  <c r="BP164" i="67"/>
  <c r="FB125" i="65"/>
  <c r="FA125" i="65" s="1"/>
  <c r="FB127" i="65"/>
  <c r="FA127" i="65" s="1"/>
  <c r="FB126" i="65"/>
  <c r="FA126" i="65" s="1"/>
  <c r="T153" i="67"/>
  <c r="Z153" i="67" s="1"/>
  <c r="T157" i="67"/>
  <c r="Z157" i="67" s="1"/>
  <c r="T161" i="67"/>
  <c r="Z161" i="67" s="1"/>
  <c r="T165" i="67"/>
  <c r="Z165" i="67" s="1"/>
  <c r="T156" i="67"/>
  <c r="Z156" i="67" s="1"/>
  <c r="T160" i="67"/>
  <c r="Z160" i="67" s="1"/>
  <c r="T164" i="67"/>
  <c r="Z164" i="67" s="1"/>
  <c r="T155" i="67"/>
  <c r="Z155" i="67" s="1"/>
  <c r="T159" i="67"/>
  <c r="Z159" i="67" s="1"/>
  <c r="T163" i="67"/>
  <c r="Z163" i="67" s="1"/>
  <c r="T167" i="67"/>
  <c r="Z167" i="67" s="1"/>
  <c r="T154" i="67"/>
  <c r="Z154" i="67" s="1"/>
  <c r="T158" i="67"/>
  <c r="Z158" i="67" s="1"/>
  <c r="T162" i="67"/>
  <c r="Z162" i="67" s="1"/>
  <c r="T166" i="67"/>
  <c r="Z166" i="67" s="1"/>
  <c r="T169" i="67"/>
  <c r="Z169" i="67" s="1"/>
  <c r="T173" i="67"/>
  <c r="Z173" i="67" s="1"/>
  <c r="T177" i="67"/>
  <c r="Z177" i="67" s="1"/>
  <c r="T181" i="67"/>
  <c r="Z181" i="67" s="1"/>
  <c r="T168" i="67"/>
  <c r="Z168" i="67" s="1"/>
  <c r="T172" i="67"/>
  <c r="Z172" i="67" s="1"/>
  <c r="T176" i="67"/>
  <c r="Z176" i="67" s="1"/>
  <c r="T180" i="67"/>
  <c r="Z180" i="67" s="1"/>
  <c r="T170" i="67"/>
  <c r="Z170" i="67" s="1"/>
  <c r="T171" i="67"/>
  <c r="Z171" i="67" s="1"/>
  <c r="T175" i="67"/>
  <c r="Z175" i="67" s="1"/>
  <c r="T179" i="67"/>
  <c r="Z179" i="67" s="1"/>
  <c r="T174" i="67"/>
  <c r="Z174" i="67" s="1"/>
  <c r="T178" i="67"/>
  <c r="Z178" i="67" s="1"/>
  <c r="T182" i="67"/>
  <c r="Z182" i="67" s="1"/>
  <c r="S156" i="67"/>
  <c r="Y156" i="67" s="1"/>
  <c r="S160" i="67"/>
  <c r="Y160" i="67" s="1"/>
  <c r="S164" i="67"/>
  <c r="Y164" i="67" s="1"/>
  <c r="S168" i="67"/>
  <c r="Y168" i="67" s="1"/>
  <c r="S155" i="67"/>
  <c r="Y155" i="67" s="1"/>
  <c r="S159" i="67"/>
  <c r="Y159" i="67" s="1"/>
  <c r="S163" i="67"/>
  <c r="Y163" i="67" s="1"/>
  <c r="S167" i="67"/>
  <c r="Y167" i="67" s="1"/>
  <c r="S154" i="67"/>
  <c r="Y154" i="67" s="1"/>
  <c r="S158" i="67"/>
  <c r="Y158" i="67" s="1"/>
  <c r="S162" i="67"/>
  <c r="Y162" i="67" s="1"/>
  <c r="S166" i="67"/>
  <c r="Y166" i="67" s="1"/>
  <c r="S153" i="67"/>
  <c r="Y153" i="67" s="1"/>
  <c r="S157" i="67"/>
  <c r="Y157" i="67" s="1"/>
  <c r="S161" i="67"/>
  <c r="Y161" i="67" s="1"/>
  <c r="S165" i="67"/>
  <c r="Y165" i="67" s="1"/>
  <c r="S172" i="67"/>
  <c r="Y172" i="67" s="1"/>
  <c r="S176" i="67"/>
  <c r="Y176" i="67" s="1"/>
  <c r="S180" i="67"/>
  <c r="Y180" i="67" s="1"/>
  <c r="S171" i="67"/>
  <c r="Y171" i="67" s="1"/>
  <c r="S175" i="67"/>
  <c r="Y175" i="67" s="1"/>
  <c r="S179" i="67"/>
  <c r="Y179" i="67" s="1"/>
  <c r="S173" i="67"/>
  <c r="Y173" i="67" s="1"/>
  <c r="S177" i="67"/>
  <c r="Y177" i="67" s="1"/>
  <c r="S181" i="67"/>
  <c r="Y181" i="67" s="1"/>
  <c r="S170" i="67"/>
  <c r="Y170" i="67" s="1"/>
  <c r="S174" i="67"/>
  <c r="Y174" i="67" s="1"/>
  <c r="S178" i="67"/>
  <c r="Y178" i="67" s="1"/>
  <c r="S182" i="67"/>
  <c r="Y182" i="67" s="1"/>
  <c r="S169" i="67"/>
  <c r="Y169" i="67" s="1"/>
  <c r="U154" i="67"/>
  <c r="AA154" i="67" s="1"/>
  <c r="U158" i="67"/>
  <c r="AA158" i="67" s="1"/>
  <c r="U162" i="67"/>
  <c r="AA162" i="67" s="1"/>
  <c r="U166" i="67"/>
  <c r="AA166" i="67" s="1"/>
  <c r="U153" i="67"/>
  <c r="AA153" i="67" s="1"/>
  <c r="U157" i="67"/>
  <c r="AA157" i="67" s="1"/>
  <c r="U161" i="67"/>
  <c r="AA161" i="67" s="1"/>
  <c r="U165" i="67"/>
  <c r="AA165" i="67" s="1"/>
  <c r="U156" i="67"/>
  <c r="AA156" i="67" s="1"/>
  <c r="U160" i="67"/>
  <c r="AA160" i="67" s="1"/>
  <c r="U164" i="67"/>
  <c r="AA164" i="67" s="1"/>
  <c r="U155" i="67"/>
  <c r="AA155" i="67" s="1"/>
  <c r="U159" i="67"/>
  <c r="AA159" i="67" s="1"/>
  <c r="U163" i="67"/>
  <c r="AA163" i="67" s="1"/>
  <c r="U167" i="67"/>
  <c r="AA167" i="67" s="1"/>
  <c r="U170" i="67"/>
  <c r="AA170" i="67" s="1"/>
  <c r="U174" i="67"/>
  <c r="AA174" i="67" s="1"/>
  <c r="U178" i="67"/>
  <c r="AA178" i="67" s="1"/>
  <c r="U182" i="67"/>
  <c r="AA182" i="67" s="1"/>
  <c r="U171" i="67"/>
  <c r="AA171" i="67" s="1"/>
  <c r="U175" i="67"/>
  <c r="AA175" i="67" s="1"/>
  <c r="U179" i="67"/>
  <c r="AA179" i="67" s="1"/>
  <c r="U169" i="67"/>
  <c r="AA169" i="67" s="1"/>
  <c r="U173" i="67"/>
  <c r="AA173" i="67" s="1"/>
  <c r="U177" i="67"/>
  <c r="AA177" i="67" s="1"/>
  <c r="U181" i="67"/>
  <c r="AA181" i="67" s="1"/>
  <c r="U168" i="67"/>
  <c r="AA168" i="67" s="1"/>
  <c r="U172" i="67"/>
  <c r="AA172" i="67" s="1"/>
  <c r="U176" i="67"/>
  <c r="AA176" i="67" s="1"/>
  <c r="U180" i="67"/>
  <c r="AA180" i="67" s="1"/>
  <c r="CZ434" i="65"/>
  <c r="CZ435" i="65"/>
  <c r="CZ444" i="65"/>
  <c r="DP420" i="65"/>
  <c r="CZ420" i="65"/>
  <c r="DP414" i="65"/>
  <c r="CZ414" i="65"/>
  <c r="DP382" i="65"/>
  <c r="CZ382" i="65"/>
  <c r="CZ411" i="65"/>
  <c r="CZ379" i="65"/>
  <c r="CZ412" i="65"/>
  <c r="CZ380" i="65"/>
  <c r="DP413" i="65"/>
  <c r="CZ413" i="65"/>
  <c r="DP381" i="65"/>
  <c r="CZ381" i="65"/>
  <c r="DO397" i="65"/>
  <c r="DO366" i="65"/>
  <c r="DO382" i="65"/>
  <c r="DO407" i="65"/>
  <c r="DO443" i="65"/>
  <c r="DO448" i="65"/>
  <c r="DO420" i="65"/>
  <c r="DO431" i="65"/>
  <c r="DO423" i="65"/>
  <c r="DO375" i="65"/>
  <c r="DO391" i="65"/>
  <c r="DO413" i="65"/>
  <c r="DO365" i="65"/>
  <c r="DO359" i="65"/>
  <c r="DO447" i="65"/>
  <c r="DO398" i="65"/>
  <c r="DO381" i="65"/>
  <c r="DO414" i="65"/>
  <c r="DO424" i="65"/>
  <c r="CZ422" i="65"/>
  <c r="DP431" i="65"/>
  <c r="CZ431" i="65"/>
  <c r="CZ436" i="65"/>
  <c r="CZ445" i="65"/>
  <c r="CZ410" i="65"/>
  <c r="CZ378" i="65"/>
  <c r="DP407" i="65"/>
  <c r="CZ407" i="65"/>
  <c r="DP375" i="65"/>
  <c r="CZ375" i="65"/>
  <c r="CZ408" i="65"/>
  <c r="CZ376" i="65"/>
  <c r="CZ409" i="65"/>
  <c r="CZ377" i="65"/>
  <c r="AA158" i="64"/>
  <c r="AA159" i="64"/>
  <c r="AA160" i="64"/>
  <c r="AA161" i="64"/>
  <c r="AC164" i="64"/>
  <c r="AB159" i="64"/>
  <c r="AA162" i="64"/>
  <c r="AB165" i="64"/>
  <c r="AC166" i="64"/>
  <c r="AC161" i="64"/>
  <c r="AB163" i="64"/>
  <c r="AA165" i="64"/>
  <c r="AA166" i="64"/>
  <c r="AB161" i="64"/>
  <c r="AC159" i="64"/>
  <c r="AC162" i="64"/>
  <c r="AC165" i="64"/>
  <c r="AA168" i="64"/>
  <c r="AB160" i="64"/>
  <c r="AB158" i="64"/>
  <c r="AC168" i="64"/>
  <c r="AA167" i="64"/>
  <c r="AB162" i="64"/>
  <c r="AB168" i="64"/>
  <c r="AC163" i="64"/>
  <c r="AC160" i="64"/>
  <c r="AA163" i="64"/>
  <c r="AC167" i="64"/>
  <c r="AB167" i="64"/>
  <c r="AB164" i="64"/>
  <c r="AC158" i="64"/>
  <c r="AB166" i="64"/>
  <c r="AA164" i="64"/>
  <c r="DO361" i="65"/>
  <c r="DO393" i="65"/>
  <c r="DR413" i="65"/>
  <c r="DO433" i="65"/>
  <c r="DR365" i="65"/>
  <c r="DO392" i="65"/>
  <c r="DR381" i="65"/>
  <c r="DO362" i="65"/>
  <c r="DO409" i="65"/>
  <c r="DR423" i="65"/>
  <c r="DO360" i="65"/>
  <c r="DO394" i="65"/>
  <c r="DO376" i="65"/>
  <c r="DO432" i="65"/>
  <c r="DO378" i="65"/>
  <c r="DO421" i="65"/>
  <c r="DO444" i="65"/>
  <c r="DR397" i="65"/>
  <c r="DO422" i="65"/>
  <c r="DO408" i="65"/>
  <c r="DO434" i="65"/>
  <c r="DO410" i="65"/>
  <c r="DO377" i="65"/>
  <c r="DR447" i="65"/>
  <c r="DO411" i="65"/>
  <c r="DR361" i="65"/>
  <c r="DR414" i="65"/>
  <c r="DR382" i="65"/>
  <c r="DO380" i="65"/>
  <c r="DR424" i="65"/>
  <c r="DO396" i="65"/>
  <c r="DO412" i="65"/>
  <c r="DR398" i="65"/>
  <c r="DO379" i="65"/>
  <c r="DO436" i="65"/>
  <c r="DO364" i="65"/>
  <c r="DO435" i="65"/>
  <c r="DR393" i="65"/>
  <c r="DR448" i="65"/>
  <c r="DO395" i="65"/>
  <c r="DO363" i="65"/>
  <c r="DR377" i="65"/>
  <c r="DO446" i="65"/>
  <c r="DR366" i="65"/>
  <c r="DR445" i="65"/>
  <c r="DR422" i="65"/>
  <c r="DR409" i="65"/>
  <c r="DR433" i="65"/>
  <c r="DP447" i="65"/>
  <c r="CZ447" i="65"/>
  <c r="CZ423" i="65"/>
  <c r="DP423" i="65"/>
  <c r="CZ432" i="65"/>
  <c r="CZ433" i="65"/>
  <c r="DP398" i="65"/>
  <c r="CZ398" i="65"/>
  <c r="CZ366" i="65"/>
  <c r="DP366" i="65"/>
  <c r="CZ395" i="65"/>
  <c r="CZ363" i="65"/>
  <c r="CZ396" i="65"/>
  <c r="CZ364" i="65"/>
  <c r="DP397" i="65"/>
  <c r="CZ397" i="65"/>
  <c r="DP365" i="65"/>
  <c r="CZ365" i="65"/>
  <c r="CZ446" i="65"/>
  <c r="DP443" i="65"/>
  <c r="CZ443" i="65"/>
  <c r="CZ448" i="65"/>
  <c r="DP448" i="65"/>
  <c r="DP424" i="65"/>
  <c r="CZ424" i="65"/>
  <c r="CZ421" i="65"/>
  <c r="CZ394" i="65"/>
  <c r="CZ362" i="65"/>
  <c r="DP391" i="65"/>
  <c r="CZ391" i="65"/>
  <c r="DP359" i="65"/>
  <c r="CZ359" i="65"/>
  <c r="CZ392" i="65"/>
  <c r="CZ360" i="65"/>
  <c r="CZ393" i="65"/>
  <c r="CZ361" i="65"/>
  <c r="Z774" i="54"/>
  <c r="AF774" i="54" s="1"/>
  <c r="Z795" i="54"/>
  <c r="AF795" i="54" s="1"/>
  <c r="AJ795" i="54" s="1"/>
  <c r="AD795" i="54"/>
  <c r="AH795" i="54" s="1"/>
  <c r="AL795" i="54" s="1"/>
  <c r="AB795" i="54"/>
  <c r="AG795" i="54" s="1"/>
  <c r="AK795" i="54" s="1"/>
  <c r="T40" i="54"/>
  <c r="T124" i="54"/>
  <c r="T61" i="54"/>
  <c r="T145" i="54"/>
  <c r="T82" i="54"/>
  <c r="T250" i="54"/>
  <c r="T334" i="54"/>
  <c r="T229" i="54"/>
  <c r="T313" i="54"/>
  <c r="T187" i="54"/>
  <c r="T271" i="54"/>
  <c r="T19" i="54"/>
  <c r="T166" i="54"/>
  <c r="T208" i="54"/>
  <c r="T292" i="54"/>
  <c r="T103" i="54"/>
  <c r="AD774" i="54"/>
  <c r="AH774" i="54" s="1"/>
  <c r="G149" i="64"/>
  <c r="J149" i="64" s="1"/>
  <c r="G145" i="64"/>
  <c r="G148" i="64"/>
  <c r="J148" i="64" s="1"/>
  <c r="G146" i="64"/>
  <c r="J146" i="64" s="1"/>
  <c r="G144" i="64"/>
  <c r="G143" i="64"/>
  <c r="J143" i="64" s="1"/>
  <c r="Z298" i="54"/>
  <c r="AF298" i="54" s="1"/>
  <c r="AJ298" i="54" s="1"/>
  <c r="Z278" i="54"/>
  <c r="AF278" i="54" s="1"/>
  <c r="AJ278" i="54" s="1"/>
  <c r="Z258" i="54"/>
  <c r="AF258" i="54" s="1"/>
  <c r="AJ258" i="54" s="1"/>
  <c r="Z238" i="54"/>
  <c r="AF238" i="54" s="1"/>
  <c r="AJ238" i="54" s="1"/>
  <c r="Z218" i="54"/>
  <c r="AF218" i="54" s="1"/>
  <c r="AJ218" i="54" s="1"/>
  <c r="Z198" i="54"/>
  <c r="AF198" i="54" s="1"/>
  <c r="AJ198" i="54" s="1"/>
  <c r="Z178" i="54"/>
  <c r="AF178" i="54" s="1"/>
  <c r="AJ178" i="54" s="1"/>
  <c r="Z158" i="54"/>
  <c r="AF158" i="54" s="1"/>
  <c r="AJ158" i="54" s="1"/>
  <c r="Z138" i="54"/>
  <c r="AF138" i="54" s="1"/>
  <c r="AJ138" i="54" s="1"/>
  <c r="Z118" i="54"/>
  <c r="AF118" i="54" s="1"/>
  <c r="AJ118" i="54" s="1"/>
  <c r="Z98" i="54"/>
  <c r="AF98" i="54" s="1"/>
  <c r="AJ98" i="54" s="1"/>
  <c r="Z78" i="54"/>
  <c r="AF78" i="54" s="1"/>
  <c r="AJ78" i="54" s="1"/>
  <c r="Z58" i="54"/>
  <c r="AF58" i="54" s="1"/>
  <c r="AJ58" i="54" s="1"/>
  <c r="Z38" i="54"/>
  <c r="AF38" i="54" s="1"/>
  <c r="AJ38" i="54" s="1"/>
  <c r="J144" i="64"/>
  <c r="J145" i="64"/>
  <c r="Z207" i="54"/>
  <c r="AF207" i="54" s="1"/>
  <c r="Z270" i="54"/>
  <c r="AF270" i="54" s="1"/>
  <c r="Z144" i="54"/>
  <c r="AF144" i="54" s="1"/>
  <c r="Z291" i="54"/>
  <c r="AF291" i="54" s="1"/>
  <c r="Z18" i="54"/>
  <c r="AF18" i="54" s="1"/>
  <c r="AJ18" i="54" s="1"/>
  <c r="Z228" i="54"/>
  <c r="AF228" i="54" s="1"/>
  <c r="Z165" i="54"/>
  <c r="AF165" i="54" s="1"/>
  <c r="Z186" i="54"/>
  <c r="AF186" i="54" s="1"/>
  <c r="Z312" i="54"/>
  <c r="AF312" i="54" s="1"/>
  <c r="Z249" i="54"/>
  <c r="AF249" i="54" s="1"/>
  <c r="DO445" i="65" l="1"/>
  <c r="AB774" i="54"/>
  <c r="AG774" i="54" s="1"/>
  <c r="V145" i="54"/>
  <c r="V166" i="54"/>
  <c r="V103" i="54"/>
  <c r="V292" i="54"/>
  <c r="V229" i="54"/>
  <c r="V250" i="54"/>
  <c r="V187" i="54"/>
  <c r="V40" i="54"/>
  <c r="V313" i="54"/>
  <c r="V334" i="54"/>
  <c r="V271" i="54"/>
  <c r="V124" i="54"/>
  <c r="V61" i="54"/>
  <c r="V82" i="54"/>
  <c r="V19" i="54"/>
  <c r="V208" i="54"/>
  <c r="V397" i="54"/>
  <c r="V670" i="54"/>
  <c r="V544" i="54"/>
  <c r="V523" i="54"/>
  <c r="V418" i="54"/>
  <c r="V691" i="54"/>
  <c r="V775" i="54"/>
  <c r="V796" i="54"/>
  <c r="V502" i="54"/>
  <c r="V376" i="54"/>
  <c r="V649" i="54"/>
  <c r="X649" i="54"/>
  <c r="X82" i="54"/>
  <c r="X166" i="54"/>
  <c r="X250" i="54"/>
  <c r="X334" i="54"/>
  <c r="X19" i="54"/>
  <c r="X103" i="54"/>
  <c r="X187" i="54"/>
  <c r="X271" i="54"/>
  <c r="X40" i="54"/>
  <c r="X124" i="54"/>
  <c r="X208" i="54"/>
  <c r="X292" i="54"/>
  <c r="X313" i="54"/>
  <c r="X229" i="54"/>
  <c r="X61" i="54"/>
  <c r="X145" i="54"/>
  <c r="I149" i="64"/>
  <c r="L149" i="64" s="1"/>
  <c r="I148" i="64"/>
  <c r="L148" i="64" s="1"/>
  <c r="I146" i="64"/>
  <c r="L146" i="64" s="1"/>
  <c r="I143" i="64"/>
  <c r="L143" i="64" s="1"/>
  <c r="I145" i="64"/>
  <c r="L145" i="64" s="1"/>
  <c r="I144" i="64"/>
  <c r="L144" i="64" s="1"/>
  <c r="AD298" i="54"/>
  <c r="AH298" i="54" s="1"/>
  <c r="AL298" i="54" s="1"/>
  <c r="AD278" i="54"/>
  <c r="AH278" i="54" s="1"/>
  <c r="AL278" i="54" s="1"/>
  <c r="AD258" i="54"/>
  <c r="AH258" i="54" s="1"/>
  <c r="AL258" i="54" s="1"/>
  <c r="AD238" i="54"/>
  <c r="AH238" i="54" s="1"/>
  <c r="AL238" i="54" s="1"/>
  <c r="AD218" i="54"/>
  <c r="AH218" i="54" s="1"/>
  <c r="AL218" i="54" s="1"/>
  <c r="AD198" i="54"/>
  <c r="AH198" i="54" s="1"/>
  <c r="AL198" i="54" s="1"/>
  <c r="AD178" i="54"/>
  <c r="AH178" i="54" s="1"/>
  <c r="AL178" i="54" s="1"/>
  <c r="AD158" i="54"/>
  <c r="AH158" i="54" s="1"/>
  <c r="AL158" i="54" s="1"/>
  <c r="AD138" i="54"/>
  <c r="AH138" i="54" s="1"/>
  <c r="AL138" i="54" s="1"/>
  <c r="AD118" i="54"/>
  <c r="AH118" i="54" s="1"/>
  <c r="AL118" i="54" s="1"/>
  <c r="AD98" i="54"/>
  <c r="AH98" i="54" s="1"/>
  <c r="AL98" i="54" s="1"/>
  <c r="AD78" i="54"/>
  <c r="AH78" i="54" s="1"/>
  <c r="AL78" i="54" s="1"/>
  <c r="AD58" i="54"/>
  <c r="AH58" i="54" s="1"/>
  <c r="AL58" i="54" s="1"/>
  <c r="AD38" i="54"/>
  <c r="AH38" i="54" s="1"/>
  <c r="AL38" i="54" s="1"/>
  <c r="H143" i="64"/>
  <c r="K143" i="64" s="1"/>
  <c r="H148" i="64"/>
  <c r="K148" i="64" s="1"/>
  <c r="H149" i="64"/>
  <c r="K149" i="64" s="1"/>
  <c r="H145" i="64"/>
  <c r="K145" i="64" s="1"/>
  <c r="H146" i="64"/>
  <c r="K146" i="64" s="1"/>
  <c r="H144" i="64"/>
  <c r="K144" i="64" s="1"/>
  <c r="AB298" i="54"/>
  <c r="AG298" i="54" s="1"/>
  <c r="AK298" i="54" s="1"/>
  <c r="AB278" i="54"/>
  <c r="AG278" i="54" s="1"/>
  <c r="AK278" i="54" s="1"/>
  <c r="AB258" i="54"/>
  <c r="AG258" i="54" s="1"/>
  <c r="AK258" i="54" s="1"/>
  <c r="AB238" i="54"/>
  <c r="AG238" i="54" s="1"/>
  <c r="AK238" i="54" s="1"/>
  <c r="AB218" i="54"/>
  <c r="AG218" i="54" s="1"/>
  <c r="AK218" i="54" s="1"/>
  <c r="AB198" i="54"/>
  <c r="AG198" i="54" s="1"/>
  <c r="AK198" i="54" s="1"/>
  <c r="AB178" i="54"/>
  <c r="AG178" i="54" s="1"/>
  <c r="AK178" i="54" s="1"/>
  <c r="AB158" i="54"/>
  <c r="AG158" i="54" s="1"/>
  <c r="AK158" i="54" s="1"/>
  <c r="AB138" i="54"/>
  <c r="AG138" i="54" s="1"/>
  <c r="AK138" i="54" s="1"/>
  <c r="AB118" i="54"/>
  <c r="AG118" i="54" s="1"/>
  <c r="AK118" i="54" s="1"/>
  <c r="AB98" i="54"/>
  <c r="AG98" i="54" s="1"/>
  <c r="AK98" i="54" s="1"/>
  <c r="AB78" i="54"/>
  <c r="AG78" i="54" s="1"/>
  <c r="AK78" i="54" s="1"/>
  <c r="AB58" i="54"/>
  <c r="AG58" i="54" s="1"/>
  <c r="AK58" i="54" s="1"/>
  <c r="AB38" i="54"/>
  <c r="AG38" i="54" s="1"/>
  <c r="AK38" i="54" s="1"/>
  <c r="Z606" i="54"/>
  <c r="AF606" i="54" s="1"/>
  <c r="Z564" i="54"/>
  <c r="AF564" i="54" s="1"/>
  <c r="AB312" i="54"/>
  <c r="AG312" i="54" s="1"/>
  <c r="AB207" i="54"/>
  <c r="AG207" i="54" s="1"/>
  <c r="AB165" i="54"/>
  <c r="AG165" i="54" s="1"/>
  <c r="AB186" i="54"/>
  <c r="AG186" i="54" s="1"/>
  <c r="AB144" i="54"/>
  <c r="AG144" i="54" s="1"/>
  <c r="AB291" i="54"/>
  <c r="AG291" i="54" s="1"/>
  <c r="AB249" i="54"/>
  <c r="AG249" i="54" s="1"/>
  <c r="AB18" i="54"/>
  <c r="AG18" i="54" s="1"/>
  <c r="AK18" i="54" s="1"/>
  <c r="AB228" i="54"/>
  <c r="AG228" i="54" s="1"/>
  <c r="AB270" i="54"/>
  <c r="AG270" i="54" s="1"/>
  <c r="AD18" i="54"/>
  <c r="AH18" i="54" s="1"/>
  <c r="AL18" i="54" s="1"/>
  <c r="AD312" i="54"/>
  <c r="AH312" i="54" s="1"/>
  <c r="AD249" i="54"/>
  <c r="AH249" i="54" s="1"/>
  <c r="AD207" i="54"/>
  <c r="AH207" i="54" s="1"/>
  <c r="AD270" i="54"/>
  <c r="AH270" i="54" s="1"/>
  <c r="AD228" i="54"/>
  <c r="AH228" i="54" s="1"/>
  <c r="AD186" i="54"/>
  <c r="AH186" i="54" s="1"/>
  <c r="AD144" i="54"/>
  <c r="AH144" i="54" s="1"/>
  <c r="AD165" i="54"/>
  <c r="AH165" i="54" s="1"/>
  <c r="AD291" i="54"/>
  <c r="AH291" i="54" s="1"/>
  <c r="X670" i="54" l="1"/>
  <c r="W172" i="64"/>
  <c r="W174" i="64"/>
  <c r="W176" i="64"/>
  <c r="W179" i="64"/>
  <c r="W175" i="64"/>
  <c r="W173" i="64"/>
  <c r="W177" i="64"/>
  <c r="W169" i="64"/>
  <c r="W171" i="64"/>
  <c r="W170" i="64"/>
  <c r="W178" i="64"/>
  <c r="V174" i="64"/>
  <c r="V178" i="64"/>
  <c r="V179" i="64"/>
  <c r="V171" i="64"/>
  <c r="V173" i="64"/>
  <c r="V170" i="64"/>
  <c r="V172" i="64"/>
  <c r="V177" i="64"/>
  <c r="V176" i="64"/>
  <c r="V169" i="64"/>
  <c r="V175" i="64"/>
  <c r="T439" i="54"/>
  <c r="U169" i="64"/>
  <c r="U173" i="64"/>
  <c r="U177" i="64"/>
  <c r="U178" i="64"/>
  <c r="U172" i="64"/>
  <c r="U171" i="64"/>
  <c r="U174" i="64"/>
  <c r="U179" i="64"/>
  <c r="U170" i="64"/>
  <c r="U176" i="64"/>
  <c r="U175" i="64"/>
  <c r="X502" i="54"/>
  <c r="V712" i="54"/>
  <c r="V565" i="54"/>
  <c r="V628" i="54"/>
  <c r="V481" i="54"/>
  <c r="V607" i="54"/>
  <c r="V460" i="54"/>
  <c r="V439" i="54"/>
  <c r="V586" i="54"/>
  <c r="V355" i="54"/>
  <c r="V754" i="54"/>
  <c r="V733" i="54"/>
  <c r="X775" i="54"/>
  <c r="X628" i="54"/>
  <c r="X376" i="54"/>
  <c r="X397" i="54"/>
  <c r="X481" i="54"/>
  <c r="X712" i="54"/>
  <c r="X754" i="54"/>
  <c r="X733" i="54"/>
  <c r="X796" i="54"/>
  <c r="X460" i="54"/>
  <c r="X544" i="54"/>
  <c r="X355" i="54"/>
  <c r="X586" i="54"/>
  <c r="X607" i="54"/>
  <c r="X523" i="54"/>
  <c r="X439" i="54"/>
  <c r="X565" i="54"/>
  <c r="X418" i="54"/>
  <c r="X691" i="54"/>
  <c r="T460" i="54"/>
  <c r="T628" i="54"/>
  <c r="T775" i="54"/>
  <c r="T712" i="54"/>
  <c r="T397" i="54"/>
  <c r="T481" i="54"/>
  <c r="T670" i="54"/>
  <c r="T733" i="54"/>
  <c r="T544" i="54"/>
  <c r="T565" i="54"/>
  <c r="T796" i="54"/>
  <c r="T523" i="54"/>
  <c r="T376" i="54"/>
  <c r="T586" i="54"/>
  <c r="T754" i="54"/>
  <c r="T649" i="54"/>
  <c r="T607" i="54"/>
  <c r="T355" i="54"/>
  <c r="T691" i="54"/>
  <c r="T418" i="54"/>
  <c r="T502" i="54"/>
  <c r="F151" i="64"/>
  <c r="F152" i="64"/>
  <c r="F150" i="64"/>
  <c r="F154" i="64"/>
  <c r="F153" i="64"/>
  <c r="F155" i="64"/>
  <c r="D150" i="64"/>
  <c r="D153" i="64"/>
  <c r="D155" i="64"/>
  <c r="D151" i="64"/>
  <c r="D154" i="64"/>
  <c r="D152" i="64"/>
  <c r="E155" i="64"/>
  <c r="E154" i="64"/>
  <c r="E151" i="64"/>
  <c r="E152" i="64"/>
  <c r="E153" i="64"/>
  <c r="E150" i="64"/>
  <c r="AD564" i="54"/>
  <c r="AH564" i="54" s="1"/>
  <c r="AD606" i="54"/>
  <c r="AH606" i="54" s="1"/>
  <c r="AB564" i="54"/>
  <c r="AG564" i="54" s="1"/>
  <c r="AB606" i="54"/>
  <c r="AG606" i="54" s="1"/>
  <c r="AY10" i="65" l="1"/>
  <c r="FB65" i="65" s="1"/>
  <c r="FA65" i="65" s="1"/>
  <c r="AC173" i="64"/>
  <c r="AA177" i="64"/>
  <c r="AB169" i="64"/>
  <c r="AA170" i="64"/>
  <c r="AB171" i="64"/>
  <c r="AC172" i="64"/>
  <c r="AA173" i="64"/>
  <c r="AA174" i="64"/>
  <c r="AC177" i="64"/>
  <c r="AC178" i="64"/>
  <c r="AC169" i="64"/>
  <c r="AC170" i="64"/>
  <c r="AB173" i="64"/>
  <c r="AC174" i="64"/>
  <c r="AB179" i="64"/>
  <c r="AA169" i="64"/>
  <c r="AA178" i="64"/>
  <c r="AB177" i="64"/>
  <c r="AC176" i="64"/>
  <c r="AC171" i="64"/>
  <c r="AB178" i="64"/>
  <c r="AB172" i="64"/>
  <c r="AA176" i="64"/>
  <c r="AB175" i="64"/>
  <c r="AA175" i="64"/>
  <c r="AB174" i="64"/>
  <c r="AA171" i="64"/>
  <c r="AC179" i="64"/>
  <c r="AA179" i="64"/>
  <c r="AC175" i="64"/>
  <c r="AA172" i="64"/>
  <c r="AB170" i="64"/>
  <c r="AB176" i="64"/>
  <c r="T20" i="54"/>
  <c r="T104" i="54"/>
  <c r="T41" i="54"/>
  <c r="T125" i="54"/>
  <c r="T62" i="54"/>
  <c r="T230" i="54"/>
  <c r="T314" i="54"/>
  <c r="T83" i="54"/>
  <c r="T209" i="54"/>
  <c r="T251" i="54"/>
  <c r="T335" i="54"/>
  <c r="T293" i="54"/>
  <c r="T146" i="54"/>
  <c r="T188" i="54"/>
  <c r="T272" i="54"/>
  <c r="T167" i="54"/>
  <c r="Z775" i="54"/>
  <c r="AF775" i="54" s="1"/>
  <c r="Z796" i="54"/>
  <c r="AF796" i="54" s="1"/>
  <c r="AJ796" i="54" s="1"/>
  <c r="G152" i="64"/>
  <c r="J152" i="64" s="1"/>
  <c r="G155" i="64"/>
  <c r="J155" i="64" s="1"/>
  <c r="G151" i="64"/>
  <c r="J151" i="64" s="1"/>
  <c r="G153" i="64"/>
  <c r="J153" i="64" s="1"/>
  <c r="G150" i="64"/>
  <c r="J150" i="64" s="1"/>
  <c r="G154" i="64"/>
  <c r="J154" i="64" s="1"/>
  <c r="Z319" i="54"/>
  <c r="AF319" i="54" s="1"/>
  <c r="AJ319" i="54" s="1"/>
  <c r="Z299" i="54"/>
  <c r="AF299" i="54" s="1"/>
  <c r="AJ299" i="54" s="1"/>
  <c r="Z279" i="54"/>
  <c r="AF279" i="54" s="1"/>
  <c r="AJ279" i="54" s="1"/>
  <c r="Z259" i="54"/>
  <c r="AF259" i="54" s="1"/>
  <c r="AJ259" i="54" s="1"/>
  <c r="Z239" i="54"/>
  <c r="AF239" i="54" s="1"/>
  <c r="AJ239" i="54" s="1"/>
  <c r="Z219" i="54"/>
  <c r="AF219" i="54" s="1"/>
  <c r="AJ219" i="54" s="1"/>
  <c r="Z199" i="54"/>
  <c r="AF199" i="54" s="1"/>
  <c r="AJ199" i="54" s="1"/>
  <c r="Z179" i="54"/>
  <c r="AF179" i="54" s="1"/>
  <c r="AJ179" i="54" s="1"/>
  <c r="Z159" i="54"/>
  <c r="AF159" i="54" s="1"/>
  <c r="AJ159" i="54" s="1"/>
  <c r="Z139" i="54"/>
  <c r="AF139" i="54" s="1"/>
  <c r="AJ139" i="54" s="1"/>
  <c r="Z119" i="54"/>
  <c r="AF119" i="54" s="1"/>
  <c r="AJ119" i="54" s="1"/>
  <c r="Z99" i="54"/>
  <c r="AF99" i="54" s="1"/>
  <c r="AJ99" i="54" s="1"/>
  <c r="Z79" i="54"/>
  <c r="AF79" i="54" s="1"/>
  <c r="AJ79" i="54" s="1"/>
  <c r="Z59" i="54"/>
  <c r="AF59" i="54" s="1"/>
  <c r="AJ59" i="54" s="1"/>
  <c r="Z39" i="54"/>
  <c r="AF39" i="54" s="1"/>
  <c r="AJ39" i="54" s="1"/>
  <c r="Z208" i="54"/>
  <c r="AF208" i="54" s="1"/>
  <c r="Z271" i="54"/>
  <c r="AF271" i="54" s="1"/>
  <c r="Z166" i="54"/>
  <c r="AF166" i="54" s="1"/>
  <c r="Z145" i="54"/>
  <c r="AF145" i="54" s="1"/>
  <c r="Z19" i="54"/>
  <c r="AF19" i="54" s="1"/>
  <c r="AJ19" i="54" s="1"/>
  <c r="Z250" i="54"/>
  <c r="AF250" i="54" s="1"/>
  <c r="Z229" i="54"/>
  <c r="AF229" i="54" s="1"/>
  <c r="Z292" i="54"/>
  <c r="AF292" i="54" s="1"/>
  <c r="Z313" i="54"/>
  <c r="AF313" i="54" s="1"/>
  <c r="Z124" i="54"/>
  <c r="AF124" i="54" s="1"/>
  <c r="Z187" i="54"/>
  <c r="AF187" i="54" s="1"/>
  <c r="DP487" i="65" l="1"/>
  <c r="DP471" i="65"/>
  <c r="DP497" i="65"/>
  <c r="DP504" i="65"/>
  <c r="DP513" i="65"/>
  <c r="DP472" i="65"/>
  <c r="DP465" i="65"/>
  <c r="DP449" i="65"/>
  <c r="DP535" i="65"/>
  <c r="DP523" i="65"/>
  <c r="DP481" i="65"/>
  <c r="DP456" i="65"/>
  <c r="DP488" i="65"/>
  <c r="DP503" i="65"/>
  <c r="DP455" i="65"/>
  <c r="V125" i="54"/>
  <c r="V146" i="54"/>
  <c r="V167" i="54"/>
  <c r="V272" i="54"/>
  <c r="V209" i="54"/>
  <c r="V230" i="54"/>
  <c r="V251" i="54"/>
  <c r="V20" i="54"/>
  <c r="V293" i="54"/>
  <c r="V314" i="54"/>
  <c r="V335" i="54"/>
  <c r="V104" i="54"/>
  <c r="V41" i="54"/>
  <c r="V62" i="54"/>
  <c r="V83" i="54"/>
  <c r="V188" i="54"/>
  <c r="AD775" i="54"/>
  <c r="AH775" i="54" s="1"/>
  <c r="AD796" i="54"/>
  <c r="AH796" i="54" s="1"/>
  <c r="AL796" i="54" s="1"/>
  <c r="X62" i="54"/>
  <c r="X146" i="54"/>
  <c r="X230" i="54"/>
  <c r="X314" i="54"/>
  <c r="X83" i="54"/>
  <c r="X167" i="54"/>
  <c r="X251" i="54"/>
  <c r="X335" i="54"/>
  <c r="X20" i="54"/>
  <c r="X104" i="54"/>
  <c r="X188" i="54"/>
  <c r="X272" i="54"/>
  <c r="X293" i="54"/>
  <c r="X41" i="54"/>
  <c r="X125" i="54"/>
  <c r="X209" i="54"/>
  <c r="AB775" i="54"/>
  <c r="AG775" i="54" s="1"/>
  <c r="AB796" i="54"/>
  <c r="AG796" i="54" s="1"/>
  <c r="AK796" i="54" s="1"/>
  <c r="I152" i="64"/>
  <c r="L152" i="64" s="1"/>
  <c r="I154" i="64"/>
  <c r="L154" i="64" s="1"/>
  <c r="I153" i="64"/>
  <c r="L153" i="64" s="1"/>
  <c r="I151" i="64"/>
  <c r="L151" i="64" s="1"/>
  <c r="I155" i="64"/>
  <c r="L155" i="64" s="1"/>
  <c r="I150" i="64"/>
  <c r="L150" i="64" s="1"/>
  <c r="AD319" i="54"/>
  <c r="AH319" i="54" s="1"/>
  <c r="AL319" i="54" s="1"/>
  <c r="AD299" i="54"/>
  <c r="AH299" i="54" s="1"/>
  <c r="AL299" i="54" s="1"/>
  <c r="AD279" i="54"/>
  <c r="AH279" i="54" s="1"/>
  <c r="AL279" i="54" s="1"/>
  <c r="AD259" i="54"/>
  <c r="AH259" i="54" s="1"/>
  <c r="AL259" i="54" s="1"/>
  <c r="AD239" i="54"/>
  <c r="AH239" i="54" s="1"/>
  <c r="AL239" i="54" s="1"/>
  <c r="AD219" i="54"/>
  <c r="AH219" i="54" s="1"/>
  <c r="AL219" i="54" s="1"/>
  <c r="AD199" i="54"/>
  <c r="AH199" i="54" s="1"/>
  <c r="AL199" i="54" s="1"/>
  <c r="AD179" i="54"/>
  <c r="AH179" i="54" s="1"/>
  <c r="AL179" i="54" s="1"/>
  <c r="AD159" i="54"/>
  <c r="AH159" i="54" s="1"/>
  <c r="AL159" i="54" s="1"/>
  <c r="AD139" i="54"/>
  <c r="AH139" i="54" s="1"/>
  <c r="AL139" i="54" s="1"/>
  <c r="AD119" i="54"/>
  <c r="AH119" i="54" s="1"/>
  <c r="AL119" i="54" s="1"/>
  <c r="AD99" i="54"/>
  <c r="AH99" i="54" s="1"/>
  <c r="AL99" i="54" s="1"/>
  <c r="AD79" i="54"/>
  <c r="AH79" i="54" s="1"/>
  <c r="AL79" i="54" s="1"/>
  <c r="AD59" i="54"/>
  <c r="AH59" i="54" s="1"/>
  <c r="AL59" i="54" s="1"/>
  <c r="AD39" i="54"/>
  <c r="AH39" i="54" s="1"/>
  <c r="AL39" i="54" s="1"/>
  <c r="H152" i="64"/>
  <c r="K152" i="64" s="1"/>
  <c r="H154" i="64"/>
  <c r="K154" i="64" s="1"/>
  <c r="H153" i="64"/>
  <c r="K153" i="64" s="1"/>
  <c r="H151" i="64"/>
  <c r="K151" i="64" s="1"/>
  <c r="H155" i="64"/>
  <c r="K155" i="64" s="1"/>
  <c r="H150" i="64"/>
  <c r="K150" i="64" s="1"/>
  <c r="AB319" i="54"/>
  <c r="AG319" i="54" s="1"/>
  <c r="AK319" i="54" s="1"/>
  <c r="AB299" i="54"/>
  <c r="AG299" i="54" s="1"/>
  <c r="AK299" i="54" s="1"/>
  <c r="AB279" i="54"/>
  <c r="AG279" i="54" s="1"/>
  <c r="AK279" i="54" s="1"/>
  <c r="AB259" i="54"/>
  <c r="AG259" i="54" s="1"/>
  <c r="AK259" i="54" s="1"/>
  <c r="AB239" i="54"/>
  <c r="AG239" i="54" s="1"/>
  <c r="AK239" i="54" s="1"/>
  <c r="AB219" i="54"/>
  <c r="AG219" i="54" s="1"/>
  <c r="AK219" i="54" s="1"/>
  <c r="AB199" i="54"/>
  <c r="AG199" i="54" s="1"/>
  <c r="AK199" i="54" s="1"/>
  <c r="AB179" i="54"/>
  <c r="AG179" i="54" s="1"/>
  <c r="AK179" i="54" s="1"/>
  <c r="AB159" i="54"/>
  <c r="AG159" i="54" s="1"/>
  <c r="AK159" i="54" s="1"/>
  <c r="AB139" i="54"/>
  <c r="AG139" i="54" s="1"/>
  <c r="AK139" i="54" s="1"/>
  <c r="AB119" i="54"/>
  <c r="AG119" i="54" s="1"/>
  <c r="AK119" i="54" s="1"/>
  <c r="AB99" i="54"/>
  <c r="AG99" i="54" s="1"/>
  <c r="AK99" i="54" s="1"/>
  <c r="AB79" i="54"/>
  <c r="AG79" i="54" s="1"/>
  <c r="AK79" i="54" s="1"/>
  <c r="AB59" i="54"/>
  <c r="AG59" i="54" s="1"/>
  <c r="AK59" i="54" s="1"/>
  <c r="AB39" i="54"/>
  <c r="AG39" i="54" s="1"/>
  <c r="AK39" i="54" s="1"/>
  <c r="Z544" i="54"/>
  <c r="AF544" i="54" s="1"/>
  <c r="Z586" i="54"/>
  <c r="AF586" i="54" s="1"/>
  <c r="AD145" i="54"/>
  <c r="AH145" i="54" s="1"/>
  <c r="AD208" i="54"/>
  <c r="AH208" i="54" s="1"/>
  <c r="AD271" i="54"/>
  <c r="AH271" i="54" s="1"/>
  <c r="AD229" i="54"/>
  <c r="AH229" i="54" s="1"/>
  <c r="AD166" i="54"/>
  <c r="AH166" i="54" s="1"/>
  <c r="AD19" i="54"/>
  <c r="AH19" i="54" s="1"/>
  <c r="AL19" i="54" s="1"/>
  <c r="AD313" i="54"/>
  <c r="AH313" i="54" s="1"/>
  <c r="AD124" i="54"/>
  <c r="AH124" i="54" s="1"/>
  <c r="AD187" i="54"/>
  <c r="AH187" i="54" s="1"/>
  <c r="AD250" i="54"/>
  <c r="AH250" i="54" s="1"/>
  <c r="AD292" i="54"/>
  <c r="AH292" i="54" s="1"/>
  <c r="AB124" i="54"/>
  <c r="AG124" i="54" s="1"/>
  <c r="AB145" i="54"/>
  <c r="AG145" i="54" s="1"/>
  <c r="AB19" i="54"/>
  <c r="AG19" i="54" s="1"/>
  <c r="AK19" i="54" s="1"/>
  <c r="AB229" i="54"/>
  <c r="AG229" i="54" s="1"/>
  <c r="AB313" i="54"/>
  <c r="AG313" i="54" s="1"/>
  <c r="AB271" i="54"/>
  <c r="AG271" i="54" s="1"/>
  <c r="AB292" i="54"/>
  <c r="AG292" i="54" s="1"/>
  <c r="AB166" i="54"/>
  <c r="AG166" i="54" s="1"/>
  <c r="AB187" i="54"/>
  <c r="AG187" i="54" s="1"/>
  <c r="AB250" i="54"/>
  <c r="AG250" i="54" s="1"/>
  <c r="AB208" i="54"/>
  <c r="AG208" i="54" s="1"/>
  <c r="W186" i="64" l="1"/>
  <c r="W187" i="64"/>
  <c r="W190" i="64"/>
  <c r="W180" i="64"/>
  <c r="W182" i="64"/>
  <c r="W189" i="64"/>
  <c r="W188" i="64"/>
  <c r="W181" i="64"/>
  <c r="W183" i="64"/>
  <c r="W185" i="64"/>
  <c r="W184" i="64"/>
  <c r="U187" i="64"/>
  <c r="U188" i="64"/>
  <c r="U181" i="64"/>
  <c r="U185" i="64"/>
  <c r="U186" i="64"/>
  <c r="U190" i="64"/>
  <c r="U189" i="64"/>
  <c r="U180" i="64"/>
  <c r="U182" i="64"/>
  <c r="U183" i="64"/>
  <c r="U184" i="64"/>
  <c r="V182" i="64"/>
  <c r="V189" i="64"/>
  <c r="V181" i="64"/>
  <c r="V187" i="64"/>
  <c r="V188" i="64"/>
  <c r="V190" i="64"/>
  <c r="V180" i="64"/>
  <c r="V186" i="64"/>
  <c r="V183" i="64"/>
  <c r="V185" i="64"/>
  <c r="V184" i="64"/>
  <c r="AZ10" i="65"/>
  <c r="FB66" i="65" s="1"/>
  <c r="FA66" i="65" s="1"/>
  <c r="BA10" i="65"/>
  <c r="FB67" i="65" s="1"/>
  <c r="FA67" i="65" s="1"/>
  <c r="DS451" i="65"/>
  <c r="DS467" i="65"/>
  <c r="DS483" i="65"/>
  <c r="DS499" i="65"/>
  <c r="DP527" i="65"/>
  <c r="DP470" i="65"/>
  <c r="DP486" i="65"/>
  <c r="DP502" i="65"/>
  <c r="DP453" i="65"/>
  <c r="DP469" i="65"/>
  <c r="DP485" i="65"/>
  <c r="DS525" i="65"/>
  <c r="DS456" i="65"/>
  <c r="DS472" i="65"/>
  <c r="DS488" i="65"/>
  <c r="DS504" i="65"/>
  <c r="DP528" i="65"/>
  <c r="DS543" i="65"/>
  <c r="DP454" i="65"/>
  <c r="DP501" i="65"/>
  <c r="DS515" i="65"/>
  <c r="DS537" i="65"/>
  <c r="DP539" i="65"/>
  <c r="V377" i="54"/>
  <c r="V713" i="54"/>
  <c r="V650" i="54"/>
  <c r="V587" i="54"/>
  <c r="V524" i="54"/>
  <c r="V797" i="54"/>
  <c r="V503" i="54"/>
  <c r="V461" i="54"/>
  <c r="V398" i="54"/>
  <c r="V734" i="54"/>
  <c r="V671" i="54"/>
  <c r="V608" i="54"/>
  <c r="V755" i="54"/>
  <c r="V776" i="54"/>
  <c r="V545" i="54"/>
  <c r="V482" i="54"/>
  <c r="V419" i="54"/>
  <c r="V356" i="54"/>
  <c r="V692" i="54"/>
  <c r="V629" i="54"/>
  <c r="V566" i="54"/>
  <c r="V440" i="54"/>
  <c r="X629" i="54"/>
  <c r="X650" i="54"/>
  <c r="X356" i="54"/>
  <c r="X671" i="54"/>
  <c r="X713" i="54"/>
  <c r="X587" i="54"/>
  <c r="X377" i="54"/>
  <c r="X398" i="54"/>
  <c r="X419" i="54"/>
  <c r="X440" i="54"/>
  <c r="X755" i="54"/>
  <c r="X797" i="54"/>
  <c r="X566" i="54"/>
  <c r="X776" i="54"/>
  <c r="X461" i="54"/>
  <c r="X482" i="54"/>
  <c r="X503" i="54"/>
  <c r="X524" i="54"/>
  <c r="X692" i="54"/>
  <c r="X734" i="54"/>
  <c r="X545" i="54"/>
  <c r="X608" i="54"/>
  <c r="L10" i="65"/>
  <c r="T545" i="54"/>
  <c r="T419" i="54"/>
  <c r="T524" i="54"/>
  <c r="T629" i="54"/>
  <c r="T734" i="54"/>
  <c r="T566" i="54"/>
  <c r="T650" i="54"/>
  <c r="T398" i="54"/>
  <c r="T503" i="54"/>
  <c r="T608" i="54"/>
  <c r="T713" i="54"/>
  <c r="T587" i="54"/>
  <c r="T776" i="54"/>
  <c r="T377" i="54"/>
  <c r="T482" i="54"/>
  <c r="T356" i="54"/>
  <c r="T692" i="54"/>
  <c r="T797" i="54"/>
  <c r="T671" i="54"/>
  <c r="T461" i="54"/>
  <c r="T440" i="54"/>
  <c r="T755" i="54"/>
  <c r="D156" i="64"/>
  <c r="D159" i="64"/>
  <c r="D161" i="64"/>
  <c r="D157" i="64"/>
  <c r="D160" i="64"/>
  <c r="D162" i="64"/>
  <c r="F159" i="64"/>
  <c r="F161" i="64"/>
  <c r="F156" i="64"/>
  <c r="F162" i="64"/>
  <c r="F157" i="64"/>
  <c r="F160" i="64"/>
  <c r="E156" i="64"/>
  <c r="E161" i="64"/>
  <c r="E159" i="64"/>
  <c r="E160" i="64"/>
  <c r="E162" i="64"/>
  <c r="E157" i="64"/>
  <c r="AD544" i="54"/>
  <c r="AH544" i="54" s="1"/>
  <c r="AD586" i="54"/>
  <c r="AH586" i="54" s="1"/>
  <c r="AB586" i="54"/>
  <c r="AG586" i="54" s="1"/>
  <c r="AB544" i="54"/>
  <c r="AG544" i="54" s="1"/>
  <c r="Z20" i="54"/>
  <c r="AF20" i="54" s="1"/>
  <c r="AJ20" i="54" s="1"/>
  <c r="Z230" i="54"/>
  <c r="AF230" i="54" s="1"/>
  <c r="Z188" i="54"/>
  <c r="AF188" i="54" s="1"/>
  <c r="Z251" i="54"/>
  <c r="AF251" i="54" s="1"/>
  <c r="Z146" i="54"/>
  <c r="AF146" i="54" s="1"/>
  <c r="Z125" i="54"/>
  <c r="AF125" i="54" s="1"/>
  <c r="Z104" i="54"/>
  <c r="AF104" i="54" s="1"/>
  <c r="Z293" i="54"/>
  <c r="AF293" i="54" s="1"/>
  <c r="Z272" i="54"/>
  <c r="AF272" i="54" s="1"/>
  <c r="Z167" i="54"/>
  <c r="AF167" i="54" s="1"/>
  <c r="Z314" i="54"/>
  <c r="AF314" i="54" s="1"/>
  <c r="Z209" i="54"/>
  <c r="AF209" i="54" s="1"/>
  <c r="AC180" i="64" l="1"/>
  <c r="AA181" i="64"/>
  <c r="AA182" i="64"/>
  <c r="AB185" i="64"/>
  <c r="AB187" i="64"/>
  <c r="AA189" i="64"/>
  <c r="AB190" i="64"/>
  <c r="AC181" i="64"/>
  <c r="AB186" i="64"/>
  <c r="AA188" i="64"/>
  <c r="AC189" i="64"/>
  <c r="AB183" i="64"/>
  <c r="AA185" i="64"/>
  <c r="AA187" i="64"/>
  <c r="AB188" i="64"/>
  <c r="AA190" i="64"/>
  <c r="AC182" i="64"/>
  <c r="AC185" i="64"/>
  <c r="AC187" i="64"/>
  <c r="AB181" i="64"/>
  <c r="AA186" i="64"/>
  <c r="AB189" i="64"/>
  <c r="AA184" i="64"/>
  <c r="AC188" i="64"/>
  <c r="AC183" i="64"/>
  <c r="AA180" i="64"/>
  <c r="AA183" i="64"/>
  <c r="AC184" i="64"/>
  <c r="AB180" i="64"/>
  <c r="AC186" i="64"/>
  <c r="AB184" i="64"/>
  <c r="AB182" i="64"/>
  <c r="AC190" i="64"/>
  <c r="CZ527" i="65"/>
  <c r="CZ523" i="65"/>
  <c r="CZ472" i="65"/>
  <c r="CZ528" i="65"/>
  <c r="CZ538" i="65"/>
  <c r="CZ449" i="65"/>
  <c r="CZ516" i="65"/>
  <c r="CZ485" i="65"/>
  <c r="DP498" i="65"/>
  <c r="CZ498" i="65"/>
  <c r="DP482" i="65"/>
  <c r="CZ482" i="65"/>
  <c r="CZ465" i="65"/>
  <c r="CZ488" i="65"/>
  <c r="DP451" i="65"/>
  <c r="CZ451" i="65"/>
  <c r="DS487" i="65"/>
  <c r="CZ487" i="65"/>
  <c r="DS471" i="65"/>
  <c r="CZ471" i="65"/>
  <c r="DP536" i="65"/>
  <c r="CZ536" i="65"/>
  <c r="DP525" i="65"/>
  <c r="CZ525" i="65"/>
  <c r="CZ453" i="65"/>
  <c r="CZ501" i="65"/>
  <c r="DP524" i="65"/>
  <c r="CZ524" i="65"/>
  <c r="CZ513" i="65"/>
  <c r="DP483" i="65"/>
  <c r="CZ483" i="65"/>
  <c r="CZ504" i="65"/>
  <c r="CZ540" i="65"/>
  <c r="CZ456" i="65"/>
  <c r="CZ535" i="65"/>
  <c r="CZ469" i="65"/>
  <c r="DS503" i="65"/>
  <c r="CZ503" i="65"/>
  <c r="DP484" i="65"/>
  <c r="CZ484" i="65"/>
  <c r="DP468" i="65"/>
  <c r="CZ468" i="65"/>
  <c r="DP499" i="65"/>
  <c r="CZ499" i="65"/>
  <c r="DS539" i="65"/>
  <c r="CZ539" i="65"/>
  <c r="DP500" i="65"/>
  <c r="CZ500" i="65"/>
  <c r="CZ497" i="65"/>
  <c r="DP514" i="65"/>
  <c r="CZ514" i="65"/>
  <c r="DP466" i="65"/>
  <c r="CZ466" i="65"/>
  <c r="CZ481" i="65"/>
  <c r="CZ454" i="65"/>
  <c r="DP452" i="65"/>
  <c r="CZ452" i="65"/>
  <c r="CZ486" i="65"/>
  <c r="DP450" i="65"/>
  <c r="CZ450" i="65"/>
  <c r="CZ537" i="65"/>
  <c r="CZ470" i="65"/>
  <c r="CZ517" i="65"/>
  <c r="CZ502" i="65"/>
  <c r="DP526" i="65"/>
  <c r="CZ526" i="65"/>
  <c r="DP515" i="65"/>
  <c r="CZ515" i="65"/>
  <c r="DS455" i="65"/>
  <c r="CZ455" i="65"/>
  <c r="DP467" i="65"/>
  <c r="CZ467" i="65"/>
  <c r="DP538" i="65"/>
  <c r="DP540" i="65"/>
  <c r="DS540" i="65"/>
  <c r="DP517" i="65"/>
  <c r="DS517" i="65"/>
  <c r="DP516" i="65"/>
  <c r="DS516" i="65"/>
  <c r="DP537" i="65"/>
  <c r="Z797" i="54"/>
  <c r="AF797" i="54" s="1"/>
  <c r="AJ797" i="54" s="1"/>
  <c r="Z776" i="54"/>
  <c r="AF776" i="54" s="1"/>
  <c r="N10" i="65"/>
  <c r="DO504" i="65"/>
  <c r="DO456" i="65"/>
  <c r="DO449" i="65"/>
  <c r="DO497" i="65"/>
  <c r="DO472" i="65"/>
  <c r="DO455" i="65"/>
  <c r="DO535" i="65"/>
  <c r="DO471" i="65"/>
  <c r="DO523" i="65"/>
  <c r="DO488" i="65"/>
  <c r="DO487" i="65"/>
  <c r="DO503" i="65"/>
  <c r="DO465" i="65"/>
  <c r="DO513" i="65"/>
  <c r="DO481" i="65"/>
  <c r="M10" i="65"/>
  <c r="H156" i="64"/>
  <c r="K156" i="64" s="1"/>
  <c r="H162" i="64"/>
  <c r="K162" i="64" s="1"/>
  <c r="H161" i="64"/>
  <c r="K161" i="64" s="1"/>
  <c r="H157" i="64"/>
  <c r="K157" i="64" s="1"/>
  <c r="H160" i="64"/>
  <c r="K160" i="64" s="1"/>
  <c r="H159" i="64"/>
  <c r="K159" i="64" s="1"/>
  <c r="AB320" i="54"/>
  <c r="AG320" i="54" s="1"/>
  <c r="AK320" i="54" s="1"/>
  <c r="AB300" i="54"/>
  <c r="AG300" i="54" s="1"/>
  <c r="AK300" i="54" s="1"/>
  <c r="AB280" i="54"/>
  <c r="AG280" i="54" s="1"/>
  <c r="AK280" i="54" s="1"/>
  <c r="AB260" i="54"/>
  <c r="AG260" i="54" s="1"/>
  <c r="AK260" i="54" s="1"/>
  <c r="AB240" i="54"/>
  <c r="AG240" i="54" s="1"/>
  <c r="AK240" i="54" s="1"/>
  <c r="AB220" i="54"/>
  <c r="AG220" i="54" s="1"/>
  <c r="AK220" i="54" s="1"/>
  <c r="AB200" i="54"/>
  <c r="AG200" i="54" s="1"/>
  <c r="AK200" i="54" s="1"/>
  <c r="AB180" i="54"/>
  <c r="AG180" i="54" s="1"/>
  <c r="AK180" i="54" s="1"/>
  <c r="AB160" i="54"/>
  <c r="AG160" i="54" s="1"/>
  <c r="AK160" i="54" s="1"/>
  <c r="AB140" i="54"/>
  <c r="AG140" i="54" s="1"/>
  <c r="AK140" i="54" s="1"/>
  <c r="AB120" i="54"/>
  <c r="AG120" i="54" s="1"/>
  <c r="AK120" i="54" s="1"/>
  <c r="AB100" i="54"/>
  <c r="AG100" i="54" s="1"/>
  <c r="AK100" i="54" s="1"/>
  <c r="AB80" i="54"/>
  <c r="AG80" i="54" s="1"/>
  <c r="AK80" i="54" s="1"/>
  <c r="AB60" i="54"/>
  <c r="AG60" i="54" s="1"/>
  <c r="AK60" i="54" s="1"/>
  <c r="AB40" i="54"/>
  <c r="AG40" i="54" s="1"/>
  <c r="AK40" i="54" s="1"/>
  <c r="I156" i="64"/>
  <c r="L156" i="64" s="1"/>
  <c r="I162" i="64"/>
  <c r="L162" i="64" s="1"/>
  <c r="I161" i="64"/>
  <c r="L161" i="64" s="1"/>
  <c r="I159" i="64"/>
  <c r="L159" i="64" s="1"/>
  <c r="I160" i="64"/>
  <c r="L160" i="64" s="1"/>
  <c r="I157" i="64"/>
  <c r="L157" i="64" s="1"/>
  <c r="AD320" i="54"/>
  <c r="AH320" i="54" s="1"/>
  <c r="AL320" i="54" s="1"/>
  <c r="AD300" i="54"/>
  <c r="AH300" i="54" s="1"/>
  <c r="AL300" i="54" s="1"/>
  <c r="AD280" i="54"/>
  <c r="AH280" i="54" s="1"/>
  <c r="AL280" i="54" s="1"/>
  <c r="AD260" i="54"/>
  <c r="AH260" i="54" s="1"/>
  <c r="AL260" i="54" s="1"/>
  <c r="AD240" i="54"/>
  <c r="AH240" i="54" s="1"/>
  <c r="AL240" i="54" s="1"/>
  <c r="AD220" i="54"/>
  <c r="AH220" i="54" s="1"/>
  <c r="AL220" i="54" s="1"/>
  <c r="AD200" i="54"/>
  <c r="AH200" i="54" s="1"/>
  <c r="AL200" i="54" s="1"/>
  <c r="AD180" i="54"/>
  <c r="AH180" i="54" s="1"/>
  <c r="AL180" i="54" s="1"/>
  <c r="AD160" i="54"/>
  <c r="AH160" i="54" s="1"/>
  <c r="AL160" i="54" s="1"/>
  <c r="AD140" i="54"/>
  <c r="AH140" i="54" s="1"/>
  <c r="AL140" i="54" s="1"/>
  <c r="AD120" i="54"/>
  <c r="AH120" i="54" s="1"/>
  <c r="AL120" i="54" s="1"/>
  <c r="AD100" i="54"/>
  <c r="AH100" i="54" s="1"/>
  <c r="AL100" i="54" s="1"/>
  <c r="AD80" i="54"/>
  <c r="AH80" i="54" s="1"/>
  <c r="AL80" i="54" s="1"/>
  <c r="AD60" i="54"/>
  <c r="AH60" i="54" s="1"/>
  <c r="AL60" i="54" s="1"/>
  <c r="AD40" i="54"/>
  <c r="AH40" i="54" s="1"/>
  <c r="AL40" i="54" s="1"/>
  <c r="G162" i="64"/>
  <c r="J162" i="64" s="1"/>
  <c r="G156" i="64"/>
  <c r="J156" i="64" s="1"/>
  <c r="G161" i="64"/>
  <c r="J161" i="64" s="1"/>
  <c r="G157" i="64"/>
  <c r="J157" i="64" s="1"/>
  <c r="G160" i="64"/>
  <c r="J160" i="64" s="1"/>
  <c r="G159" i="64"/>
  <c r="J159" i="64" s="1"/>
  <c r="Z320" i="54"/>
  <c r="AF320" i="54" s="1"/>
  <c r="AJ320" i="54" s="1"/>
  <c r="Z300" i="54"/>
  <c r="AF300" i="54" s="1"/>
  <c r="AJ300" i="54" s="1"/>
  <c r="Z280" i="54"/>
  <c r="AF280" i="54" s="1"/>
  <c r="AJ280" i="54" s="1"/>
  <c r="Z260" i="54"/>
  <c r="AF260" i="54" s="1"/>
  <c r="AJ260" i="54" s="1"/>
  <c r="Z240" i="54"/>
  <c r="AF240" i="54" s="1"/>
  <c r="AJ240" i="54" s="1"/>
  <c r="Z220" i="54"/>
  <c r="AF220" i="54" s="1"/>
  <c r="AJ220" i="54" s="1"/>
  <c r="Z200" i="54"/>
  <c r="AF200" i="54" s="1"/>
  <c r="AJ200" i="54" s="1"/>
  <c r="Z180" i="54"/>
  <c r="AF180" i="54" s="1"/>
  <c r="AJ180" i="54" s="1"/>
  <c r="Z160" i="54"/>
  <c r="AF160" i="54" s="1"/>
  <c r="AJ160" i="54" s="1"/>
  <c r="Z140" i="54"/>
  <c r="AF140" i="54" s="1"/>
  <c r="AJ140" i="54" s="1"/>
  <c r="Z120" i="54"/>
  <c r="AF120" i="54" s="1"/>
  <c r="AJ120" i="54" s="1"/>
  <c r="Z100" i="54"/>
  <c r="AF100" i="54" s="1"/>
  <c r="AJ100" i="54" s="1"/>
  <c r="Z80" i="54"/>
  <c r="AF80" i="54" s="1"/>
  <c r="AJ80" i="54" s="1"/>
  <c r="Z60" i="54"/>
  <c r="AF60" i="54" s="1"/>
  <c r="AJ60" i="54" s="1"/>
  <c r="Z40" i="54"/>
  <c r="AF40" i="54" s="1"/>
  <c r="AJ40" i="54" s="1"/>
  <c r="Z566" i="54"/>
  <c r="AF566" i="54" s="1"/>
  <c r="Z524" i="54"/>
  <c r="AF524" i="54" s="1"/>
  <c r="AB188" i="54"/>
  <c r="AG188" i="54" s="1"/>
  <c r="AB104" i="54"/>
  <c r="AG104" i="54" s="1"/>
  <c r="AB314" i="54"/>
  <c r="AG314" i="54" s="1"/>
  <c r="AB293" i="54"/>
  <c r="AG293" i="54" s="1"/>
  <c r="AB251" i="54"/>
  <c r="AG251" i="54" s="1"/>
  <c r="AB167" i="54"/>
  <c r="AG167" i="54" s="1"/>
  <c r="AB272" i="54"/>
  <c r="AG272" i="54" s="1"/>
  <c r="AB209" i="54"/>
  <c r="AG209" i="54" s="1"/>
  <c r="AB230" i="54"/>
  <c r="AG230" i="54" s="1"/>
  <c r="AB146" i="54"/>
  <c r="AG146" i="54" s="1"/>
  <c r="AB125" i="54"/>
  <c r="AG125" i="54" s="1"/>
  <c r="AB20" i="54"/>
  <c r="AG20" i="54" s="1"/>
  <c r="AK20" i="54" s="1"/>
  <c r="AD251" i="54"/>
  <c r="AH251" i="54" s="1"/>
  <c r="AD167" i="54"/>
  <c r="AH167" i="54" s="1"/>
  <c r="AD20" i="54"/>
  <c r="AH20" i="54" s="1"/>
  <c r="AL20" i="54" s="1"/>
  <c r="AD125" i="54"/>
  <c r="AH125" i="54" s="1"/>
  <c r="AD188" i="54"/>
  <c r="AH188" i="54" s="1"/>
  <c r="AD146" i="54"/>
  <c r="AH146" i="54" s="1"/>
  <c r="AD272" i="54"/>
  <c r="AH272" i="54" s="1"/>
  <c r="AD314" i="54"/>
  <c r="AH314" i="54" s="1"/>
  <c r="AD230" i="54"/>
  <c r="AH230" i="54" s="1"/>
  <c r="AD209" i="54"/>
  <c r="AH209" i="54" s="1"/>
  <c r="AD293" i="54"/>
  <c r="AH293" i="54" s="1"/>
  <c r="AD104" i="54"/>
  <c r="AH104" i="54" s="1"/>
  <c r="U195" i="64" l="1"/>
  <c r="U196" i="64"/>
  <c r="U197" i="64"/>
  <c r="U198" i="64"/>
  <c r="U199" i="64"/>
  <c r="U200" i="64"/>
  <c r="U201" i="64"/>
  <c r="U191" i="64"/>
  <c r="U192" i="64"/>
  <c r="U193" i="64"/>
  <c r="U194" i="64"/>
  <c r="EJ40" i="65"/>
  <c r="EJ43" i="65"/>
  <c r="EJ47" i="65"/>
  <c r="DO526" i="65"/>
  <c r="DO536" i="65"/>
  <c r="DR503" i="65"/>
  <c r="DR471" i="65"/>
  <c r="DO484" i="65"/>
  <c r="DO499" i="65"/>
  <c r="DO466" i="65"/>
  <c r="DO467" i="65"/>
  <c r="DO498" i="65"/>
  <c r="DO500" i="65"/>
  <c r="DO515" i="65"/>
  <c r="DO452" i="65"/>
  <c r="DO514" i="65"/>
  <c r="DR455" i="65"/>
  <c r="DO483" i="65"/>
  <c r="DO450" i="65"/>
  <c r="DO525" i="65"/>
  <c r="DR539" i="65"/>
  <c r="DO451" i="65"/>
  <c r="DO468" i="65"/>
  <c r="DO482" i="65"/>
  <c r="DR487" i="65"/>
  <c r="DO524" i="65"/>
  <c r="DR467" i="65"/>
  <c r="DR499" i="65"/>
  <c r="DO527" i="65"/>
  <c r="DO486" i="65"/>
  <c r="DR537" i="65"/>
  <c r="DR504" i="65"/>
  <c r="DR472" i="65"/>
  <c r="DR525" i="65"/>
  <c r="DO453" i="65"/>
  <c r="DO528" i="65"/>
  <c r="DR451" i="65"/>
  <c r="DR483" i="65"/>
  <c r="DR515" i="65"/>
  <c r="DO539" i="65"/>
  <c r="DO485" i="65"/>
  <c r="DO454" i="65"/>
  <c r="DO469" i="65"/>
  <c r="DO502" i="65"/>
  <c r="DO470" i="65"/>
  <c r="DR488" i="65"/>
  <c r="DR456" i="65"/>
  <c r="DO501" i="65"/>
  <c r="X42" i="54"/>
  <c r="X126" i="54"/>
  <c r="X210" i="54"/>
  <c r="X294" i="54"/>
  <c r="X63" i="54"/>
  <c r="X147" i="54"/>
  <c r="X231" i="54"/>
  <c r="X315" i="54"/>
  <c r="X84" i="54"/>
  <c r="X168" i="54"/>
  <c r="X252" i="54"/>
  <c r="X336" i="54"/>
  <c r="X273" i="54"/>
  <c r="X21" i="54"/>
  <c r="X189" i="54"/>
  <c r="X105" i="54"/>
  <c r="V42" i="54"/>
  <c r="AD797" i="54"/>
  <c r="AH797" i="54" s="1"/>
  <c r="AL797" i="54" s="1"/>
  <c r="AD776" i="54"/>
  <c r="AH776" i="54" s="1"/>
  <c r="T84" i="54"/>
  <c r="T168" i="54"/>
  <c r="T21" i="54"/>
  <c r="T105" i="54"/>
  <c r="T42" i="54"/>
  <c r="T210" i="54"/>
  <c r="T294" i="54"/>
  <c r="T63" i="54"/>
  <c r="T147" i="54"/>
  <c r="T231" i="54"/>
  <c r="T315" i="54"/>
  <c r="T273" i="54"/>
  <c r="T126" i="54"/>
  <c r="T252" i="54"/>
  <c r="T336" i="54"/>
  <c r="T189" i="54"/>
  <c r="AB797" i="54"/>
  <c r="AG797" i="54" s="1"/>
  <c r="AK797" i="54" s="1"/>
  <c r="AB776" i="54"/>
  <c r="AG776" i="54" s="1"/>
  <c r="F164" i="64"/>
  <c r="F167" i="64"/>
  <c r="F168" i="64"/>
  <c r="F166" i="64"/>
  <c r="F165" i="64"/>
  <c r="F163" i="64"/>
  <c r="D167" i="64"/>
  <c r="D165" i="64"/>
  <c r="D168" i="64"/>
  <c r="D163" i="64"/>
  <c r="D164" i="64"/>
  <c r="D166" i="64"/>
  <c r="AD524" i="54"/>
  <c r="AH524" i="54" s="1"/>
  <c r="AD566" i="54"/>
  <c r="AH566" i="54" s="1"/>
  <c r="AB524" i="54"/>
  <c r="AG524" i="54" s="1"/>
  <c r="AB566" i="54"/>
  <c r="AG566" i="54" s="1"/>
  <c r="AI186" i="67" l="1"/>
  <c r="BC187" i="67" s="1"/>
  <c r="AI190" i="67"/>
  <c r="BC191" i="67" s="1"/>
  <c r="AI194" i="67"/>
  <c r="BC195" i="67" s="1"/>
  <c r="AI198" i="67"/>
  <c r="BC199" i="67" s="1"/>
  <c r="AI202" i="67"/>
  <c r="BC203" i="67" s="1"/>
  <c r="AG183" i="67"/>
  <c r="BA184" i="67" s="1"/>
  <c r="AI183" i="67"/>
  <c r="BC184" i="67" s="1"/>
  <c r="AI187" i="67"/>
  <c r="BC188" i="67" s="1"/>
  <c r="AI191" i="67"/>
  <c r="BC192" i="67" s="1"/>
  <c r="AI195" i="67"/>
  <c r="BC196" i="67" s="1"/>
  <c r="AI199" i="67"/>
  <c r="BC200" i="67" s="1"/>
  <c r="AI203" i="67"/>
  <c r="AI188" i="67"/>
  <c r="BC189" i="67" s="1"/>
  <c r="AI196" i="67"/>
  <c r="BC197" i="67" s="1"/>
  <c r="AG184" i="67"/>
  <c r="BA185" i="67" s="1"/>
  <c r="AG188" i="67"/>
  <c r="BA189" i="67" s="1"/>
  <c r="BJ189" i="67" s="1"/>
  <c r="AG192" i="67"/>
  <c r="BA193" i="67" s="1"/>
  <c r="AG196" i="67"/>
  <c r="BA197" i="67" s="1"/>
  <c r="BJ197" i="67" s="1"/>
  <c r="AG200" i="67"/>
  <c r="BA201" i="67" s="1"/>
  <c r="AI189" i="67"/>
  <c r="BC190" i="67" s="1"/>
  <c r="AI197" i="67"/>
  <c r="BC198" i="67" s="1"/>
  <c r="AI192" i="67"/>
  <c r="BC193" i="67" s="1"/>
  <c r="AG185" i="67"/>
  <c r="BA186" i="67" s="1"/>
  <c r="AG190" i="67"/>
  <c r="BA191" i="67" s="1"/>
  <c r="BJ191" i="67" s="1"/>
  <c r="AG195" i="67"/>
  <c r="BA196" i="67" s="1"/>
  <c r="BJ196" i="67" s="1"/>
  <c r="AG201" i="67"/>
  <c r="BA202" i="67" s="1"/>
  <c r="AI193" i="67"/>
  <c r="BC194" i="67" s="1"/>
  <c r="AG186" i="67"/>
  <c r="BA187" i="67" s="1"/>
  <c r="BJ187" i="67" s="1"/>
  <c r="AG191" i="67"/>
  <c r="BA192" i="67" s="1"/>
  <c r="BJ192" i="67" s="1"/>
  <c r="AG197" i="67"/>
  <c r="BA198" i="67" s="1"/>
  <c r="BJ198" i="67" s="1"/>
  <c r="AG202" i="67"/>
  <c r="BA203" i="67" s="1"/>
  <c r="BJ203" i="67" s="1"/>
  <c r="AI184" i="67"/>
  <c r="BC185" i="67" s="1"/>
  <c r="AI200" i="67"/>
  <c r="BC201" i="67" s="1"/>
  <c r="AG187" i="67"/>
  <c r="BA188" i="67" s="1"/>
  <c r="AG193" i="67"/>
  <c r="BA194" i="67" s="1"/>
  <c r="BJ194" i="67" s="1"/>
  <c r="AG198" i="67"/>
  <c r="BA199" i="67" s="1"/>
  <c r="BJ199" i="67" s="1"/>
  <c r="AG203" i="67"/>
  <c r="AI185" i="67"/>
  <c r="BC186" i="67" s="1"/>
  <c r="AI201" i="67"/>
  <c r="BC202" i="67" s="1"/>
  <c r="AG189" i="67"/>
  <c r="BA190" i="67" s="1"/>
  <c r="BJ190" i="67" s="1"/>
  <c r="AG194" i="67"/>
  <c r="BA195" i="67" s="1"/>
  <c r="BJ195" i="67" s="1"/>
  <c r="AG199" i="67"/>
  <c r="BA200" i="67" s="1"/>
  <c r="BJ200" i="67" s="1"/>
  <c r="L16" i="65"/>
  <c r="AY16" i="65"/>
  <c r="V193" i="64"/>
  <c r="V191" i="64"/>
  <c r="V195" i="64"/>
  <c r="V197" i="64"/>
  <c r="V199" i="64"/>
  <c r="V201" i="64"/>
  <c r="V192" i="64"/>
  <c r="V200" i="64"/>
  <c r="V198" i="64"/>
  <c r="V194" i="64"/>
  <c r="V196" i="64"/>
  <c r="W191" i="64"/>
  <c r="W194" i="64"/>
  <c r="W195" i="64"/>
  <c r="W197" i="64"/>
  <c r="W199" i="64"/>
  <c r="W201" i="64"/>
  <c r="W192" i="64"/>
  <c r="W193" i="64"/>
  <c r="W196" i="64"/>
  <c r="W200" i="64"/>
  <c r="W198" i="64"/>
  <c r="DO538" i="65"/>
  <c r="DO517" i="65"/>
  <c r="DR517" i="65"/>
  <c r="DO516" i="65"/>
  <c r="DR516" i="65"/>
  <c r="DO540" i="65"/>
  <c r="DR540" i="65"/>
  <c r="DO537" i="65"/>
  <c r="V189" i="54"/>
  <c r="E165" i="64"/>
  <c r="V252" i="54"/>
  <c r="V126" i="54"/>
  <c r="E167" i="64"/>
  <c r="V168" i="54"/>
  <c r="E168" i="64"/>
  <c r="V147" i="54"/>
  <c r="V105" i="54"/>
  <c r="E163" i="64"/>
  <c r="V63" i="54"/>
  <c r="V21" i="54"/>
  <c r="Z798" i="54"/>
  <c r="AF798" i="54" s="1"/>
  <c r="AJ798" i="54" s="1"/>
  <c r="V84" i="54"/>
  <c r="V315" i="54"/>
  <c r="V294" i="54"/>
  <c r="V273" i="54"/>
  <c r="E164" i="64"/>
  <c r="E166" i="64"/>
  <c r="V336" i="54"/>
  <c r="V231" i="54"/>
  <c r="V210" i="54"/>
  <c r="EJ46" i="65"/>
  <c r="EJ44" i="65"/>
  <c r="EJ39" i="65"/>
  <c r="EQ44" i="65"/>
  <c r="EQ39" i="65"/>
  <c r="EQ46" i="65"/>
  <c r="V525" i="54"/>
  <c r="V462" i="54"/>
  <c r="V399" i="54"/>
  <c r="V735" i="54"/>
  <c r="V672" i="54"/>
  <c r="V714" i="54"/>
  <c r="V798" i="54"/>
  <c r="V609" i="54"/>
  <c r="V546" i="54"/>
  <c r="V483" i="54"/>
  <c r="V420" i="54"/>
  <c r="V756" i="54"/>
  <c r="V441" i="54"/>
  <c r="V651" i="54"/>
  <c r="V357" i="54"/>
  <c r="V693" i="54"/>
  <c r="V630" i="54"/>
  <c r="V567" i="54"/>
  <c r="V504" i="54"/>
  <c r="V777" i="54"/>
  <c r="V378" i="54"/>
  <c r="V588" i="54"/>
  <c r="T357" i="54"/>
  <c r="T462" i="54"/>
  <c r="T420" i="54"/>
  <c r="T756" i="54"/>
  <c r="T777" i="54"/>
  <c r="T651" i="54"/>
  <c r="T693" i="54"/>
  <c r="T441" i="54"/>
  <c r="T546" i="54"/>
  <c r="T504" i="54"/>
  <c r="T567" i="54"/>
  <c r="T630" i="54"/>
  <c r="T735" i="54"/>
  <c r="T672" i="54"/>
  <c r="T525" i="54"/>
  <c r="T399" i="54"/>
  <c r="T588" i="54"/>
  <c r="T609" i="54"/>
  <c r="T714" i="54"/>
  <c r="T378" i="54"/>
  <c r="T483" i="54"/>
  <c r="T798" i="54"/>
  <c r="X609" i="54"/>
  <c r="X630" i="54"/>
  <c r="X651" i="54"/>
  <c r="X588" i="54"/>
  <c r="X777" i="54"/>
  <c r="X567" i="54"/>
  <c r="X357" i="54"/>
  <c r="X378" i="54"/>
  <c r="X399" i="54"/>
  <c r="X420" i="54"/>
  <c r="X672" i="54"/>
  <c r="X714" i="54"/>
  <c r="X525" i="54"/>
  <c r="X735" i="54"/>
  <c r="X441" i="54"/>
  <c r="X462" i="54"/>
  <c r="X483" i="54"/>
  <c r="X504" i="54"/>
  <c r="X756" i="54"/>
  <c r="X798" i="54"/>
  <c r="X546" i="54"/>
  <c r="X693" i="54"/>
  <c r="G165" i="64"/>
  <c r="J165" i="64" s="1"/>
  <c r="G163" i="64"/>
  <c r="J163" i="64" s="1"/>
  <c r="G166" i="64"/>
  <c r="J166" i="64" s="1"/>
  <c r="G168" i="64"/>
  <c r="J168" i="64" s="1"/>
  <c r="G167" i="64"/>
  <c r="J167" i="64" s="1"/>
  <c r="G164" i="64"/>
  <c r="J164" i="64" s="1"/>
  <c r="Z321" i="54"/>
  <c r="AF321" i="54" s="1"/>
  <c r="AJ321" i="54" s="1"/>
  <c r="Z301" i="54"/>
  <c r="AF301" i="54" s="1"/>
  <c r="AJ301" i="54" s="1"/>
  <c r="Z281" i="54"/>
  <c r="AF281" i="54" s="1"/>
  <c r="AJ281" i="54" s="1"/>
  <c r="Z261" i="54"/>
  <c r="AF261" i="54" s="1"/>
  <c r="AJ261" i="54" s="1"/>
  <c r="Z241" i="54"/>
  <c r="AF241" i="54" s="1"/>
  <c r="AJ241" i="54" s="1"/>
  <c r="Z221" i="54"/>
  <c r="AF221" i="54" s="1"/>
  <c r="AJ221" i="54" s="1"/>
  <c r="Z201" i="54"/>
  <c r="AF201" i="54" s="1"/>
  <c r="AJ201" i="54" s="1"/>
  <c r="Z181" i="54"/>
  <c r="AF181" i="54" s="1"/>
  <c r="AJ181" i="54" s="1"/>
  <c r="Z161" i="54"/>
  <c r="AF161" i="54" s="1"/>
  <c r="AJ161" i="54" s="1"/>
  <c r="Z141" i="54"/>
  <c r="AF141" i="54" s="1"/>
  <c r="AJ141" i="54" s="1"/>
  <c r="Z121" i="54"/>
  <c r="AF121" i="54" s="1"/>
  <c r="AJ121" i="54" s="1"/>
  <c r="Z101" i="54"/>
  <c r="AF101" i="54" s="1"/>
  <c r="AJ101" i="54" s="1"/>
  <c r="Z81" i="54"/>
  <c r="AF81" i="54" s="1"/>
  <c r="AJ81" i="54" s="1"/>
  <c r="Z61" i="54"/>
  <c r="AF61" i="54" s="1"/>
  <c r="AJ61" i="54" s="1"/>
  <c r="Z41" i="54"/>
  <c r="AF41" i="54" s="1"/>
  <c r="AJ41" i="54" s="1"/>
  <c r="Z84" i="54"/>
  <c r="AF84" i="54" s="1"/>
  <c r="Z210" i="54"/>
  <c r="AF210" i="54" s="1"/>
  <c r="Z105" i="54"/>
  <c r="AF105" i="54" s="1"/>
  <c r="Z189" i="54"/>
  <c r="AF189" i="54" s="1"/>
  <c r="Z168" i="54"/>
  <c r="AF168" i="54" s="1"/>
  <c r="Z21" i="54"/>
  <c r="AF21" i="54" s="1"/>
  <c r="AJ21" i="54" s="1"/>
  <c r="Z126" i="54"/>
  <c r="AF126" i="54" s="1"/>
  <c r="Z294" i="54"/>
  <c r="AF294" i="54" s="1"/>
  <c r="Z147" i="54"/>
  <c r="AF147" i="54" s="1"/>
  <c r="Z315" i="54"/>
  <c r="AF315" i="54" s="1"/>
  <c r="Z273" i="54"/>
  <c r="AF273" i="54" s="1"/>
  <c r="Z231" i="54"/>
  <c r="AF231" i="54" s="1"/>
  <c r="Z252" i="54"/>
  <c r="AF252" i="54" s="1"/>
  <c r="BL199" i="67" l="1"/>
  <c r="BL189" i="67"/>
  <c r="BC204" i="67"/>
  <c r="BC4" i="67"/>
  <c r="BL194" i="67"/>
  <c r="BP194" i="67" s="1"/>
  <c r="BL203" i="67"/>
  <c r="BJ186" i="67"/>
  <c r="BJ201" i="67"/>
  <c r="BJ185" i="67"/>
  <c r="BL190" i="67"/>
  <c r="BL191" i="67"/>
  <c r="BP191" i="67" s="1"/>
  <c r="BL200" i="67"/>
  <c r="BJ188" i="67"/>
  <c r="BL198" i="67"/>
  <c r="BP198" i="67" s="1"/>
  <c r="BJ202" i="67"/>
  <c r="BL197" i="67"/>
  <c r="BP197" i="67" s="1"/>
  <c r="BJ184" i="67"/>
  <c r="BL187" i="67"/>
  <c r="BL195" i="67"/>
  <c r="BP195" i="67" s="1"/>
  <c r="BA204" i="67"/>
  <c r="BJ204" i="67" s="1"/>
  <c r="BA4" i="67"/>
  <c r="BJ4" i="67" s="1"/>
  <c r="BL192" i="67"/>
  <c r="BP192" i="67" s="1"/>
  <c r="BL196" i="67"/>
  <c r="BP196" i="67" s="1"/>
  <c r="BJ193" i="67"/>
  <c r="FB137" i="65"/>
  <c r="FA137" i="65" s="1"/>
  <c r="S184" i="67"/>
  <c r="Y184" i="67" s="1"/>
  <c r="S188" i="67"/>
  <c r="Y188" i="67" s="1"/>
  <c r="S192" i="67"/>
  <c r="Y192" i="67" s="1"/>
  <c r="S196" i="67"/>
  <c r="Y196" i="67" s="1"/>
  <c r="S200" i="67"/>
  <c r="Y200" i="67" s="1"/>
  <c r="S183" i="67"/>
  <c r="Y183" i="67" s="1"/>
  <c r="S187" i="67"/>
  <c r="Y187" i="67" s="1"/>
  <c r="S191" i="67"/>
  <c r="Y191" i="67" s="1"/>
  <c r="S195" i="67"/>
  <c r="Y195" i="67" s="1"/>
  <c r="S199" i="67"/>
  <c r="Y199" i="67" s="1"/>
  <c r="S203" i="67"/>
  <c r="Y203" i="67" s="1"/>
  <c r="S185" i="67"/>
  <c r="Y185" i="67" s="1"/>
  <c r="S189" i="67"/>
  <c r="Y189" i="67" s="1"/>
  <c r="S193" i="67"/>
  <c r="Y193" i="67" s="1"/>
  <c r="S197" i="67"/>
  <c r="Y197" i="67" s="1"/>
  <c r="S201" i="67"/>
  <c r="Y201" i="67" s="1"/>
  <c r="S186" i="67"/>
  <c r="Y186" i="67" s="1"/>
  <c r="S190" i="67"/>
  <c r="Y190" i="67" s="1"/>
  <c r="S194" i="67"/>
  <c r="Y194" i="67" s="1"/>
  <c r="S198" i="67"/>
  <c r="Y198" i="67" s="1"/>
  <c r="S202" i="67"/>
  <c r="Y202" i="67" s="1"/>
  <c r="DP518" i="65"/>
  <c r="DP511" i="65"/>
  <c r="DP479" i="65"/>
  <c r="DP541" i="65"/>
  <c r="DP496" i="65"/>
  <c r="DP464" i="65"/>
  <c r="DP505" i="65"/>
  <c r="DP473" i="65"/>
  <c r="DO463" i="65"/>
  <c r="DO512" i="65"/>
  <c r="DO505" i="65"/>
  <c r="DO464" i="65"/>
  <c r="DO457" i="65"/>
  <c r="DO489" i="65"/>
  <c r="DO496" i="65"/>
  <c r="DO479" i="65"/>
  <c r="DO546" i="65"/>
  <c r="DO518" i="65"/>
  <c r="DO545" i="65"/>
  <c r="DO521" i="65"/>
  <c r="DO495" i="65"/>
  <c r="DO473" i="65"/>
  <c r="DO541" i="65"/>
  <c r="DO511" i="65"/>
  <c r="DO480" i="65"/>
  <c r="DO529" i="65"/>
  <c r="DO522" i="65"/>
  <c r="DP495" i="65"/>
  <c r="DP463" i="65"/>
  <c r="DP529" i="65"/>
  <c r="AA192" i="64"/>
  <c r="AC193" i="64"/>
  <c r="AB195" i="64"/>
  <c r="AB197" i="64"/>
  <c r="AB199" i="64"/>
  <c r="AB201" i="64"/>
  <c r="AB191" i="64"/>
  <c r="AA193" i="64"/>
  <c r="AB194" i="64"/>
  <c r="AB196" i="64"/>
  <c r="AB198" i="64"/>
  <c r="AB200" i="64"/>
  <c r="AC191" i="64"/>
  <c r="AB193" i="64"/>
  <c r="AA195" i="64"/>
  <c r="AA197" i="64"/>
  <c r="AA199" i="64"/>
  <c r="AA201" i="64"/>
  <c r="AB192" i="64"/>
  <c r="AC195" i="64"/>
  <c r="AA200" i="64"/>
  <c r="AA194" i="64"/>
  <c r="AC197" i="64"/>
  <c r="AA198" i="64"/>
  <c r="AA191" i="64"/>
  <c r="AA196" i="64"/>
  <c r="AC199" i="64"/>
  <c r="AC201" i="64"/>
  <c r="AC196" i="64"/>
  <c r="AC198" i="64"/>
  <c r="AC200" i="64"/>
  <c r="AC194" i="64"/>
  <c r="AC192" i="64"/>
  <c r="DS459" i="65"/>
  <c r="DS475" i="65"/>
  <c r="DS491" i="65"/>
  <c r="DS507" i="65"/>
  <c r="DS531" i="65"/>
  <c r="DP543" i="65"/>
  <c r="DP462" i="65"/>
  <c r="DP478" i="65"/>
  <c r="DP494" i="65"/>
  <c r="DP510" i="65"/>
  <c r="DS522" i="65"/>
  <c r="DP534" i="65"/>
  <c r="DS546" i="65"/>
  <c r="DP461" i="65"/>
  <c r="DP477" i="65"/>
  <c r="DP493" i="65"/>
  <c r="DP509" i="65"/>
  <c r="DP533" i="65"/>
  <c r="DS464" i="65"/>
  <c r="DS480" i="65"/>
  <c r="DS496" i="65"/>
  <c r="DS512" i="65"/>
  <c r="DS520" i="65"/>
  <c r="DP544" i="65"/>
  <c r="BA16" i="65"/>
  <c r="N16" i="65"/>
  <c r="DP458" i="65"/>
  <c r="CZ462" i="65"/>
  <c r="DP474" i="65"/>
  <c r="CZ478" i="65"/>
  <c r="DP490" i="65"/>
  <c r="DP506" i="65"/>
  <c r="CZ518" i="65"/>
  <c r="CZ522" i="65"/>
  <c r="DP530" i="65"/>
  <c r="CZ534" i="65"/>
  <c r="DP542" i="65"/>
  <c r="CZ546" i="65"/>
  <c r="CZ461" i="65"/>
  <c r="CZ473" i="65"/>
  <c r="CZ477" i="65"/>
  <c r="CZ489" i="65"/>
  <c r="CZ493" i="65"/>
  <c r="CZ505" i="65"/>
  <c r="CZ509" i="65"/>
  <c r="DS521" i="65"/>
  <c r="CZ529" i="65"/>
  <c r="CZ533" i="65"/>
  <c r="CZ541" i="65"/>
  <c r="DS545" i="65"/>
  <c r="DP460" i="65"/>
  <c r="CZ464" i="65"/>
  <c r="DP476" i="65"/>
  <c r="CZ480" i="65"/>
  <c r="DP492" i="65"/>
  <c r="CZ496" i="65"/>
  <c r="DP508" i="65"/>
  <c r="CZ512" i="65"/>
  <c r="DP520" i="65"/>
  <c r="DP532" i="65"/>
  <c r="CZ544" i="65"/>
  <c r="DP459" i="65"/>
  <c r="DS463" i="65"/>
  <c r="DP475" i="65"/>
  <c r="DS479" i="65"/>
  <c r="DP491" i="65"/>
  <c r="DS495" i="65"/>
  <c r="DP507" i="65"/>
  <c r="DS511" i="65"/>
  <c r="DP519" i="65"/>
  <c r="DP531" i="65"/>
  <c r="M16" i="65"/>
  <c r="AZ16" i="65"/>
  <c r="DP546" i="65"/>
  <c r="DP522" i="65"/>
  <c r="CZ494" i="65"/>
  <c r="CZ459" i="65"/>
  <c r="DP512" i="65"/>
  <c r="DP480" i="65"/>
  <c r="DP545" i="65"/>
  <c r="DP521" i="65"/>
  <c r="DP489" i="65"/>
  <c r="DP457" i="65"/>
  <c r="AD777" i="54"/>
  <c r="AH777" i="54" s="1"/>
  <c r="Z777" i="54"/>
  <c r="AF777" i="54" s="1"/>
  <c r="T169" i="54"/>
  <c r="EQ47" i="65"/>
  <c r="EQ43" i="65"/>
  <c r="EQ40" i="65"/>
  <c r="X22" i="54"/>
  <c r="X106" i="54"/>
  <c r="X190" i="54"/>
  <c r="X274" i="54"/>
  <c r="X43" i="54"/>
  <c r="X127" i="54"/>
  <c r="X211" i="54"/>
  <c r="X295" i="54"/>
  <c r="X64" i="54"/>
  <c r="X148" i="54"/>
  <c r="X232" i="54"/>
  <c r="X316" i="54"/>
  <c r="X253" i="54"/>
  <c r="X337" i="54"/>
  <c r="X85" i="54"/>
  <c r="X169" i="54"/>
  <c r="T64" i="54"/>
  <c r="T148" i="54"/>
  <c r="T85" i="54"/>
  <c r="T106" i="54"/>
  <c r="T190" i="54"/>
  <c r="T337" i="54"/>
  <c r="T295" i="54"/>
  <c r="T253" i="54"/>
  <c r="T232" i="54"/>
  <c r="T316" i="54"/>
  <c r="I164" i="64"/>
  <c r="L164" i="64" s="1"/>
  <c r="I165" i="64"/>
  <c r="L165" i="64" s="1"/>
  <c r="I163" i="64"/>
  <c r="L163" i="64" s="1"/>
  <c r="I168" i="64"/>
  <c r="L168" i="64" s="1"/>
  <c r="I166" i="64"/>
  <c r="L166" i="64" s="1"/>
  <c r="I167" i="64"/>
  <c r="L167" i="64" s="1"/>
  <c r="AD321" i="54"/>
  <c r="AH321" i="54" s="1"/>
  <c r="AL321" i="54" s="1"/>
  <c r="AD301" i="54"/>
  <c r="AH301" i="54" s="1"/>
  <c r="AL301" i="54" s="1"/>
  <c r="AD281" i="54"/>
  <c r="AH281" i="54" s="1"/>
  <c r="AL281" i="54" s="1"/>
  <c r="AD261" i="54"/>
  <c r="AH261" i="54" s="1"/>
  <c r="AL261" i="54" s="1"/>
  <c r="AD241" i="54"/>
  <c r="AH241" i="54" s="1"/>
  <c r="AL241" i="54" s="1"/>
  <c r="AD221" i="54"/>
  <c r="AH221" i="54" s="1"/>
  <c r="AL221" i="54" s="1"/>
  <c r="AD201" i="54"/>
  <c r="AH201" i="54" s="1"/>
  <c r="AL201" i="54" s="1"/>
  <c r="AD181" i="54"/>
  <c r="AH181" i="54" s="1"/>
  <c r="AL181" i="54" s="1"/>
  <c r="AD161" i="54"/>
  <c r="AH161" i="54" s="1"/>
  <c r="AL161" i="54" s="1"/>
  <c r="AD141" i="54"/>
  <c r="AH141" i="54" s="1"/>
  <c r="AL141" i="54" s="1"/>
  <c r="AD121" i="54"/>
  <c r="AH121" i="54" s="1"/>
  <c r="AL121" i="54" s="1"/>
  <c r="AD101" i="54"/>
  <c r="AH101" i="54" s="1"/>
  <c r="AL101" i="54" s="1"/>
  <c r="AD81" i="54"/>
  <c r="AH81" i="54" s="1"/>
  <c r="AL81" i="54" s="1"/>
  <c r="AD61" i="54"/>
  <c r="AH61" i="54" s="1"/>
  <c r="AL61" i="54" s="1"/>
  <c r="AD41" i="54"/>
  <c r="AH41" i="54" s="1"/>
  <c r="AL41" i="54" s="1"/>
  <c r="H165" i="64"/>
  <c r="K165" i="64" s="1"/>
  <c r="H167" i="64"/>
  <c r="K167" i="64" s="1"/>
  <c r="H164" i="64"/>
  <c r="K164" i="64" s="1"/>
  <c r="H168" i="64"/>
  <c r="K168" i="64" s="1"/>
  <c r="H163" i="64"/>
  <c r="K163" i="64" s="1"/>
  <c r="H166" i="64"/>
  <c r="K166" i="64" s="1"/>
  <c r="AB321" i="54"/>
  <c r="AG321" i="54" s="1"/>
  <c r="AK321" i="54" s="1"/>
  <c r="AB301" i="54"/>
  <c r="AG301" i="54" s="1"/>
  <c r="AK301" i="54" s="1"/>
  <c r="AB281" i="54"/>
  <c r="AG281" i="54" s="1"/>
  <c r="AK281" i="54" s="1"/>
  <c r="AB261" i="54"/>
  <c r="AG261" i="54" s="1"/>
  <c r="AK261" i="54" s="1"/>
  <c r="AB241" i="54"/>
  <c r="AG241" i="54" s="1"/>
  <c r="AK241" i="54" s="1"/>
  <c r="AB221" i="54"/>
  <c r="AG221" i="54" s="1"/>
  <c r="AK221" i="54" s="1"/>
  <c r="AB201" i="54"/>
  <c r="AG201" i="54" s="1"/>
  <c r="AK201" i="54" s="1"/>
  <c r="AB181" i="54"/>
  <c r="AG181" i="54" s="1"/>
  <c r="AK181" i="54" s="1"/>
  <c r="AB161" i="54"/>
  <c r="AG161" i="54" s="1"/>
  <c r="AK161" i="54" s="1"/>
  <c r="AB141" i="54"/>
  <c r="AG141" i="54" s="1"/>
  <c r="AK141" i="54" s="1"/>
  <c r="AB121" i="54"/>
  <c r="AG121" i="54" s="1"/>
  <c r="AK121" i="54" s="1"/>
  <c r="AB101" i="54"/>
  <c r="AG101" i="54" s="1"/>
  <c r="AK101" i="54" s="1"/>
  <c r="AB81" i="54"/>
  <c r="AG81" i="54" s="1"/>
  <c r="AK81" i="54" s="1"/>
  <c r="AB61" i="54"/>
  <c r="AG61" i="54" s="1"/>
  <c r="AK61" i="54" s="1"/>
  <c r="AB41" i="54"/>
  <c r="AG41" i="54" s="1"/>
  <c r="AK41" i="54" s="1"/>
  <c r="Z504" i="54"/>
  <c r="AF504" i="54" s="1"/>
  <c r="Z546" i="54"/>
  <c r="AF546" i="54" s="1"/>
  <c r="AB105" i="54"/>
  <c r="AG105" i="54" s="1"/>
  <c r="AB252" i="54"/>
  <c r="AG252" i="54" s="1"/>
  <c r="AB126" i="54"/>
  <c r="AG126" i="54" s="1"/>
  <c r="AB315" i="54"/>
  <c r="AG315" i="54" s="1"/>
  <c r="AB84" i="54"/>
  <c r="AG84" i="54" s="1"/>
  <c r="AB210" i="54"/>
  <c r="AG210" i="54" s="1"/>
  <c r="AB294" i="54"/>
  <c r="AG294" i="54" s="1"/>
  <c r="AB189" i="54"/>
  <c r="AG189" i="54" s="1"/>
  <c r="AB168" i="54"/>
  <c r="AG168" i="54" s="1"/>
  <c r="AB231" i="54"/>
  <c r="AG231" i="54" s="1"/>
  <c r="AB147" i="54"/>
  <c r="AG147" i="54" s="1"/>
  <c r="AB21" i="54"/>
  <c r="AG21" i="54" s="1"/>
  <c r="AK21" i="54" s="1"/>
  <c r="AB273" i="54"/>
  <c r="AG273" i="54" s="1"/>
  <c r="AD273" i="54"/>
  <c r="AH273" i="54" s="1"/>
  <c r="AD210" i="54"/>
  <c r="AH210" i="54" s="1"/>
  <c r="AD252" i="54"/>
  <c r="AH252" i="54" s="1"/>
  <c r="AD84" i="54"/>
  <c r="AH84" i="54" s="1"/>
  <c r="AD189" i="54"/>
  <c r="AH189" i="54" s="1"/>
  <c r="AD231" i="54"/>
  <c r="AH231" i="54" s="1"/>
  <c r="AD126" i="54"/>
  <c r="AH126" i="54" s="1"/>
  <c r="AD294" i="54"/>
  <c r="AH294" i="54" s="1"/>
  <c r="AD147" i="54"/>
  <c r="AH147" i="54" s="1"/>
  <c r="AD21" i="54"/>
  <c r="AH21" i="54" s="1"/>
  <c r="AL21" i="54" s="1"/>
  <c r="AD168" i="54"/>
  <c r="AH168" i="54" s="1"/>
  <c r="AD315" i="54"/>
  <c r="AH315" i="54" s="1"/>
  <c r="AD105" i="54"/>
  <c r="AH105" i="54" s="1"/>
  <c r="BM187" i="67" l="1"/>
  <c r="BQ187" i="67"/>
  <c r="BN187" i="67"/>
  <c r="BO187" i="67"/>
  <c r="BN189" i="67"/>
  <c r="BO189" i="67"/>
  <c r="BM189" i="67"/>
  <c r="BQ189" i="67"/>
  <c r="BL204" i="67"/>
  <c r="BP187" i="67"/>
  <c r="BL202" i="67"/>
  <c r="BP202" i="67" s="1"/>
  <c r="BO200" i="67"/>
  <c r="BM200" i="67"/>
  <c r="BQ200" i="67"/>
  <c r="BN200" i="67"/>
  <c r="BM190" i="67"/>
  <c r="BQ190" i="67"/>
  <c r="BN190" i="67"/>
  <c r="BO190" i="67"/>
  <c r="BL186" i="67"/>
  <c r="BP189" i="67"/>
  <c r="BL4" i="67"/>
  <c r="BL188" i="67"/>
  <c r="BM194" i="67"/>
  <c r="BQ194" i="67"/>
  <c r="BN194" i="67"/>
  <c r="BO194" i="67"/>
  <c r="BO192" i="67"/>
  <c r="BM192" i="67"/>
  <c r="BQ192" i="67"/>
  <c r="BN192" i="67"/>
  <c r="BM195" i="67"/>
  <c r="BQ195" i="67"/>
  <c r="BN195" i="67"/>
  <c r="BO195" i="67"/>
  <c r="BL184" i="67"/>
  <c r="BM198" i="67"/>
  <c r="BQ198" i="67"/>
  <c r="BN198" i="67"/>
  <c r="BO198" i="67"/>
  <c r="BP200" i="67"/>
  <c r="BP190" i="67"/>
  <c r="BM203" i="67"/>
  <c r="BQ203" i="67"/>
  <c r="BN203" i="67"/>
  <c r="BO203" i="67"/>
  <c r="BM199" i="67"/>
  <c r="BQ199" i="67"/>
  <c r="BN199" i="67"/>
  <c r="BO199" i="67"/>
  <c r="BO196" i="67"/>
  <c r="BM196" i="67"/>
  <c r="BQ196" i="67"/>
  <c r="BN196" i="67"/>
  <c r="BL201" i="67"/>
  <c r="BL193" i="67"/>
  <c r="BN197" i="67"/>
  <c r="BO197" i="67"/>
  <c r="BQ197" i="67"/>
  <c r="BM197" i="67"/>
  <c r="BM191" i="67"/>
  <c r="BQ191" i="67"/>
  <c r="BN191" i="67"/>
  <c r="BO191" i="67"/>
  <c r="BL185" i="67"/>
  <c r="BP203" i="67"/>
  <c r="BP199" i="67"/>
  <c r="FB139" i="65"/>
  <c r="FA139" i="65" s="1"/>
  <c r="FB138" i="65"/>
  <c r="FA138" i="65" s="1"/>
  <c r="T185" i="67"/>
  <c r="Z185" i="67" s="1"/>
  <c r="T189" i="67"/>
  <c r="Z189" i="67" s="1"/>
  <c r="T193" i="67"/>
  <c r="Z193" i="67" s="1"/>
  <c r="T197" i="67"/>
  <c r="Z197" i="67" s="1"/>
  <c r="T201" i="67"/>
  <c r="Z201" i="67" s="1"/>
  <c r="T184" i="67"/>
  <c r="Z184" i="67" s="1"/>
  <c r="T188" i="67"/>
  <c r="Z188" i="67" s="1"/>
  <c r="T192" i="67"/>
  <c r="Z192" i="67" s="1"/>
  <c r="T196" i="67"/>
  <c r="Z196" i="67" s="1"/>
  <c r="T200" i="67"/>
  <c r="Z200" i="67" s="1"/>
  <c r="T183" i="67"/>
  <c r="Z183" i="67" s="1"/>
  <c r="T187" i="67"/>
  <c r="Z187" i="67" s="1"/>
  <c r="T191" i="67"/>
  <c r="Z191" i="67" s="1"/>
  <c r="T195" i="67"/>
  <c r="Z195" i="67" s="1"/>
  <c r="T199" i="67"/>
  <c r="Z199" i="67" s="1"/>
  <c r="T203" i="67"/>
  <c r="Z203" i="67" s="1"/>
  <c r="T186" i="67"/>
  <c r="Z186" i="67" s="1"/>
  <c r="T190" i="67"/>
  <c r="Z190" i="67" s="1"/>
  <c r="T194" i="67"/>
  <c r="Z194" i="67" s="1"/>
  <c r="T198" i="67"/>
  <c r="Z198" i="67" s="1"/>
  <c r="T202" i="67"/>
  <c r="Z202" i="67" s="1"/>
  <c r="U186" i="67"/>
  <c r="AA186" i="67" s="1"/>
  <c r="U190" i="67"/>
  <c r="AA190" i="67" s="1"/>
  <c r="U194" i="67"/>
  <c r="AA194" i="67" s="1"/>
  <c r="U198" i="67"/>
  <c r="AA198" i="67" s="1"/>
  <c r="U202" i="67"/>
  <c r="AA202" i="67" s="1"/>
  <c r="U183" i="67"/>
  <c r="AA183" i="67" s="1"/>
  <c r="U187" i="67"/>
  <c r="AA187" i="67" s="1"/>
  <c r="U191" i="67"/>
  <c r="AA191" i="67" s="1"/>
  <c r="U195" i="67"/>
  <c r="AA195" i="67" s="1"/>
  <c r="U199" i="67"/>
  <c r="AA199" i="67" s="1"/>
  <c r="U203" i="67"/>
  <c r="AA203" i="67" s="1"/>
  <c r="U185" i="67"/>
  <c r="AA185" i="67" s="1"/>
  <c r="U189" i="67"/>
  <c r="AA189" i="67" s="1"/>
  <c r="U193" i="67"/>
  <c r="AA193" i="67" s="1"/>
  <c r="U197" i="67"/>
  <c r="AA197" i="67" s="1"/>
  <c r="U201" i="67"/>
  <c r="AA201" i="67" s="1"/>
  <c r="U184" i="67"/>
  <c r="AA184" i="67" s="1"/>
  <c r="U188" i="67"/>
  <c r="AA188" i="67" s="1"/>
  <c r="U192" i="67"/>
  <c r="AA192" i="67" s="1"/>
  <c r="U196" i="67"/>
  <c r="AA196" i="67" s="1"/>
  <c r="U200" i="67"/>
  <c r="AA200" i="67" s="1"/>
  <c r="CZ457" i="65"/>
  <c r="CZ545" i="65"/>
  <c r="CZ521" i="65"/>
  <c r="CZ510" i="65"/>
  <c r="CZ543" i="65"/>
  <c r="T463" i="54"/>
  <c r="U202" i="64"/>
  <c r="U203" i="64"/>
  <c r="U204" i="64"/>
  <c r="U205" i="64"/>
  <c r="U206" i="64"/>
  <c r="U207" i="64"/>
  <c r="U211" i="64"/>
  <c r="U208" i="64"/>
  <c r="U209" i="64"/>
  <c r="U210" i="64"/>
  <c r="U212" i="64"/>
  <c r="CZ491" i="65"/>
  <c r="CZ460" i="65"/>
  <c r="CZ474" i="65"/>
  <c r="CZ475" i="65"/>
  <c r="CZ508" i="65"/>
  <c r="CZ511" i="65"/>
  <c r="CZ519" i="65"/>
  <c r="CZ492" i="65"/>
  <c r="CZ506" i="65"/>
  <c r="CZ507" i="65"/>
  <c r="CZ520" i="65"/>
  <c r="CZ495" i="65"/>
  <c r="CZ530" i="65"/>
  <c r="CZ479" i="65"/>
  <c r="CZ458" i="65"/>
  <c r="CZ542" i="65"/>
  <c r="DR479" i="65"/>
  <c r="DO459" i="65"/>
  <c r="DO476" i="65"/>
  <c r="DO520" i="65"/>
  <c r="DO508" i="65"/>
  <c r="DO530" i="65"/>
  <c r="DR463" i="65"/>
  <c r="DO542" i="65"/>
  <c r="DO507" i="65"/>
  <c r="DO532" i="65"/>
  <c r="DR511" i="65"/>
  <c r="DO492" i="65"/>
  <c r="DO458" i="65"/>
  <c r="DO506" i="65"/>
  <c r="DR545" i="65"/>
  <c r="DO531" i="65"/>
  <c r="DO491" i="65"/>
  <c r="DO519" i="65"/>
  <c r="DO475" i="65"/>
  <c r="DR495" i="65"/>
  <c r="DR521" i="65"/>
  <c r="DO474" i="65"/>
  <c r="DO460" i="65"/>
  <c r="DO490" i="65"/>
  <c r="DR546" i="65"/>
  <c r="DO533" i="65"/>
  <c r="DR491" i="65"/>
  <c r="DO461" i="65"/>
  <c r="DO462" i="65"/>
  <c r="DO494" i="65"/>
  <c r="DO477" i="65"/>
  <c r="DR531" i="65"/>
  <c r="DR480" i="65"/>
  <c r="DR496" i="65"/>
  <c r="DR507" i="65"/>
  <c r="DR522" i="65"/>
  <c r="DR512" i="65"/>
  <c r="DO478" i="65"/>
  <c r="DR520" i="65"/>
  <c r="DO534" i="65"/>
  <c r="DO544" i="65"/>
  <c r="DR459" i="65"/>
  <c r="DO509" i="65"/>
  <c r="DR475" i="65"/>
  <c r="DO510" i="65"/>
  <c r="DO493" i="65"/>
  <c r="DR464" i="65"/>
  <c r="CZ463" i="65"/>
  <c r="CZ531" i="65"/>
  <c r="CZ532" i="65"/>
  <c r="CZ476" i="65"/>
  <c r="CZ490" i="65"/>
  <c r="AD798" i="54"/>
  <c r="AH798" i="54" s="1"/>
  <c r="AL798" i="54" s="1"/>
  <c r="T211" i="54"/>
  <c r="T22" i="54"/>
  <c r="V253" i="54"/>
  <c r="V190" i="54"/>
  <c r="V211" i="54"/>
  <c r="V316" i="54"/>
  <c r="V106" i="54"/>
  <c r="V232" i="54"/>
  <c r="V337" i="54"/>
  <c r="V274" i="54"/>
  <c r="V295" i="54"/>
  <c r="V64" i="54"/>
  <c r="V169" i="54"/>
  <c r="V127" i="54"/>
  <c r="V85" i="54"/>
  <c r="V22" i="54"/>
  <c r="V43" i="54"/>
  <c r="V148" i="54"/>
  <c r="T421" i="54"/>
  <c r="T526" i="54"/>
  <c r="T442" i="54"/>
  <c r="T694" i="54"/>
  <c r="T715" i="54"/>
  <c r="T631" i="54"/>
  <c r="T673" i="54"/>
  <c r="T610" i="54"/>
  <c r="T757" i="54"/>
  <c r="T568" i="54"/>
  <c r="T799" i="54"/>
  <c r="T589" i="54"/>
  <c r="T379" i="54"/>
  <c r="T484" i="54"/>
  <c r="T400" i="54"/>
  <c r="T505" i="54"/>
  <c r="T547" i="54"/>
  <c r="T778" i="54"/>
  <c r="T358" i="54"/>
  <c r="T127" i="54"/>
  <c r="T43" i="54"/>
  <c r="T274" i="54"/>
  <c r="T736" i="54"/>
  <c r="T652" i="54"/>
  <c r="AB798" i="54"/>
  <c r="AG798" i="54" s="1"/>
  <c r="AK798" i="54" s="1"/>
  <c r="AB777" i="54"/>
  <c r="AG777" i="54" s="1"/>
  <c r="D174" i="64"/>
  <c r="D170" i="64"/>
  <c r="D172" i="64"/>
  <c r="D173" i="64"/>
  <c r="D171" i="64"/>
  <c r="D175" i="64"/>
  <c r="F174" i="64"/>
  <c r="F170" i="64"/>
  <c r="F175" i="64"/>
  <c r="F171" i="64"/>
  <c r="F172" i="64"/>
  <c r="F173" i="64"/>
  <c r="E173" i="64"/>
  <c r="E171" i="64"/>
  <c r="E174" i="64"/>
  <c r="E170" i="64"/>
  <c r="E175" i="64"/>
  <c r="E172" i="64"/>
  <c r="AB504" i="54"/>
  <c r="AG504" i="54" s="1"/>
  <c r="AB546" i="54"/>
  <c r="AG546" i="54" s="1"/>
  <c r="AD546" i="54"/>
  <c r="AH546" i="54" s="1"/>
  <c r="AD504" i="54"/>
  <c r="AH504" i="54" s="1"/>
  <c r="Z85" i="54"/>
  <c r="AF85" i="54" s="1"/>
  <c r="Z316" i="54"/>
  <c r="AF316" i="54" s="1"/>
  <c r="Z22" i="54"/>
  <c r="AF22" i="54" s="1"/>
  <c r="AJ22" i="54" s="1"/>
  <c r="Z106" i="54"/>
  <c r="AF106" i="54" s="1"/>
  <c r="Z169" i="54"/>
  <c r="AF169" i="54" s="1"/>
  <c r="Z274" i="54"/>
  <c r="AF274" i="54" s="1"/>
  <c r="Z148" i="54"/>
  <c r="AF148" i="54" s="1"/>
  <c r="Z232" i="54"/>
  <c r="AF232" i="54" s="1"/>
  <c r="Z253" i="54"/>
  <c r="AF253" i="54" s="1"/>
  <c r="Z295" i="54"/>
  <c r="AF295" i="54" s="1"/>
  <c r="Z211" i="54"/>
  <c r="AF211" i="54" s="1"/>
  <c r="Z127" i="54"/>
  <c r="AF127" i="54" s="1"/>
  <c r="Z64" i="54"/>
  <c r="AF64" i="54" s="1"/>
  <c r="Z190" i="54"/>
  <c r="AF190" i="54" s="1"/>
  <c r="BN193" i="67" l="1"/>
  <c r="BO193" i="67"/>
  <c r="BM193" i="67"/>
  <c r="BQ193" i="67"/>
  <c r="BO188" i="67"/>
  <c r="BM188" i="67"/>
  <c r="BQ188" i="67"/>
  <c r="BN188" i="67"/>
  <c r="BP193" i="67"/>
  <c r="BP188" i="67"/>
  <c r="BM186" i="67"/>
  <c r="BQ186" i="67"/>
  <c r="BN186" i="67"/>
  <c r="BO186" i="67"/>
  <c r="BN185" i="67"/>
  <c r="BO185" i="67"/>
  <c r="BM185" i="67"/>
  <c r="BQ185" i="67"/>
  <c r="BN201" i="67"/>
  <c r="BO201" i="67"/>
  <c r="BM201" i="67"/>
  <c r="BQ201" i="67"/>
  <c r="BM184" i="67"/>
  <c r="BN184" i="67"/>
  <c r="BO184" i="67"/>
  <c r="BQ184" i="67"/>
  <c r="BO4" i="67"/>
  <c r="BN4" i="67"/>
  <c r="BQ4" i="67"/>
  <c r="BM4" i="67"/>
  <c r="BP186" i="67"/>
  <c r="BO204" i="67"/>
  <c r="BM204" i="67"/>
  <c r="BQ204" i="67"/>
  <c r="BN204" i="67"/>
  <c r="BP185" i="67"/>
  <c r="BP201" i="67"/>
  <c r="BP184" i="67"/>
  <c r="BP4" i="67"/>
  <c r="BM202" i="67"/>
  <c r="BQ202" i="67"/>
  <c r="BN202" i="67"/>
  <c r="BO202" i="67"/>
  <c r="BP204" i="67"/>
  <c r="DR543" i="65"/>
  <c r="DO543" i="65"/>
  <c r="X631" i="54"/>
  <c r="W203" i="64"/>
  <c r="W205" i="64"/>
  <c r="W207" i="64"/>
  <c r="W211" i="64"/>
  <c r="W209" i="64"/>
  <c r="W212" i="64"/>
  <c r="W204" i="64"/>
  <c r="W210" i="64"/>
  <c r="W202" i="64"/>
  <c r="W208" i="64"/>
  <c r="W206" i="64"/>
  <c r="AA203" i="64"/>
  <c r="AA205" i="64"/>
  <c r="AA207" i="64"/>
  <c r="AA209" i="64"/>
  <c r="AA210" i="64"/>
  <c r="AA212" i="64"/>
  <c r="AA202" i="64"/>
  <c r="AA208" i="64"/>
  <c r="AA204" i="64"/>
  <c r="AA211" i="64"/>
  <c r="AA206" i="64"/>
  <c r="V205" i="64"/>
  <c r="AB205" i="64" s="1"/>
  <c r="V211" i="64"/>
  <c r="AB211" i="64" s="1"/>
  <c r="V207" i="64"/>
  <c r="V209" i="64"/>
  <c r="AB209" i="64" s="1"/>
  <c r="V203" i="64"/>
  <c r="V202" i="64"/>
  <c r="V212" i="64"/>
  <c r="AB212" i="64" s="1"/>
  <c r="V208" i="64"/>
  <c r="V210" i="64"/>
  <c r="V206" i="64"/>
  <c r="AB206" i="64" s="1"/>
  <c r="V204" i="64"/>
  <c r="X421" i="54"/>
  <c r="X778" i="54"/>
  <c r="X715" i="54"/>
  <c r="X736" i="54"/>
  <c r="X358" i="54"/>
  <c r="X484" i="54"/>
  <c r="X463" i="54"/>
  <c r="X610" i="54"/>
  <c r="X379" i="54"/>
  <c r="X505" i="54"/>
  <c r="X442" i="54"/>
  <c r="X673" i="54"/>
  <c r="X568" i="54"/>
  <c r="X757" i="54"/>
  <c r="X547" i="54"/>
  <c r="X799" i="54"/>
  <c r="X526" i="54"/>
  <c r="X400" i="54"/>
  <c r="X652" i="54"/>
  <c r="X694" i="54"/>
  <c r="X589" i="54"/>
  <c r="Z778" i="54"/>
  <c r="AF778" i="54" s="1"/>
  <c r="Z799" i="54"/>
  <c r="AF799" i="54" s="1"/>
  <c r="AJ799" i="54" s="1"/>
  <c r="AB778" i="54"/>
  <c r="AG778" i="54" s="1"/>
  <c r="V358" i="54"/>
  <c r="V778" i="54"/>
  <c r="V505" i="54"/>
  <c r="V652" i="54"/>
  <c r="V526" i="54"/>
  <c r="V673" i="54"/>
  <c r="V694" i="54"/>
  <c r="V442" i="54"/>
  <c r="V799" i="54"/>
  <c r="V463" i="54"/>
  <c r="V484" i="54"/>
  <c r="V421" i="54"/>
  <c r="V715" i="54"/>
  <c r="V631" i="54"/>
  <c r="V547" i="54"/>
  <c r="V379" i="54"/>
  <c r="V610" i="54"/>
  <c r="V400" i="54"/>
  <c r="V568" i="54"/>
  <c r="V757" i="54"/>
  <c r="V589" i="54"/>
  <c r="V736" i="54"/>
  <c r="AD799" i="54"/>
  <c r="AH799" i="54" s="1"/>
  <c r="AL799" i="54" s="1"/>
  <c r="AD778" i="54"/>
  <c r="AH778" i="54" s="1"/>
  <c r="I174" i="64"/>
  <c r="L174" i="64" s="1"/>
  <c r="I175" i="64"/>
  <c r="I170" i="64"/>
  <c r="L170" i="64" s="1"/>
  <c r="I171" i="64"/>
  <c r="L171" i="64" s="1"/>
  <c r="I173" i="64"/>
  <c r="L173" i="64" s="1"/>
  <c r="I172" i="64"/>
  <c r="L172" i="64" s="1"/>
  <c r="AD322" i="54"/>
  <c r="AH322" i="54" s="1"/>
  <c r="AL322" i="54" s="1"/>
  <c r="AD302" i="54"/>
  <c r="AH302" i="54" s="1"/>
  <c r="AL302" i="54" s="1"/>
  <c r="AD282" i="54"/>
  <c r="AH282" i="54" s="1"/>
  <c r="AL282" i="54" s="1"/>
  <c r="AD262" i="54"/>
  <c r="AH262" i="54" s="1"/>
  <c r="AL262" i="54" s="1"/>
  <c r="AD242" i="54"/>
  <c r="AH242" i="54" s="1"/>
  <c r="AL242" i="54" s="1"/>
  <c r="AD222" i="54"/>
  <c r="AH222" i="54" s="1"/>
  <c r="AL222" i="54" s="1"/>
  <c r="AD202" i="54"/>
  <c r="AH202" i="54" s="1"/>
  <c r="AL202" i="54" s="1"/>
  <c r="AD182" i="54"/>
  <c r="AH182" i="54" s="1"/>
  <c r="AL182" i="54" s="1"/>
  <c r="AD162" i="54"/>
  <c r="AH162" i="54" s="1"/>
  <c r="AL162" i="54" s="1"/>
  <c r="AD142" i="54"/>
  <c r="AH142" i="54" s="1"/>
  <c r="AL142" i="54" s="1"/>
  <c r="AD122" i="54"/>
  <c r="AH122" i="54" s="1"/>
  <c r="AL122" i="54" s="1"/>
  <c r="AD102" i="54"/>
  <c r="AH102" i="54" s="1"/>
  <c r="AL102" i="54" s="1"/>
  <c r="AD82" i="54"/>
  <c r="AH82" i="54" s="1"/>
  <c r="AL82" i="54" s="1"/>
  <c r="AD62" i="54"/>
  <c r="AH62" i="54" s="1"/>
  <c r="AL62" i="54" s="1"/>
  <c r="AD42" i="54"/>
  <c r="AH42" i="54" s="1"/>
  <c r="AL42" i="54" s="1"/>
  <c r="L175" i="64"/>
  <c r="H172" i="64"/>
  <c r="K172" i="64" s="1"/>
  <c r="H170" i="64"/>
  <c r="K170" i="64" s="1"/>
  <c r="H174" i="64"/>
  <c r="K174" i="64" s="1"/>
  <c r="H171" i="64"/>
  <c r="K171" i="64" s="1"/>
  <c r="H175" i="64"/>
  <c r="K175" i="64" s="1"/>
  <c r="H173" i="64"/>
  <c r="K173" i="64" s="1"/>
  <c r="AB322" i="54"/>
  <c r="AG322" i="54" s="1"/>
  <c r="AK322" i="54" s="1"/>
  <c r="AB302" i="54"/>
  <c r="AG302" i="54" s="1"/>
  <c r="AK302" i="54" s="1"/>
  <c r="AB282" i="54"/>
  <c r="AG282" i="54" s="1"/>
  <c r="AK282" i="54" s="1"/>
  <c r="AB262" i="54"/>
  <c r="AG262" i="54" s="1"/>
  <c r="AK262" i="54" s="1"/>
  <c r="AB242" i="54"/>
  <c r="AG242" i="54" s="1"/>
  <c r="AK242" i="54" s="1"/>
  <c r="AB222" i="54"/>
  <c r="AG222" i="54" s="1"/>
  <c r="AK222" i="54" s="1"/>
  <c r="AB202" i="54"/>
  <c r="AG202" i="54" s="1"/>
  <c r="AK202" i="54" s="1"/>
  <c r="AB182" i="54"/>
  <c r="AG182" i="54" s="1"/>
  <c r="AK182" i="54" s="1"/>
  <c r="AB162" i="54"/>
  <c r="AG162" i="54" s="1"/>
  <c r="AK162" i="54" s="1"/>
  <c r="AB142" i="54"/>
  <c r="AG142" i="54" s="1"/>
  <c r="AK142" i="54" s="1"/>
  <c r="AB122" i="54"/>
  <c r="AG122" i="54" s="1"/>
  <c r="AK122" i="54" s="1"/>
  <c r="AB102" i="54"/>
  <c r="AG102" i="54" s="1"/>
  <c r="AK102" i="54" s="1"/>
  <c r="AB82" i="54"/>
  <c r="AG82" i="54" s="1"/>
  <c r="AK82" i="54" s="1"/>
  <c r="AB62" i="54"/>
  <c r="AG62" i="54" s="1"/>
  <c r="AK62" i="54" s="1"/>
  <c r="AB42" i="54"/>
  <c r="AG42" i="54" s="1"/>
  <c r="AK42" i="54" s="1"/>
  <c r="G172" i="64"/>
  <c r="J172" i="64" s="1"/>
  <c r="G174" i="64"/>
  <c r="J174" i="64" s="1"/>
  <c r="G170" i="64"/>
  <c r="J170" i="64" s="1"/>
  <c r="G175" i="64"/>
  <c r="J175" i="64" s="1"/>
  <c r="G171" i="64"/>
  <c r="J171" i="64" s="1"/>
  <c r="G173" i="64"/>
  <c r="J173" i="64" s="1"/>
  <c r="Z322" i="54"/>
  <c r="AF322" i="54" s="1"/>
  <c r="AJ322" i="54" s="1"/>
  <c r="Z302" i="54"/>
  <c r="AF302" i="54" s="1"/>
  <c r="AJ302" i="54" s="1"/>
  <c r="Z282" i="54"/>
  <c r="AF282" i="54" s="1"/>
  <c r="AJ282" i="54" s="1"/>
  <c r="Z262" i="54"/>
  <c r="AF262" i="54" s="1"/>
  <c r="AJ262" i="54" s="1"/>
  <c r="Z242" i="54"/>
  <c r="AF242" i="54" s="1"/>
  <c r="AJ242" i="54" s="1"/>
  <c r="Z222" i="54"/>
  <c r="AF222" i="54" s="1"/>
  <c r="AJ222" i="54" s="1"/>
  <c r="Z202" i="54"/>
  <c r="AF202" i="54" s="1"/>
  <c r="AJ202" i="54" s="1"/>
  <c r="Z182" i="54"/>
  <c r="AF182" i="54" s="1"/>
  <c r="AJ182" i="54" s="1"/>
  <c r="Z162" i="54"/>
  <c r="AF162" i="54" s="1"/>
  <c r="AJ162" i="54" s="1"/>
  <c r="Z142" i="54"/>
  <c r="AF142" i="54" s="1"/>
  <c r="AJ142" i="54" s="1"/>
  <c r="Z122" i="54"/>
  <c r="AF122" i="54" s="1"/>
  <c r="AJ122" i="54" s="1"/>
  <c r="Z102" i="54"/>
  <c r="AF102" i="54" s="1"/>
  <c r="AJ102" i="54" s="1"/>
  <c r="Z82" i="54"/>
  <c r="AF82" i="54" s="1"/>
  <c r="AJ82" i="54" s="1"/>
  <c r="Z62" i="54"/>
  <c r="AF62" i="54" s="1"/>
  <c r="AJ62" i="54" s="1"/>
  <c r="Z42" i="54"/>
  <c r="AF42" i="54" s="1"/>
  <c r="AJ42" i="54" s="1"/>
  <c r="Z526" i="54"/>
  <c r="AF526" i="54" s="1"/>
  <c r="Z484" i="54"/>
  <c r="AF484" i="54" s="1"/>
  <c r="AD211" i="54"/>
  <c r="AH211" i="54" s="1"/>
  <c r="AD127" i="54"/>
  <c r="AH127" i="54" s="1"/>
  <c r="AD316" i="54"/>
  <c r="AH316" i="54" s="1"/>
  <c r="AD106" i="54"/>
  <c r="AH106" i="54" s="1"/>
  <c r="AD22" i="54"/>
  <c r="AH22" i="54" s="1"/>
  <c r="AL22" i="54" s="1"/>
  <c r="AD232" i="54"/>
  <c r="AH232" i="54" s="1"/>
  <c r="AD190" i="54"/>
  <c r="AH190" i="54" s="1"/>
  <c r="AD85" i="54"/>
  <c r="AH85" i="54" s="1"/>
  <c r="AD148" i="54"/>
  <c r="AH148" i="54" s="1"/>
  <c r="AD295" i="54"/>
  <c r="AH295" i="54" s="1"/>
  <c r="AD253" i="54"/>
  <c r="AH253" i="54" s="1"/>
  <c r="AD274" i="54"/>
  <c r="AH274" i="54" s="1"/>
  <c r="AD64" i="54"/>
  <c r="AH64" i="54" s="1"/>
  <c r="AD169" i="54"/>
  <c r="AH169" i="54" s="1"/>
  <c r="AB316" i="54"/>
  <c r="AG316" i="54" s="1"/>
  <c r="AB253" i="54"/>
  <c r="AG253" i="54" s="1"/>
  <c r="AB190" i="54"/>
  <c r="AG190" i="54" s="1"/>
  <c r="AB169" i="54"/>
  <c r="AG169" i="54" s="1"/>
  <c r="AB211" i="54"/>
  <c r="AG211" i="54" s="1"/>
  <c r="AB295" i="54"/>
  <c r="AG295" i="54" s="1"/>
  <c r="AB274" i="54"/>
  <c r="AG274" i="54" s="1"/>
  <c r="AB85" i="54"/>
  <c r="AG85" i="54" s="1"/>
  <c r="AB106" i="54"/>
  <c r="AG106" i="54" s="1"/>
  <c r="AB22" i="54"/>
  <c r="AG22" i="54" s="1"/>
  <c r="AK22" i="54" s="1"/>
  <c r="AB148" i="54"/>
  <c r="AG148" i="54" s="1"/>
  <c r="AB232" i="54"/>
  <c r="AG232" i="54" s="1"/>
  <c r="AB64" i="54"/>
  <c r="AG64" i="54" s="1"/>
  <c r="AB127" i="54"/>
  <c r="AG127" i="54" s="1"/>
  <c r="AC208" i="64" l="1"/>
  <c r="AB204" i="64"/>
  <c r="AB202" i="64"/>
  <c r="AC212" i="64"/>
  <c r="AC205" i="64"/>
  <c r="AB203" i="64"/>
  <c r="AC209" i="64"/>
  <c r="AB210" i="64"/>
  <c r="AC202" i="64"/>
  <c r="AC203" i="64"/>
  <c r="AB208" i="64"/>
  <c r="AC210" i="64"/>
  <c r="AC211" i="64"/>
  <c r="AB207" i="64"/>
  <c r="AC206" i="64"/>
  <c r="AC204" i="64"/>
  <c r="AC207" i="64"/>
  <c r="W213" i="64"/>
  <c r="W215" i="64"/>
  <c r="W217" i="64"/>
  <c r="W219" i="64"/>
  <c r="W221" i="64"/>
  <c r="W223" i="64"/>
  <c r="W220" i="64"/>
  <c r="W218" i="64"/>
  <c r="W214" i="64"/>
  <c r="W222" i="64"/>
  <c r="W216" i="64"/>
  <c r="AB799" i="54"/>
  <c r="AG799" i="54" s="1"/>
  <c r="AK799" i="54" s="1"/>
  <c r="V149" i="54"/>
  <c r="V107" i="54"/>
  <c r="V212" i="54"/>
  <c r="V170" i="54"/>
  <c r="V128" i="54"/>
  <c r="V23" i="54"/>
  <c r="V86" i="54"/>
  <c r="V65" i="54"/>
  <c r="V44" i="54"/>
  <c r="V275" i="54"/>
  <c r="V338" i="54"/>
  <c r="V317" i="54"/>
  <c r="V296" i="54"/>
  <c r="V191" i="54"/>
  <c r="V254" i="54"/>
  <c r="V233" i="54"/>
  <c r="V632" i="54"/>
  <c r="V548" i="54"/>
  <c r="V464" i="54"/>
  <c r="V800" i="54"/>
  <c r="X86" i="54"/>
  <c r="X170" i="54"/>
  <c r="X254" i="54"/>
  <c r="X338" i="54"/>
  <c r="X23" i="54"/>
  <c r="X107" i="54"/>
  <c r="X191" i="54"/>
  <c r="X275" i="54"/>
  <c r="X44" i="54"/>
  <c r="X128" i="54"/>
  <c r="X212" i="54"/>
  <c r="X296" i="54"/>
  <c r="X233" i="54"/>
  <c r="X317" i="54"/>
  <c r="X65" i="54"/>
  <c r="X149" i="54"/>
  <c r="X485" i="54"/>
  <c r="X506" i="54"/>
  <c r="X527" i="54"/>
  <c r="X548" i="54"/>
  <c r="X716" i="54"/>
  <c r="X758" i="54"/>
  <c r="X569" i="54"/>
  <c r="X590" i="54"/>
  <c r="X611" i="54"/>
  <c r="X695" i="54"/>
  <c r="X800" i="54"/>
  <c r="X653" i="54"/>
  <c r="X359" i="54"/>
  <c r="X380" i="54"/>
  <c r="X779" i="54"/>
  <c r="X737" i="54"/>
  <c r="X401" i="54"/>
  <c r="X422" i="54"/>
  <c r="X443" i="54"/>
  <c r="X464" i="54"/>
  <c r="X632" i="54"/>
  <c r="X674" i="54"/>
  <c r="T569" i="54"/>
  <c r="T443" i="54"/>
  <c r="T548" i="54"/>
  <c r="T653" i="54"/>
  <c r="T758" i="54"/>
  <c r="T485" i="54"/>
  <c r="T800" i="54"/>
  <c r="T422" i="54"/>
  <c r="T527" i="54"/>
  <c r="T632" i="54"/>
  <c r="T737" i="54"/>
  <c r="T611" i="54"/>
  <c r="T359" i="54"/>
  <c r="T674" i="54"/>
  <c r="T401" i="54"/>
  <c r="T506" i="54"/>
  <c r="T380" i="54"/>
  <c r="T716" i="54"/>
  <c r="T590" i="54"/>
  <c r="T695" i="54"/>
  <c r="T464" i="54"/>
  <c r="T779" i="54"/>
  <c r="T44" i="54"/>
  <c r="T128" i="54"/>
  <c r="T65" i="54"/>
  <c r="T149" i="54"/>
  <c r="T86" i="54"/>
  <c r="T107" i="54"/>
  <c r="T170" i="54"/>
  <c r="T254" i="54"/>
  <c r="T338" i="54"/>
  <c r="T191" i="54"/>
  <c r="T275" i="54"/>
  <c r="T23" i="54"/>
  <c r="T212" i="54"/>
  <c r="T296" i="54"/>
  <c r="T233" i="54"/>
  <c r="T317" i="54"/>
  <c r="D185" i="64"/>
  <c r="D181" i="64"/>
  <c r="D176" i="64"/>
  <c r="D183" i="64"/>
  <c r="D178" i="64"/>
  <c r="D187" i="64"/>
  <c r="D182" i="64"/>
  <c r="D177" i="64"/>
  <c r="D186" i="64"/>
  <c r="D179" i="64"/>
  <c r="D184" i="64"/>
  <c r="F178" i="64"/>
  <c r="F187" i="64"/>
  <c r="F183" i="64"/>
  <c r="F179" i="64"/>
  <c r="F176" i="64"/>
  <c r="F184" i="64"/>
  <c r="F181" i="64"/>
  <c r="F186" i="64"/>
  <c r="F177" i="64"/>
  <c r="F185" i="64"/>
  <c r="F182" i="64"/>
  <c r="E177" i="64"/>
  <c r="E182" i="64"/>
  <c r="E186" i="64"/>
  <c r="E184" i="64"/>
  <c r="E176" i="64"/>
  <c r="E183" i="64"/>
  <c r="E181" i="64"/>
  <c r="E187" i="64"/>
  <c r="E179" i="64"/>
  <c r="E185" i="64"/>
  <c r="E178" i="64"/>
  <c r="AB526" i="54"/>
  <c r="AG526" i="54" s="1"/>
  <c r="AB484" i="54"/>
  <c r="AG484" i="54" s="1"/>
  <c r="AD526" i="54"/>
  <c r="AH526" i="54" s="1"/>
  <c r="AD484" i="54"/>
  <c r="AH484" i="54" s="1"/>
  <c r="U213" i="64" l="1"/>
  <c r="U218" i="64"/>
  <c r="U220" i="64"/>
  <c r="U222" i="64"/>
  <c r="U214" i="64"/>
  <c r="U216" i="64"/>
  <c r="U215" i="64"/>
  <c r="U217" i="64"/>
  <c r="U219" i="64"/>
  <c r="U221" i="64"/>
  <c r="U223" i="64"/>
  <c r="V213" i="64"/>
  <c r="V215" i="64"/>
  <c r="V217" i="64"/>
  <c r="V219" i="64"/>
  <c r="V221" i="64"/>
  <c r="V223" i="64"/>
  <c r="V222" i="64"/>
  <c r="V214" i="64"/>
  <c r="V220" i="64"/>
  <c r="V218" i="64"/>
  <c r="V216" i="64"/>
  <c r="V716" i="54"/>
  <c r="V611" i="54"/>
  <c r="V653" i="54"/>
  <c r="V569" i="54"/>
  <c r="V506" i="54"/>
  <c r="V401" i="54"/>
  <c r="V590" i="54"/>
  <c r="V380" i="54"/>
  <c r="V695" i="54"/>
  <c r="V779" i="54"/>
  <c r="V485" i="54"/>
  <c r="V359" i="54"/>
  <c r="V737" i="54"/>
  <c r="V527" i="54"/>
  <c r="V674" i="54"/>
  <c r="V443" i="54"/>
  <c r="V758" i="54"/>
  <c r="V422" i="54"/>
  <c r="G187" i="64"/>
  <c r="J187" i="64" s="1"/>
  <c r="G183" i="64"/>
  <c r="J183" i="64" s="1"/>
  <c r="G178" i="64"/>
  <c r="J178" i="64" s="1"/>
  <c r="G186" i="64"/>
  <c r="J186" i="64" s="1"/>
  <c r="G177" i="64"/>
  <c r="J177" i="64" s="1"/>
  <c r="G184" i="64"/>
  <c r="J184" i="64" s="1"/>
  <c r="G185" i="64"/>
  <c r="J185" i="64" s="1"/>
  <c r="G182" i="64"/>
  <c r="J182" i="64" s="1"/>
  <c r="G179" i="64"/>
  <c r="J179" i="64" s="1"/>
  <c r="G176" i="64"/>
  <c r="J176" i="64" s="1"/>
  <c r="G181" i="64"/>
  <c r="J181" i="64" s="1"/>
  <c r="Z323" i="54"/>
  <c r="AF323" i="54" s="1"/>
  <c r="AJ323" i="54" s="1"/>
  <c r="AJ324" i="54" s="1"/>
  <c r="Z303" i="54"/>
  <c r="AF303" i="54" s="1"/>
  <c r="AJ303" i="54" s="1"/>
  <c r="AJ304" i="54" s="1"/>
  <c r="AJ305" i="54" s="1"/>
  <c r="AJ306" i="54" s="1"/>
  <c r="AJ307" i="54" s="1"/>
  <c r="AJ308" i="54" s="1"/>
  <c r="AJ309" i="54" s="1"/>
  <c r="AJ310" i="54" s="1"/>
  <c r="AJ311" i="54" s="1"/>
  <c r="AJ312" i="54" s="1"/>
  <c r="AJ313" i="54" s="1"/>
  <c r="AJ314" i="54" s="1"/>
  <c r="AJ315" i="54" s="1"/>
  <c r="AJ316" i="54" s="1"/>
  <c r="Z283" i="54"/>
  <c r="AF283" i="54" s="1"/>
  <c r="AJ283" i="54" s="1"/>
  <c r="AJ284" i="54" s="1"/>
  <c r="AJ285" i="54" s="1"/>
  <c r="AJ286" i="54" s="1"/>
  <c r="AJ287" i="54" s="1"/>
  <c r="AJ288" i="54" s="1"/>
  <c r="AJ289" i="54" s="1"/>
  <c r="AJ290" i="54" s="1"/>
  <c r="AJ291" i="54" s="1"/>
  <c r="AJ292" i="54" s="1"/>
  <c r="AJ293" i="54" s="1"/>
  <c r="AJ294" i="54" s="1"/>
  <c r="AJ295" i="54" s="1"/>
  <c r="Z263" i="54"/>
  <c r="AF263" i="54" s="1"/>
  <c r="AJ263" i="54" s="1"/>
  <c r="AJ264" i="54" s="1"/>
  <c r="AJ265" i="54" s="1"/>
  <c r="AJ266" i="54" s="1"/>
  <c r="AJ267" i="54" s="1"/>
  <c r="AJ268" i="54" s="1"/>
  <c r="AJ269" i="54" s="1"/>
  <c r="AJ270" i="54" s="1"/>
  <c r="AJ271" i="54" s="1"/>
  <c r="AJ272" i="54" s="1"/>
  <c r="AJ273" i="54" s="1"/>
  <c r="AJ274" i="54" s="1"/>
  <c r="Z243" i="54"/>
  <c r="AF243" i="54" s="1"/>
  <c r="AJ243" i="54" s="1"/>
  <c r="AJ244" i="54" s="1"/>
  <c r="AJ245" i="54" s="1"/>
  <c r="AJ246" i="54" s="1"/>
  <c r="AJ247" i="54" s="1"/>
  <c r="AJ248" i="54" s="1"/>
  <c r="AJ249" i="54" s="1"/>
  <c r="AJ250" i="54" s="1"/>
  <c r="AJ251" i="54" s="1"/>
  <c r="AJ252" i="54" s="1"/>
  <c r="AJ253" i="54" s="1"/>
  <c r="Z223" i="54"/>
  <c r="AF223" i="54" s="1"/>
  <c r="AJ223" i="54" s="1"/>
  <c r="AJ224" i="54" s="1"/>
  <c r="AJ225" i="54" s="1"/>
  <c r="AJ226" i="54" s="1"/>
  <c r="AJ227" i="54" s="1"/>
  <c r="AJ228" i="54" s="1"/>
  <c r="AJ229" i="54" s="1"/>
  <c r="AJ230" i="54" s="1"/>
  <c r="AJ231" i="54" s="1"/>
  <c r="AJ232" i="54" s="1"/>
  <c r="Z203" i="54"/>
  <c r="AF203" i="54" s="1"/>
  <c r="AJ203" i="54" s="1"/>
  <c r="AJ204" i="54" s="1"/>
  <c r="AJ205" i="54" s="1"/>
  <c r="AJ206" i="54" s="1"/>
  <c r="AJ207" i="54" s="1"/>
  <c r="AJ208" i="54" s="1"/>
  <c r="AJ209" i="54" s="1"/>
  <c r="AJ210" i="54" s="1"/>
  <c r="AJ211" i="54" s="1"/>
  <c r="Z183" i="54"/>
  <c r="AF183" i="54" s="1"/>
  <c r="AJ183" i="54" s="1"/>
  <c r="AJ184" i="54" s="1"/>
  <c r="AJ185" i="54" s="1"/>
  <c r="AJ186" i="54" s="1"/>
  <c r="AJ187" i="54" s="1"/>
  <c r="AJ188" i="54" s="1"/>
  <c r="AJ189" i="54" s="1"/>
  <c r="AJ190" i="54" s="1"/>
  <c r="Z163" i="54"/>
  <c r="AF163" i="54" s="1"/>
  <c r="AJ163" i="54" s="1"/>
  <c r="AJ164" i="54" s="1"/>
  <c r="AJ165" i="54" s="1"/>
  <c r="AJ166" i="54" s="1"/>
  <c r="AJ167" i="54" s="1"/>
  <c r="AJ168" i="54" s="1"/>
  <c r="AJ169" i="54" s="1"/>
  <c r="Z143" i="54"/>
  <c r="AF143" i="54" s="1"/>
  <c r="AJ143" i="54" s="1"/>
  <c r="AJ144" i="54" s="1"/>
  <c r="AJ145" i="54" s="1"/>
  <c r="AJ146" i="54" s="1"/>
  <c r="AJ147" i="54" s="1"/>
  <c r="AJ148" i="54" s="1"/>
  <c r="Z123" i="54"/>
  <c r="AF123" i="54" s="1"/>
  <c r="AJ123" i="54" s="1"/>
  <c r="AJ124" i="54" s="1"/>
  <c r="AJ125" i="54" s="1"/>
  <c r="AJ126" i="54" s="1"/>
  <c r="AJ127" i="54" s="1"/>
  <c r="Z103" i="54"/>
  <c r="AF103" i="54" s="1"/>
  <c r="AJ103" i="54" s="1"/>
  <c r="AJ104" i="54" s="1"/>
  <c r="AJ105" i="54" s="1"/>
  <c r="AJ106" i="54" s="1"/>
  <c r="Z83" i="54"/>
  <c r="AF83" i="54" s="1"/>
  <c r="AJ83" i="54" s="1"/>
  <c r="AJ84" i="54" s="1"/>
  <c r="AJ85" i="54" s="1"/>
  <c r="Z63" i="54"/>
  <c r="AF63" i="54" s="1"/>
  <c r="AJ63" i="54" s="1"/>
  <c r="AJ64" i="54" s="1"/>
  <c r="Z43" i="54"/>
  <c r="AF43" i="54" s="1"/>
  <c r="AJ43" i="54" s="1"/>
  <c r="Z275" i="54"/>
  <c r="AF275" i="54" s="1"/>
  <c r="Z44" i="54"/>
  <c r="AF44" i="54" s="1"/>
  <c r="Z149" i="54"/>
  <c r="AF149" i="54" s="1"/>
  <c r="Z191" i="54"/>
  <c r="AF191" i="54" s="1"/>
  <c r="Z128" i="54"/>
  <c r="AF128" i="54" s="1"/>
  <c r="Z107" i="54"/>
  <c r="AF107" i="54" s="1"/>
  <c r="Z254" i="54"/>
  <c r="AF254" i="54" s="1"/>
  <c r="Z317" i="54"/>
  <c r="AF317" i="54" s="1"/>
  <c r="Z233" i="54"/>
  <c r="AF233" i="54" s="1"/>
  <c r="Z170" i="54"/>
  <c r="AF170" i="54" s="1"/>
  <c r="Z65" i="54"/>
  <c r="AF65" i="54" s="1"/>
  <c r="Z296" i="54"/>
  <c r="AF296" i="54" s="1"/>
  <c r="Z23" i="54"/>
  <c r="AF23" i="54" s="1"/>
  <c r="AJ23" i="54" s="1"/>
  <c r="Z212" i="54"/>
  <c r="AF212" i="54" s="1"/>
  <c r="Z86" i="54"/>
  <c r="AF86" i="54" s="1"/>
  <c r="AB215" i="64" l="1"/>
  <c r="AC213" i="64"/>
  <c r="AA214" i="64"/>
  <c r="AC215" i="64"/>
  <c r="AA216" i="64"/>
  <c r="AC217" i="64"/>
  <c r="AA218" i="64"/>
  <c r="AC219" i="64"/>
  <c r="AA220" i="64"/>
  <c r="AC221" i="64"/>
  <c r="AA222" i="64"/>
  <c r="AC223" i="64"/>
  <c r="AB214" i="64"/>
  <c r="AB216" i="64"/>
  <c r="AB218" i="64"/>
  <c r="AB220" i="64"/>
  <c r="AB222" i="64"/>
  <c r="AB217" i="64"/>
  <c r="AB219" i="64"/>
  <c r="AB221" i="64"/>
  <c r="AB223" i="64"/>
  <c r="AA213" i="64"/>
  <c r="AA215" i="64"/>
  <c r="AA217" i="64"/>
  <c r="AA219" i="64"/>
  <c r="AA221" i="64"/>
  <c r="AA223" i="64"/>
  <c r="AB213" i="64"/>
  <c r="AC220" i="64"/>
  <c r="AC218" i="64"/>
  <c r="AC222" i="64"/>
  <c r="AC216" i="64"/>
  <c r="AC214" i="64"/>
  <c r="Z800" i="54"/>
  <c r="AF800" i="54" s="1"/>
  <c r="AJ800" i="54" s="1"/>
  <c r="AD779" i="54"/>
  <c r="AH779" i="54" s="1"/>
  <c r="Z779" i="54"/>
  <c r="AF779" i="54" s="1"/>
  <c r="AJ44" i="54"/>
  <c r="AJ65" i="54"/>
  <c r="AJ149" i="54"/>
  <c r="AJ233" i="54"/>
  <c r="AJ317" i="54"/>
  <c r="AJ86" i="54"/>
  <c r="AJ170" i="54"/>
  <c r="AJ254" i="54"/>
  <c r="AJ107" i="54"/>
  <c r="AJ191" i="54"/>
  <c r="AJ275" i="54"/>
  <c r="AJ128" i="54"/>
  <c r="AJ212" i="54"/>
  <c r="AJ296" i="54"/>
  <c r="I183" i="64"/>
  <c r="L183" i="64" s="1"/>
  <c r="I182" i="64"/>
  <c r="L182" i="64" s="1"/>
  <c r="I187" i="64"/>
  <c r="L187" i="64" s="1"/>
  <c r="I178" i="64"/>
  <c r="L178" i="64" s="1"/>
  <c r="I179" i="64"/>
  <c r="L179" i="64" s="1"/>
  <c r="I181" i="64"/>
  <c r="L181" i="64" s="1"/>
  <c r="I186" i="64"/>
  <c r="L186" i="64" s="1"/>
  <c r="I177" i="64"/>
  <c r="L177" i="64" s="1"/>
  <c r="I185" i="64"/>
  <c r="L185" i="64" s="1"/>
  <c r="I176" i="64"/>
  <c r="L176" i="64" s="1"/>
  <c r="I184" i="64"/>
  <c r="L184" i="64" s="1"/>
  <c r="AD323" i="54"/>
  <c r="AH323" i="54" s="1"/>
  <c r="AL323" i="54" s="1"/>
  <c r="AL324" i="54" s="1"/>
  <c r="AD303" i="54"/>
  <c r="AH303" i="54" s="1"/>
  <c r="AL303" i="54" s="1"/>
  <c r="AL304" i="54" s="1"/>
  <c r="AL305" i="54" s="1"/>
  <c r="AL306" i="54" s="1"/>
  <c r="AL307" i="54" s="1"/>
  <c r="AL308" i="54" s="1"/>
  <c r="AL309" i="54" s="1"/>
  <c r="AL310" i="54" s="1"/>
  <c r="AL311" i="54" s="1"/>
  <c r="AL312" i="54" s="1"/>
  <c r="AL313" i="54" s="1"/>
  <c r="AL314" i="54" s="1"/>
  <c r="AL315" i="54" s="1"/>
  <c r="AL316" i="54" s="1"/>
  <c r="AD283" i="54"/>
  <c r="AH283" i="54" s="1"/>
  <c r="AL283" i="54" s="1"/>
  <c r="AL284" i="54" s="1"/>
  <c r="AL285" i="54" s="1"/>
  <c r="AL286" i="54" s="1"/>
  <c r="AL287" i="54" s="1"/>
  <c r="AL288" i="54" s="1"/>
  <c r="AL289" i="54" s="1"/>
  <c r="AL290" i="54" s="1"/>
  <c r="AL291" i="54" s="1"/>
  <c r="AL292" i="54" s="1"/>
  <c r="AL293" i="54" s="1"/>
  <c r="AL294" i="54" s="1"/>
  <c r="AL295" i="54" s="1"/>
  <c r="AD263" i="54"/>
  <c r="AH263" i="54" s="1"/>
  <c r="AL263" i="54" s="1"/>
  <c r="AL264" i="54" s="1"/>
  <c r="AL265" i="54" s="1"/>
  <c r="AL266" i="54" s="1"/>
  <c r="AL267" i="54" s="1"/>
  <c r="AL268" i="54" s="1"/>
  <c r="AL269" i="54" s="1"/>
  <c r="AL270" i="54" s="1"/>
  <c r="AL271" i="54" s="1"/>
  <c r="AL272" i="54" s="1"/>
  <c r="AL273" i="54" s="1"/>
  <c r="AL274" i="54" s="1"/>
  <c r="AD243" i="54"/>
  <c r="AH243" i="54" s="1"/>
  <c r="AL243" i="54" s="1"/>
  <c r="AL244" i="54" s="1"/>
  <c r="AL245" i="54" s="1"/>
  <c r="AL246" i="54" s="1"/>
  <c r="AL247" i="54" s="1"/>
  <c r="AL248" i="54" s="1"/>
  <c r="AL249" i="54" s="1"/>
  <c r="AL250" i="54" s="1"/>
  <c r="AL251" i="54" s="1"/>
  <c r="AL252" i="54" s="1"/>
  <c r="AL253" i="54" s="1"/>
  <c r="AD223" i="54"/>
  <c r="AH223" i="54" s="1"/>
  <c r="AL223" i="54" s="1"/>
  <c r="AL224" i="54" s="1"/>
  <c r="AL225" i="54" s="1"/>
  <c r="AL226" i="54" s="1"/>
  <c r="AL227" i="54" s="1"/>
  <c r="AL228" i="54" s="1"/>
  <c r="AL229" i="54" s="1"/>
  <c r="AL230" i="54" s="1"/>
  <c r="AL231" i="54" s="1"/>
  <c r="AL232" i="54" s="1"/>
  <c r="AD203" i="54"/>
  <c r="AH203" i="54" s="1"/>
  <c r="AL203" i="54" s="1"/>
  <c r="AL204" i="54" s="1"/>
  <c r="AL205" i="54" s="1"/>
  <c r="AL206" i="54" s="1"/>
  <c r="AL207" i="54" s="1"/>
  <c r="AL208" i="54" s="1"/>
  <c r="AL209" i="54" s="1"/>
  <c r="AL210" i="54" s="1"/>
  <c r="AL211" i="54" s="1"/>
  <c r="AD183" i="54"/>
  <c r="AH183" i="54" s="1"/>
  <c r="AL183" i="54" s="1"/>
  <c r="AL184" i="54" s="1"/>
  <c r="AL185" i="54" s="1"/>
  <c r="AL186" i="54" s="1"/>
  <c r="AL187" i="54" s="1"/>
  <c r="AL188" i="54" s="1"/>
  <c r="AL189" i="54" s="1"/>
  <c r="AL190" i="54" s="1"/>
  <c r="AD163" i="54"/>
  <c r="AH163" i="54" s="1"/>
  <c r="AL163" i="54" s="1"/>
  <c r="AL164" i="54" s="1"/>
  <c r="AL165" i="54" s="1"/>
  <c r="AL166" i="54" s="1"/>
  <c r="AL167" i="54" s="1"/>
  <c r="AL168" i="54" s="1"/>
  <c r="AL169" i="54" s="1"/>
  <c r="AD143" i="54"/>
  <c r="AH143" i="54" s="1"/>
  <c r="AL143" i="54" s="1"/>
  <c r="AL144" i="54" s="1"/>
  <c r="AL145" i="54" s="1"/>
  <c r="AL146" i="54" s="1"/>
  <c r="AL147" i="54" s="1"/>
  <c r="AL148" i="54" s="1"/>
  <c r="AD123" i="54"/>
  <c r="AH123" i="54" s="1"/>
  <c r="AL123" i="54" s="1"/>
  <c r="AL124" i="54" s="1"/>
  <c r="AL125" i="54" s="1"/>
  <c r="AL126" i="54" s="1"/>
  <c r="AL127" i="54" s="1"/>
  <c r="AD103" i="54"/>
  <c r="AH103" i="54" s="1"/>
  <c r="AL103" i="54" s="1"/>
  <c r="AL104" i="54" s="1"/>
  <c r="AL105" i="54" s="1"/>
  <c r="AL106" i="54" s="1"/>
  <c r="AD83" i="54"/>
  <c r="AH83" i="54" s="1"/>
  <c r="AL83" i="54" s="1"/>
  <c r="AL84" i="54" s="1"/>
  <c r="AL85" i="54" s="1"/>
  <c r="AD63" i="54"/>
  <c r="AH63" i="54" s="1"/>
  <c r="AL63" i="54" s="1"/>
  <c r="AL64" i="54" s="1"/>
  <c r="AD43" i="54"/>
  <c r="AH43" i="54" s="1"/>
  <c r="AL43" i="54" s="1"/>
  <c r="H186" i="64"/>
  <c r="K186" i="64" s="1"/>
  <c r="H187" i="64"/>
  <c r="K187" i="64" s="1"/>
  <c r="H178" i="64"/>
  <c r="K178" i="64" s="1"/>
  <c r="H185" i="64"/>
  <c r="K185" i="64" s="1"/>
  <c r="H181" i="64"/>
  <c r="K181" i="64" s="1"/>
  <c r="H183" i="64"/>
  <c r="K183" i="64" s="1"/>
  <c r="H179" i="64"/>
  <c r="K179" i="64" s="1"/>
  <c r="H177" i="64"/>
  <c r="K177" i="64" s="1"/>
  <c r="H176" i="64"/>
  <c r="K176" i="64" s="1"/>
  <c r="H182" i="64"/>
  <c r="K182" i="64" s="1"/>
  <c r="H184" i="64"/>
  <c r="K184" i="64" s="1"/>
  <c r="AB323" i="54"/>
  <c r="AG323" i="54" s="1"/>
  <c r="AK323" i="54" s="1"/>
  <c r="AK324" i="54" s="1"/>
  <c r="AB303" i="54"/>
  <c r="AG303" i="54" s="1"/>
  <c r="AK303" i="54" s="1"/>
  <c r="AK304" i="54" s="1"/>
  <c r="AK305" i="54" s="1"/>
  <c r="AK306" i="54" s="1"/>
  <c r="AK307" i="54" s="1"/>
  <c r="AK308" i="54" s="1"/>
  <c r="AK309" i="54" s="1"/>
  <c r="AK310" i="54" s="1"/>
  <c r="AK311" i="54" s="1"/>
  <c r="AK312" i="54" s="1"/>
  <c r="AK313" i="54" s="1"/>
  <c r="AK314" i="54" s="1"/>
  <c r="AK315" i="54" s="1"/>
  <c r="AK316" i="54" s="1"/>
  <c r="AB283" i="54"/>
  <c r="AG283" i="54" s="1"/>
  <c r="AK283" i="54" s="1"/>
  <c r="AK284" i="54" s="1"/>
  <c r="AK285" i="54" s="1"/>
  <c r="AK286" i="54" s="1"/>
  <c r="AK287" i="54" s="1"/>
  <c r="AK288" i="54" s="1"/>
  <c r="AK289" i="54" s="1"/>
  <c r="AK290" i="54" s="1"/>
  <c r="AK291" i="54" s="1"/>
  <c r="AK292" i="54" s="1"/>
  <c r="AK293" i="54" s="1"/>
  <c r="AK294" i="54" s="1"/>
  <c r="AK295" i="54" s="1"/>
  <c r="AB263" i="54"/>
  <c r="AG263" i="54" s="1"/>
  <c r="AK263" i="54" s="1"/>
  <c r="AK264" i="54" s="1"/>
  <c r="AK265" i="54" s="1"/>
  <c r="AK266" i="54" s="1"/>
  <c r="AK267" i="54" s="1"/>
  <c r="AK268" i="54" s="1"/>
  <c r="AK269" i="54" s="1"/>
  <c r="AK270" i="54" s="1"/>
  <c r="AK271" i="54" s="1"/>
  <c r="AK272" i="54" s="1"/>
  <c r="AK273" i="54" s="1"/>
  <c r="AK274" i="54" s="1"/>
  <c r="AB243" i="54"/>
  <c r="AG243" i="54" s="1"/>
  <c r="AK243" i="54" s="1"/>
  <c r="AK244" i="54" s="1"/>
  <c r="AK245" i="54" s="1"/>
  <c r="AK246" i="54" s="1"/>
  <c r="AK247" i="54" s="1"/>
  <c r="AK248" i="54" s="1"/>
  <c r="AK249" i="54" s="1"/>
  <c r="AK250" i="54" s="1"/>
  <c r="AK251" i="54" s="1"/>
  <c r="AK252" i="54" s="1"/>
  <c r="AK253" i="54" s="1"/>
  <c r="AB223" i="54"/>
  <c r="AG223" i="54" s="1"/>
  <c r="AK223" i="54" s="1"/>
  <c r="AK224" i="54" s="1"/>
  <c r="AK225" i="54" s="1"/>
  <c r="AK226" i="54" s="1"/>
  <c r="AK227" i="54" s="1"/>
  <c r="AK228" i="54" s="1"/>
  <c r="AK229" i="54" s="1"/>
  <c r="AK230" i="54" s="1"/>
  <c r="AK231" i="54" s="1"/>
  <c r="AK232" i="54" s="1"/>
  <c r="AB203" i="54"/>
  <c r="AG203" i="54" s="1"/>
  <c r="AK203" i="54" s="1"/>
  <c r="AK204" i="54" s="1"/>
  <c r="AK205" i="54" s="1"/>
  <c r="AK206" i="54" s="1"/>
  <c r="AK207" i="54" s="1"/>
  <c r="AK208" i="54" s="1"/>
  <c r="AK209" i="54" s="1"/>
  <c r="AK210" i="54" s="1"/>
  <c r="AK211" i="54" s="1"/>
  <c r="AB183" i="54"/>
  <c r="AG183" i="54" s="1"/>
  <c r="AK183" i="54" s="1"/>
  <c r="AK184" i="54" s="1"/>
  <c r="AK185" i="54" s="1"/>
  <c r="AK186" i="54" s="1"/>
  <c r="AK187" i="54" s="1"/>
  <c r="AK188" i="54" s="1"/>
  <c r="AK189" i="54" s="1"/>
  <c r="AK190" i="54" s="1"/>
  <c r="AB163" i="54"/>
  <c r="AG163" i="54" s="1"/>
  <c r="AK163" i="54" s="1"/>
  <c r="AK164" i="54" s="1"/>
  <c r="AK165" i="54" s="1"/>
  <c r="AK166" i="54" s="1"/>
  <c r="AK167" i="54" s="1"/>
  <c r="AK168" i="54" s="1"/>
  <c r="AK169" i="54" s="1"/>
  <c r="AB143" i="54"/>
  <c r="AG143" i="54" s="1"/>
  <c r="AK143" i="54" s="1"/>
  <c r="AK144" i="54" s="1"/>
  <c r="AK145" i="54" s="1"/>
  <c r="AK146" i="54" s="1"/>
  <c r="AK147" i="54" s="1"/>
  <c r="AK148" i="54" s="1"/>
  <c r="AB123" i="54"/>
  <c r="AG123" i="54" s="1"/>
  <c r="AK123" i="54" s="1"/>
  <c r="AK124" i="54" s="1"/>
  <c r="AK125" i="54" s="1"/>
  <c r="AK126" i="54" s="1"/>
  <c r="AK127" i="54" s="1"/>
  <c r="AB103" i="54"/>
  <c r="AG103" i="54" s="1"/>
  <c r="AK103" i="54" s="1"/>
  <c r="AK104" i="54" s="1"/>
  <c r="AK105" i="54" s="1"/>
  <c r="AK106" i="54" s="1"/>
  <c r="AB83" i="54"/>
  <c r="AG83" i="54" s="1"/>
  <c r="AK83" i="54" s="1"/>
  <c r="AK84" i="54" s="1"/>
  <c r="AK85" i="54" s="1"/>
  <c r="AB63" i="54"/>
  <c r="AG63" i="54" s="1"/>
  <c r="AK63" i="54" s="1"/>
  <c r="AK64" i="54" s="1"/>
  <c r="AB43" i="54"/>
  <c r="AG43" i="54" s="1"/>
  <c r="AK43" i="54" s="1"/>
  <c r="Z506" i="54"/>
  <c r="AF506" i="54" s="1"/>
  <c r="Z464" i="54"/>
  <c r="AF464" i="54" s="1"/>
  <c r="AD296" i="54"/>
  <c r="AH296" i="54" s="1"/>
  <c r="AD23" i="54"/>
  <c r="AH23" i="54" s="1"/>
  <c r="AL23" i="54" s="1"/>
  <c r="AD128" i="54"/>
  <c r="AH128" i="54" s="1"/>
  <c r="AD212" i="54"/>
  <c r="AH212" i="54" s="1"/>
  <c r="AD86" i="54"/>
  <c r="AH86" i="54" s="1"/>
  <c r="AD317" i="54"/>
  <c r="AH317" i="54" s="1"/>
  <c r="AD44" i="54"/>
  <c r="AH44" i="54" s="1"/>
  <c r="AD149" i="54"/>
  <c r="AH149" i="54" s="1"/>
  <c r="AD233" i="54"/>
  <c r="AH233" i="54" s="1"/>
  <c r="AD275" i="54"/>
  <c r="AH275" i="54" s="1"/>
  <c r="AD107" i="54"/>
  <c r="AH107" i="54" s="1"/>
  <c r="AD65" i="54"/>
  <c r="AH65" i="54" s="1"/>
  <c r="AD170" i="54"/>
  <c r="AH170" i="54" s="1"/>
  <c r="AD254" i="54"/>
  <c r="AH254" i="54" s="1"/>
  <c r="AD191" i="54"/>
  <c r="AH191" i="54" s="1"/>
  <c r="AB44" i="54"/>
  <c r="AG44" i="54" s="1"/>
  <c r="AB107" i="54"/>
  <c r="AG107" i="54" s="1"/>
  <c r="AB191" i="54"/>
  <c r="AG191" i="54" s="1"/>
  <c r="AB275" i="54"/>
  <c r="AG275" i="54" s="1"/>
  <c r="AB296" i="54"/>
  <c r="AG296" i="54" s="1"/>
  <c r="AB128" i="54"/>
  <c r="AG128" i="54" s="1"/>
  <c r="AB233" i="54"/>
  <c r="AG233" i="54" s="1"/>
  <c r="AB86" i="54"/>
  <c r="AG86" i="54" s="1"/>
  <c r="AB149" i="54"/>
  <c r="AG149" i="54" s="1"/>
  <c r="AB170" i="54"/>
  <c r="AG170" i="54" s="1"/>
  <c r="AB23" i="54"/>
  <c r="AG23" i="54" s="1"/>
  <c r="AK23" i="54" s="1"/>
  <c r="AB65" i="54"/>
  <c r="AG65" i="54" s="1"/>
  <c r="AB254" i="54"/>
  <c r="AG254" i="54" s="1"/>
  <c r="AB317" i="54"/>
  <c r="AG317" i="54" s="1"/>
  <c r="AB212" i="54"/>
  <c r="AG212" i="54" s="1"/>
  <c r="X423" i="54" l="1"/>
  <c r="AB800" i="54"/>
  <c r="AG800" i="54" s="1"/>
  <c r="AK800" i="54" s="1"/>
  <c r="AB779" i="54"/>
  <c r="AG779" i="54" s="1"/>
  <c r="AD800" i="54"/>
  <c r="AH800" i="54" s="1"/>
  <c r="AL800" i="54" s="1"/>
  <c r="V213" i="54"/>
  <c r="V171" i="54"/>
  <c r="V150" i="54"/>
  <c r="V129" i="54"/>
  <c r="V24" i="54"/>
  <c r="V108" i="54"/>
  <c r="V87" i="54"/>
  <c r="V66" i="54"/>
  <c r="V45" i="54"/>
  <c r="V276" i="54"/>
  <c r="V339" i="54"/>
  <c r="V318" i="54"/>
  <c r="V297" i="54"/>
  <c r="V192" i="54"/>
  <c r="V255" i="54"/>
  <c r="V234" i="54"/>
  <c r="V381" i="54"/>
  <c r="V717" i="54"/>
  <c r="V654" i="54"/>
  <c r="V675" i="54"/>
  <c r="V612" i="54"/>
  <c r="V738" i="54"/>
  <c r="V465" i="54"/>
  <c r="V402" i="54"/>
  <c r="V423" i="54"/>
  <c r="V360" i="54"/>
  <c r="V696" i="54"/>
  <c r="V759" i="54"/>
  <c r="V549" i="54"/>
  <c r="V486" i="54"/>
  <c r="V507" i="54"/>
  <c r="V444" i="54"/>
  <c r="V780" i="54"/>
  <c r="V633" i="54"/>
  <c r="V570" i="54"/>
  <c r="V591" i="54"/>
  <c r="V528" i="54"/>
  <c r="V801" i="54"/>
  <c r="X402" i="54"/>
  <c r="X801" i="54"/>
  <c r="X507" i="54"/>
  <c r="X549" i="54"/>
  <c r="X654" i="54"/>
  <c r="X780" i="54"/>
  <c r="X66" i="54"/>
  <c r="X150" i="54"/>
  <c r="X234" i="54"/>
  <c r="X318" i="54"/>
  <c r="X87" i="54"/>
  <c r="X171" i="54"/>
  <c r="X255" i="54"/>
  <c r="X339" i="54"/>
  <c r="X24" i="54"/>
  <c r="X108" i="54"/>
  <c r="X192" i="54"/>
  <c r="X276" i="54"/>
  <c r="X213" i="54"/>
  <c r="X297" i="54"/>
  <c r="X45" i="54"/>
  <c r="X129" i="54"/>
  <c r="T24" i="54"/>
  <c r="T108" i="54"/>
  <c r="T45" i="54"/>
  <c r="T129" i="54"/>
  <c r="T66" i="54"/>
  <c r="T87" i="54"/>
  <c r="T150" i="54"/>
  <c r="T234" i="54"/>
  <c r="T318" i="54"/>
  <c r="T171" i="54"/>
  <c r="T255" i="54"/>
  <c r="T339" i="54"/>
  <c r="T192" i="54"/>
  <c r="T276" i="54"/>
  <c r="T213" i="54"/>
  <c r="T297" i="54"/>
  <c r="T402" i="54"/>
  <c r="T360" i="54"/>
  <c r="T696" i="54"/>
  <c r="T801" i="54"/>
  <c r="T591" i="54"/>
  <c r="T381" i="54"/>
  <c r="T486" i="54"/>
  <c r="T444" i="54"/>
  <c r="T780" i="54"/>
  <c r="T570" i="54"/>
  <c r="T675" i="54"/>
  <c r="T465" i="54"/>
  <c r="T423" i="54"/>
  <c r="T528" i="54"/>
  <c r="T633" i="54"/>
  <c r="T654" i="54"/>
  <c r="T759" i="54"/>
  <c r="T549" i="54"/>
  <c r="T507" i="54"/>
  <c r="T612" i="54"/>
  <c r="T717" i="54"/>
  <c r="T738" i="54"/>
  <c r="AK44" i="54"/>
  <c r="AK128" i="54"/>
  <c r="AK212" i="54"/>
  <c r="AK296" i="54"/>
  <c r="AL86" i="54"/>
  <c r="AL170" i="54"/>
  <c r="AL254" i="54"/>
  <c r="AK65" i="54"/>
  <c r="AK149" i="54"/>
  <c r="AK233" i="54"/>
  <c r="AK317" i="54"/>
  <c r="AL107" i="54"/>
  <c r="AL191" i="54"/>
  <c r="AL275" i="54"/>
  <c r="AK86" i="54"/>
  <c r="AK170" i="54"/>
  <c r="AK254" i="54"/>
  <c r="AL44" i="54"/>
  <c r="AL128" i="54"/>
  <c r="AL212" i="54"/>
  <c r="AL296" i="54"/>
  <c r="AK107" i="54"/>
  <c r="AK191" i="54"/>
  <c r="AK275" i="54"/>
  <c r="AL65" i="54"/>
  <c r="AL149" i="54"/>
  <c r="AL233" i="54"/>
  <c r="AL317" i="54"/>
  <c r="AB464" i="54"/>
  <c r="AG464" i="54" s="1"/>
  <c r="AB506" i="54"/>
  <c r="AG506" i="54" s="1"/>
  <c r="AD464" i="54"/>
  <c r="AH464" i="54" s="1"/>
  <c r="AD506" i="54"/>
  <c r="AH506" i="54" s="1"/>
  <c r="X717" i="54" l="1"/>
  <c r="X633" i="54"/>
  <c r="X738" i="54"/>
  <c r="X486" i="54"/>
  <c r="X612" i="54"/>
  <c r="X381" i="54"/>
  <c r="X759" i="54"/>
  <c r="X675" i="54"/>
  <c r="X696" i="54"/>
  <c r="X465" i="54"/>
  <c r="X444" i="54"/>
  <c r="X360" i="54"/>
  <c r="X591" i="54"/>
  <c r="X528" i="54"/>
  <c r="X570" i="54"/>
  <c r="B69" i="53"/>
  <c r="B79" i="53" s="1"/>
  <c r="N69" i="53"/>
  <c r="Z24" i="54"/>
  <c r="AF24" i="54" s="1"/>
  <c r="AJ24" i="54" s="1"/>
  <c r="Z150" i="54"/>
  <c r="AF150" i="54" s="1"/>
  <c r="AJ150" i="54" s="1"/>
  <c r="Z255" i="54"/>
  <c r="AF255" i="54" s="1"/>
  <c r="AJ255" i="54" s="1"/>
  <c r="Z318" i="54"/>
  <c r="AF318" i="54" s="1"/>
  <c r="AJ318" i="54" s="1"/>
  <c r="Z129" i="54"/>
  <c r="AF129" i="54" s="1"/>
  <c r="AJ129" i="54" s="1"/>
  <c r="Z234" i="54"/>
  <c r="AF234" i="54" s="1"/>
  <c r="AJ234" i="54" s="1"/>
  <c r="Z276" i="54"/>
  <c r="AF276" i="54" s="1"/>
  <c r="AJ276" i="54" s="1"/>
  <c r="Z66" i="54"/>
  <c r="AF66" i="54" s="1"/>
  <c r="AJ66" i="54" s="1"/>
  <c r="Z213" i="54"/>
  <c r="AF213" i="54" s="1"/>
  <c r="AJ213" i="54" s="1"/>
  <c r="Z171" i="54"/>
  <c r="AF171" i="54" s="1"/>
  <c r="AJ171" i="54" s="1"/>
  <c r="Z87" i="54"/>
  <c r="AF87" i="54" s="1"/>
  <c r="AJ87" i="54" s="1"/>
  <c r="Z108" i="54"/>
  <c r="AF108" i="54" s="1"/>
  <c r="AJ108" i="54" s="1"/>
  <c r="Z45" i="54"/>
  <c r="AF45" i="54" s="1"/>
  <c r="AJ45" i="54" s="1"/>
  <c r="Z192" i="54"/>
  <c r="AF192" i="54" s="1"/>
  <c r="AJ192" i="54" s="1"/>
  <c r="Z297" i="54"/>
  <c r="AF297" i="54" s="1"/>
  <c r="AJ297" i="54" s="1"/>
  <c r="N81" i="53" l="1"/>
  <c r="H69" i="53"/>
  <c r="H81" i="53" s="1"/>
  <c r="P69" i="53"/>
  <c r="Z780" i="54"/>
  <c r="AF780" i="54" s="1"/>
  <c r="Z801" i="54"/>
  <c r="AF801" i="54" s="1"/>
  <c r="AJ801" i="54" s="1"/>
  <c r="Z486" i="54"/>
  <c r="AF486" i="54" s="1"/>
  <c r="Z444" i="54"/>
  <c r="AF444" i="54" s="1"/>
  <c r="AB87" i="54"/>
  <c r="AG87" i="54" s="1"/>
  <c r="AK87" i="54" s="1"/>
  <c r="AB45" i="54"/>
  <c r="AG45" i="54" s="1"/>
  <c r="AK45" i="54" s="1"/>
  <c r="AB234" i="54"/>
  <c r="AG234" i="54" s="1"/>
  <c r="AK234" i="54" s="1"/>
  <c r="AB129" i="54"/>
  <c r="AG129" i="54" s="1"/>
  <c r="AK129" i="54" s="1"/>
  <c r="AB318" i="54"/>
  <c r="AG318" i="54" s="1"/>
  <c r="AK318" i="54" s="1"/>
  <c r="AB108" i="54"/>
  <c r="AG108" i="54" s="1"/>
  <c r="AK108" i="54" s="1"/>
  <c r="AB171" i="54"/>
  <c r="AG171" i="54" s="1"/>
  <c r="AK171" i="54" s="1"/>
  <c r="AB297" i="54"/>
  <c r="AG297" i="54" s="1"/>
  <c r="AK297" i="54" s="1"/>
  <c r="AB213" i="54"/>
  <c r="AG213" i="54" s="1"/>
  <c r="AK213" i="54" s="1"/>
  <c r="AB192" i="54"/>
  <c r="AG192" i="54" s="1"/>
  <c r="AK192" i="54" s="1"/>
  <c r="AB255" i="54"/>
  <c r="AG255" i="54" s="1"/>
  <c r="AK255" i="54" s="1"/>
  <c r="AB150" i="54"/>
  <c r="AG150" i="54" s="1"/>
  <c r="AK150" i="54" s="1"/>
  <c r="AB66" i="54"/>
  <c r="AG66" i="54" s="1"/>
  <c r="AK66" i="54" s="1"/>
  <c r="AB276" i="54"/>
  <c r="AG276" i="54" s="1"/>
  <c r="AK276" i="54" s="1"/>
  <c r="AB24" i="54"/>
  <c r="AG24" i="54" s="1"/>
  <c r="AK24" i="54" s="1"/>
  <c r="D69" i="53"/>
  <c r="P81" i="53" s="1"/>
  <c r="AD171" i="54"/>
  <c r="AH171" i="54" s="1"/>
  <c r="AL171" i="54" s="1"/>
  <c r="AD276" i="54"/>
  <c r="AH276" i="54" s="1"/>
  <c r="AL276" i="54" s="1"/>
  <c r="AD297" i="54"/>
  <c r="AH297" i="54" s="1"/>
  <c r="AL297" i="54" s="1"/>
  <c r="AD66" i="54"/>
  <c r="AH66" i="54" s="1"/>
  <c r="AL66" i="54" s="1"/>
  <c r="AD255" i="54"/>
  <c r="AH255" i="54" s="1"/>
  <c r="AL255" i="54" s="1"/>
  <c r="AD24" i="54"/>
  <c r="AH24" i="54" s="1"/>
  <c r="AL24" i="54" s="1"/>
  <c r="AD150" i="54"/>
  <c r="AH150" i="54" s="1"/>
  <c r="AL150" i="54" s="1"/>
  <c r="AD45" i="54"/>
  <c r="AH45" i="54" s="1"/>
  <c r="AL45" i="54" s="1"/>
  <c r="AD108" i="54"/>
  <c r="AH108" i="54" s="1"/>
  <c r="AL108" i="54" s="1"/>
  <c r="AD129" i="54"/>
  <c r="AH129" i="54" s="1"/>
  <c r="AL129" i="54" s="1"/>
  <c r="AD234" i="54"/>
  <c r="AH234" i="54" s="1"/>
  <c r="AL234" i="54" s="1"/>
  <c r="AD87" i="54"/>
  <c r="AH87" i="54" s="1"/>
  <c r="AL87" i="54" s="1"/>
  <c r="AD192" i="54"/>
  <c r="AH192" i="54" s="1"/>
  <c r="AL192" i="54" s="1"/>
  <c r="AD213" i="54"/>
  <c r="AH213" i="54" s="1"/>
  <c r="AL213" i="54" s="1"/>
  <c r="AD318" i="54"/>
  <c r="AH318" i="54" s="1"/>
  <c r="AL318" i="54" s="1"/>
  <c r="H80" i="53"/>
  <c r="O69" i="53" l="1"/>
  <c r="O63" i="53"/>
  <c r="D79" i="53"/>
  <c r="J69" i="53"/>
  <c r="J80" i="53" s="1"/>
  <c r="C69" i="53"/>
  <c r="I69" i="53" s="1"/>
  <c r="AD780" i="54"/>
  <c r="AH780" i="54" s="1"/>
  <c r="AD801" i="54"/>
  <c r="AH801" i="54" s="1"/>
  <c r="AL801" i="54" s="1"/>
  <c r="AD486" i="54"/>
  <c r="AH486" i="54" s="1"/>
  <c r="AD444" i="54"/>
  <c r="AH444" i="54" s="1"/>
  <c r="AB780" i="54"/>
  <c r="AG780" i="54" s="1"/>
  <c r="AB801" i="54"/>
  <c r="AG801" i="54" s="1"/>
  <c r="AK801" i="54" s="1"/>
  <c r="AB486" i="54"/>
  <c r="AG486" i="54" s="1"/>
  <c r="AB444" i="54"/>
  <c r="AG444" i="54" s="1"/>
  <c r="E4" i="63"/>
  <c r="C79" i="53" l="1"/>
  <c r="O81" i="53"/>
  <c r="J81" i="53"/>
  <c r="G4" i="63" s="1"/>
  <c r="I80" i="53"/>
  <c r="I81" i="53"/>
  <c r="AB343" i="63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F4" i="63"/>
  <c r="AD72" i="63" l="1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  <c r="Z446" i="54"/>
  <c r="AF446" i="54" s="1"/>
  <c r="Z404" i="54"/>
  <c r="AF404" i="54" s="1"/>
  <c r="AB404" i="54"/>
  <c r="AG404" i="54" s="1"/>
  <c r="AB446" i="54"/>
  <c r="AG446" i="54" s="1"/>
  <c r="AD446" i="54"/>
  <c r="AH446" i="54" s="1"/>
  <c r="AD404" i="54"/>
  <c r="AH404" i="54" s="1"/>
  <c r="AB343" i="54" l="1"/>
  <c r="AG343" i="54" s="1"/>
  <c r="AB583" i="54"/>
  <c r="AG583" i="54" s="1"/>
  <c r="AB423" i="54"/>
  <c r="AG423" i="54" s="1"/>
  <c r="Z343" i="54"/>
  <c r="AF343" i="54" s="1"/>
  <c r="Z503" i="54"/>
  <c r="AF503" i="54" s="1"/>
  <c r="Z483" i="54"/>
  <c r="AF483" i="54" s="1"/>
  <c r="Z583" i="54"/>
  <c r="AF583" i="54" s="1"/>
  <c r="Z543" i="54"/>
  <c r="AF543" i="54" s="1"/>
  <c r="Z403" i="54"/>
  <c r="AF403" i="54" s="1"/>
  <c r="AJ403" i="54" s="1"/>
  <c r="AJ404" i="54" s="1"/>
  <c r="Z402" i="54"/>
  <c r="AF402" i="54" s="1"/>
  <c r="Z722" i="54"/>
  <c r="AF722" i="54" s="1"/>
  <c r="Z542" i="54"/>
  <c r="AF542" i="54" s="1"/>
  <c r="AB743" i="54"/>
  <c r="AG743" i="54" s="1"/>
  <c r="AB563" i="54"/>
  <c r="AG563" i="54" s="1"/>
  <c r="AB543" i="54"/>
  <c r="AG543" i="54" s="1"/>
  <c r="AB503" i="54"/>
  <c r="AG503" i="54" s="1"/>
  <c r="AB663" i="54"/>
  <c r="AG663" i="54" s="1"/>
  <c r="AB483" i="54"/>
  <c r="AG483" i="54" s="1"/>
  <c r="AB463" i="54"/>
  <c r="AG463" i="54" s="1"/>
  <c r="AB383" i="54"/>
  <c r="AG383" i="54" s="1"/>
  <c r="Z463" i="54"/>
  <c r="AF463" i="54" s="1"/>
  <c r="Z603" i="54"/>
  <c r="AF603" i="54" s="1"/>
  <c r="Z743" i="54"/>
  <c r="AF743" i="54" s="1"/>
  <c r="Z683" i="54"/>
  <c r="AF683" i="54" s="1"/>
  <c r="Z703" i="54"/>
  <c r="AF703" i="54" s="1"/>
  <c r="Z443" i="54"/>
  <c r="AF443" i="54" s="1"/>
  <c r="Z342" i="54"/>
  <c r="AF342" i="54" s="1"/>
  <c r="Z662" i="54"/>
  <c r="AF662" i="54" s="1"/>
  <c r="Z582" i="54"/>
  <c r="AF582" i="54" s="1"/>
  <c r="Z382" i="54"/>
  <c r="AF382" i="54" s="1"/>
  <c r="AJ382" i="54" s="1"/>
  <c r="Z762" i="54"/>
  <c r="AF762" i="54" s="1"/>
  <c r="Z502" i="54"/>
  <c r="AF502" i="54" s="1"/>
  <c r="Z620" i="54"/>
  <c r="AF620" i="54" s="1"/>
  <c r="Z720" i="54"/>
  <c r="AF720" i="54" s="1"/>
  <c r="AB403" i="54"/>
  <c r="AG403" i="54" s="1"/>
  <c r="AK403" i="54" s="1"/>
  <c r="AK404" i="54" s="1"/>
  <c r="AB443" i="54"/>
  <c r="AG443" i="54" s="1"/>
  <c r="AB723" i="54"/>
  <c r="AG723" i="54" s="1"/>
  <c r="AB643" i="54"/>
  <c r="AG643" i="54" s="1"/>
  <c r="Z523" i="54"/>
  <c r="AF523" i="54" s="1"/>
  <c r="Z663" i="54"/>
  <c r="AF663" i="54" s="1"/>
  <c r="Z363" i="54"/>
  <c r="AF363" i="54" s="1"/>
  <c r="Z723" i="54"/>
  <c r="AF723" i="54" s="1"/>
  <c r="Z383" i="54"/>
  <c r="AF383" i="54" s="1"/>
  <c r="Z642" i="54"/>
  <c r="AF642" i="54" s="1"/>
  <c r="Z602" i="54"/>
  <c r="AF602" i="54" s="1"/>
  <c r="Z702" i="54"/>
  <c r="AF702" i="54" s="1"/>
  <c r="Z522" i="54"/>
  <c r="AF522" i="54" s="1"/>
  <c r="Z742" i="54"/>
  <c r="AF742" i="54" s="1"/>
  <c r="Z622" i="54"/>
  <c r="AF622" i="54" s="1"/>
  <c r="Z442" i="54"/>
  <c r="AF442" i="54" s="1"/>
  <c r="Z682" i="54"/>
  <c r="AF682" i="54" s="1"/>
  <c r="Z340" i="54"/>
  <c r="AF340" i="54" s="1"/>
  <c r="AJ340" i="54" s="1"/>
  <c r="Z480" i="54"/>
  <c r="AF480" i="54" s="1"/>
  <c r="Z660" i="54"/>
  <c r="AF660" i="54" s="1"/>
  <c r="AB523" i="54"/>
  <c r="AG523" i="54" s="1"/>
  <c r="AB763" i="54"/>
  <c r="AG763" i="54" s="1"/>
  <c r="AB703" i="54"/>
  <c r="AG703" i="54" s="1"/>
  <c r="AB603" i="54"/>
  <c r="AG603" i="54" s="1"/>
  <c r="Z623" i="54"/>
  <c r="AF623" i="54" s="1"/>
  <c r="Z643" i="54"/>
  <c r="AF643" i="54" s="1"/>
  <c r="Z462" i="54"/>
  <c r="AF462" i="54" s="1"/>
  <c r="Z482" i="54"/>
  <c r="AF482" i="54" s="1"/>
  <c r="Z640" i="54"/>
  <c r="AF640" i="54" s="1"/>
  <c r="Z460" i="54"/>
  <c r="AF460" i="54" s="1"/>
  <c r="Z579" i="54"/>
  <c r="AF579" i="54" s="1"/>
  <c r="Z519" i="54"/>
  <c r="AF519" i="54" s="1"/>
  <c r="Z459" i="54"/>
  <c r="AF459" i="54" s="1"/>
  <c r="Z719" i="54"/>
  <c r="AF719" i="54" s="1"/>
  <c r="AB623" i="54"/>
  <c r="AG623" i="54" s="1"/>
  <c r="Z423" i="54"/>
  <c r="AF423" i="54" s="1"/>
  <c r="Z760" i="54"/>
  <c r="AF760" i="54" s="1"/>
  <c r="AJ760" i="54" s="1"/>
  <c r="Z680" i="54"/>
  <c r="AF680" i="54" s="1"/>
  <c r="Z440" i="54"/>
  <c r="AF440" i="54" s="1"/>
  <c r="Z500" i="54"/>
  <c r="AF500" i="54" s="1"/>
  <c r="Z580" i="54"/>
  <c r="AF580" i="54" s="1"/>
  <c r="Z560" i="54"/>
  <c r="AF560" i="54" s="1"/>
  <c r="Z400" i="54"/>
  <c r="AF400" i="54" s="1"/>
  <c r="Z380" i="54"/>
  <c r="AF380" i="54" s="1"/>
  <c r="AB479" i="54"/>
  <c r="AG479" i="54" s="1"/>
  <c r="AB519" i="54"/>
  <c r="AG519" i="54" s="1"/>
  <c r="AB739" i="54"/>
  <c r="AG739" i="54" s="1"/>
  <c r="AK739" i="54" s="1"/>
  <c r="AB699" i="54"/>
  <c r="AG699" i="54" s="1"/>
  <c r="AB339" i="54"/>
  <c r="AG339" i="54" s="1"/>
  <c r="AB599" i="54"/>
  <c r="AG599" i="54" s="1"/>
  <c r="AB619" i="54"/>
  <c r="AG619" i="54" s="1"/>
  <c r="AB439" i="54"/>
  <c r="AG439" i="54" s="1"/>
  <c r="AB399" i="54"/>
  <c r="AG399" i="54" s="1"/>
  <c r="AB359" i="54"/>
  <c r="AG359" i="54" s="1"/>
  <c r="AB719" i="54"/>
  <c r="AG719" i="54" s="1"/>
  <c r="Z339" i="54"/>
  <c r="AF339" i="54" s="1"/>
  <c r="Z679" i="54"/>
  <c r="AF679" i="54" s="1"/>
  <c r="Z479" i="54"/>
  <c r="AF479" i="54" s="1"/>
  <c r="Z659" i="54"/>
  <c r="AF659" i="54" s="1"/>
  <c r="Z379" i="54"/>
  <c r="AF379" i="54" s="1"/>
  <c r="Z759" i="54"/>
  <c r="AF759" i="54" s="1"/>
  <c r="Z700" i="54"/>
  <c r="AF700" i="54" s="1"/>
  <c r="Z360" i="54"/>
  <c r="AF360" i="54" s="1"/>
  <c r="Z740" i="54"/>
  <c r="AF740" i="54" s="1"/>
  <c r="Z439" i="54"/>
  <c r="AF439" i="54" s="1"/>
  <c r="Z639" i="54"/>
  <c r="AF639" i="54" s="1"/>
  <c r="Z739" i="54"/>
  <c r="AF739" i="54" s="1"/>
  <c r="AJ739" i="54" s="1"/>
  <c r="Z399" i="54"/>
  <c r="AF399" i="54" s="1"/>
  <c r="Z518" i="54"/>
  <c r="AF518" i="54" s="1"/>
  <c r="Z498" i="54"/>
  <c r="AF498" i="54" s="1"/>
  <c r="Z598" i="54"/>
  <c r="AF598" i="54" s="1"/>
  <c r="Z636" i="54"/>
  <c r="AF636" i="54" s="1"/>
  <c r="Z476" i="54"/>
  <c r="AF476" i="54" s="1"/>
  <c r="Z536" i="54"/>
  <c r="AF536" i="54" s="1"/>
  <c r="Z596" i="54"/>
  <c r="AF596" i="54" s="1"/>
  <c r="Z436" i="54"/>
  <c r="AF436" i="54" s="1"/>
  <c r="Z576" i="54"/>
  <c r="AF576" i="54" s="1"/>
  <c r="Z396" i="54"/>
  <c r="AF396" i="54" s="1"/>
  <c r="Z356" i="54"/>
  <c r="AF356" i="54" s="1"/>
  <c r="Z756" i="54"/>
  <c r="AF756" i="54" s="1"/>
  <c r="Z763" i="54"/>
  <c r="AF763" i="54" s="1"/>
  <c r="Z600" i="54"/>
  <c r="AF600" i="54" s="1"/>
  <c r="AB459" i="54"/>
  <c r="AG459" i="54" s="1"/>
  <c r="AB579" i="54"/>
  <c r="AG579" i="54" s="1"/>
  <c r="AB639" i="54"/>
  <c r="AG639" i="54" s="1"/>
  <c r="AB679" i="54"/>
  <c r="AG679" i="54" s="1"/>
  <c r="AB379" i="54"/>
  <c r="AG379" i="54" s="1"/>
  <c r="Z619" i="54"/>
  <c r="AF619" i="54" s="1"/>
  <c r="Z499" i="54"/>
  <c r="AF499" i="54" s="1"/>
  <c r="Z419" i="54"/>
  <c r="AF419" i="54" s="1"/>
  <c r="Z599" i="54"/>
  <c r="AF599" i="54" s="1"/>
  <c r="Z699" i="54"/>
  <c r="AF699" i="54" s="1"/>
  <c r="Z538" i="54"/>
  <c r="AF538" i="54" s="1"/>
  <c r="Z438" i="54"/>
  <c r="AF438" i="54" s="1"/>
  <c r="Z718" i="54"/>
  <c r="AF718" i="54" s="1"/>
  <c r="AJ718" i="54" s="1"/>
  <c r="Z658" i="54"/>
  <c r="AF658" i="54" s="1"/>
  <c r="Z418" i="54"/>
  <c r="AF418" i="54" s="1"/>
  <c r="Z378" i="54"/>
  <c r="AF378" i="54" s="1"/>
  <c r="Z338" i="54"/>
  <c r="AF338" i="54" s="1"/>
  <c r="Z738" i="54"/>
  <c r="AF738" i="54" s="1"/>
  <c r="Z698" i="54"/>
  <c r="AF698" i="54" s="1"/>
  <c r="Z676" i="54"/>
  <c r="AF676" i="54" s="1"/>
  <c r="AJ676" i="54" s="1"/>
  <c r="AB683" i="54"/>
  <c r="AG683" i="54" s="1"/>
  <c r="Z563" i="54"/>
  <c r="AF563" i="54" s="1"/>
  <c r="Z562" i="54"/>
  <c r="AF562" i="54" s="1"/>
  <c r="Z520" i="54"/>
  <c r="AF520" i="54" s="1"/>
  <c r="Z540" i="54"/>
  <c r="AF540" i="54" s="1"/>
  <c r="Z420" i="54"/>
  <c r="AF420" i="54" s="1"/>
  <c r="Z559" i="54"/>
  <c r="AF559" i="54" s="1"/>
  <c r="Z359" i="54"/>
  <c r="AF359" i="54" s="1"/>
  <c r="Z558" i="54"/>
  <c r="AF558" i="54" s="1"/>
  <c r="Z458" i="54"/>
  <c r="AF458" i="54" s="1"/>
  <c r="Z678" i="54"/>
  <c r="AF678" i="54" s="1"/>
  <c r="Z556" i="54"/>
  <c r="AF556" i="54" s="1"/>
  <c r="Z616" i="54"/>
  <c r="AF616" i="54" s="1"/>
  <c r="Z456" i="54"/>
  <c r="AF456" i="54" s="1"/>
  <c r="Z516" i="54"/>
  <c r="AF516" i="54" s="1"/>
  <c r="Z416" i="54"/>
  <c r="AF416" i="54" s="1"/>
  <c r="Z376" i="54"/>
  <c r="AF376" i="54" s="1"/>
  <c r="Z336" i="54"/>
  <c r="AF336" i="54" s="1"/>
  <c r="Z736" i="54"/>
  <c r="AF736" i="54" s="1"/>
  <c r="Z716" i="54"/>
  <c r="AF716" i="54" s="1"/>
  <c r="AB635" i="54"/>
  <c r="AG635" i="54" s="1"/>
  <c r="Z535" i="54"/>
  <c r="AF535" i="54" s="1"/>
  <c r="AB363" i="54"/>
  <c r="AG363" i="54" s="1"/>
  <c r="Z422" i="54"/>
  <c r="AF422" i="54" s="1"/>
  <c r="AB559" i="54"/>
  <c r="AG559" i="54" s="1"/>
  <c r="Z398" i="54"/>
  <c r="AF398" i="54" s="1"/>
  <c r="Z656" i="54"/>
  <c r="AF656" i="54" s="1"/>
  <c r="AB475" i="54"/>
  <c r="AG475" i="54" s="1"/>
  <c r="AB595" i="54"/>
  <c r="AG595" i="54" s="1"/>
  <c r="AB575" i="54"/>
  <c r="AG575" i="54" s="1"/>
  <c r="AB335" i="54"/>
  <c r="AG335" i="54" s="1"/>
  <c r="AB715" i="54"/>
  <c r="AG715" i="54" s="1"/>
  <c r="Z515" i="54"/>
  <c r="AF515" i="54" s="1"/>
  <c r="Z575" i="54"/>
  <c r="AF575" i="54" s="1"/>
  <c r="Z635" i="54"/>
  <c r="AF635" i="54" s="1"/>
  <c r="Z534" i="54"/>
  <c r="AF534" i="54" s="1"/>
  <c r="Z454" i="54"/>
  <c r="AF454" i="54" s="1"/>
  <c r="Z592" i="54"/>
  <c r="AF592" i="54" s="1"/>
  <c r="AJ592" i="54" s="1"/>
  <c r="Z552" i="54"/>
  <c r="AF552" i="54" s="1"/>
  <c r="Z392" i="54"/>
  <c r="AF392" i="54" s="1"/>
  <c r="Z352" i="54"/>
  <c r="AF352" i="54" s="1"/>
  <c r="Z752" i="54"/>
  <c r="AF752" i="54" s="1"/>
  <c r="Z712" i="54"/>
  <c r="AF712" i="54" s="1"/>
  <c r="Z672" i="54"/>
  <c r="AF672" i="54" s="1"/>
  <c r="Z632" i="54"/>
  <c r="AF632" i="54" s="1"/>
  <c r="Z572" i="54"/>
  <c r="AF572" i="54" s="1"/>
  <c r="Z531" i="54"/>
  <c r="AF531" i="54" s="1"/>
  <c r="Z431" i="54"/>
  <c r="AF431" i="54" s="1"/>
  <c r="Z511" i="54"/>
  <c r="AF511" i="54" s="1"/>
  <c r="Z411" i="54"/>
  <c r="AF411" i="54" s="1"/>
  <c r="Z371" i="54"/>
  <c r="AF371" i="54" s="1"/>
  <c r="Z331" i="54"/>
  <c r="AF331" i="54" s="1"/>
  <c r="Z731" i="54"/>
  <c r="AF731" i="54" s="1"/>
  <c r="Z691" i="54"/>
  <c r="AF691" i="54" s="1"/>
  <c r="Z651" i="54"/>
  <c r="AF651" i="54" s="1"/>
  <c r="Z611" i="54"/>
  <c r="AF611" i="54" s="1"/>
  <c r="Z362" i="54"/>
  <c r="AF362" i="54" s="1"/>
  <c r="AB499" i="54"/>
  <c r="AG499" i="54" s="1"/>
  <c r="Z578" i="54"/>
  <c r="AF578" i="54" s="1"/>
  <c r="Z478" i="54"/>
  <c r="AF478" i="54" s="1"/>
  <c r="Z358" i="54"/>
  <c r="AF358" i="54" s="1"/>
  <c r="Z496" i="54"/>
  <c r="AF496" i="54" s="1"/>
  <c r="AB655" i="54"/>
  <c r="AG655" i="54" s="1"/>
  <c r="AK655" i="54" s="1"/>
  <c r="AB535" i="54"/>
  <c r="AG535" i="54" s="1"/>
  <c r="AB515" i="54"/>
  <c r="AG515" i="54" s="1"/>
  <c r="AB375" i="54"/>
  <c r="AG375" i="54" s="1"/>
  <c r="AB755" i="54"/>
  <c r="AG755" i="54" s="1"/>
  <c r="Z475" i="54"/>
  <c r="AF475" i="54" s="1"/>
  <c r="Z555" i="54"/>
  <c r="AF555" i="54" s="1"/>
  <c r="Z655" i="54"/>
  <c r="AF655" i="54" s="1"/>
  <c r="AJ655" i="54" s="1"/>
  <c r="Z395" i="54"/>
  <c r="AF395" i="54" s="1"/>
  <c r="Z355" i="54"/>
  <c r="AF355" i="54" s="1"/>
  <c r="Z755" i="54"/>
  <c r="AF755" i="54" s="1"/>
  <c r="Z715" i="54"/>
  <c r="AF715" i="54" s="1"/>
  <c r="Z675" i="54"/>
  <c r="AF675" i="54" s="1"/>
  <c r="Z514" i="54"/>
  <c r="AF514" i="54" s="1"/>
  <c r="Z494" i="54"/>
  <c r="AF494" i="54" s="1"/>
  <c r="Z474" i="54"/>
  <c r="AF474" i="54" s="1"/>
  <c r="Z414" i="54"/>
  <c r="AF414" i="54" s="1"/>
  <c r="Z374" i="54"/>
  <c r="AF374" i="54" s="1"/>
  <c r="Z334" i="54"/>
  <c r="AF334" i="54" s="1"/>
  <c r="Z734" i="54"/>
  <c r="AF734" i="54" s="1"/>
  <c r="Z694" i="54"/>
  <c r="AF694" i="54" s="1"/>
  <c r="Z654" i="54"/>
  <c r="AF654" i="54" s="1"/>
  <c r="Z614" i="54"/>
  <c r="AF614" i="54" s="1"/>
  <c r="Z432" i="54"/>
  <c r="AF432" i="54" s="1"/>
  <c r="AB471" i="54"/>
  <c r="AG471" i="54" s="1"/>
  <c r="AB491" i="54"/>
  <c r="AG491" i="54" s="1"/>
  <c r="AB451" i="54"/>
  <c r="AG451" i="54" s="1"/>
  <c r="AB411" i="54"/>
  <c r="AG411" i="54" s="1"/>
  <c r="AB371" i="54"/>
  <c r="AG371" i="54" s="1"/>
  <c r="AB331" i="54"/>
  <c r="AG331" i="54" s="1"/>
  <c r="AB731" i="54"/>
  <c r="AG731" i="54" s="1"/>
  <c r="AB691" i="54"/>
  <c r="AG691" i="54" s="1"/>
  <c r="AB651" i="54"/>
  <c r="AG651" i="54" s="1"/>
  <c r="AB611" i="54"/>
  <c r="AG611" i="54" s="1"/>
  <c r="Z571" i="54"/>
  <c r="AF571" i="54" s="1"/>
  <c r="AJ571" i="54" s="1"/>
  <c r="AB659" i="54"/>
  <c r="AG659" i="54" s="1"/>
  <c r="AB539" i="54"/>
  <c r="AG539" i="54" s="1"/>
  <c r="Z539" i="54"/>
  <c r="AF539" i="54" s="1"/>
  <c r="Z758" i="54"/>
  <c r="AF758" i="54" s="1"/>
  <c r="AB495" i="54"/>
  <c r="AG495" i="54" s="1"/>
  <c r="AB455" i="54"/>
  <c r="AG455" i="54" s="1"/>
  <c r="AB415" i="54"/>
  <c r="AG415" i="54" s="1"/>
  <c r="AB355" i="54"/>
  <c r="AG355" i="54" s="1"/>
  <c r="AB675" i="54"/>
  <c r="AG675" i="54" s="1"/>
  <c r="Z455" i="54"/>
  <c r="AF455" i="54" s="1"/>
  <c r="Z595" i="54"/>
  <c r="AF595" i="54" s="1"/>
  <c r="Z435" i="54"/>
  <c r="AF435" i="54" s="1"/>
  <c r="Z495" i="54"/>
  <c r="AF495" i="54" s="1"/>
  <c r="Z492" i="54"/>
  <c r="AF492" i="54" s="1"/>
  <c r="Z472" i="54"/>
  <c r="AF472" i="54" s="1"/>
  <c r="Z532" i="54"/>
  <c r="AF532" i="54" s="1"/>
  <c r="Z412" i="54"/>
  <c r="AF412" i="54" s="1"/>
  <c r="Z372" i="54"/>
  <c r="AF372" i="54" s="1"/>
  <c r="Z332" i="54"/>
  <c r="AF332" i="54" s="1"/>
  <c r="Z732" i="54"/>
  <c r="AF732" i="54" s="1"/>
  <c r="Z692" i="54"/>
  <c r="AF692" i="54" s="1"/>
  <c r="Z652" i="54"/>
  <c r="AF652" i="54" s="1"/>
  <c r="Z612" i="54"/>
  <c r="AF612" i="54" s="1"/>
  <c r="AB551" i="54"/>
  <c r="AG551" i="54" s="1"/>
  <c r="Z451" i="54"/>
  <c r="AF451" i="54" s="1"/>
  <c r="Z491" i="54"/>
  <c r="AF491" i="54" s="1"/>
  <c r="Z471" i="54"/>
  <c r="AF471" i="54" s="1"/>
  <c r="Z391" i="54"/>
  <c r="AF391" i="54" s="1"/>
  <c r="Z351" i="54"/>
  <c r="AF351" i="54" s="1"/>
  <c r="Z751" i="54"/>
  <c r="AF751" i="54" s="1"/>
  <c r="Z711" i="54"/>
  <c r="AF711" i="54" s="1"/>
  <c r="Z671" i="54"/>
  <c r="AF671" i="54" s="1"/>
  <c r="Z631" i="54"/>
  <c r="AF631" i="54" s="1"/>
  <c r="Z591" i="54"/>
  <c r="AF591" i="54" s="1"/>
  <c r="AB419" i="54"/>
  <c r="AG419" i="54" s="1"/>
  <c r="Z638" i="54"/>
  <c r="AF638" i="54" s="1"/>
  <c r="AB615" i="54"/>
  <c r="AG615" i="54" s="1"/>
  <c r="Z615" i="54"/>
  <c r="AF615" i="54" s="1"/>
  <c r="Z415" i="54"/>
  <c r="AF415" i="54" s="1"/>
  <c r="Z695" i="54"/>
  <c r="AF695" i="54" s="1"/>
  <c r="Z554" i="54"/>
  <c r="AF554" i="54" s="1"/>
  <c r="Z354" i="54"/>
  <c r="AF354" i="54" s="1"/>
  <c r="AB571" i="54"/>
  <c r="AG571" i="54" s="1"/>
  <c r="AK571" i="54" s="1"/>
  <c r="AB391" i="54"/>
  <c r="AG391" i="54" s="1"/>
  <c r="AB671" i="54"/>
  <c r="AG671" i="54" s="1"/>
  <c r="Z551" i="54"/>
  <c r="AF551" i="54" s="1"/>
  <c r="Z450" i="54"/>
  <c r="AF450" i="54" s="1"/>
  <c r="Z430" i="54"/>
  <c r="AF430" i="54" s="1"/>
  <c r="Z390" i="54"/>
  <c r="AF390" i="54" s="1"/>
  <c r="Z350" i="54"/>
  <c r="AF350" i="54" s="1"/>
  <c r="Z750" i="54"/>
  <c r="AF750" i="54" s="1"/>
  <c r="Z710" i="54"/>
  <c r="AF710" i="54" s="1"/>
  <c r="Z670" i="54"/>
  <c r="AF670" i="54" s="1"/>
  <c r="Z630" i="54"/>
  <c r="AF630" i="54" s="1"/>
  <c r="Z570" i="54"/>
  <c r="AF570" i="54" s="1"/>
  <c r="Z508" i="54"/>
  <c r="AF508" i="54" s="1"/>
  <c r="AJ508" i="54" s="1"/>
  <c r="Z408" i="54"/>
  <c r="AF408" i="54" s="1"/>
  <c r="Z368" i="54"/>
  <c r="AF368" i="54" s="1"/>
  <c r="Z328" i="54"/>
  <c r="AF328" i="54" s="1"/>
  <c r="Z728" i="54"/>
  <c r="AF728" i="54" s="1"/>
  <c r="Z688" i="54"/>
  <c r="AF688" i="54" s="1"/>
  <c r="Z648" i="54"/>
  <c r="AF648" i="54" s="1"/>
  <c r="Z608" i="54"/>
  <c r="AF608" i="54" s="1"/>
  <c r="Z568" i="54"/>
  <c r="AF568" i="54" s="1"/>
  <c r="Z528" i="54"/>
  <c r="AF528" i="54" s="1"/>
  <c r="Z487" i="54"/>
  <c r="AF487" i="54" s="1"/>
  <c r="AJ487" i="54" s="1"/>
  <c r="AB759" i="54"/>
  <c r="AG759" i="54" s="1"/>
  <c r="Z618" i="54"/>
  <c r="AF618" i="54" s="1"/>
  <c r="Z696" i="54"/>
  <c r="AF696" i="54" s="1"/>
  <c r="AB735" i="54"/>
  <c r="AG735" i="54" s="1"/>
  <c r="Z375" i="54"/>
  <c r="AF375" i="54" s="1"/>
  <c r="Z574" i="54"/>
  <c r="AF574" i="54" s="1"/>
  <c r="Z434" i="54"/>
  <c r="AF434" i="54" s="1"/>
  <c r="Z754" i="54"/>
  <c r="AF754" i="54" s="1"/>
  <c r="AB511" i="54"/>
  <c r="AG511" i="54" s="1"/>
  <c r="AB351" i="54"/>
  <c r="AG351" i="54" s="1"/>
  <c r="AB631" i="54"/>
  <c r="AG631" i="54" s="1"/>
  <c r="Z490" i="54"/>
  <c r="AF490" i="54" s="1"/>
  <c r="Z550" i="54"/>
  <c r="AF550" i="54" s="1"/>
  <c r="AJ550" i="54" s="1"/>
  <c r="AB427" i="54"/>
  <c r="AG427" i="54" s="1"/>
  <c r="AB407" i="54"/>
  <c r="AG407" i="54" s="1"/>
  <c r="AB367" i="54"/>
  <c r="AG367" i="54" s="1"/>
  <c r="AB327" i="54"/>
  <c r="AG327" i="54" s="1"/>
  <c r="AB727" i="54"/>
  <c r="AG727" i="54" s="1"/>
  <c r="AB687" i="54"/>
  <c r="AG687" i="54" s="1"/>
  <c r="AB647" i="54"/>
  <c r="AG647" i="54" s="1"/>
  <c r="AB607" i="54"/>
  <c r="AG607" i="54" s="1"/>
  <c r="AB567" i="54"/>
  <c r="AG567" i="54" s="1"/>
  <c r="AB507" i="54"/>
  <c r="AG507" i="54" s="1"/>
  <c r="Z407" i="54"/>
  <c r="AF407" i="54" s="1"/>
  <c r="Z367" i="54"/>
  <c r="AF367" i="54" s="1"/>
  <c r="Z327" i="54"/>
  <c r="AF327" i="54" s="1"/>
  <c r="Z727" i="54"/>
  <c r="AF727" i="54" s="1"/>
  <c r="Z687" i="54"/>
  <c r="AF687" i="54" s="1"/>
  <c r="Z647" i="54"/>
  <c r="AF647" i="54" s="1"/>
  <c r="Z607" i="54"/>
  <c r="AF607" i="54" s="1"/>
  <c r="Z567" i="54"/>
  <c r="AF567" i="54" s="1"/>
  <c r="AB435" i="54"/>
  <c r="AG435" i="54" s="1"/>
  <c r="AB695" i="54"/>
  <c r="AG695" i="54" s="1"/>
  <c r="Z335" i="54"/>
  <c r="AF335" i="54" s="1"/>
  <c r="Z594" i="54"/>
  <c r="AF594" i="54" s="1"/>
  <c r="Z634" i="54"/>
  <c r="AF634" i="54" s="1"/>
  <c r="AJ634" i="54" s="1"/>
  <c r="Z714" i="54"/>
  <c r="AF714" i="54" s="1"/>
  <c r="Z452" i="54"/>
  <c r="AF452" i="54" s="1"/>
  <c r="AB531" i="54"/>
  <c r="AG531" i="54" s="1"/>
  <c r="AB751" i="54"/>
  <c r="AG751" i="54" s="1"/>
  <c r="AB591" i="54"/>
  <c r="AG591" i="54" s="1"/>
  <c r="Z470" i="54"/>
  <c r="AF470" i="54" s="1"/>
  <c r="Z410" i="54"/>
  <c r="AF410" i="54" s="1"/>
  <c r="Z370" i="54"/>
  <c r="AF370" i="54" s="1"/>
  <c r="Z330" i="54"/>
  <c r="AF330" i="54" s="1"/>
  <c r="Z730" i="54"/>
  <c r="AF730" i="54" s="1"/>
  <c r="Z690" i="54"/>
  <c r="AF690" i="54" s="1"/>
  <c r="Z650" i="54"/>
  <c r="AF650" i="54" s="1"/>
  <c r="Z610" i="54"/>
  <c r="AF610" i="54" s="1"/>
  <c r="Z590" i="54"/>
  <c r="AF590" i="54" s="1"/>
  <c r="Z530" i="54"/>
  <c r="AF530" i="54" s="1"/>
  <c r="Z428" i="54"/>
  <c r="AF428" i="54" s="1"/>
  <c r="Z388" i="54"/>
  <c r="AF388" i="54" s="1"/>
  <c r="Z348" i="54"/>
  <c r="AF348" i="54" s="1"/>
  <c r="Z748" i="54"/>
  <c r="AF748" i="54" s="1"/>
  <c r="Z708" i="54"/>
  <c r="AF708" i="54" s="1"/>
  <c r="Z668" i="54"/>
  <c r="AF668" i="54" s="1"/>
  <c r="Z628" i="54"/>
  <c r="AF628" i="54" s="1"/>
  <c r="Z588" i="54"/>
  <c r="AF588" i="54" s="1"/>
  <c r="Z548" i="54"/>
  <c r="AF548" i="54" s="1"/>
  <c r="Z488" i="54"/>
  <c r="AF488" i="54" s="1"/>
  <c r="AB395" i="54"/>
  <c r="AG395" i="54" s="1"/>
  <c r="Z394" i="54"/>
  <c r="AF394" i="54" s="1"/>
  <c r="AB431" i="54"/>
  <c r="AG431" i="54" s="1"/>
  <c r="Z448" i="54"/>
  <c r="AF448" i="54" s="1"/>
  <c r="AB467" i="54"/>
  <c r="AG467" i="54" s="1"/>
  <c r="AK467" i="54" s="1"/>
  <c r="Z747" i="54"/>
  <c r="AF747" i="54" s="1"/>
  <c r="Z587" i="54"/>
  <c r="AF587" i="54" s="1"/>
  <c r="Z721" i="54"/>
  <c r="AF721" i="54" s="1"/>
  <c r="Z421" i="54"/>
  <c r="AF421" i="54" s="1"/>
  <c r="Z541" i="54"/>
  <c r="AF541" i="54" s="1"/>
  <c r="Z521" i="54"/>
  <c r="AF521" i="54" s="1"/>
  <c r="Z741" i="54"/>
  <c r="AF741" i="54" s="1"/>
  <c r="Z401" i="54"/>
  <c r="AF401" i="54" s="1"/>
  <c r="Z617" i="54"/>
  <c r="AF617" i="54" s="1"/>
  <c r="Z517" i="54"/>
  <c r="AF517" i="54" s="1"/>
  <c r="Z697" i="54"/>
  <c r="AF697" i="54" s="1"/>
  <c r="AJ697" i="54" s="1"/>
  <c r="AJ698" i="54" s="1"/>
  <c r="Z437" i="54"/>
  <c r="AF437" i="54" s="1"/>
  <c r="Z417" i="54"/>
  <c r="AF417" i="54" s="1"/>
  <c r="Z377" i="54"/>
  <c r="AF377" i="54" s="1"/>
  <c r="Z337" i="54"/>
  <c r="AF337" i="54" s="1"/>
  <c r="Z737" i="54"/>
  <c r="AF737" i="54" s="1"/>
  <c r="AB642" i="54"/>
  <c r="AG642" i="54" s="1"/>
  <c r="AB442" i="54"/>
  <c r="AG442" i="54" s="1"/>
  <c r="AB462" i="54"/>
  <c r="AG462" i="54" s="1"/>
  <c r="AB562" i="54"/>
  <c r="AG562" i="54" s="1"/>
  <c r="AB762" i="54"/>
  <c r="AG762" i="54" s="1"/>
  <c r="AB662" i="54"/>
  <c r="AG662" i="54" s="1"/>
  <c r="AB602" i="54"/>
  <c r="AG602" i="54" s="1"/>
  <c r="AB742" i="54"/>
  <c r="AG742" i="54" s="1"/>
  <c r="AB482" i="54"/>
  <c r="AG482" i="54" s="1"/>
  <c r="AB682" i="54"/>
  <c r="AG682" i="54" s="1"/>
  <c r="Z674" i="54"/>
  <c r="AF674" i="54" s="1"/>
  <c r="AB711" i="54"/>
  <c r="AG711" i="54" s="1"/>
  <c r="Z510" i="54"/>
  <c r="AF510" i="54" s="1"/>
  <c r="AB487" i="54"/>
  <c r="AG487" i="54" s="1"/>
  <c r="AK487" i="54" s="1"/>
  <c r="AB347" i="54"/>
  <c r="AG347" i="54" s="1"/>
  <c r="AB707" i="54"/>
  <c r="AG707" i="54" s="1"/>
  <c r="AB627" i="54"/>
  <c r="AG627" i="54" s="1"/>
  <c r="AB547" i="54"/>
  <c r="AG547" i="54" s="1"/>
  <c r="Z347" i="54"/>
  <c r="AF347" i="54" s="1"/>
  <c r="Z627" i="54"/>
  <c r="AF627" i="54" s="1"/>
  <c r="Z527" i="54"/>
  <c r="AF527" i="54" s="1"/>
  <c r="Z661" i="54"/>
  <c r="AF661" i="54" s="1"/>
  <c r="Z641" i="54"/>
  <c r="AF641" i="54" s="1"/>
  <c r="Z461" i="54"/>
  <c r="AF461" i="54" s="1"/>
  <c r="Z557" i="54"/>
  <c r="AF557" i="54" s="1"/>
  <c r="Z537" i="54"/>
  <c r="AF537" i="54" s="1"/>
  <c r="AB553" i="54"/>
  <c r="AG553" i="54" s="1"/>
  <c r="AB573" i="54"/>
  <c r="AG573" i="54" s="1"/>
  <c r="AB453" i="54"/>
  <c r="AG453" i="54" s="1"/>
  <c r="AB613" i="54"/>
  <c r="AG613" i="54" s="1"/>
  <c r="AK613" i="54" s="1"/>
  <c r="AB493" i="54"/>
  <c r="AG493" i="54" s="1"/>
  <c r="AB393" i="54"/>
  <c r="AG393" i="54" s="1"/>
  <c r="AB353" i="54"/>
  <c r="AG353" i="54" s="1"/>
  <c r="AB753" i="54"/>
  <c r="AG753" i="54" s="1"/>
  <c r="AB713" i="54"/>
  <c r="AG713" i="54" s="1"/>
  <c r="AB673" i="54"/>
  <c r="AG673" i="54" s="1"/>
  <c r="AB633" i="54"/>
  <c r="AG633" i="54" s="1"/>
  <c r="AB593" i="54"/>
  <c r="AG593" i="54" s="1"/>
  <c r="Z449" i="54"/>
  <c r="AF449" i="54" s="1"/>
  <c r="Z429" i="54"/>
  <c r="AF429" i="54" s="1"/>
  <c r="Z469" i="54"/>
  <c r="AF469" i="54" s="1"/>
  <c r="Z389" i="54"/>
  <c r="AF389" i="54" s="1"/>
  <c r="Z349" i="54"/>
  <c r="AF349" i="54" s="1"/>
  <c r="Z749" i="54"/>
  <c r="AF749" i="54" s="1"/>
  <c r="Z709" i="54"/>
  <c r="AF709" i="54" s="1"/>
  <c r="Z669" i="54"/>
  <c r="AF669" i="54" s="1"/>
  <c r="Z629" i="54"/>
  <c r="AF629" i="54" s="1"/>
  <c r="Z589" i="54"/>
  <c r="AF589" i="54" s="1"/>
  <c r="Z549" i="54"/>
  <c r="AF549" i="54" s="1"/>
  <c r="Z735" i="54"/>
  <c r="AF735" i="54" s="1"/>
  <c r="Z512" i="54"/>
  <c r="AF512" i="54" s="1"/>
  <c r="AB447" i="54"/>
  <c r="AG447" i="54" s="1"/>
  <c r="AB747" i="54"/>
  <c r="AG747" i="54" s="1"/>
  <c r="Z387" i="54"/>
  <c r="AF387" i="54" s="1"/>
  <c r="Z581" i="54"/>
  <c r="AF581" i="54" s="1"/>
  <c r="Z361" i="54"/>
  <c r="AF361" i="54" s="1"/>
  <c r="AJ361" i="54" s="1"/>
  <c r="Z381" i="54"/>
  <c r="AF381" i="54" s="1"/>
  <c r="AB555" i="54"/>
  <c r="AG555" i="54" s="1"/>
  <c r="AB667" i="54"/>
  <c r="AG667" i="54" s="1"/>
  <c r="AB527" i="54"/>
  <c r="AG527" i="54" s="1"/>
  <c r="Z707" i="54"/>
  <c r="AF707" i="54" s="1"/>
  <c r="Z507" i="54"/>
  <c r="AF507" i="54" s="1"/>
  <c r="Z621" i="54"/>
  <c r="AF621" i="54" s="1"/>
  <c r="Z501" i="54"/>
  <c r="AF501" i="54" s="1"/>
  <c r="Z597" i="54"/>
  <c r="AF597" i="54" s="1"/>
  <c r="Z457" i="54"/>
  <c r="AF457" i="54" s="1"/>
  <c r="Z677" i="54"/>
  <c r="AF677" i="54" s="1"/>
  <c r="Z529" i="54"/>
  <c r="AF529" i="54" s="1"/>
  <c r="AJ529" i="54" s="1"/>
  <c r="Z409" i="54"/>
  <c r="AF409" i="54" s="1"/>
  <c r="Z329" i="54"/>
  <c r="AF329" i="54" s="1"/>
  <c r="Z689" i="54"/>
  <c r="AF689" i="54" s="1"/>
  <c r="Z609" i="54"/>
  <c r="AF609" i="54" s="1"/>
  <c r="Z427" i="54"/>
  <c r="AF427" i="54" s="1"/>
  <c r="Z667" i="54"/>
  <c r="AF667" i="54" s="1"/>
  <c r="Z467" i="54"/>
  <c r="AF467" i="54" s="1"/>
  <c r="AJ467" i="54" s="1"/>
  <c r="Z681" i="54"/>
  <c r="AF681" i="54" s="1"/>
  <c r="Z441" i="54"/>
  <c r="AF441" i="54" s="1"/>
  <c r="Z561" i="54"/>
  <c r="AF561" i="54" s="1"/>
  <c r="Z481" i="54"/>
  <c r="AF481" i="54" s="1"/>
  <c r="Z497" i="54"/>
  <c r="AF497" i="54" s="1"/>
  <c r="Z577" i="54"/>
  <c r="AF577" i="54" s="1"/>
  <c r="Z357" i="54"/>
  <c r="AF357" i="54" s="1"/>
  <c r="Z757" i="54"/>
  <c r="AF757" i="54" s="1"/>
  <c r="AB533" i="54"/>
  <c r="AG533" i="54" s="1"/>
  <c r="AB513" i="54"/>
  <c r="AG513" i="54" s="1"/>
  <c r="AB373" i="54"/>
  <c r="AG373" i="54" s="1"/>
  <c r="AB733" i="54"/>
  <c r="AG733" i="54" s="1"/>
  <c r="AB653" i="54"/>
  <c r="AG653" i="54" s="1"/>
  <c r="AB582" i="54"/>
  <c r="AG582" i="54" s="1"/>
  <c r="AB522" i="54"/>
  <c r="AG522" i="54" s="1"/>
  <c r="AB622" i="54"/>
  <c r="AG622" i="54" s="1"/>
  <c r="AB722" i="54"/>
  <c r="AG722" i="54" s="1"/>
  <c r="AB382" i="54"/>
  <c r="AG382" i="54" s="1"/>
  <c r="AK382" i="54" s="1"/>
  <c r="AB342" i="54"/>
  <c r="AG342" i="54" s="1"/>
  <c r="AB558" i="54"/>
  <c r="AG558" i="54" s="1"/>
  <c r="AB618" i="54"/>
  <c r="AG618" i="54" s="1"/>
  <c r="AB518" i="54"/>
  <c r="AG518" i="54" s="1"/>
  <c r="AB678" i="54"/>
  <c r="AG678" i="54" s="1"/>
  <c r="AB378" i="54"/>
  <c r="AG378" i="54" s="1"/>
  <c r="AB587" i="54"/>
  <c r="AG587" i="54" s="1"/>
  <c r="Z341" i="54"/>
  <c r="AF341" i="54" s="1"/>
  <c r="Z657" i="54"/>
  <c r="AF657" i="54" s="1"/>
  <c r="Z729" i="54"/>
  <c r="AF729" i="54" s="1"/>
  <c r="Z569" i="54"/>
  <c r="AF569" i="54" s="1"/>
  <c r="AB402" i="54"/>
  <c r="AG402" i="54" s="1"/>
  <c r="AB638" i="54"/>
  <c r="AG638" i="54" s="1"/>
  <c r="AB458" i="54"/>
  <c r="AG458" i="54" s="1"/>
  <c r="AB438" i="54"/>
  <c r="AG438" i="54" s="1"/>
  <c r="AB338" i="54"/>
  <c r="AG338" i="54" s="1"/>
  <c r="AB698" i="54"/>
  <c r="AG698" i="54" s="1"/>
  <c r="AB514" i="54"/>
  <c r="AG514" i="54" s="1"/>
  <c r="AB574" i="54"/>
  <c r="AG574" i="54" s="1"/>
  <c r="AB534" i="54"/>
  <c r="AG534" i="54" s="1"/>
  <c r="AB474" i="54"/>
  <c r="AG474" i="54" s="1"/>
  <c r="AB634" i="54"/>
  <c r="AG634" i="54" s="1"/>
  <c r="AK634" i="54" s="1"/>
  <c r="AB394" i="54"/>
  <c r="AG394" i="54" s="1"/>
  <c r="AB354" i="54"/>
  <c r="AG354" i="54" s="1"/>
  <c r="AB754" i="54"/>
  <c r="AG754" i="54" s="1"/>
  <c r="AB714" i="54"/>
  <c r="AG714" i="54" s="1"/>
  <c r="AB654" i="54"/>
  <c r="AG654" i="54" s="1"/>
  <c r="Z513" i="54"/>
  <c r="AF513" i="54" s="1"/>
  <c r="Z573" i="54"/>
  <c r="AF573" i="54" s="1"/>
  <c r="Z433" i="54"/>
  <c r="AF433" i="54" s="1"/>
  <c r="Z393" i="54"/>
  <c r="AF393" i="54" s="1"/>
  <c r="Z353" i="54"/>
  <c r="AF353" i="54" s="1"/>
  <c r="Z593" i="54"/>
  <c r="AF593" i="54" s="1"/>
  <c r="AB761" i="54"/>
  <c r="AG761" i="54" s="1"/>
  <c r="AB497" i="54"/>
  <c r="AG497" 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4"/>
  <c r="AG657" i="54" s="1"/>
  <c r="AB557" i="54"/>
  <c r="AG557" i="54" s="1"/>
  <c r="AB397" i="54"/>
  <c r="AG397" i="54" s="1"/>
  <c r="AB357" i="54"/>
  <c r="AG357" i="54" s="1"/>
  <c r="AB509" i="54"/>
  <c r="AG509" i="54" s="1"/>
  <c r="Z468" i="54"/>
  <c r="AF468" i="54" s="1"/>
  <c r="Z637" i="54"/>
  <c r="AF637" i="54" s="1"/>
  <c r="AB433" i="54"/>
  <c r="AG433" i="54" s="1"/>
  <c r="AB333" i="54"/>
  <c r="AG333" i="54" s="1"/>
  <c r="Z509" i="54"/>
  <c r="AF509" i="54" s="1"/>
  <c r="AB422" i="54"/>
  <c r="AG422" i="54" s="1"/>
  <c r="AB538" i="54"/>
  <c r="AG538" i="54" s="1"/>
  <c r="AB658" i="54"/>
  <c r="AG658" i="54" s="1"/>
  <c r="AB398" i="54"/>
  <c r="AG398" i="54" s="1"/>
  <c r="AB738" i="54"/>
  <c r="AG738" i="54" s="1"/>
  <c r="Z553" i="54"/>
  <c r="AF553" i="54" s="1"/>
  <c r="Z333" i="54"/>
  <c r="AF333" i="54" s="1"/>
  <c r="Z733" i="54"/>
  <c r="AF733" i="54" s="1"/>
  <c r="Z693" i="54"/>
  <c r="AF693" i="54" s="1"/>
  <c r="Z633" i="54"/>
  <c r="AF633" i="54" s="1"/>
  <c r="AB550" i="54"/>
  <c r="AG550" i="54" s="1"/>
  <c r="AK550" i="54" s="1"/>
  <c r="AB510" i="54"/>
  <c r="AG510" i="54" s="1"/>
  <c r="AB470" i="54"/>
  <c r="AG470" i="54" s="1"/>
  <c r="AB410" i="54"/>
  <c r="AG410" i="54" s="1"/>
  <c r="AB370" i="54"/>
  <c r="AG370" i="54" s="1"/>
  <c r="AB330" i="54"/>
  <c r="AG330" i="54" s="1"/>
  <c r="AB730" i="54"/>
  <c r="AG730" i="54" s="1"/>
  <c r="AB690" i="54"/>
  <c r="AG690" i="54" s="1"/>
  <c r="AB650" i="54"/>
  <c r="AG650" i="54" s="1"/>
  <c r="AB610" i="54"/>
  <c r="AG610" i="54" s="1"/>
  <c r="AB570" i="54"/>
  <c r="AG570" i="54" s="1"/>
  <c r="AB530" i="54"/>
  <c r="AG530" i="54" s="1"/>
  <c r="AB641" i="54"/>
  <c r="AG641" i="54" s="1"/>
  <c r="AB361" i="54"/>
  <c r="AG361" i="54" s="1"/>
  <c r="AK361" i="54" s="1"/>
  <c r="AB461" i="54"/>
  <c r="AG461" i="54" s="1"/>
  <c r="AB621" i="54"/>
  <c r="AG621" i="54" s="1"/>
  <c r="AB661" i="54"/>
  <c r="AG661" i="54" s="1"/>
  <c r="AB441" i="54"/>
  <c r="AG441" i="54" s="1"/>
  <c r="AB481" i="54"/>
  <c r="AG481" i="54" s="1"/>
  <c r="AB601" i="54"/>
  <c r="AG601" i="54" s="1"/>
  <c r="AB721" i="54"/>
  <c r="AG721" i="54" s="1"/>
  <c r="AB401" i="54"/>
  <c r="AG401" i="54" s="1"/>
  <c r="AB757" i="54"/>
  <c r="AG757" i="54" s="1"/>
  <c r="AB717" i="54"/>
  <c r="AG717" i="54" s="1"/>
  <c r="AB429" i="54"/>
  <c r="AG429" i="54" s="1"/>
  <c r="AB529" i="54"/>
  <c r="AG529" i="54" s="1"/>
  <c r="AK529" i="54" s="1"/>
  <c r="AB409" i="54"/>
  <c r="AG409" i="54" s="1"/>
  <c r="AB369" i="54"/>
  <c r="AG369" i="54" s="1"/>
  <c r="AB329" i="54"/>
  <c r="AG329" i="54" s="1"/>
  <c r="AB729" i="54"/>
  <c r="AG729" i="54" s="1"/>
  <c r="AB689" i="54"/>
  <c r="AG689" i="54" s="1"/>
  <c r="AB649" i="54"/>
  <c r="AG649" i="54" s="1"/>
  <c r="AB609" i="54"/>
  <c r="AG609" i="54" s="1"/>
  <c r="AB569" i="54"/>
  <c r="AG569" i="54" s="1"/>
  <c r="Z547" i="54"/>
  <c r="AF547" i="54" s="1"/>
  <c r="Z601" i="54"/>
  <c r="AF601" i="54" s="1"/>
  <c r="Z489" i="54"/>
  <c r="AF489" i="54" s="1"/>
  <c r="Z369" i="54"/>
  <c r="AF369" i="54" s="1"/>
  <c r="Z649" i="54"/>
  <c r="AF649" i="54" s="1"/>
  <c r="AB502" i="54"/>
  <c r="AG502" i="54" s="1"/>
  <c r="AB362" i="54"/>
  <c r="AG362" i="54" s="1"/>
  <c r="AB598" i="54"/>
  <c r="AG598" i="54" s="1"/>
  <c r="AB478" i="54"/>
  <c r="AG478" i="54" s="1"/>
  <c r="AB578" i="54"/>
  <c r="AG578" i="54" s="1"/>
  <c r="AB758" i="54"/>
  <c r="AG758" i="54" s="1"/>
  <c r="AB594" i="54"/>
  <c r="AG594" i="54" s="1"/>
  <c r="AB454" i="54"/>
  <c r="AG454" i="54" s="1"/>
  <c r="AB494" i="54"/>
  <c r="AG494" i="54" s="1"/>
  <c r="AB554" i="54"/>
  <c r="AG554" i="54" s="1"/>
  <c r="AB434" i="54"/>
  <c r="AG434" i="54" s="1"/>
  <c r="AB414" i="54"/>
  <c r="AG414" i="54" s="1"/>
  <c r="AB374" i="54"/>
  <c r="AG374" i="54" s="1"/>
  <c r="AB334" i="54"/>
  <c r="AG334" i="54" s="1"/>
  <c r="AB734" i="54"/>
  <c r="AG734" i="54" s="1"/>
  <c r="AB694" i="54"/>
  <c r="AG694" i="54" s="1"/>
  <c r="AB674" i="54"/>
  <c r="AG674" i="54" s="1"/>
  <c r="AB614" i="54"/>
  <c r="AG614" i="54" s="1"/>
  <c r="Z613" i="54"/>
  <c r="AF613" i="54" s="1"/>
  <c r="AJ613" i="54" s="1"/>
  <c r="Z493" i="54"/>
  <c r="AF493" i="54" s="1"/>
  <c r="Z453" i="54"/>
  <c r="AF453" i="54" s="1"/>
  <c r="Z533" i="54"/>
  <c r="AF533" i="54" s="1"/>
  <c r="Z413" i="54"/>
  <c r="AF413" i="54" s="1"/>
  <c r="Z373" i="54"/>
  <c r="AF373" i="54" s="1"/>
  <c r="AB450" i="54"/>
  <c r="AG450" i="54" s="1"/>
  <c r="AB490" i="54"/>
  <c r="AG490" i="54" s="1"/>
  <c r="AB430" i="54"/>
  <c r="AG430" i="54" s="1"/>
  <c r="AB390" i="54"/>
  <c r="AG390" i="54" s="1"/>
  <c r="AB350" i="54"/>
  <c r="AG350" i="54" s="1"/>
  <c r="AB750" i="54"/>
  <c r="AG750" i="54" s="1"/>
  <c r="AB710" i="54"/>
  <c r="AG710" i="54" s="1"/>
  <c r="AB670" i="54"/>
  <c r="AG670" i="54" s="1"/>
  <c r="AB630" i="54"/>
  <c r="AG630" i="54" s="1"/>
  <c r="AB590" i="54"/>
  <c r="AG590" i="54" s="1"/>
  <c r="AB477" i="54"/>
  <c r="AG477" i="54" s="1"/>
  <c r="AB637" i="54"/>
  <c r="AG637" i="54" s="1"/>
  <c r="AB577" i="54"/>
  <c r="AG577" i="54" s="1"/>
  <c r="AB437" i="54"/>
  <c r="AG437" i="54" s="1"/>
  <c r="AB597" i="54"/>
  <c r="AG597" i="54" s="1"/>
  <c r="AB537" i="54"/>
  <c r="AG537" i="54" s="1"/>
  <c r="AB417" i="54"/>
  <c r="AG417" i="54" s="1"/>
  <c r="AB377" i="54"/>
  <c r="AG377" i="54" s="1"/>
  <c r="AB677" i="54"/>
  <c r="AG677" i="54" s="1"/>
  <c r="AB500" i="54"/>
  <c r="AG500" i="54" s="1"/>
  <c r="AB540" i="54"/>
  <c r="AG540" i="54" s="1"/>
  <c r="AB580" i="54"/>
  <c r="AG580" i="54" s="1"/>
  <c r="AB440" i="54"/>
  <c r="AG440" i="54" s="1"/>
  <c r="AB460" i="54"/>
  <c r="AG460" i="54" s="1"/>
  <c r="AB680" i="54"/>
  <c r="AG680" i="54" s="1"/>
  <c r="AB720" i="54"/>
  <c r="AG720" i="54" s="1"/>
  <c r="AB760" i="54"/>
  <c r="AG760" i="54" s="1"/>
  <c r="AK760" i="54" s="1"/>
  <c r="AB620" i="54"/>
  <c r="AG620" i="54" s="1"/>
  <c r="AB400" i="54"/>
  <c r="AG400" i="54" s="1"/>
  <c r="AB360" i="54"/>
  <c r="AG360" i="54" s="1"/>
  <c r="AB536" i="54"/>
  <c r="AG536" i="54" s="1"/>
  <c r="AB436" i="54"/>
  <c r="AG436" i="54" s="1"/>
  <c r="AB516" i="54"/>
  <c r="AG516" i="54" s="1"/>
  <c r="AB476" i="54"/>
  <c r="AG476" i="54" s="1"/>
  <c r="AB576" i="54"/>
  <c r="AG576" i="54" s="1"/>
  <c r="AB556" i="54"/>
  <c r="AG556" i="54" s="1"/>
  <c r="AB396" i="54"/>
  <c r="AG396" i="54" s="1"/>
  <c r="AB356" i="54"/>
  <c r="AG356" i="54" s="1"/>
  <c r="AB756" i="54"/>
  <c r="AG756" i="54" s="1"/>
  <c r="AB696" i="54"/>
  <c r="AG696" i="54" s="1"/>
  <c r="AB656" i="54"/>
  <c r="AG656" i="54" s="1"/>
  <c r="AB387" i="54"/>
  <c r="AG387" i="54" s="1"/>
  <c r="Z447" i="54"/>
  <c r="AF447" i="54" s="1"/>
  <c r="Z425" i="54"/>
  <c r="AF425" i="54" s="1"/>
  <c r="AJ425" i="54" s="1"/>
  <c r="AJ426" i="54" s="1"/>
  <c r="Z701" i="54"/>
  <c r="AF701" i="54" s="1"/>
  <c r="Z717" i="54"/>
  <c r="AF717" i="54" s="1"/>
  <c r="AB702" i="54"/>
  <c r="AG702" i="54" s="1"/>
  <c r="AB718" i="54"/>
  <c r="AG718" i="54" s="1"/>
  <c r="AK718" i="54" s="1"/>
  <c r="Z713" i="54"/>
  <c r="AF713" i="54" s="1"/>
  <c r="AB561" i="54"/>
  <c r="AG561" i="54" s="1"/>
  <c r="AB541" i="54"/>
  <c r="AG541" i="54" s="1"/>
  <c r="AB337" i="54"/>
  <c r="AG337" i="54" s="1"/>
  <c r="AB449" i="54"/>
  <c r="AG449" i="54" s="1"/>
  <c r="AB749" i="54"/>
  <c r="AG749" i="54" s="1"/>
  <c r="AB589" i="54"/>
  <c r="AG589" i="54" s="1"/>
  <c r="Z477" i="54"/>
  <c r="AF477" i="54" s="1"/>
  <c r="AB473" i="54"/>
  <c r="AG473" i="54" s="1"/>
  <c r="AB418" i="54"/>
  <c r="AG418" i="54" s="1"/>
  <c r="Z473" i="54"/>
  <c r="AF473" i="54" s="1"/>
  <c r="Z673" i="54"/>
  <c r="AF673" i="54" s="1"/>
  <c r="AB681" i="54"/>
  <c r="AG681" i="54" s="1"/>
  <c r="AB581" i="54"/>
  <c r="AG581" i="54" s="1"/>
  <c r="AB341" i="54"/>
  <c r="AG341" i="54" s="1"/>
  <c r="AB737" i="54"/>
  <c r="AG737" i="54" s="1"/>
  <c r="AB489" i="54"/>
  <c r="AG489" i="54" s="1"/>
  <c r="AB709" i="54"/>
  <c r="AG709" i="54" s="1"/>
  <c r="AB549" i="54"/>
  <c r="AG549" i="54" s="1"/>
  <c r="Z761" i="54"/>
  <c r="AF761" i="54" s="1"/>
  <c r="AB413" i="54"/>
  <c r="AG413" i="54" s="1"/>
  <c r="AB498" i="54"/>
  <c r="AG498" i="54" s="1"/>
  <c r="Z653" i="54"/>
  <c r="AF653" i="54" s="1"/>
  <c r="AB421" i="54"/>
  <c r="AG421" i="54" s="1"/>
  <c r="AB669" i="54"/>
  <c r="AG669" i="54" s="1"/>
  <c r="AB520" i="54"/>
  <c r="AG520" i="54" s="1"/>
  <c r="AB640" i="54"/>
  <c r="AG640" i="54" s="1"/>
  <c r="AB693" i="54"/>
  <c r="AG693" i="54" s="1"/>
  <c r="AB358" i="54"/>
  <c r="AG358" i="54" s="1"/>
  <c r="AB701" i="54"/>
  <c r="AG701" i="54" s="1"/>
  <c r="AB521" i="54"/>
  <c r="AG521" i="54" s="1"/>
  <c r="AB389" i="54"/>
  <c r="AG389" i="54" s="1"/>
  <c r="AB560" i="54"/>
  <c r="AG560" i="54" s="1"/>
  <c r="AB480" i="54"/>
  <c r="AG480" i="54" s="1"/>
  <c r="AB420" i="54"/>
  <c r="AG420" i="54" s="1"/>
  <c r="AB740" i="54"/>
  <c r="AG740" i="54" s="1"/>
  <c r="Z397" i="54"/>
  <c r="AF397" i="54" s="1"/>
  <c r="AB542" i="54"/>
  <c r="AG542" i="54" s="1"/>
  <c r="Z753" i="54"/>
  <c r="AF753" i="54" s="1"/>
  <c r="AB425" i="54"/>
  <c r="AG425" i="54" s="1"/>
  <c r="AK425" i="54" s="1"/>
  <c r="AK426" i="54" s="1"/>
  <c r="AB741" i="54"/>
  <c r="AG741" i="54" s="1"/>
  <c r="AB381" i="54"/>
  <c r="AG381" i="54" s="1"/>
  <c r="AB349" i="54"/>
  <c r="AG349" i="54" s="1"/>
  <c r="AB600" i="54"/>
  <c r="AG600" i="54" s="1"/>
  <c r="AB700" i="54"/>
  <c r="AG700" i="54" s="1"/>
  <c r="AB380" i="54"/>
  <c r="AG380" i="54" s="1"/>
  <c r="AB616" i="54"/>
  <c r="AG616" i="54" s="1"/>
  <c r="AB596" i="54"/>
  <c r="AG596" i="54" s="1"/>
  <c r="AB676" i="54"/>
  <c r="AG676" i="54" s="1"/>
  <c r="AK676" i="54" s="1"/>
  <c r="AB416" i="54"/>
  <c r="AG416" i="54" s="1"/>
  <c r="AB736" i="54"/>
  <c r="AG736" i="54" s="1"/>
  <c r="AB532" i="54"/>
  <c r="AG532" i="54" s="1"/>
  <c r="AB512" i="54"/>
  <c r="AG512" i="54" s="1"/>
  <c r="AB592" i="54"/>
  <c r="AG592" i="54" s="1"/>
  <c r="AK592" i="54" s="1"/>
  <c r="AB472" i="54"/>
  <c r="AG472" i="54" s="1"/>
  <c r="AB412" i="54"/>
  <c r="AG412" i="54" s="1"/>
  <c r="AB372" i="54"/>
  <c r="AG372" i="54" s="1"/>
  <c r="AB332" i="54"/>
  <c r="AG332" i="54" s="1"/>
  <c r="AB732" i="54"/>
  <c r="AG732" i="54" s="1"/>
  <c r="AB692" i="54"/>
  <c r="AG692" i="54" s="1"/>
  <c r="AB652" i="54"/>
  <c r="AG652" i="54" s="1"/>
  <c r="AB632" i="54"/>
  <c r="AG632" i="54" s="1"/>
  <c r="AB508" i="54"/>
  <c r="AG508" i="54" s="1"/>
  <c r="AK508" i="54" s="1"/>
  <c r="AB428" i="54"/>
  <c r="AG428" i="54" s="1"/>
  <c r="AB388" i="54"/>
  <c r="AG388" i="54" s="1"/>
  <c r="AB348" i="54"/>
  <c r="AG348" i="54" s="1"/>
  <c r="AB328" i="54"/>
  <c r="AG328" i="54" s="1"/>
  <c r="AB728" i="54"/>
  <c r="AG728" i="54" s="1"/>
  <c r="AB688" i="54"/>
  <c r="AG688" i="54" s="1"/>
  <c r="AB648" i="54"/>
  <c r="AG648" i="54" s="1"/>
  <c r="AB608" i="54"/>
  <c r="AG608" i="54" s="1"/>
  <c r="AB568" i="54"/>
  <c r="AG568" i="54" s="1"/>
  <c r="AB548" i="54"/>
  <c r="AG548" i="54" s="1"/>
  <c r="AD487" i="54"/>
  <c r="AH487" i="54" s="1"/>
  <c r="AL487" i="54" s="1"/>
  <c r="AD407" i="54"/>
  <c r="AH407" i="54" s="1"/>
  <c r="AD367" i="54"/>
  <c r="AH367" i="54" s="1"/>
  <c r="AD327" i="54"/>
  <c r="AH327" i="54" s="1"/>
  <c r="AD727" i="54"/>
  <c r="AH727" i="54" s="1"/>
  <c r="AD687" i="54"/>
  <c r="AH687" i="54" s="1"/>
  <c r="AD647" i="54"/>
  <c r="AH647" i="54" s="1"/>
  <c r="AD607" i="54"/>
  <c r="AH607" i="54" s="1"/>
  <c r="AD567" i="54"/>
  <c r="AH567" i="54" s="1"/>
  <c r="AD527" i="54"/>
  <c r="AH527" i="54" s="1"/>
  <c r="AD468" i="54"/>
  <c r="AH468" i="54" s="1"/>
  <c r="AD428" i="54"/>
  <c r="AH428" i="54" s="1"/>
  <c r="AD388" i="54"/>
  <c r="AH388" i="54" s="1"/>
  <c r="AD348" i="54"/>
  <c r="AH348" i="54" s="1"/>
  <c r="AD748" i="54"/>
  <c r="AH748" i="54" s="1"/>
  <c r="AB501" i="54"/>
  <c r="AG501" i="54" s="1"/>
  <c r="AB376" i="54"/>
  <c r="AG376" i="54" s="1"/>
  <c r="AB432" i="54"/>
  <c r="AG432" i="54" s="1"/>
  <c r="AB752" i="54"/>
  <c r="AG752" i="54" s="1"/>
  <c r="AB468" i="54"/>
  <c r="AG468" i="54" s="1"/>
  <c r="AB408" i="54"/>
  <c r="AG408" i="54" s="1"/>
  <c r="AB708" i="54"/>
  <c r="AG708" i="54" s="1"/>
  <c r="AB628" i="54"/>
  <c r="AG628" i="54" s="1"/>
  <c r="AB528" i="54"/>
  <c r="AG528" i="54" s="1"/>
  <c r="AD427" i="54"/>
  <c r="AH427" i="54" s="1"/>
  <c r="AD347" i="54"/>
  <c r="AH347" i="54" s="1"/>
  <c r="AD707" i="54"/>
  <c r="AH707" i="54" s="1"/>
  <c r="AD627" i="54"/>
  <c r="AH627" i="54" s="1"/>
  <c r="AD547" i="54"/>
  <c r="AH547" i="54" s="1"/>
  <c r="AD668" i="54"/>
  <c r="AH668" i="54" s="1"/>
  <c r="AD608" i="54"/>
  <c r="AH608" i="54" s="1"/>
  <c r="AD488" i="54"/>
  <c r="AH488" i="54" s="1"/>
  <c r="AD489" i="54"/>
  <c r="AH489" i="54" s="1"/>
  <c r="AD389" i="54"/>
  <c r="AH389" i="54" s="1"/>
  <c r="AD329" i="54"/>
  <c r="AH329" i="54" s="1"/>
  <c r="AD669" i="54"/>
  <c r="AH669" i="54" s="1"/>
  <c r="AD609" i="54"/>
  <c r="AH609" i="54" s="1"/>
  <c r="AD509" i="54"/>
  <c r="AH509" i="54" s="1"/>
  <c r="AD515" i="54"/>
  <c r="AH515" i="54" s="1"/>
  <c r="AD575" i="54"/>
  <c r="AH575" i="54" s="1"/>
  <c r="AD615" i="54"/>
  <c r="AH615" i="54" s="1"/>
  <c r="AD655" i="54"/>
  <c r="AH655" i="54" s="1"/>
  <c r="AL655" i="54" s="1"/>
  <c r="AD475" i="54"/>
  <c r="AH475" i="54" s="1"/>
  <c r="AD415" i="54"/>
  <c r="AH415" i="54" s="1"/>
  <c r="AD375" i="54"/>
  <c r="AH375" i="54" s="1"/>
  <c r="AD335" i="54"/>
  <c r="AH335" i="54" s="1"/>
  <c r="AD735" i="54"/>
  <c r="AH735" i="54" s="1"/>
  <c r="AD695" i="54"/>
  <c r="AH695" i="54" s="1"/>
  <c r="AD677" i="54"/>
  <c r="AH677" i="54" s="1"/>
  <c r="AD761" i="54"/>
  <c r="AH761" i="54" s="1"/>
  <c r="AB456" i="54"/>
  <c r="AG456" i="54" s="1"/>
  <c r="AB336" i="54"/>
  <c r="AG336" i="54" s="1"/>
  <c r="AB452" i="54"/>
  <c r="AG452" i="54" s="1"/>
  <c r="AB392" i="54"/>
  <c r="AG392" i="54" s="1"/>
  <c r="AB712" i="54"/>
  <c r="AG712" i="54" s="1"/>
  <c r="AD508" i="54"/>
  <c r="AH508" i="54" s="1"/>
  <c r="AL508" i="54" s="1"/>
  <c r="AD408" i="54"/>
  <c r="AH408" i="54" s="1"/>
  <c r="AD328" i="54"/>
  <c r="AH328" i="54" s="1"/>
  <c r="AD708" i="54"/>
  <c r="AH708" i="54" s="1"/>
  <c r="AD648" i="54"/>
  <c r="AH648" i="54" s="1"/>
  <c r="AD528" i="54"/>
  <c r="AH528" i="54" s="1"/>
  <c r="AD529" i="54"/>
  <c r="AH529" i="54" s="1"/>
  <c r="AL529" i="54" s="1"/>
  <c r="AD369" i="54"/>
  <c r="AH369" i="54" s="1"/>
  <c r="AD709" i="54"/>
  <c r="AH709" i="54" s="1"/>
  <c r="AD649" i="54"/>
  <c r="AH649" i="54" s="1"/>
  <c r="AD569" i="54"/>
  <c r="AH569" i="54" s="1"/>
  <c r="AD470" i="54"/>
  <c r="AH470" i="54" s="1"/>
  <c r="AD550" i="54"/>
  <c r="AH550" i="54" s="1"/>
  <c r="AL550" i="54" s="1"/>
  <c r="AD430" i="54"/>
  <c r="AH430" i="54" s="1"/>
  <c r="AD410" i="54"/>
  <c r="AH410" i="54" s="1"/>
  <c r="AD370" i="54"/>
  <c r="AH370" i="54" s="1"/>
  <c r="AD330" i="54"/>
  <c r="AH330" i="54" s="1"/>
  <c r="AD730" i="54"/>
  <c r="AH730" i="54" s="1"/>
  <c r="AD690" i="54"/>
  <c r="AH690" i="54" s="1"/>
  <c r="AD650" i="54"/>
  <c r="AH650" i="54" s="1"/>
  <c r="AD610" i="54"/>
  <c r="AH610" i="54" s="1"/>
  <c r="AD590" i="54"/>
  <c r="AH590" i="54" s="1"/>
  <c r="AD530" i="54"/>
  <c r="AH530" i="54" s="1"/>
  <c r="AD511" i="54"/>
  <c r="AH511" i="54" s="1"/>
  <c r="AD571" i="54"/>
  <c r="AH571" i="54" s="1"/>
  <c r="AL571" i="54" s="1"/>
  <c r="AD491" i="54"/>
  <c r="AH491" i="54" s="1"/>
  <c r="AD451" i="54"/>
  <c r="AH451" i="54" s="1"/>
  <c r="AD391" i="54"/>
  <c r="AH391" i="54" s="1"/>
  <c r="AD351" i="54"/>
  <c r="AH351" i="54" s="1"/>
  <c r="AD751" i="54"/>
  <c r="AH751" i="54" s="1"/>
  <c r="AD711" i="54"/>
  <c r="AH711" i="54" s="1"/>
  <c r="AD671" i="54"/>
  <c r="AH671" i="54" s="1"/>
  <c r="AD631" i="54"/>
  <c r="AH631" i="54" s="1"/>
  <c r="AD591" i="54"/>
  <c r="AH591" i="54" s="1"/>
  <c r="AD452" i="54"/>
  <c r="AH452" i="54" s="1"/>
  <c r="AD512" i="54"/>
  <c r="AH512" i="54" s="1"/>
  <c r="AD492" i="54"/>
  <c r="AH492" i="54" s="1"/>
  <c r="AD472" i="54"/>
  <c r="AH472" i="54" s="1"/>
  <c r="AD392" i="54"/>
  <c r="AH392" i="54" s="1"/>
  <c r="AD352" i="54"/>
  <c r="AH352" i="54" s="1"/>
  <c r="AD752" i="54"/>
  <c r="AH752" i="54" s="1"/>
  <c r="AD712" i="54"/>
  <c r="AH712" i="54" s="1"/>
  <c r="AD672" i="54"/>
  <c r="AH672" i="54" s="1"/>
  <c r="AD632" i="54"/>
  <c r="AH632" i="54" s="1"/>
  <c r="AD572" i="54"/>
  <c r="AH572" i="54" s="1"/>
  <c r="AD553" i="54"/>
  <c r="AH553" i="54" s="1"/>
  <c r="AD433" i="54"/>
  <c r="AH433" i="54" s="1"/>
  <c r="AD453" i="54"/>
  <c r="AH453" i="54" s="1"/>
  <c r="AD613" i="54"/>
  <c r="AH613" i="54" s="1"/>
  <c r="AL613" i="54" s="1"/>
  <c r="AD573" i="54"/>
  <c r="AH573" i="54" s="1"/>
  <c r="AD393" i="54"/>
  <c r="AH393" i="54" s="1"/>
  <c r="AD353" i="54"/>
  <c r="AH353" i="54" s="1"/>
  <c r="AD753" i="54"/>
  <c r="AH753" i="54" s="1"/>
  <c r="AD713" i="54"/>
  <c r="AH713" i="54" s="1"/>
  <c r="AD673" i="54"/>
  <c r="AH673" i="54" s="1"/>
  <c r="AD633" i="54"/>
  <c r="AH633" i="54" s="1"/>
  <c r="AD534" i="54"/>
  <c r="AH534" i="54" s="1"/>
  <c r="AD474" i="54"/>
  <c r="AH474" i="54" s="1"/>
  <c r="AD514" i="54"/>
  <c r="AH514" i="54" s="1"/>
  <c r="AD494" i="54"/>
  <c r="AH494" i="54" s="1"/>
  <c r="AD554" i="54"/>
  <c r="AH554" i="54" s="1"/>
  <c r="AD394" i="54"/>
  <c r="AH394" i="54" s="1"/>
  <c r="AD354" i="54"/>
  <c r="AH354" i="54" s="1"/>
  <c r="AD754" i="54"/>
  <c r="AH754" i="54" s="1"/>
  <c r="AD714" i="54"/>
  <c r="AH714" i="54" s="1"/>
  <c r="AD674" i="54"/>
  <c r="AH674" i="54" s="1"/>
  <c r="AD635" i="54"/>
  <c r="AH635" i="54" s="1"/>
  <c r="AD676" i="54"/>
  <c r="AH676" i="54" s="1"/>
  <c r="AL676" i="54" s="1"/>
  <c r="AD496" i="54"/>
  <c r="AH496" i="54" s="1"/>
  <c r="AD556" i="54"/>
  <c r="AH556" i="54" s="1"/>
  <c r="AD436" i="54"/>
  <c r="AH436" i="54" s="1"/>
  <c r="AD536" i="54"/>
  <c r="AH536" i="54" s="1"/>
  <c r="AD596" i="54"/>
  <c r="AH596" i="54" s="1"/>
  <c r="AD416" i="54"/>
  <c r="AH416" i="54" s="1"/>
  <c r="AD376" i="54"/>
  <c r="AH376" i="54" s="1"/>
  <c r="AD336" i="54"/>
  <c r="AH336" i="54" s="1"/>
  <c r="AD736" i="54"/>
  <c r="AH736" i="54" s="1"/>
  <c r="AD716" i="54"/>
  <c r="AH716" i="54" s="1"/>
  <c r="AD537" i="54"/>
  <c r="AH537" i="54" s="1"/>
  <c r="AD577" i="54"/>
  <c r="AH577" i="54" s="1"/>
  <c r="AD617" i="54"/>
  <c r="AH617" i="54" s="1"/>
  <c r="AD557" i="54"/>
  <c r="AH557" i="54" s="1"/>
  <c r="AD437" i="54"/>
  <c r="AH437" i="54" s="1"/>
  <c r="AD497" i="54"/>
  <c r="AH497" i="54" s="1"/>
  <c r="AD417" i="54"/>
  <c r="AH417" i="54" s="1"/>
  <c r="AD377" i="54"/>
  <c r="AH377" i="54" s="1"/>
  <c r="AD337" i="54"/>
  <c r="AH337" i="54" s="1"/>
  <c r="AD717" i="54"/>
  <c r="AH717" i="54" s="1"/>
  <c r="AD658" i="54"/>
  <c r="AH658" i="54" s="1"/>
  <c r="AD538" i="54"/>
  <c r="AH538" i="54" s="1"/>
  <c r="AD638" i="54"/>
  <c r="AH638" i="54" s="1"/>
  <c r="AD478" i="54"/>
  <c r="AH478" i="54" s="1"/>
  <c r="AD438" i="54"/>
  <c r="AH438" i="54" s="1"/>
  <c r="AD498" i="54"/>
  <c r="AH498" i="54" s="1"/>
  <c r="AD678" i="54"/>
  <c r="AH678" i="54" s="1"/>
  <c r="AD418" i="54"/>
  <c r="AH418" i="54" s="1"/>
  <c r="AD378" i="54"/>
  <c r="AH378" i="54" s="1"/>
  <c r="AD338" i="54"/>
  <c r="AH338" i="54" s="1"/>
  <c r="AD758" i="54"/>
  <c r="AH758" i="54" s="1"/>
  <c r="AD698" i="54"/>
  <c r="AH698" i="54" s="1"/>
  <c r="AD479" i="54"/>
  <c r="AH479" i="54" s="1"/>
  <c r="AD599" i="54"/>
  <c r="AH599" i="54" s="1"/>
  <c r="AD559" i="54"/>
  <c r="AH559" i="54" s="1"/>
  <c r="AD739" i="54"/>
  <c r="AH739" i="54" s="1"/>
  <c r="AL739" i="54" s="1"/>
  <c r="AD519" i="54"/>
  <c r="AH519" i="54" s="1"/>
  <c r="AD499" i="54"/>
  <c r="AH499" i="54" s="1"/>
  <c r="AD579" i="54"/>
  <c r="AH579" i="54" s="1"/>
  <c r="AD639" i="54"/>
  <c r="AH639" i="54" s="1"/>
  <c r="AD619" i="54"/>
  <c r="AH619" i="54" s="1"/>
  <c r="AD379" i="54"/>
  <c r="AH379" i="54" s="1"/>
  <c r="AD759" i="54"/>
  <c r="AH759" i="54" s="1"/>
  <c r="AD340" i="54"/>
  <c r="AH340" i="54" s="1"/>
  <c r="AL340" i="54" s="1"/>
  <c r="AD700" i="54"/>
  <c r="AH700" i="54" s="1"/>
  <c r="AD500" i="54"/>
  <c r="AH500" i="54" s="1"/>
  <c r="AD660" i="54"/>
  <c r="AH660" i="54" s="1"/>
  <c r="AD620" i="54"/>
  <c r="AH620" i="54" s="1"/>
  <c r="AD600" i="54"/>
  <c r="AH600" i="54" s="1"/>
  <c r="AD560" i="54"/>
  <c r="AH560" i="54" s="1"/>
  <c r="AD520" i="54"/>
  <c r="AH520" i="54" s="1"/>
  <c r="AD420" i="54"/>
  <c r="AH420" i="54" s="1"/>
  <c r="AD360" i="54"/>
  <c r="AH360" i="54" s="1"/>
  <c r="AD740" i="54"/>
  <c r="AH740" i="54" s="1"/>
  <c r="AD581" i="54"/>
  <c r="AH581" i="54" s="1"/>
  <c r="AD541" i="54"/>
  <c r="AH541" i="54" s="1"/>
  <c r="AD621" i="54"/>
  <c r="AH621" i="54" s="1"/>
  <c r="AD481" i="54"/>
  <c r="AH481" i="54" s="1"/>
  <c r="AD601" i="54"/>
  <c r="AH601" i="54" s="1"/>
  <c r="AD661" i="54"/>
  <c r="AH661" i="54" s="1"/>
  <c r="AD741" i="54"/>
  <c r="AH741" i="54" s="1"/>
  <c r="AD701" i="54"/>
  <c r="AH701" i="54" s="1"/>
  <c r="AD521" i="54"/>
  <c r="AH521" i="54" s="1"/>
  <c r="AD381" i="54"/>
  <c r="AH381" i="54" s="1"/>
  <c r="AD342" i="54"/>
  <c r="AH342" i="54" s="1"/>
  <c r="AD442" i="54"/>
  <c r="AH442" i="54" s="1"/>
  <c r="AD422" i="54"/>
  <c r="AH422" i="54" s="1"/>
  <c r="AD502" i="54"/>
  <c r="AH502" i="54" s="1"/>
  <c r="AD682" i="54"/>
  <c r="AH682" i="54" s="1"/>
  <c r="AD382" i="54"/>
  <c r="AH382" i="54" s="1"/>
  <c r="AL382" i="54" s="1"/>
  <c r="AD402" i="54"/>
  <c r="AH402" i="54" s="1"/>
  <c r="AD542" i="54"/>
  <c r="AH542" i="54" s="1"/>
  <c r="AD582" i="54"/>
  <c r="AH582" i="54" s="1"/>
  <c r="AD462" i="54"/>
  <c r="AH462" i="54" s="1"/>
  <c r="AB469" i="54"/>
  <c r="AG469" i="54" s="1"/>
  <c r="AB340" i="54"/>
  <c r="AG340" i="54" s="1"/>
  <c r="AK340" i="54" s="1"/>
  <c r="AB636" i="54"/>
  <c r="AG636" i="54" s="1"/>
  <c r="AB716" i="54"/>
  <c r="AG716" i="54" s="1"/>
  <c r="AB552" i="54"/>
  <c r="AG552" i="54" s="1"/>
  <c r="AB352" i="54"/>
  <c r="AG352" i="54" s="1"/>
  <c r="AB672" i="54"/>
  <c r="AG672" i="54" s="1"/>
  <c r="AB448" i="54"/>
  <c r="AG448" i="54" s="1"/>
  <c r="AB368" i="54"/>
  <c r="AG368" i="54" s="1"/>
  <c r="AB748" i="54"/>
  <c r="AG748" i="54" s="1"/>
  <c r="AB668" i="54"/>
  <c r="AG668" i="54" s="1"/>
  <c r="AB588" i="54"/>
  <c r="AG588" i="54" s="1"/>
  <c r="AB488" i="54"/>
  <c r="AG488" i="54" s="1"/>
  <c r="AD447" i="54"/>
  <c r="AH447" i="54" s="1"/>
  <c r="AD387" i="54"/>
  <c r="AH387" i="54" s="1"/>
  <c r="AD747" i="54"/>
  <c r="AH747" i="54" s="1"/>
  <c r="AD667" i="54"/>
  <c r="AH667" i="54" s="1"/>
  <c r="AD587" i="54"/>
  <c r="AH587" i="54" s="1"/>
  <c r="AD507" i="54"/>
  <c r="AH507" i="54" s="1"/>
  <c r="AD688" i="54"/>
  <c r="AH688" i="54" s="1"/>
  <c r="AD588" i="54"/>
  <c r="AH588" i="54" s="1"/>
  <c r="AD548" i="54"/>
  <c r="AH548" i="54" s="1"/>
  <c r="AD429" i="54"/>
  <c r="AH429" i="54" s="1"/>
  <c r="AD409" i="54"/>
  <c r="AH409" i="54" s="1"/>
  <c r="AD749" i="54"/>
  <c r="AH749" i="54" s="1"/>
  <c r="AD689" i="54"/>
  <c r="AH689" i="54" s="1"/>
  <c r="AD589" i="54"/>
  <c r="AH589" i="54" s="1"/>
  <c r="AD490" i="54"/>
  <c r="AH490" i="54" s="1"/>
  <c r="AD450" i="54"/>
  <c r="AH450" i="54" s="1"/>
  <c r="AD510" i="54"/>
  <c r="AH510" i="54" s="1"/>
  <c r="AD390" i="54"/>
  <c r="AH390" i="54" s="1"/>
  <c r="AD350" i="54"/>
  <c r="AH350" i="54" s="1"/>
  <c r="AD750" i="54"/>
  <c r="AH750" i="54" s="1"/>
  <c r="AD710" i="54"/>
  <c r="AH710" i="54" s="1"/>
  <c r="AD670" i="54"/>
  <c r="AH670" i="54" s="1"/>
  <c r="AD630" i="54"/>
  <c r="AH630" i="54" s="1"/>
  <c r="AD570" i="54"/>
  <c r="AH570" i="54" s="1"/>
  <c r="AD431" i="54"/>
  <c r="AH431" i="54" s="1"/>
  <c r="AD531" i="54"/>
  <c r="AH531" i="54" s="1"/>
  <c r="AD471" i="54"/>
  <c r="AH471" i="54" s="1"/>
  <c r="AD411" i="54"/>
  <c r="AH411" i="54" s="1"/>
  <c r="AD371" i="54"/>
  <c r="AH371" i="54" s="1"/>
  <c r="AD331" i="54"/>
  <c r="AH331" i="54" s="1"/>
  <c r="AD731" i="54"/>
  <c r="AH731" i="54" s="1"/>
  <c r="AD691" i="54"/>
  <c r="AH691" i="54" s="1"/>
  <c r="AD651" i="54"/>
  <c r="AH651" i="54" s="1"/>
  <c r="AD611" i="54"/>
  <c r="AH611" i="54" s="1"/>
  <c r="AD593" i="54"/>
  <c r="AH593" i="54" s="1"/>
  <c r="AD634" i="54"/>
  <c r="AH634" i="54" s="1"/>
  <c r="AL634" i="54" s="1"/>
  <c r="AD454" i="54"/>
  <c r="AH454" i="54" s="1"/>
  <c r="AD594" i="54"/>
  <c r="AH594" i="54" s="1"/>
  <c r="AD574" i="54"/>
  <c r="AH574" i="54" s="1"/>
  <c r="AD434" i="54"/>
  <c r="AH434" i="54" s="1"/>
  <c r="AD414" i="54"/>
  <c r="AH414" i="54" s="1"/>
  <c r="AD374" i="54"/>
  <c r="AH374" i="54" s="1"/>
  <c r="AD334" i="54"/>
  <c r="AH334" i="54" s="1"/>
  <c r="AD734" i="54"/>
  <c r="AH734" i="54" s="1"/>
  <c r="AD694" i="54"/>
  <c r="AH694" i="54" s="1"/>
  <c r="AD654" i="54"/>
  <c r="AH654" i="54" s="1"/>
  <c r="AD614" i="54"/>
  <c r="AH614" i="54" s="1"/>
  <c r="AD595" i="54"/>
  <c r="AH595" i="54" s="1"/>
  <c r="AD535" i="54"/>
  <c r="AH535" i="54" s="1"/>
  <c r="AD495" i="54"/>
  <c r="AH495" i="54" s="1"/>
  <c r="AD455" i="54"/>
  <c r="AH455" i="54" s="1"/>
  <c r="AD555" i="54"/>
  <c r="AH555" i="54" s="1"/>
  <c r="AD435" i="54"/>
  <c r="AH435" i="54" s="1"/>
  <c r="AD395" i="54"/>
  <c r="AH395" i="54" s="1"/>
  <c r="AD355" i="54"/>
  <c r="AH355" i="54" s="1"/>
  <c r="AD755" i="54"/>
  <c r="AH755" i="54" s="1"/>
  <c r="AD715" i="54"/>
  <c r="AH715" i="54" s="1"/>
  <c r="AD675" i="54"/>
  <c r="AH675" i="54" s="1"/>
  <c r="AD558" i="54"/>
  <c r="AH558" i="54" s="1"/>
  <c r="AD518" i="54"/>
  <c r="AH518" i="54" s="1"/>
  <c r="AD578" i="54"/>
  <c r="AH578" i="54" s="1"/>
  <c r="AD458" i="54"/>
  <c r="AH458" i="54" s="1"/>
  <c r="AD598" i="54"/>
  <c r="AH598" i="54" s="1"/>
  <c r="AD718" i="54"/>
  <c r="AH718" i="54" s="1"/>
  <c r="AL718" i="54" s="1"/>
  <c r="AD618" i="54"/>
  <c r="AH618" i="54" s="1"/>
  <c r="AD398" i="54"/>
  <c r="AH398" i="54" s="1"/>
  <c r="AD358" i="54"/>
  <c r="AH358" i="54" s="1"/>
  <c r="AD738" i="54"/>
  <c r="AH738" i="54" s="1"/>
  <c r="AD539" i="54"/>
  <c r="AH539" i="54" s="1"/>
  <c r="AD439" i="54"/>
  <c r="AH439" i="54" s="1"/>
  <c r="AD659" i="54"/>
  <c r="AH659" i="54" s="1"/>
  <c r="AD459" i="54"/>
  <c r="AH459" i="54" s="1"/>
  <c r="AD419" i="54"/>
  <c r="AH419" i="54" s="1"/>
  <c r="AD679" i="54"/>
  <c r="AH679" i="54" s="1"/>
  <c r="AD699" i="54"/>
  <c r="AH699" i="54" s="1"/>
  <c r="AD339" i="54"/>
  <c r="AH339" i="54" s="1"/>
  <c r="AD399" i="54"/>
  <c r="AH399" i="54" s="1"/>
  <c r="AD359" i="54"/>
  <c r="AH359" i="54" s="1"/>
  <c r="Z485" i="54"/>
  <c r="AF485" i="54" s="1"/>
  <c r="AB629" i="54"/>
  <c r="AG629" i="54" s="1"/>
  <c r="AB660" i="54"/>
  <c r="AG660" i="54" s="1"/>
  <c r="AB496" i="54"/>
  <c r="AG496" i="54" s="1"/>
  <c r="AB492" i="54"/>
  <c r="AG492" i="54" s="1"/>
  <c r="AB325" i="54"/>
  <c r="AG325" i="54" s="1"/>
  <c r="AK325" i="54" s="1"/>
  <c r="AK326" i="54" s="1"/>
  <c r="AB612" i="54"/>
  <c r="AG612" i="54" s="1"/>
  <c r="AB572" i="54"/>
  <c r="AG572" i="54" s="1"/>
  <c r="AD425" i="54"/>
  <c r="AH425" i="54" s="1"/>
  <c r="AL425" i="54" s="1"/>
  <c r="AL426" i="54" s="1"/>
  <c r="AL427" i="54" s="1"/>
  <c r="AD467" i="54"/>
  <c r="AH467" i="54" s="1"/>
  <c r="AL467" i="54" s="1"/>
  <c r="AD448" i="54"/>
  <c r="AH448" i="54" s="1"/>
  <c r="AD368" i="54"/>
  <c r="AH368" i="54" s="1"/>
  <c r="AD728" i="54"/>
  <c r="AH728" i="54" s="1"/>
  <c r="AD628" i="54"/>
  <c r="AH628" i="54" s="1"/>
  <c r="AD568" i="54"/>
  <c r="AH568" i="54" s="1"/>
  <c r="AD469" i="54"/>
  <c r="AH469" i="54" s="1"/>
  <c r="AD449" i="54"/>
  <c r="AH449" i="54" s="1"/>
  <c r="AD349" i="54"/>
  <c r="AH349" i="54" s="1"/>
  <c r="AD729" i="54"/>
  <c r="AH729" i="54" s="1"/>
  <c r="AD629" i="54"/>
  <c r="AH629" i="54" s="1"/>
  <c r="AD549" i="54"/>
  <c r="AH549" i="54" s="1"/>
  <c r="Z325" i="54"/>
  <c r="AF325" i="54" s="1"/>
  <c r="AJ325" i="54" s="1"/>
  <c r="AJ326" i="54" s="1"/>
  <c r="AD551" i="54"/>
  <c r="AH551" i="54" s="1"/>
  <c r="AD532" i="54"/>
  <c r="AH532" i="54" s="1"/>
  <c r="AD432" i="54"/>
  <c r="AH432" i="54" s="1"/>
  <c r="AD592" i="54"/>
  <c r="AH592" i="54" s="1"/>
  <c r="AL592" i="54" s="1"/>
  <c r="AD552" i="54"/>
  <c r="AH552" i="54" s="1"/>
  <c r="AD412" i="54"/>
  <c r="AH412" i="54" s="1"/>
  <c r="AD372" i="54"/>
  <c r="AH372" i="54" s="1"/>
  <c r="AD332" i="54"/>
  <c r="AH332" i="54" s="1"/>
  <c r="AD732" i="54"/>
  <c r="AH732" i="54" s="1"/>
  <c r="AD692" i="54"/>
  <c r="AH692" i="54" s="1"/>
  <c r="AD652" i="54"/>
  <c r="AH652" i="54" s="1"/>
  <c r="AD612" i="54"/>
  <c r="AH612" i="54" s="1"/>
  <c r="AD473" i="54"/>
  <c r="AH473" i="54" s="1"/>
  <c r="AD533" i="54"/>
  <c r="AH533" i="54" s="1"/>
  <c r="AD493" i="54"/>
  <c r="AH493" i="54" s="1"/>
  <c r="AD513" i="54"/>
  <c r="AH513" i="54" s="1"/>
  <c r="AD413" i="54"/>
  <c r="AH413" i="54" s="1"/>
  <c r="AD373" i="54"/>
  <c r="AH373" i="54" s="1"/>
  <c r="AD333" i="54"/>
  <c r="AH333" i="54" s="1"/>
  <c r="AD733" i="54"/>
  <c r="AH733" i="54" s="1"/>
  <c r="AD693" i="54"/>
  <c r="AH693" i="54" s="1"/>
  <c r="AD653" i="54"/>
  <c r="AH653" i="54" s="1"/>
  <c r="AD576" i="54"/>
  <c r="AH576" i="54" s="1"/>
  <c r="AD456" i="54"/>
  <c r="AH456" i="54" s="1"/>
  <c r="AD756" i="54"/>
  <c r="AH756" i="54" s="1"/>
  <c r="AD656" i="54"/>
  <c r="AH656" i="54" s="1"/>
  <c r="AD657" i="54"/>
  <c r="AH657" i="54" s="1"/>
  <c r="AD397" i="54"/>
  <c r="AH397" i="54" s="1"/>
  <c r="AD760" i="54"/>
  <c r="AH760" i="54" s="1"/>
  <c r="AL760" i="54" s="1"/>
  <c r="AD640" i="54"/>
  <c r="AH640" i="54" s="1"/>
  <c r="AD460" i="54"/>
  <c r="AH460" i="54" s="1"/>
  <c r="AD461" i="54"/>
  <c r="AH461" i="54" s="1"/>
  <c r="AD441" i="54"/>
  <c r="AH441" i="54" s="1"/>
  <c r="AD562" i="54"/>
  <c r="AH562" i="54" s="1"/>
  <c r="AD482" i="54"/>
  <c r="AH482" i="54" s="1"/>
  <c r="AD642" i="54"/>
  <c r="AH642" i="54" s="1"/>
  <c r="Z465" i="54"/>
  <c r="AF465" i="54" s="1"/>
  <c r="Z505" i="54"/>
  <c r="AF505" i="54" s="1"/>
  <c r="AD603" i="54"/>
  <c r="AH603" i="54" s="1"/>
  <c r="AD663" i="54"/>
  <c r="AH663" i="54" s="1"/>
  <c r="AD483" i="54"/>
  <c r="AH483" i="54" s="1"/>
  <c r="AD623" i="54"/>
  <c r="AH623" i="54" s="1"/>
  <c r="AD423" i="54"/>
  <c r="AH423" i="54" s="1"/>
  <c r="AD723" i="54"/>
  <c r="AH723" i="54" s="1"/>
  <c r="AD743" i="54"/>
  <c r="AH743" i="54" s="1"/>
  <c r="AD443" i="54"/>
  <c r="AH443" i="54" s="1"/>
  <c r="AD383" i="54"/>
  <c r="AH383" i="54" s="1"/>
  <c r="AD636" i="54"/>
  <c r="AH636" i="54" s="1"/>
  <c r="AD516" i="54"/>
  <c r="AH516" i="54" s="1"/>
  <c r="AD696" i="54"/>
  <c r="AH696" i="54" s="1"/>
  <c r="AD637" i="54"/>
  <c r="AH637" i="54" s="1"/>
  <c r="AD457" i="54"/>
  <c r="AH457" i="54" s="1"/>
  <c r="AD357" i="54"/>
  <c r="AH357" i="54" s="1"/>
  <c r="AD720" i="54"/>
  <c r="AH720" i="54" s="1"/>
  <c r="AD480" i="54"/>
  <c r="AH480" i="54" s="1"/>
  <c r="AD400" i="54"/>
  <c r="AH400" i="54" s="1"/>
  <c r="AD561" i="54"/>
  <c r="AH561" i="54" s="1"/>
  <c r="AD421" i="54"/>
  <c r="AH421" i="54" s="1"/>
  <c r="AD641" i="54"/>
  <c r="AH641" i="54" s="1"/>
  <c r="AD341" i="54"/>
  <c r="AH341" i="54" s="1"/>
  <c r="AD762" i="54"/>
  <c r="AH762" i="54" s="1"/>
  <c r="AD522" i="54"/>
  <c r="AH522" i="54" s="1"/>
  <c r="AD362" i="54"/>
  <c r="AH362" i="54" s="1"/>
  <c r="Z525" i="54"/>
  <c r="AF525" i="54" s="1"/>
  <c r="AD545" i="54"/>
  <c r="AH545" i="54" s="1"/>
  <c r="AD503" i="54"/>
  <c r="AH503" i="54" s="1"/>
  <c r="AD463" i="54"/>
  <c r="AH463" i="54" s="1"/>
  <c r="AD563" i="54"/>
  <c r="AH563" i="54" s="1"/>
  <c r="AD476" i="54"/>
  <c r="AH476" i="54" s="1"/>
  <c r="AD396" i="54"/>
  <c r="AH396" i="54" s="1"/>
  <c r="AD517" i="54"/>
  <c r="AH517" i="54" s="1"/>
  <c r="AD477" i="54"/>
  <c r="AH477" i="54" s="1"/>
  <c r="AD757" i="54"/>
  <c r="AH757" i="54" s="1"/>
  <c r="AD440" i="54"/>
  <c r="AH440" i="54" s="1"/>
  <c r="AD580" i="54"/>
  <c r="AH580" i="54" s="1"/>
  <c r="AD380" i="54"/>
  <c r="AH380" i="54" s="1"/>
  <c r="AD681" i="54"/>
  <c r="AH681" i="54" s="1"/>
  <c r="AD361" i="54"/>
  <c r="AH361" i="54" s="1"/>
  <c r="AL361" i="54" s="1"/>
  <c r="AD401" i="54"/>
  <c r="AH401" i="54" s="1"/>
  <c r="AD702" i="54"/>
  <c r="AH702" i="54" s="1"/>
  <c r="AD622" i="54"/>
  <c r="AH622" i="54" s="1"/>
  <c r="AD602" i="54"/>
  <c r="AH602" i="54" s="1"/>
  <c r="AD625" i="54"/>
  <c r="AH625" i="54" s="1"/>
  <c r="AD543" i="54"/>
  <c r="AH543" i="54" s="1"/>
  <c r="AD363" i="54"/>
  <c r="AH363" i="54" s="1"/>
  <c r="AD683" i="54"/>
  <c r="AH683" i="54" s="1"/>
  <c r="AD523" i="54"/>
  <c r="AH523" i="54" s="1"/>
  <c r="AD583" i="54"/>
  <c r="AH583" i="54" s="1"/>
  <c r="AD703" i="54"/>
  <c r="AH703" i="54" s="1"/>
  <c r="AD343" i="54"/>
  <c r="AH343" i="54" s="1"/>
  <c r="U69" i="53"/>
  <c r="P79" i="53"/>
  <c r="AD616" i="54"/>
  <c r="AH616" i="54" s="1"/>
  <c r="AD356" i="54"/>
  <c r="AH356" i="54" s="1"/>
  <c r="AD697" i="54"/>
  <c r="AH697" i="54" s="1"/>
  <c r="AL697" i="54" s="1"/>
  <c r="AD597" i="54"/>
  <c r="AH597" i="54" s="1"/>
  <c r="AD737" i="54"/>
  <c r="AH737" i="54" s="1"/>
  <c r="AD719" i="54"/>
  <c r="AH719" i="54" s="1"/>
  <c r="AD680" i="54"/>
  <c r="AH680" i="54" s="1"/>
  <c r="AD540" i="54"/>
  <c r="AH540" i="54" s="1"/>
  <c r="AD501" i="54"/>
  <c r="AH501" i="54" s="1"/>
  <c r="AD721" i="54"/>
  <c r="AH721" i="54" s="1"/>
  <c r="AD325" i="54"/>
  <c r="AH325" i="54" s="1"/>
  <c r="AL325" i="54" s="1"/>
  <c r="AL326" i="54" s="1"/>
  <c r="AD742" i="54"/>
  <c r="AH742" i="54" s="1"/>
  <c r="AD662" i="54"/>
  <c r="AH662" i="54" s="1"/>
  <c r="AD722" i="54"/>
  <c r="AH722" i="54" s="1"/>
  <c r="Z645" i="54"/>
  <c r="AF645" i="54" s="1"/>
  <c r="Z665" i="54"/>
  <c r="AF665" i="54" s="1"/>
  <c r="Z685" i="54"/>
  <c r="AF685" i="54" s="1"/>
  <c r="Z365" i="54"/>
  <c r="AF365" i="54" s="1"/>
  <c r="Z565" i="54"/>
  <c r="AF565" i="54" s="1"/>
  <c r="Z705" i="54"/>
  <c r="AF705" i="54" s="1"/>
  <c r="Z585" i="54"/>
  <c r="AF585" i="54" s="1"/>
  <c r="Z745" i="54"/>
  <c r="AF745" i="54" s="1"/>
  <c r="Z345" i="54"/>
  <c r="AF345" i="54" s="1"/>
  <c r="Z605" i="54"/>
  <c r="AF605" i="54" s="1"/>
  <c r="Z545" i="54"/>
  <c r="AF545" i="54" s="1"/>
  <c r="Z625" i="54"/>
  <c r="AF625" i="54" s="1"/>
  <c r="Z725" i="54"/>
  <c r="AF725" i="54" s="1"/>
  <c r="Z385" i="54"/>
  <c r="AF385" i="54" s="1"/>
  <c r="AD725" i="54"/>
  <c r="AH725" i="54" s="1"/>
  <c r="AB525" i="54"/>
  <c r="AG525" i="54" s="1"/>
  <c r="AB705" i="54"/>
  <c r="AG705" i="54" s="1"/>
  <c r="AB545" i="54"/>
  <c r="AG545" i="54" s="1"/>
  <c r="AB725" i="54"/>
  <c r="AG725" i="54" s="1"/>
  <c r="AD705" i="54"/>
  <c r="AH705" i="54" s="1"/>
  <c r="AB605" i="54"/>
  <c r="AG605" i="54" s="1"/>
  <c r="AD345" i="54"/>
  <c r="AH345" i="54" s="1"/>
  <c r="AB625" i="54"/>
  <c r="AG625" i="54" s="1"/>
  <c r="AD665" i="54"/>
  <c r="AH665" i="54" s="1"/>
  <c r="AB665" i="54"/>
  <c r="AG665" i="54" s="1"/>
  <c r="AD585" i="54"/>
  <c r="AH585" i="54" s="1"/>
  <c r="AB565" i="54"/>
  <c r="AG565" i="54" s="1"/>
  <c r="AD645" i="54"/>
  <c r="AH645" i="54" s="1"/>
  <c r="AD565" i="54"/>
  <c r="AH565" i="54" s="1"/>
  <c r="AB585" i="54"/>
  <c r="AG585" i="54" s="1"/>
  <c r="AD505" i="54"/>
  <c r="AH505" i="54" s="1"/>
  <c r="AD465" i="54"/>
  <c r="AH465" i="54" s="1"/>
  <c r="AB485" i="54"/>
  <c r="AG485" i="54" s="1"/>
  <c r="AB365" i="54"/>
  <c r="AG365" i="54" s="1"/>
  <c r="AB345" i="54"/>
  <c r="AG345" i="54" s="1"/>
  <c r="AB645" i="54"/>
  <c r="AG645" i="54" s="1"/>
  <c r="AD525" i="54"/>
  <c r="AH525" i="54" s="1"/>
  <c r="AB685" i="54"/>
  <c r="AG685" i="54" s="1"/>
  <c r="AD685" i="54"/>
  <c r="AH685" i="54" s="1"/>
  <c r="AB745" i="54"/>
  <c r="AG745" i="54" s="1"/>
  <c r="AD485" i="54"/>
  <c r="AH485" i="54" s="1"/>
  <c r="AD605" i="54"/>
  <c r="AH605" i="54" s="1"/>
  <c r="AB505" i="54"/>
  <c r="AG505" i="54" s="1"/>
  <c r="AD745" i="54"/>
  <c r="AH745" i="54" s="1"/>
  <c r="AB465" i="54"/>
  <c r="AG465" i="54" s="1"/>
  <c r="AB385" i="54"/>
  <c r="AG385" i="54" s="1"/>
  <c r="AD385" i="54"/>
  <c r="AH385" i="54" s="1"/>
  <c r="AD403" i="54"/>
  <c r="AH403" i="54" s="1"/>
  <c r="AL403" i="54" s="1"/>
  <c r="AL404" i="54" s="1"/>
  <c r="AD643" i="54"/>
  <c r="AH643" i="54" s="1"/>
  <c r="AD763" i="54"/>
  <c r="AH763" i="54" s="1"/>
  <c r="AD365" i="54"/>
  <c r="AH365" i="54" s="1"/>
  <c r="Z405" i="54"/>
  <c r="AF405" i="54" s="1"/>
  <c r="AD405" i="54"/>
  <c r="AH405" i="54" s="1"/>
  <c r="AD445" i="54"/>
  <c r="AH445" i="54" s="1"/>
  <c r="AL445" i="54" s="1"/>
  <c r="AL446" i="54" s="1"/>
  <c r="AB445" i="54"/>
  <c r="AG445" i="54" s="1"/>
  <c r="AK445" i="54" s="1"/>
  <c r="AK446" i="54" s="1"/>
  <c r="Z445" i="54"/>
  <c r="AF445" i="54" s="1"/>
  <c r="AJ445" i="54" s="1"/>
  <c r="AJ446" i="54" s="1"/>
  <c r="AB405" i="54"/>
  <c r="AG405" i="54" s="1"/>
  <c r="AJ614" i="54" l="1"/>
  <c r="AJ615" i="54" s="1"/>
  <c r="AK383" i="54"/>
  <c r="AK384" i="54" s="1"/>
  <c r="AJ656" i="54"/>
  <c r="AJ657" i="54" s="1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J572" i="54"/>
  <c r="AJ573" i="54" s="1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K327" i="54"/>
  <c r="AK328" i="54" s="1"/>
  <c r="AK329" i="54" s="1"/>
  <c r="AK330" i="54" s="1"/>
  <c r="AK331" i="54" s="1"/>
  <c r="AK332" i="54" s="1"/>
  <c r="AK333" i="54" s="1"/>
  <c r="AK334" i="54" s="1"/>
  <c r="AK335" i="54" s="1"/>
  <c r="AK336" i="54" s="1"/>
  <c r="AK337" i="54" s="1"/>
  <c r="AK338" i="54" s="1"/>
  <c r="AK339" i="54" s="1"/>
  <c r="AK761" i="54"/>
  <c r="AK762" i="54" s="1"/>
  <c r="AL428" i="54"/>
  <c r="AL429" i="54" s="1"/>
  <c r="AL430" i="54" s="1"/>
  <c r="AL431" i="54" s="1"/>
  <c r="AL432" i="54" s="1"/>
  <c r="AL433" i="54" s="1"/>
  <c r="AL434" i="54" s="1"/>
  <c r="AL435" i="54" s="1"/>
  <c r="AL436" i="54" s="1"/>
  <c r="AL437" i="54" s="1"/>
  <c r="AL438" i="54" s="1"/>
  <c r="AL439" i="54" s="1"/>
  <c r="AL440" i="54" s="1"/>
  <c r="AL441" i="54" s="1"/>
  <c r="AL442" i="54" s="1"/>
  <c r="AL443" i="54" s="1"/>
  <c r="AL444" i="54" s="1"/>
  <c r="AJ699" i="54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J530" i="54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J427" i="54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L761" i="54"/>
  <c r="AL762" i="54" s="1"/>
  <c r="AL763" i="54" s="1"/>
  <c r="AL764" i="54" s="1"/>
  <c r="AL765" i="54" s="1"/>
  <c r="AL766" i="54" s="1"/>
  <c r="AL767" i="54" s="1"/>
  <c r="AL768" i="54" s="1"/>
  <c r="AL769" i="54" s="1"/>
  <c r="AL770" i="54" s="1"/>
  <c r="AL771" i="54" s="1"/>
  <c r="AL772" i="54" s="1"/>
  <c r="AL773" i="54" s="1"/>
  <c r="AL774" i="54" s="1"/>
  <c r="AL775" i="54" s="1"/>
  <c r="AL776" i="54" s="1"/>
  <c r="AL777" i="54" s="1"/>
  <c r="AL778" i="54" s="1"/>
  <c r="AL779" i="54" s="1"/>
  <c r="AL780" i="54" s="1"/>
  <c r="AL447" i="54"/>
  <c r="AL448" i="54" s="1"/>
  <c r="AL449" i="54" s="1"/>
  <c r="AL450" i="54" s="1"/>
  <c r="AL451" i="54" s="1"/>
  <c r="AL452" i="54" s="1"/>
  <c r="AL453" i="54" s="1"/>
  <c r="AL454" i="54" s="1"/>
  <c r="AL455" i="54" s="1"/>
  <c r="AL456" i="54" s="1"/>
  <c r="AL457" i="54" s="1"/>
  <c r="AL458" i="54" s="1"/>
  <c r="AL459" i="54" s="1"/>
  <c r="AL460" i="54" s="1"/>
  <c r="AL461" i="54" s="1"/>
  <c r="AL462" i="54" s="1"/>
  <c r="AL463" i="54" s="1"/>
  <c r="AL464" i="54" s="1"/>
  <c r="AL465" i="54" s="1"/>
  <c r="AJ362" i="54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K551" i="54"/>
  <c r="AK552" i="54" s="1"/>
  <c r="AK553" i="54" s="1"/>
  <c r="AK554" i="54" s="1"/>
  <c r="AK555" i="54" s="1"/>
  <c r="AK556" i="54" s="1"/>
  <c r="AK557" i="54" s="1"/>
  <c r="AK558" i="54" s="1"/>
  <c r="AK559" i="54" s="1"/>
  <c r="AK560" i="54" s="1"/>
  <c r="AK561" i="54" s="1"/>
  <c r="AK562" i="54" s="1"/>
  <c r="AK563" i="54" s="1"/>
  <c r="AK564" i="54" s="1"/>
  <c r="AK565" i="54" s="1"/>
  <c r="AK566" i="54" s="1"/>
  <c r="AK567" i="54" s="1"/>
  <c r="AK568" i="54" s="1"/>
  <c r="AK569" i="54" s="1"/>
  <c r="AK570" i="54" s="1"/>
  <c r="AK635" i="54"/>
  <c r="AK636" i="54" s="1"/>
  <c r="AK637" i="54" s="1"/>
  <c r="AK638" i="54" s="1"/>
  <c r="AK639" i="54" s="1"/>
  <c r="AK640" i="54" s="1"/>
  <c r="AK641" i="54" s="1"/>
  <c r="AK642" i="54" s="1"/>
  <c r="AK643" i="54" s="1"/>
  <c r="AK644" i="54" s="1"/>
  <c r="AK645" i="54" s="1"/>
  <c r="AK646" i="54" s="1"/>
  <c r="AK647" i="54" s="1"/>
  <c r="AK648" i="54" s="1"/>
  <c r="AK649" i="54" s="1"/>
  <c r="AK650" i="54" s="1"/>
  <c r="AK651" i="54" s="1"/>
  <c r="AK652" i="54" s="1"/>
  <c r="AK653" i="54" s="1"/>
  <c r="AK654" i="54" s="1"/>
  <c r="AJ719" i="54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447" i="54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K447" i="54"/>
  <c r="AK448" i="54" s="1"/>
  <c r="AK449" i="54" s="1"/>
  <c r="AK450" i="54" s="1"/>
  <c r="AK451" i="54" s="1"/>
  <c r="AK452" i="54" s="1"/>
  <c r="AK453" i="54" s="1"/>
  <c r="AK454" i="54" s="1"/>
  <c r="AK455" i="54" s="1"/>
  <c r="AK456" i="54" s="1"/>
  <c r="AK457" i="54" s="1"/>
  <c r="AK458" i="54" s="1"/>
  <c r="AK459" i="54" s="1"/>
  <c r="AK460" i="54" s="1"/>
  <c r="AK461" i="54" s="1"/>
  <c r="AK462" i="54" s="1"/>
  <c r="AK463" i="54" s="1"/>
  <c r="AK464" i="54" s="1"/>
  <c r="AK465" i="54" s="1"/>
  <c r="AK593" i="54"/>
  <c r="AK594" i="54" s="1"/>
  <c r="AK595" i="54" s="1"/>
  <c r="AK596" i="54" s="1"/>
  <c r="AK597" i="54" s="1"/>
  <c r="AK598" i="54" s="1"/>
  <c r="AK599" i="54" s="1"/>
  <c r="AK600" i="54" s="1"/>
  <c r="AK601" i="54" s="1"/>
  <c r="AK602" i="54" s="1"/>
  <c r="AK603" i="54" s="1"/>
  <c r="AK604" i="54" s="1"/>
  <c r="AK605" i="54" s="1"/>
  <c r="AK606" i="54" s="1"/>
  <c r="AK607" i="54" s="1"/>
  <c r="AK608" i="54" s="1"/>
  <c r="AK609" i="54" s="1"/>
  <c r="AK610" i="54" s="1"/>
  <c r="AK611" i="54" s="1"/>
  <c r="AK612" i="54" s="1"/>
  <c r="AK427" i="54"/>
  <c r="AK428" i="54" s="1"/>
  <c r="AK429" i="54" s="1"/>
  <c r="AK430" i="54" s="1"/>
  <c r="AK431" i="54" s="1"/>
  <c r="AK432" i="54" s="1"/>
  <c r="AK433" i="54" s="1"/>
  <c r="AK434" i="54" s="1"/>
  <c r="AK435" i="54" s="1"/>
  <c r="AK436" i="54" s="1"/>
  <c r="AK437" i="54" s="1"/>
  <c r="AK438" i="54" s="1"/>
  <c r="AK439" i="54" s="1"/>
  <c r="AK440" i="54" s="1"/>
  <c r="AK441" i="54" s="1"/>
  <c r="AK442" i="54" s="1"/>
  <c r="AK443" i="54" s="1"/>
  <c r="AK444" i="54" s="1"/>
  <c r="AK698" i="54"/>
  <c r="AK699" i="54" s="1"/>
  <c r="AK700" i="54" s="1"/>
  <c r="AK701" i="54" s="1"/>
  <c r="AK702" i="54" s="1"/>
  <c r="AK703" i="54" s="1"/>
  <c r="AK704" i="54" s="1"/>
  <c r="AK705" i="54" s="1"/>
  <c r="AK706" i="54" s="1"/>
  <c r="AK707" i="54" s="1"/>
  <c r="AK708" i="54" s="1"/>
  <c r="AK709" i="54" s="1"/>
  <c r="AK710" i="54" s="1"/>
  <c r="AK711" i="54" s="1"/>
  <c r="AK712" i="54" s="1"/>
  <c r="AK713" i="54" s="1"/>
  <c r="AK714" i="54" s="1"/>
  <c r="AK715" i="54" s="1"/>
  <c r="AK716" i="54" s="1"/>
  <c r="AK717" i="54" s="1"/>
  <c r="AL677" i="54"/>
  <c r="AL678" i="54" s="1"/>
  <c r="AL679" i="54" s="1"/>
  <c r="AL680" i="54" s="1"/>
  <c r="AL681" i="54" s="1"/>
  <c r="AL682" i="54" s="1"/>
  <c r="AL683" i="54" s="1"/>
  <c r="AL684" i="54" s="1"/>
  <c r="AL685" i="54" s="1"/>
  <c r="AL686" i="54" s="1"/>
  <c r="AL687" i="54" s="1"/>
  <c r="AL688" i="54" s="1"/>
  <c r="AL689" i="54" s="1"/>
  <c r="AL690" i="54" s="1"/>
  <c r="AL691" i="54" s="1"/>
  <c r="AL692" i="54" s="1"/>
  <c r="AL693" i="54" s="1"/>
  <c r="AL694" i="54" s="1"/>
  <c r="AL695" i="54" s="1"/>
  <c r="AL696" i="54" s="1"/>
  <c r="U80" i="53"/>
  <c r="AK530" i="54"/>
  <c r="AK531" i="54" s="1"/>
  <c r="AK532" i="54" s="1"/>
  <c r="AK533" i="54" s="1"/>
  <c r="AK534" i="54" s="1"/>
  <c r="AK535" i="54" s="1"/>
  <c r="AK536" i="54" s="1"/>
  <c r="AK537" i="54" s="1"/>
  <c r="AK538" i="54" s="1"/>
  <c r="AK539" i="54" s="1"/>
  <c r="AK540" i="54" s="1"/>
  <c r="AK541" i="54" s="1"/>
  <c r="AK542" i="54" s="1"/>
  <c r="AK543" i="54" s="1"/>
  <c r="AK544" i="54" s="1"/>
  <c r="AK545" i="54" s="1"/>
  <c r="AK546" i="54" s="1"/>
  <c r="AK547" i="54" s="1"/>
  <c r="AK548" i="54" s="1"/>
  <c r="AK549" i="54" s="1"/>
  <c r="AJ635" i="54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K763" i="54"/>
  <c r="AK764" i="54" s="1"/>
  <c r="AK765" i="54" s="1"/>
  <c r="AK766" i="54" s="1"/>
  <c r="AK767" i="54" s="1"/>
  <c r="AK768" i="54" s="1"/>
  <c r="AK769" i="54" s="1"/>
  <c r="AK770" i="54" s="1"/>
  <c r="AK771" i="54" s="1"/>
  <c r="AK772" i="54" s="1"/>
  <c r="AK773" i="54" s="1"/>
  <c r="AK774" i="54" s="1"/>
  <c r="AK775" i="54" s="1"/>
  <c r="AK776" i="54" s="1"/>
  <c r="AK777" i="54" s="1"/>
  <c r="AK778" i="54" s="1"/>
  <c r="AK779" i="54" s="1"/>
  <c r="AK780" i="54" s="1"/>
  <c r="AL327" i="54"/>
  <c r="AL328" i="54" s="1"/>
  <c r="AL329" i="54" s="1"/>
  <c r="AL330" i="54" s="1"/>
  <c r="AL331" i="54" s="1"/>
  <c r="AL332" i="54" s="1"/>
  <c r="AL333" i="54" s="1"/>
  <c r="AL334" i="54" s="1"/>
  <c r="AL335" i="54" s="1"/>
  <c r="AL336" i="54" s="1"/>
  <c r="AL337" i="54" s="1"/>
  <c r="AL338" i="54" s="1"/>
  <c r="AL339" i="54" s="1"/>
  <c r="AL698" i="54"/>
  <c r="AL699" i="54" s="1"/>
  <c r="AL700" i="54" s="1"/>
  <c r="AL701" i="54" s="1"/>
  <c r="AL702" i="54" s="1"/>
  <c r="AL703" i="54" s="1"/>
  <c r="AL704" i="54" s="1"/>
  <c r="AL705" i="54" s="1"/>
  <c r="AL706" i="54" s="1"/>
  <c r="AL707" i="54" s="1"/>
  <c r="AL708" i="54" s="1"/>
  <c r="AL709" i="54" s="1"/>
  <c r="AL710" i="54" s="1"/>
  <c r="AL711" i="54" s="1"/>
  <c r="AL712" i="54" s="1"/>
  <c r="AL713" i="54" s="1"/>
  <c r="AL714" i="54" s="1"/>
  <c r="AL715" i="54" s="1"/>
  <c r="AL716" i="54" s="1"/>
  <c r="AL717" i="54" s="1"/>
  <c r="AL593" i="54"/>
  <c r="AL594" i="54" s="1"/>
  <c r="AL595" i="54" s="1"/>
  <c r="AL596" i="54" s="1"/>
  <c r="AL597" i="54" s="1"/>
  <c r="AL598" i="54" s="1"/>
  <c r="AL599" i="54" s="1"/>
  <c r="AL600" i="54" s="1"/>
  <c r="AL601" i="54" s="1"/>
  <c r="AL602" i="54" s="1"/>
  <c r="AL603" i="54" s="1"/>
  <c r="AL604" i="54" s="1"/>
  <c r="AL605" i="54" s="1"/>
  <c r="AL606" i="54" s="1"/>
  <c r="AL607" i="54" s="1"/>
  <c r="AL608" i="54" s="1"/>
  <c r="AL609" i="54" s="1"/>
  <c r="AL610" i="54" s="1"/>
  <c r="AL611" i="54" s="1"/>
  <c r="AL612" i="54" s="1"/>
  <c r="AJ327" i="54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J339" i="54" s="1"/>
  <c r="AL468" i="54"/>
  <c r="AL469" i="54" s="1"/>
  <c r="AL470" i="54" s="1"/>
  <c r="AL471" i="54" s="1"/>
  <c r="AL472" i="54" s="1"/>
  <c r="AL473" i="54" s="1"/>
  <c r="AL474" i="54" s="1"/>
  <c r="AL475" i="54" s="1"/>
  <c r="AL476" i="54" s="1"/>
  <c r="AL477" i="54" s="1"/>
  <c r="AL478" i="54" s="1"/>
  <c r="AL479" i="54" s="1"/>
  <c r="AL480" i="54" s="1"/>
  <c r="AL481" i="54" s="1"/>
  <c r="AL482" i="54" s="1"/>
  <c r="AL483" i="54" s="1"/>
  <c r="AL484" i="54" s="1"/>
  <c r="AL485" i="54" s="1"/>
  <c r="AL486" i="54" s="1"/>
  <c r="AK509" i="54"/>
  <c r="AK510" i="54" s="1"/>
  <c r="AK511" i="54" s="1"/>
  <c r="AK512" i="54" s="1"/>
  <c r="AK513" i="54" s="1"/>
  <c r="AK514" i="54" s="1"/>
  <c r="AK515" i="54" s="1"/>
  <c r="AK516" i="54" s="1"/>
  <c r="AK517" i="54" s="1"/>
  <c r="AK518" i="54" s="1"/>
  <c r="AK519" i="54" s="1"/>
  <c r="AK520" i="54" s="1"/>
  <c r="AK521" i="54" s="1"/>
  <c r="AK522" i="54" s="1"/>
  <c r="AK523" i="54" s="1"/>
  <c r="AK524" i="54" s="1"/>
  <c r="AK525" i="54" s="1"/>
  <c r="AK526" i="54" s="1"/>
  <c r="AK527" i="54" s="1"/>
  <c r="AK528" i="54" s="1"/>
  <c r="AJ616" i="54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K362" i="54"/>
  <c r="AK363" i="54" s="1"/>
  <c r="AK364" i="54" s="1"/>
  <c r="AK365" i="54" s="1"/>
  <c r="AK366" i="54" s="1"/>
  <c r="AK367" i="54" s="1"/>
  <c r="AK368" i="54" s="1"/>
  <c r="AK369" i="54" s="1"/>
  <c r="AK370" i="54" s="1"/>
  <c r="AK371" i="54" s="1"/>
  <c r="AK372" i="54" s="1"/>
  <c r="AK373" i="54" s="1"/>
  <c r="AK374" i="54" s="1"/>
  <c r="AK375" i="54" s="1"/>
  <c r="AK376" i="54" s="1"/>
  <c r="AK377" i="54" s="1"/>
  <c r="AK378" i="54" s="1"/>
  <c r="AK379" i="54" s="1"/>
  <c r="AK380" i="54" s="1"/>
  <c r="AK381" i="54" s="1"/>
  <c r="AL362" i="54"/>
  <c r="AL363" i="54" s="1"/>
  <c r="AL364" i="54" s="1"/>
  <c r="AL365" i="54" s="1"/>
  <c r="AL366" i="54" s="1"/>
  <c r="AL367" i="54" s="1"/>
  <c r="AL368" i="54" s="1"/>
  <c r="AL369" i="54" s="1"/>
  <c r="AL370" i="54" s="1"/>
  <c r="AL371" i="54" s="1"/>
  <c r="AL372" i="54" s="1"/>
  <c r="AL373" i="54" s="1"/>
  <c r="AL374" i="54" s="1"/>
  <c r="AL375" i="54" s="1"/>
  <c r="AL376" i="54" s="1"/>
  <c r="AL377" i="54" s="1"/>
  <c r="AL378" i="54" s="1"/>
  <c r="AL379" i="54" s="1"/>
  <c r="AL380" i="54" s="1"/>
  <c r="AL381" i="54" s="1"/>
  <c r="AK341" i="54"/>
  <c r="AK342" i="54" s="1"/>
  <c r="AK343" i="54" s="1"/>
  <c r="AK344" i="54" s="1"/>
  <c r="AK345" i="54" s="1"/>
  <c r="AK346" i="54" s="1"/>
  <c r="AK347" i="54" s="1"/>
  <c r="AK348" i="54" s="1"/>
  <c r="AK349" i="54" s="1"/>
  <c r="AK350" i="54" s="1"/>
  <c r="AK351" i="54" s="1"/>
  <c r="AK352" i="54" s="1"/>
  <c r="AK353" i="54" s="1"/>
  <c r="AK354" i="54" s="1"/>
  <c r="AK355" i="54" s="1"/>
  <c r="AK356" i="54" s="1"/>
  <c r="AK357" i="54" s="1"/>
  <c r="AK358" i="54" s="1"/>
  <c r="AK359" i="54" s="1"/>
  <c r="AK360" i="54" s="1"/>
  <c r="AL341" i="54"/>
  <c r="AL342" i="54" s="1"/>
  <c r="AL343" i="54" s="1"/>
  <c r="AL344" i="54" s="1"/>
  <c r="AL345" i="54" s="1"/>
  <c r="AL346" i="54" s="1"/>
  <c r="AL347" i="54" s="1"/>
  <c r="AL348" i="54" s="1"/>
  <c r="AL349" i="54" s="1"/>
  <c r="AL350" i="54" s="1"/>
  <c r="AL351" i="54" s="1"/>
  <c r="AL352" i="54" s="1"/>
  <c r="AL353" i="54" s="1"/>
  <c r="AL354" i="54" s="1"/>
  <c r="AL355" i="54" s="1"/>
  <c r="AL356" i="54" s="1"/>
  <c r="AL357" i="54" s="1"/>
  <c r="AL358" i="54" s="1"/>
  <c r="AL359" i="54" s="1"/>
  <c r="AL360" i="54" s="1"/>
  <c r="AL740" i="54"/>
  <c r="AL741" i="54" s="1"/>
  <c r="AL742" i="54" s="1"/>
  <c r="AL743" i="54" s="1"/>
  <c r="AL744" i="54" s="1"/>
  <c r="AL745" i="54" s="1"/>
  <c r="AL746" i="54" s="1"/>
  <c r="AL747" i="54" s="1"/>
  <c r="AL748" i="54" s="1"/>
  <c r="AL749" i="54" s="1"/>
  <c r="AL750" i="54" s="1"/>
  <c r="AL751" i="54" s="1"/>
  <c r="AL752" i="54" s="1"/>
  <c r="AL753" i="54" s="1"/>
  <c r="AL754" i="54" s="1"/>
  <c r="AL755" i="54" s="1"/>
  <c r="AL756" i="54" s="1"/>
  <c r="AL757" i="54" s="1"/>
  <c r="AL758" i="54" s="1"/>
  <c r="AL759" i="54" s="1"/>
  <c r="AL509" i="54"/>
  <c r="AL510" i="54" s="1"/>
  <c r="AL511" i="54" s="1"/>
  <c r="AL512" i="54" s="1"/>
  <c r="AL513" i="54" s="1"/>
  <c r="AL514" i="54" s="1"/>
  <c r="AL515" i="54" s="1"/>
  <c r="AL516" i="54" s="1"/>
  <c r="AL517" i="54" s="1"/>
  <c r="AL518" i="54" s="1"/>
  <c r="AL519" i="54" s="1"/>
  <c r="AL520" i="54" s="1"/>
  <c r="AL521" i="54" s="1"/>
  <c r="AL522" i="54" s="1"/>
  <c r="AL523" i="54" s="1"/>
  <c r="AL524" i="54" s="1"/>
  <c r="AL525" i="54" s="1"/>
  <c r="AL526" i="54" s="1"/>
  <c r="AL527" i="54" s="1"/>
  <c r="AL528" i="54" s="1"/>
  <c r="AL488" i="54"/>
  <c r="AL489" i="54" s="1"/>
  <c r="AL490" i="54" s="1"/>
  <c r="AL491" i="54" s="1"/>
  <c r="AL492" i="54" s="1"/>
  <c r="AL493" i="54" s="1"/>
  <c r="AL494" i="54" s="1"/>
  <c r="AL495" i="54" s="1"/>
  <c r="AL496" i="54" s="1"/>
  <c r="AL497" i="54" s="1"/>
  <c r="AL498" i="54" s="1"/>
  <c r="AL499" i="54" s="1"/>
  <c r="AL500" i="54" s="1"/>
  <c r="AL501" i="54" s="1"/>
  <c r="AL502" i="54" s="1"/>
  <c r="AL503" i="54" s="1"/>
  <c r="AL504" i="54" s="1"/>
  <c r="AL505" i="54" s="1"/>
  <c r="AL506" i="54" s="1"/>
  <c r="AL507" i="54" s="1"/>
  <c r="AJ551" i="54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488" i="54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K572" i="54"/>
  <c r="AK573" i="54" s="1"/>
  <c r="AK574" i="54" s="1"/>
  <c r="AK575" i="54" s="1"/>
  <c r="AK576" i="54" s="1"/>
  <c r="AK577" i="54" s="1"/>
  <c r="AK578" i="54" s="1"/>
  <c r="AK579" i="54" s="1"/>
  <c r="AK580" i="54" s="1"/>
  <c r="AK581" i="54" s="1"/>
  <c r="AK582" i="54" s="1"/>
  <c r="AK583" i="54" s="1"/>
  <c r="AK584" i="54" s="1"/>
  <c r="AK585" i="54" s="1"/>
  <c r="AK586" i="54" s="1"/>
  <c r="AK587" i="54" s="1"/>
  <c r="AK588" i="54" s="1"/>
  <c r="AK589" i="54" s="1"/>
  <c r="AK590" i="54" s="1"/>
  <c r="AK591" i="54" s="1"/>
  <c r="AJ677" i="54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740" i="54"/>
  <c r="AJ741" i="54" s="1"/>
  <c r="AJ742" i="54" s="1"/>
  <c r="AJ743" i="54" s="1"/>
  <c r="AJ744" i="54" s="1"/>
  <c r="AJ745" i="54" s="1"/>
  <c r="AJ746" i="54" s="1"/>
  <c r="AJ747" i="54" s="1"/>
  <c r="AJ748" i="54" s="1"/>
  <c r="AJ749" i="54" s="1"/>
  <c r="AJ750" i="54" s="1"/>
  <c r="AJ751" i="54" s="1"/>
  <c r="AJ752" i="54" s="1"/>
  <c r="AJ753" i="54" s="1"/>
  <c r="AJ754" i="54" s="1"/>
  <c r="AJ755" i="54" s="1"/>
  <c r="AJ756" i="54" s="1"/>
  <c r="AJ757" i="54" s="1"/>
  <c r="AJ758" i="54" s="1"/>
  <c r="AJ759" i="54" s="1"/>
  <c r="AJ341" i="54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J360" i="54" s="1"/>
  <c r="AK614" i="54"/>
  <c r="AK615" i="54" s="1"/>
  <c r="AK616" i="54" s="1"/>
  <c r="AK617" i="54" s="1"/>
  <c r="AK618" i="54" s="1"/>
  <c r="AK619" i="54" s="1"/>
  <c r="AK620" i="54" s="1"/>
  <c r="AK621" i="54" s="1"/>
  <c r="AK622" i="54" s="1"/>
  <c r="AK623" i="54" s="1"/>
  <c r="AK624" i="54" s="1"/>
  <c r="AK625" i="54" s="1"/>
  <c r="AK626" i="54" s="1"/>
  <c r="AK627" i="54" s="1"/>
  <c r="AK628" i="54" s="1"/>
  <c r="AK629" i="54" s="1"/>
  <c r="AK630" i="54" s="1"/>
  <c r="AK631" i="54" s="1"/>
  <c r="AK632" i="54" s="1"/>
  <c r="AK633" i="54" s="1"/>
  <c r="AK488" i="54"/>
  <c r="AK489" i="54" s="1"/>
  <c r="AK490" i="54" s="1"/>
  <c r="AK491" i="54" s="1"/>
  <c r="AK492" i="54" s="1"/>
  <c r="AK493" i="54" s="1"/>
  <c r="AK494" i="54" s="1"/>
  <c r="AK495" i="54" s="1"/>
  <c r="AK496" i="54" s="1"/>
  <c r="AK497" i="54" s="1"/>
  <c r="AK498" i="54" s="1"/>
  <c r="AK499" i="54" s="1"/>
  <c r="AK500" i="54" s="1"/>
  <c r="AK501" i="54" s="1"/>
  <c r="AK502" i="54" s="1"/>
  <c r="AK503" i="54" s="1"/>
  <c r="AK504" i="54" s="1"/>
  <c r="AK505" i="54" s="1"/>
  <c r="AK506" i="54" s="1"/>
  <c r="AK507" i="54" s="1"/>
  <c r="AK405" i="54"/>
  <c r="AK406" i="54" s="1"/>
  <c r="AK407" i="54" s="1"/>
  <c r="AK408" i="54" s="1"/>
  <c r="AK409" i="54" s="1"/>
  <c r="AK410" i="54" s="1"/>
  <c r="AK411" i="54" s="1"/>
  <c r="AK412" i="54" s="1"/>
  <c r="AK413" i="54" s="1"/>
  <c r="AK414" i="54" s="1"/>
  <c r="AK415" i="54" s="1"/>
  <c r="AK416" i="54" s="1"/>
  <c r="AK417" i="54" s="1"/>
  <c r="AK418" i="54" s="1"/>
  <c r="AK419" i="54" s="1"/>
  <c r="AK420" i="54" s="1"/>
  <c r="AK421" i="54" s="1"/>
  <c r="AK422" i="54" s="1"/>
  <c r="AK423" i="54" s="1"/>
  <c r="AJ405" i="54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L405" i="54"/>
  <c r="AL406" i="54" s="1"/>
  <c r="AL407" i="54" s="1"/>
  <c r="AL408" i="54" s="1"/>
  <c r="AL409" i="54" s="1"/>
  <c r="AL410" i="54" s="1"/>
  <c r="AL411" i="54" s="1"/>
  <c r="AL412" i="54" s="1"/>
  <c r="AL413" i="54" s="1"/>
  <c r="AL414" i="54" s="1"/>
  <c r="AL415" i="54" s="1"/>
  <c r="AL416" i="54" s="1"/>
  <c r="AL417" i="54" s="1"/>
  <c r="AL418" i="54" s="1"/>
  <c r="AL419" i="54" s="1"/>
  <c r="AL420" i="54" s="1"/>
  <c r="AL421" i="54" s="1"/>
  <c r="AL422" i="54" s="1"/>
  <c r="AL423" i="54" s="1"/>
  <c r="AL383" i="54"/>
  <c r="AL384" i="54" s="1"/>
  <c r="AL385" i="54" s="1"/>
  <c r="AL386" i="54" s="1"/>
  <c r="AL387" i="54" s="1"/>
  <c r="AL388" i="54" s="1"/>
  <c r="AL389" i="54" s="1"/>
  <c r="AL390" i="54" s="1"/>
  <c r="AL391" i="54" s="1"/>
  <c r="AL392" i="54" s="1"/>
  <c r="AL393" i="54" s="1"/>
  <c r="AL394" i="54" s="1"/>
  <c r="AL395" i="54" s="1"/>
  <c r="AL396" i="54" s="1"/>
  <c r="AL397" i="54" s="1"/>
  <c r="AL398" i="54" s="1"/>
  <c r="AL399" i="54" s="1"/>
  <c r="AL400" i="54" s="1"/>
  <c r="AL401" i="54" s="1"/>
  <c r="AL402" i="54" s="1"/>
  <c r="AL530" i="54"/>
  <c r="AL531" i="54" s="1"/>
  <c r="AL532" i="54" s="1"/>
  <c r="AL533" i="54" s="1"/>
  <c r="AL534" i="54" s="1"/>
  <c r="AL535" i="54" s="1"/>
  <c r="AL536" i="54" s="1"/>
  <c r="AL537" i="54" s="1"/>
  <c r="AL538" i="54" s="1"/>
  <c r="AL539" i="54" s="1"/>
  <c r="AL540" i="54" s="1"/>
  <c r="AL541" i="54" s="1"/>
  <c r="AL542" i="54" s="1"/>
  <c r="AL543" i="54" s="1"/>
  <c r="AL544" i="54" s="1"/>
  <c r="AL545" i="54" s="1"/>
  <c r="AL546" i="54" s="1"/>
  <c r="AL547" i="54" s="1"/>
  <c r="AL548" i="54" s="1"/>
  <c r="AL549" i="54" s="1"/>
  <c r="AK656" i="54"/>
  <c r="AK657" i="54" s="1"/>
  <c r="AK658" i="54" s="1"/>
  <c r="AK659" i="54" s="1"/>
  <c r="AK660" i="54" s="1"/>
  <c r="AK661" i="54" s="1"/>
  <c r="AK662" i="54" s="1"/>
  <c r="AK663" i="54" s="1"/>
  <c r="AK664" i="54" s="1"/>
  <c r="AK665" i="54" s="1"/>
  <c r="AK666" i="54" s="1"/>
  <c r="AK667" i="54" s="1"/>
  <c r="AK668" i="54" s="1"/>
  <c r="AK669" i="54" s="1"/>
  <c r="AK670" i="54" s="1"/>
  <c r="AK671" i="54" s="1"/>
  <c r="AK672" i="54" s="1"/>
  <c r="AK673" i="54" s="1"/>
  <c r="AK674" i="54" s="1"/>
  <c r="AK675" i="54" s="1"/>
  <c r="AJ593" i="54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K740" i="54"/>
  <c r="AK741" i="54" s="1"/>
  <c r="AK742" i="54" s="1"/>
  <c r="AK743" i="54" s="1"/>
  <c r="AK744" i="54" s="1"/>
  <c r="AK745" i="54" s="1"/>
  <c r="AK746" i="54" s="1"/>
  <c r="AK747" i="54" s="1"/>
  <c r="AK748" i="54" s="1"/>
  <c r="AK749" i="54" s="1"/>
  <c r="AK750" i="54" s="1"/>
  <c r="AK751" i="54" s="1"/>
  <c r="AK752" i="54" s="1"/>
  <c r="AK753" i="54" s="1"/>
  <c r="AK754" i="54" s="1"/>
  <c r="AK755" i="54" s="1"/>
  <c r="AK756" i="54" s="1"/>
  <c r="AK757" i="54" s="1"/>
  <c r="AK758" i="54" s="1"/>
  <c r="AK759" i="54" s="1"/>
  <c r="AJ761" i="54"/>
  <c r="AJ762" i="54" s="1"/>
  <c r="AJ763" i="54" s="1"/>
  <c r="AJ764" i="54" s="1"/>
  <c r="AJ765" i="54" s="1"/>
  <c r="AJ766" i="54" s="1"/>
  <c r="AJ767" i="54" s="1"/>
  <c r="AJ768" i="54" s="1"/>
  <c r="AJ769" i="54" s="1"/>
  <c r="AJ770" i="54" s="1"/>
  <c r="AJ771" i="54" s="1"/>
  <c r="AJ772" i="54" s="1"/>
  <c r="AJ773" i="54" s="1"/>
  <c r="AJ774" i="54" s="1"/>
  <c r="AJ775" i="54" s="1"/>
  <c r="AJ776" i="54" s="1"/>
  <c r="AJ777" i="54" s="1"/>
  <c r="AJ778" i="54" s="1"/>
  <c r="AJ779" i="54" s="1"/>
  <c r="AJ780" i="54" s="1"/>
  <c r="AJ383" i="54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L719" i="54"/>
  <c r="AL720" i="54" s="1"/>
  <c r="AL721" i="54" s="1"/>
  <c r="AL722" i="54" s="1"/>
  <c r="AL723" i="54" s="1"/>
  <c r="AL724" i="54" s="1"/>
  <c r="AL725" i="54" s="1"/>
  <c r="AL726" i="54" s="1"/>
  <c r="AL727" i="54" s="1"/>
  <c r="AL728" i="54" s="1"/>
  <c r="AL729" i="54" s="1"/>
  <c r="AL730" i="54" s="1"/>
  <c r="AL731" i="54" s="1"/>
  <c r="AL732" i="54" s="1"/>
  <c r="AL733" i="54" s="1"/>
  <c r="AL734" i="54" s="1"/>
  <c r="AL735" i="54" s="1"/>
  <c r="AL736" i="54" s="1"/>
  <c r="AL737" i="54" s="1"/>
  <c r="AL738" i="54" s="1"/>
  <c r="AL635" i="54"/>
  <c r="AL636" i="54" s="1"/>
  <c r="AL637" i="54" s="1"/>
  <c r="AL638" i="54" s="1"/>
  <c r="AL639" i="54" s="1"/>
  <c r="AL640" i="54" s="1"/>
  <c r="AL641" i="54" s="1"/>
  <c r="AL642" i="54" s="1"/>
  <c r="AL643" i="54" s="1"/>
  <c r="AL644" i="54" s="1"/>
  <c r="AL645" i="54" s="1"/>
  <c r="AL646" i="54" s="1"/>
  <c r="AL647" i="54" s="1"/>
  <c r="AL648" i="54" s="1"/>
  <c r="AL649" i="54" s="1"/>
  <c r="AL650" i="54" s="1"/>
  <c r="AL651" i="54" s="1"/>
  <c r="AL652" i="54" s="1"/>
  <c r="AL653" i="54" s="1"/>
  <c r="AL654" i="54" s="1"/>
  <c r="AL614" i="54"/>
  <c r="AL615" i="54" s="1"/>
  <c r="AL616" i="54" s="1"/>
  <c r="AL617" i="54" s="1"/>
  <c r="AL618" i="54" s="1"/>
  <c r="AL619" i="54" s="1"/>
  <c r="AL620" i="54" s="1"/>
  <c r="AL621" i="54" s="1"/>
  <c r="AL622" i="54" s="1"/>
  <c r="AL623" i="54" s="1"/>
  <c r="AL624" i="54" s="1"/>
  <c r="AL625" i="54" s="1"/>
  <c r="AL626" i="54" s="1"/>
  <c r="AL627" i="54" s="1"/>
  <c r="AL628" i="54" s="1"/>
  <c r="AL629" i="54" s="1"/>
  <c r="AL630" i="54" s="1"/>
  <c r="AL631" i="54" s="1"/>
  <c r="AL632" i="54" s="1"/>
  <c r="AL633" i="54" s="1"/>
  <c r="AL572" i="54"/>
  <c r="AL573" i="54" s="1"/>
  <c r="AL574" i="54" s="1"/>
  <c r="AL575" i="54" s="1"/>
  <c r="AL576" i="54" s="1"/>
  <c r="AL577" i="54" s="1"/>
  <c r="AL578" i="54" s="1"/>
  <c r="AL579" i="54" s="1"/>
  <c r="AL580" i="54" s="1"/>
  <c r="AL581" i="54" s="1"/>
  <c r="AL582" i="54" s="1"/>
  <c r="AL583" i="54" s="1"/>
  <c r="AL584" i="54" s="1"/>
  <c r="AL585" i="54" s="1"/>
  <c r="AL586" i="54" s="1"/>
  <c r="AL587" i="54" s="1"/>
  <c r="AL588" i="54" s="1"/>
  <c r="AL589" i="54" s="1"/>
  <c r="AL590" i="54" s="1"/>
  <c r="AL591" i="54" s="1"/>
  <c r="AL551" i="54"/>
  <c r="AL552" i="54" s="1"/>
  <c r="AL553" i="54" s="1"/>
  <c r="AL554" i="54" s="1"/>
  <c r="AL555" i="54" s="1"/>
  <c r="AL556" i="54" s="1"/>
  <c r="AL557" i="54" s="1"/>
  <c r="AL558" i="54" s="1"/>
  <c r="AL559" i="54" s="1"/>
  <c r="AL560" i="54" s="1"/>
  <c r="AL561" i="54" s="1"/>
  <c r="AL562" i="54" s="1"/>
  <c r="AL563" i="54" s="1"/>
  <c r="AL564" i="54" s="1"/>
  <c r="AL565" i="54" s="1"/>
  <c r="AL566" i="54" s="1"/>
  <c r="AL567" i="54" s="1"/>
  <c r="AL568" i="54" s="1"/>
  <c r="AL569" i="54" s="1"/>
  <c r="AL570" i="54" s="1"/>
  <c r="AL656" i="54"/>
  <c r="AL657" i="54" s="1"/>
  <c r="AL658" i="54" s="1"/>
  <c r="AL659" i="54" s="1"/>
  <c r="AL660" i="54" s="1"/>
  <c r="AL661" i="54" s="1"/>
  <c r="AL662" i="54" s="1"/>
  <c r="AL663" i="54" s="1"/>
  <c r="AL664" i="54" s="1"/>
  <c r="AL665" i="54" s="1"/>
  <c r="AL666" i="54" s="1"/>
  <c r="AL667" i="54" s="1"/>
  <c r="AL668" i="54" s="1"/>
  <c r="AL669" i="54" s="1"/>
  <c r="AL670" i="54" s="1"/>
  <c r="AL671" i="54" s="1"/>
  <c r="AL672" i="54" s="1"/>
  <c r="AL673" i="54" s="1"/>
  <c r="AL674" i="54" s="1"/>
  <c r="AL675" i="54" s="1"/>
  <c r="AK677" i="54"/>
  <c r="AK678" i="54" s="1"/>
  <c r="AK679" i="54" s="1"/>
  <c r="AK680" i="54" s="1"/>
  <c r="AK681" i="54" s="1"/>
  <c r="AK682" i="54" s="1"/>
  <c r="AK683" i="54" s="1"/>
  <c r="AK684" i="54" s="1"/>
  <c r="AK685" i="54" s="1"/>
  <c r="AK686" i="54" s="1"/>
  <c r="AK687" i="54" s="1"/>
  <c r="AK688" i="54" s="1"/>
  <c r="AK689" i="54" s="1"/>
  <c r="AK690" i="54" s="1"/>
  <c r="AK691" i="54" s="1"/>
  <c r="AK692" i="54" s="1"/>
  <c r="AK693" i="54" s="1"/>
  <c r="AK694" i="54" s="1"/>
  <c r="AK695" i="54" s="1"/>
  <c r="AK696" i="54" s="1"/>
  <c r="AK719" i="54"/>
  <c r="AK720" i="54" s="1"/>
  <c r="AK721" i="54" s="1"/>
  <c r="AK722" i="54" s="1"/>
  <c r="AK723" i="54" s="1"/>
  <c r="AK724" i="54" s="1"/>
  <c r="AK725" i="54" s="1"/>
  <c r="AK726" i="54" s="1"/>
  <c r="AK727" i="54" s="1"/>
  <c r="AK728" i="54" s="1"/>
  <c r="AK729" i="54" s="1"/>
  <c r="AK730" i="54" s="1"/>
  <c r="AK731" i="54" s="1"/>
  <c r="AK732" i="54" s="1"/>
  <c r="AK733" i="54" s="1"/>
  <c r="AK734" i="54" s="1"/>
  <c r="AK735" i="54" s="1"/>
  <c r="AK736" i="54" s="1"/>
  <c r="AK737" i="54" s="1"/>
  <c r="AK738" i="54" s="1"/>
  <c r="AK385" i="54"/>
  <c r="AK386" i="54" s="1"/>
  <c r="AK387" i="54" s="1"/>
  <c r="AK388" i="54" s="1"/>
  <c r="AK389" i="54" s="1"/>
  <c r="AK390" i="54" s="1"/>
  <c r="AK391" i="54" s="1"/>
  <c r="AK392" i="54" s="1"/>
  <c r="AK393" i="54" s="1"/>
  <c r="AK394" i="54" s="1"/>
  <c r="AK395" i="54" s="1"/>
  <c r="AK396" i="54" s="1"/>
  <c r="AK397" i="54" s="1"/>
  <c r="AK398" i="54" s="1"/>
  <c r="AK399" i="54" s="1"/>
  <c r="AK400" i="54" s="1"/>
  <c r="AK401" i="54" s="1"/>
  <c r="AK402" i="54" s="1"/>
  <c r="AJ468" i="54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K468" i="54"/>
  <c r="AK469" i="54" s="1"/>
  <c r="AK470" i="54" s="1"/>
  <c r="AK471" i="54" s="1"/>
  <c r="AK472" i="54" s="1"/>
  <c r="AK473" i="54" s="1"/>
  <c r="AK474" i="54" s="1"/>
  <c r="AK475" i="54" s="1"/>
  <c r="AK476" i="54" s="1"/>
  <c r="AK477" i="54" s="1"/>
  <c r="AK478" i="54" s="1"/>
  <c r="AK479" i="54" s="1"/>
  <c r="AK480" i="54" s="1"/>
  <c r="AK481" i="54" s="1"/>
  <c r="AK482" i="54" s="1"/>
  <c r="AK483" i="54" s="1"/>
  <c r="AK484" i="54" s="1"/>
  <c r="AK485" i="54" s="1"/>
  <c r="AK486" i="54" s="1"/>
  <c r="AJ509" i="54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O79" i="53"/>
  <c r="N79" i="53"/>
  <c r="T69" i="53"/>
  <c r="V69" i="53"/>
  <c r="V80" i="53" l="1"/>
  <c r="T80" i="53"/>
</calcChain>
</file>

<file path=xl/sharedStrings.xml><?xml version="1.0" encoding="utf-8"?>
<sst xmlns="http://schemas.openxmlformats.org/spreadsheetml/2006/main" count="8592" uniqueCount="921">
  <si>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</si>
  <si>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</si>
  <si>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</si>
  <si>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</si>
  <si>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</si>
  <si>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</si>
  <si>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</si>
  <si>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</si>
  <si>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</si>
  <si>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</si>
  <si>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</si>
  <si>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</si>
  <si>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</si>
  <si>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</si>
  <si>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</si>
  <si>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</si>
  <si>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</si>
  <si>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</si>
  <si>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</si>
  <si>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</si>
  <si>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</si>
  <si>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</si>
  <si>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</si>
  <si>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</si>
  <si>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</si>
  <si>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</si>
  <si>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</si>
  <si>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</si>
  <si>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</si>
  <si>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</si>
  <si>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</si>
  <si>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</si>
  <si>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</si>
  <si>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</si>
  <si>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</si>
  <si>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</si>
  <si>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</si>
  <si>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</si>
  <si>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</si>
  <si>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</si>
  <si>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</si>
  <si>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</si>
  <si>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</si>
  <si>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</si>
  <si>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</si>
  <si>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</si>
  <si>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</si>
  <si>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</si>
  <si>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</si>
  <si>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</si>
  <si>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</si>
  <si>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</si>
  <si>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</si>
  <si>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</si>
  <si>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</si>
  <si>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</si>
  <si>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</si>
  <si>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</si>
  <si>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</si>
  <si>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</si>
  <si>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</si>
  <si>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</si>
  <si>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</si>
  <si>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</si>
  <si>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</si>
  <si>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</si>
  <si>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</si>
  <si>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</si>
  <si>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</si>
  <si>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</si>
  <si>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</si>
  <si>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</si>
  <si>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</si>
  <si>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</si>
  <si>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</si>
  <si>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</si>
  <si>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</si>
  <si>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</si>
  <si>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</si>
  <si>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</si>
  <si>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</si>
  <si>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</si>
  <si>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</si>
  <si>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</si>
  <si>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</si>
  <si>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</si>
  <si>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</si>
  <si>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</si>
  <si>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</si>
  <si>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</si>
  <si>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</si>
  <si>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</si>
  <si>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</si>
  <si>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</si>
  <si>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</si>
  <si>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</si>
  <si>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</si>
  <si>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</si>
  <si>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</si>
  <si>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</si>
  <si>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</si>
  <si>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</si>
  <si>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</si>
  <si>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</si>
  <si>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</si>
  <si>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</si>
  <si>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</si>
  <si>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</si>
  <si>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</si>
  <si>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</si>
  <si>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</si>
  <si>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</si>
  <si>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</si>
  <si>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</si>
  <si>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</si>
  <si>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</si>
  <si>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</si>
  <si>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</si>
  <si>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</si>
  <si>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</si>
  <si>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</si>
  <si>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</si>
  <si>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</si>
  <si>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</si>
  <si>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</si>
  <si>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</si>
  <si>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</si>
  <si>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</si>
  <si>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</si>
  <si>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</si>
  <si>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</si>
  <si>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</si>
  <si>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</si>
  <si>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</si>
  <si>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</si>
  <si>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</si>
  <si>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</si>
  <si>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</si>
  <si>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</si>
  <si>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</si>
  <si>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</si>
  <si>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</si>
  <si>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</si>
  <si>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</si>
  <si>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</si>
  <si>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</si>
  <si>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</si>
  <si>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</si>
  <si>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</si>
  <si>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</si>
  <si>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</si>
  <si>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</si>
  <si>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</si>
  <si>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</si>
  <si>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</si>
  <si>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</si>
  <si>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</si>
  <si>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</si>
  <si>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</si>
  <si>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</si>
  <si>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</si>
  <si>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</si>
  <si>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</si>
  <si>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</si>
  <si>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</si>
  <si>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</si>
  <si>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</si>
  <si>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</si>
  <si>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</si>
  <si>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</si>
  <si>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</si>
  <si>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</si>
  <si>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</si>
  <si>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</si>
  <si>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</si>
  <si>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</si>
  <si>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</si>
  <si>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</si>
  <si>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</si>
  <si>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</si>
  <si>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</si>
  <si>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</si>
  <si>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</si>
  <si>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</si>
  <si>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</si>
  <si>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</si>
  <si>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</si>
  <si>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</si>
  <si>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</si>
  <si>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</si>
  <si>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</si>
  <si>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</si>
  <si>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</si>
  <si>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</si>
  <si>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</si>
  <si>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</si>
  <si>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</si>
  <si>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</si>
  <si>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</si>
  <si>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</si>
  <si>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神器阶段升级</t>
    <phoneticPr fontId="2" type="noConversion"/>
  </si>
  <si>
    <t>神器阶段升级填表</t>
    <phoneticPr fontId="2" type="noConversion"/>
  </si>
  <si>
    <t>Prop.Id</t>
    <phoneticPr fontId="2" type="noConversion"/>
  </si>
  <si>
    <t>神器碎片</t>
    <phoneticPr fontId="2" type="noConversion"/>
  </si>
  <si>
    <t>碎片位</t>
    <phoneticPr fontId="2" type="noConversion"/>
  </si>
  <si>
    <t>RowId</t>
    <phoneticPr fontId="2" type="noConversion"/>
  </si>
  <si>
    <t>位置1</t>
    <phoneticPr fontId="2" type="noConversion"/>
  </si>
  <si>
    <t>位置2</t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</si>
  <si>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</si>
  <si>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</si>
  <si>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</si>
  <si>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</si>
  <si>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</si>
  <si>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</si>
  <si>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</si>
  <si>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</si>
  <si>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</si>
  <si>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</si>
  <si>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</si>
  <si>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</si>
  <si>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</si>
  <si>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</si>
  <si>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</si>
  <si>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</si>
  <si>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</si>
  <si>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</si>
  <si>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</si>
  <si>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</si>
  <si>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</si>
  <si>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</si>
  <si>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</si>
  <si>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</si>
  <si>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</si>
  <si>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</si>
  <si>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</si>
  <si>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</si>
  <si>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</si>
  <si>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</si>
  <si>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</si>
  <si>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</si>
  <si>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</si>
  <si>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</si>
  <si>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</si>
  <si>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</si>
  <si>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</si>
  <si>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</si>
  <si>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</si>
  <si>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</si>
  <si>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</si>
  <si>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</si>
  <si>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</si>
  <si>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</si>
  <si>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</si>
  <si>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</si>
  <si>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</si>
  <si>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</si>
  <si>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</si>
  <si>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</si>
  <si>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</si>
  <si>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</si>
  <si>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</si>
  <si>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</si>
  <si>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</si>
  <si>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</si>
  <si>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</si>
  <si>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</si>
  <si>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</si>
  <si>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</si>
  <si>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</si>
  <si>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</si>
  <si>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</si>
  <si>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</si>
  <si>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</si>
  <si>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</si>
  <si>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</si>
  <si>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</si>
  <si>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</si>
  <si>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</si>
  <si>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</si>
  <si>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</si>
  <si>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</si>
  <si>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</si>
  <si>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</si>
  <si>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</si>
  <si>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</si>
  <si>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</si>
  <si>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</si>
  <si>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</si>
  <si>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</si>
  <si>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</si>
  <si>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</si>
  <si>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</si>
  <si>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</si>
  <si>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</si>
  <si>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</si>
  <si>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</si>
  <si>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</si>
  <si>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</si>
  <si>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</si>
  <si>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</si>
  <si>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</si>
  <si>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</si>
  <si>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</si>
  <si>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</si>
  <si>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</si>
  <si>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</si>
  <si>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</si>
  <si>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</si>
  <si>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</si>
  <si>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</si>
  <si>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</si>
  <si>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</si>
  <si>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</si>
  <si>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</si>
  <si>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</si>
  <si>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</si>
  <si>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</si>
  <si>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</si>
  <si>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</si>
  <si>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</si>
  <si>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</si>
  <si>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</si>
  <si>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攻击，生命，攻击，防御，攻击，暴击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</si>
  <si>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</si>
  <si>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</si>
  <si>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</si>
  <si>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</si>
  <si>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</si>
  <si>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</si>
  <si>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</si>
  <si>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</si>
  <si>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</si>
  <si>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</si>
  <si>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</si>
  <si>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type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</si>
  <si>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</si>
  <si>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</si>
  <si>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</si>
  <si>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</si>
  <si>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</si>
  <si>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</si>
  <si>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</si>
  <si>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</si>
  <si>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</si>
  <si>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</si>
  <si>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</si>
  <si>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</si>
  <si>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</si>
  <si>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</si>
  <si>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</si>
  <si>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</si>
  <si>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</si>
  <si>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</si>
  <si>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</si>
  <si>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</si>
  <si>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</si>
  <si>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</si>
  <si>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</si>
  <si>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</si>
  <si>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</si>
  <si>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</si>
  <si>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</si>
  <si>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</si>
  <si>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</si>
  <si>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</si>
  <si>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</si>
  <si>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</si>
  <si>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</si>
  <si>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</si>
  <si>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</si>
  <si>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</si>
  <si>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</si>
  <si>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</si>
  <si>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</si>
  <si>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</si>
  <si>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</si>
  <si>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</si>
  <si>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</si>
  <si>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</si>
  <si>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</si>
  <si>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</si>
  <si>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</si>
  <si>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</si>
  <si>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</si>
  <si>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</si>
  <si>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</si>
  <si>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</si>
  <si>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</si>
  <si>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</si>
  <si>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</si>
  <si>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</si>
  <si>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</si>
  <si>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</si>
  <si>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</si>
  <si>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</si>
  <si>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</si>
  <si>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</si>
  <si>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</si>
  <si>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</si>
  <si>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</si>
  <si>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</si>
  <si>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</si>
  <si>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</si>
  <si>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</si>
  <si>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</si>
  <si>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</si>
  <si>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</si>
  <si>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</si>
  <si>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</si>
  <si>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</si>
  <si>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</si>
  <si>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</si>
  <si>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</si>
  <si>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</si>
  <si>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</si>
  <si>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</si>
  <si>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</si>
  <si>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</si>
  <si>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</si>
  <si>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</si>
  <si>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</si>
  <si>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</si>
  <si>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</si>
  <si>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</si>
  <si>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</si>
  <si>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</si>
  <si>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</si>
  <si>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</si>
  <si>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</si>
  <si>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</si>
  <si>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</si>
  <si>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</si>
  <si>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</si>
  <si>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</si>
  <si>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</si>
  <si>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</si>
  <si>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</si>
  <si>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</si>
  <si>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</si>
  <si>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</si>
  <si>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</si>
  <si>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</si>
  <si>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</si>
  <si>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</si>
  <si>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</si>
  <si>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</si>
  <si>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</si>
  <si>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</si>
  <si>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</si>
  <si>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</si>
  <si>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</si>
  <si>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</si>
  <si>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</si>
  <si>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</si>
  <si>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</si>
  <si>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</si>
  <si>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</si>
  <si>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</si>
  <si>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</si>
  <si>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</si>
  <si>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</si>
  <si>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</si>
  <si>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</si>
  <si>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</si>
  <si>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</si>
  <si>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</si>
  <si>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</si>
  <si>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</si>
  <si>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</si>
  <si>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</si>
  <si>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</si>
  <si>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</si>
  <si>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</si>
  <si>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</si>
  <si>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</si>
  <si>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</si>
  <si>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</si>
  <si>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</si>
  <si>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</si>
  <si>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</si>
  <si>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</si>
  <si>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</si>
  <si>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</si>
  <si>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</si>
  <si>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</si>
  <si>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</si>
  <si>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</si>
  <si>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</si>
  <si>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</si>
  <si>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</si>
  <si>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</si>
  <si>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</si>
  <si>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</si>
  <si>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</si>
  <si>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</si>
  <si>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</si>
  <si>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</si>
  <si>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</si>
  <si>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</si>
  <si>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</si>
  <si>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</si>
  <si>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</si>
  <si>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</si>
  <si>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</si>
  <si>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</si>
  <si>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</si>
  <si>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</si>
  <si>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</si>
  <si>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</si>
  <si>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</si>
  <si>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</si>
  <si>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</si>
  <si>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</si>
  <si>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</si>
  <si>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</si>
  <si>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</si>
  <si>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</si>
  <si>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</si>
  <si>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</si>
  <si>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</si>
  <si>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</si>
  <si>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</si>
  <si>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</si>
  <si>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</si>
  <si>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</si>
  <si>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UR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</si>
  <si>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</si>
  <si>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</si>
  <si>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</si>
  <si>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</si>
  <si>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</si>
  <si>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</si>
  <si>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</si>
  <si>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</si>
  <si>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</si>
  <si>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</si>
  <si>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</si>
  <si>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</si>
  <si>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</si>
  <si>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Qua</t>
    <phoneticPr fontId="2" type="noConversion"/>
  </si>
  <si>
    <t>UR</t>
    <phoneticPr fontId="2" type="noConversion"/>
  </si>
  <si>
    <t>装备Id</t>
    <phoneticPr fontId="2" type="noConversion"/>
  </si>
  <si>
    <t>装备名</t>
    <phoneticPr fontId="2" type="noConversion"/>
  </si>
  <si>
    <t>品质</t>
    <phoneticPr fontId="2" type="noConversion"/>
  </si>
  <si>
    <t>类型</t>
    <phoneticPr fontId="2" type="noConversion"/>
  </si>
  <si>
    <t>RowId</t>
    <phoneticPr fontId="2" type="noConversion"/>
  </si>
  <si>
    <t>等级段Id</t>
    <phoneticPr fontId="2" type="noConversion"/>
  </si>
  <si>
    <t>等级段</t>
    <phoneticPr fontId="2" type="noConversion"/>
  </si>
  <si>
    <t>品质Id</t>
    <phoneticPr fontId="2" type="noConversion"/>
  </si>
  <si>
    <t>套装Id</t>
    <phoneticPr fontId="2" type="noConversion"/>
  </si>
  <si>
    <t>Type</t>
    <phoneticPr fontId="2" type="noConversion"/>
  </si>
  <si>
    <t>Pos1</t>
    <phoneticPr fontId="2" type="noConversion"/>
  </si>
  <si>
    <t>Pos2</t>
  </si>
  <si>
    <t>Pos3</t>
  </si>
  <si>
    <t>Pos4</t>
  </si>
  <si>
    <t>Pos5</t>
  </si>
  <si>
    <t>Pos6</t>
  </si>
  <si>
    <t>Pos7</t>
  </si>
  <si>
    <t>Pos8</t>
  </si>
  <si>
    <t>件数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</si>
  <si>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</si>
  <si>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</si>
  <si>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</si>
  <si>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</si>
  <si>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</si>
  <si>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</si>
  <si>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</si>
  <si>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</si>
  <si>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BaseId</t>
    <phoneticPr fontId="2" type="noConversion"/>
  </si>
  <si>
    <t>SuitLoc</t>
    <phoneticPr fontId="2" type="noConversion"/>
  </si>
  <si>
    <t>Sum</t>
    <phoneticPr fontId="2" type="noConversion"/>
  </si>
  <si>
    <t>Loc</t>
    <phoneticPr fontId="2" type="noConversion"/>
  </si>
  <si>
    <t>RowId</t>
    <phoneticPr fontId="2" type="noConversion"/>
  </si>
  <si>
    <t>Pos</t>
    <phoneticPr fontId="2" type="noConversion"/>
  </si>
  <si>
    <t>等级Id</t>
    <phoneticPr fontId="2" type="noConversion"/>
  </si>
  <si>
    <t>SuitLoc</t>
    <phoneticPr fontId="2" type="noConversion"/>
  </si>
  <si>
    <t>紫</t>
    <phoneticPr fontId="2" type="noConversion"/>
  </si>
  <si>
    <t>NickName</t>
    <phoneticPr fontId="2" type="noConversion"/>
  </si>
  <si>
    <t>120级寄灵人绿色</t>
  </si>
  <si>
    <t>120级守护灵绿色</t>
  </si>
  <si>
    <t>120级寄灵人蓝色</t>
  </si>
  <si>
    <t>120级守护灵蓝色</t>
  </si>
  <si>
    <t>120级寄灵人紫色</t>
  </si>
  <si>
    <t>120级守护灵紫色</t>
  </si>
  <si>
    <t>120级寄灵人橙色</t>
  </si>
  <si>
    <t>120级守护灵橙色</t>
  </si>
  <si>
    <t>120级寄灵人橙色套1</t>
  </si>
  <si>
    <t>120级守护灵橙色套1</t>
  </si>
  <si>
    <t>120级寄灵人橙色套2</t>
  </si>
  <si>
    <t>120级守护灵橙色套2</t>
  </si>
  <si>
    <t>120级寄灵人橙色套3</t>
  </si>
  <si>
    <t>120级守护灵橙色套3</t>
  </si>
  <si>
    <t>等级段</t>
    <phoneticPr fontId="2" type="noConversion"/>
  </si>
  <si>
    <t>攻Up</t>
    <phoneticPr fontId="2" type="noConversion"/>
  </si>
  <si>
    <t>血Up</t>
    <phoneticPr fontId="2" type="noConversion"/>
  </si>
  <si>
    <t>防Up</t>
    <phoneticPr fontId="2" type="noConversion"/>
  </si>
  <si>
    <t>Type</t>
    <phoneticPr fontId="2" type="noConversion"/>
  </si>
  <si>
    <t>属性增益</t>
    <phoneticPr fontId="2" type="noConversion"/>
  </si>
  <si>
    <t>突破</t>
    <phoneticPr fontId="2" type="noConversion"/>
  </si>
  <si>
    <t>等级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</si>
  <si>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</si>
  <si>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</si>
  <si>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</si>
  <si>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头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</si>
  <si>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</si>
  <si>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</si>
  <si>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</si>
  <si>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</si>
  <si>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</si>
  <si>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装备</t>
    <phoneticPr fontId="2" type="noConversion"/>
  </si>
  <si>
    <t>攻</t>
    <phoneticPr fontId="2" type="noConversion"/>
  </si>
  <si>
    <t>防</t>
    <phoneticPr fontId="2" type="noConversion"/>
  </si>
  <si>
    <t>血</t>
    <phoneticPr fontId="2" type="noConversion"/>
  </si>
  <si>
    <t>装备位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</si>
  <si>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</si>
  <si>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</si>
  <si>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</si>
  <si>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品质</t>
    <phoneticPr fontId="2" type="noConversion"/>
  </si>
  <si>
    <t>属性</t>
    <phoneticPr fontId="2" type="noConversion"/>
  </si>
  <si>
    <t>品质Id</t>
    <phoneticPr fontId="2" type="noConversion"/>
  </si>
  <si>
    <t>绿</t>
    <phoneticPr fontId="2" type="noConversion"/>
  </si>
  <si>
    <t>蓝</t>
    <phoneticPr fontId="2" type="noConversion"/>
  </si>
  <si>
    <t>橙</t>
    <phoneticPr fontId="2" type="noConversion"/>
  </si>
  <si>
    <t>属性增益</t>
    <phoneticPr fontId="2" type="noConversion"/>
  </si>
  <si>
    <t>攻Up</t>
    <phoneticPr fontId="2" type="noConversion"/>
  </si>
  <si>
    <t>Loc1</t>
    <phoneticPr fontId="2" type="noConversion"/>
  </si>
  <si>
    <t>Loc2</t>
  </si>
  <si>
    <t>AtkExt</t>
    <phoneticPr fontId="2" type="noConversion"/>
  </si>
  <si>
    <t>DefExt</t>
    <phoneticPr fontId="2" type="noConversion"/>
  </si>
  <si>
    <t>HPExt</t>
    <phoneticPr fontId="2" type="noConversion"/>
  </si>
  <si>
    <t>Loc2</t>
    <phoneticPr fontId="2" type="noConversion"/>
  </si>
  <si>
    <t>Prop[1].Id</t>
    <phoneticPr fontId="2" type="noConversion"/>
  </si>
  <si>
    <t>ShowLv</t>
    <phoneticPr fontId="2" type="noConversion"/>
  </si>
  <si>
    <t>LvLimit</t>
    <phoneticPr fontId="2" type="noConversion"/>
  </si>
  <si>
    <t>Prop[1].Base</t>
    <phoneticPr fontId="2" type="noConversion"/>
  </si>
  <si>
    <t>Prop[1].Up</t>
    <phoneticPr fontId="2" type="noConversion"/>
  </si>
  <si>
    <t>Prop[2].Id</t>
    <phoneticPr fontId="2" type="noConversion"/>
  </si>
  <si>
    <t>Prop[2].Base</t>
    <phoneticPr fontId="2" type="noConversion"/>
  </si>
  <si>
    <t>Prop[2].Up</t>
    <phoneticPr fontId="2" type="noConversion"/>
  </si>
  <si>
    <t>StrengthenId</t>
    <phoneticPr fontId="2" type="noConversion"/>
  </si>
  <si>
    <t>套装攻</t>
    <phoneticPr fontId="2" type="noConversion"/>
  </si>
  <si>
    <t>套装血</t>
    <phoneticPr fontId="2" type="noConversion"/>
  </si>
  <si>
    <t>套装</t>
    <phoneticPr fontId="2" type="noConversion"/>
  </si>
  <si>
    <t>120级</t>
    <phoneticPr fontId="2" type="noConversion"/>
  </si>
  <si>
    <t>套装</t>
    <phoneticPr fontId="2" type="noConversion"/>
  </si>
  <si>
    <t>属性位置</t>
    <phoneticPr fontId="2" type="noConversion"/>
  </si>
  <si>
    <t>属性Id</t>
    <phoneticPr fontId="2" type="noConversion"/>
  </si>
  <si>
    <t>属性值</t>
    <phoneticPr fontId="2" type="noConversion"/>
  </si>
  <si>
    <t>AtkExt</t>
    <phoneticPr fontId="2" type="noConversion"/>
  </si>
  <si>
    <t>HPExt</t>
    <phoneticPr fontId="2" type="noConversion"/>
  </si>
  <si>
    <t>HPRate</t>
    <phoneticPr fontId="2" type="noConversion"/>
  </si>
  <si>
    <t>HPRate</t>
    <phoneticPr fontId="2" type="noConversion"/>
  </si>
  <si>
    <t>AtkRate</t>
    <phoneticPr fontId="2" type="noConversion"/>
  </si>
  <si>
    <t>寄灵人装备套装</t>
    <phoneticPr fontId="2" type="noConversion"/>
  </si>
  <si>
    <t>HPExt</t>
    <phoneticPr fontId="2" type="noConversion"/>
  </si>
  <si>
    <t>HPExt</t>
    <phoneticPr fontId="2" type="noConversion"/>
  </si>
  <si>
    <t>AtkExt</t>
    <phoneticPr fontId="2" type="noConversion"/>
  </si>
  <si>
    <t>DmgBonus</t>
  </si>
  <si>
    <t>DmgBonus</t>
    <phoneticPr fontId="2" type="noConversion"/>
  </si>
  <si>
    <t>DmgResist</t>
  </si>
  <si>
    <t>DmgResist</t>
    <phoneticPr fontId="2" type="noConversion"/>
  </si>
  <si>
    <t>HPExt</t>
    <phoneticPr fontId="2" type="noConversion"/>
  </si>
  <si>
    <t>HPRate</t>
    <phoneticPr fontId="2" type="noConversion"/>
  </si>
  <si>
    <t>AtkExt</t>
    <phoneticPr fontId="2" type="noConversion"/>
  </si>
  <si>
    <t>HPExt</t>
    <phoneticPr fontId="2" type="noConversion"/>
  </si>
  <si>
    <t>AtkExt</t>
    <phoneticPr fontId="2" type="noConversion"/>
  </si>
  <si>
    <t>AtkRate</t>
    <phoneticPr fontId="2" type="noConversion"/>
  </si>
  <si>
    <t>守护灵装备套装</t>
    <phoneticPr fontId="2" type="noConversion"/>
  </si>
  <si>
    <t>AtkExt</t>
    <phoneticPr fontId="2" type="noConversion"/>
  </si>
  <si>
    <t>HPExt</t>
    <phoneticPr fontId="2" type="noConversion"/>
  </si>
  <si>
    <t>#note</t>
    <phoneticPr fontId="2" type="noConversion"/>
  </si>
  <si>
    <t>套装名</t>
    <phoneticPr fontId="2" type="noConversion"/>
  </si>
  <si>
    <t>#note</t>
    <phoneticPr fontId="2" type="noConversion"/>
  </si>
  <si>
    <t>位置</t>
    <phoneticPr fontId="2" type="noConversion"/>
  </si>
  <si>
    <t>Id</t>
    <phoneticPr fontId="2" type="noConversion"/>
  </si>
  <si>
    <t>寄灵人20级套装</t>
  </si>
  <si>
    <t>寄灵人40级套装1</t>
  </si>
  <si>
    <t>寄灵人40级套装2</t>
  </si>
  <si>
    <t>寄灵人60级套装1</t>
  </si>
  <si>
    <t>寄灵人60级套装2</t>
  </si>
  <si>
    <t>寄灵人80级套装1</t>
  </si>
  <si>
    <t>寄灵人80级套装2</t>
  </si>
  <si>
    <t>寄灵人80级套装3</t>
  </si>
  <si>
    <t>寄灵人100级套装1</t>
  </si>
  <si>
    <t>寄灵人100级套装2</t>
  </si>
  <si>
    <t>寄灵人100级套装3</t>
  </si>
  <si>
    <t>寄灵人120级套装1</t>
  </si>
  <si>
    <t>寄灵人120级套装2</t>
  </si>
  <si>
    <t>寄灵人120级套装3</t>
  </si>
  <si>
    <t>守护灵20级套装</t>
  </si>
  <si>
    <t>守护灵40级套装1</t>
  </si>
  <si>
    <t>守护灵40级套装2</t>
  </si>
  <si>
    <t>守护灵60级套装1</t>
  </si>
  <si>
    <t>守护灵60级套装2</t>
  </si>
  <si>
    <t>守护灵80级套装1</t>
  </si>
  <si>
    <t>守护灵80级套装2</t>
  </si>
  <si>
    <t>守护灵80级套装3</t>
  </si>
  <si>
    <t>守护灵100级套装1</t>
  </si>
  <si>
    <t>守护灵100级套装2</t>
  </si>
  <si>
    <t>守护灵100级套装3</t>
  </si>
  <si>
    <t>守护灵120级套装1</t>
  </si>
  <si>
    <t>守护灵120级套装2</t>
  </si>
  <si>
    <t>守护灵120级套装3</t>
  </si>
  <si>
    <t>Suit</t>
    <phoneticPr fontId="2" type="noConversion"/>
  </si>
  <si>
    <t>洗练属性</t>
    <phoneticPr fontId="2" type="noConversion"/>
  </si>
  <si>
    <t>洗练攻</t>
    <phoneticPr fontId="2" type="noConversion"/>
  </si>
  <si>
    <t>洗练防</t>
    <phoneticPr fontId="2" type="noConversion"/>
  </si>
  <si>
    <t>洗练血</t>
    <phoneticPr fontId="2" type="noConversion"/>
  </si>
  <si>
    <t>Fac</t>
    <phoneticPr fontId="2" type="noConversion"/>
  </si>
  <si>
    <t>Num</t>
    <phoneticPr fontId="2" type="noConversion"/>
  </si>
  <si>
    <t>属性Id</t>
    <phoneticPr fontId="2" type="noConversion"/>
  </si>
  <si>
    <t>洗练组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</si>
  <si>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</si>
  <si>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</si>
  <si>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</si>
  <si>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百分比攻</t>
    <phoneticPr fontId="2" type="noConversion"/>
  </si>
  <si>
    <t>百分比防</t>
    <phoneticPr fontId="2" type="noConversion"/>
  </si>
  <si>
    <t>百分比血</t>
    <phoneticPr fontId="2" type="noConversion"/>
  </si>
  <si>
    <t>AtkRate</t>
    <phoneticPr fontId="2" type="noConversion"/>
  </si>
  <si>
    <t>Id</t>
    <phoneticPr fontId="2" type="noConversion"/>
  </si>
  <si>
    <t>Id</t>
    <phoneticPr fontId="2" type="noConversion"/>
  </si>
  <si>
    <t>Loc</t>
    <phoneticPr fontId="2" type="noConversion"/>
  </si>
  <si>
    <t>Weight</t>
    <phoneticPr fontId="2" type="noConversion"/>
  </si>
  <si>
    <t>Prop.Id</t>
    <phoneticPr fontId="2" type="noConversion"/>
  </si>
  <si>
    <t>Prop.Val</t>
    <phoneticPr fontId="2" type="noConversion"/>
  </si>
  <si>
    <t>Loc</t>
    <phoneticPr fontId="2" type="noConversion"/>
  </si>
  <si>
    <t>#note</t>
    <phoneticPr fontId="2" type="noConversion"/>
  </si>
  <si>
    <t>120级寄灵人</t>
    <phoneticPr fontId="2" type="noConversion"/>
  </si>
  <si>
    <t>20级守护灵</t>
    <phoneticPr fontId="2" type="noConversion"/>
  </si>
  <si>
    <t>40级守护灵</t>
    <phoneticPr fontId="2" type="noConversion"/>
  </si>
  <si>
    <t>60级守护灵</t>
    <phoneticPr fontId="2" type="noConversion"/>
  </si>
  <si>
    <t>80级守护灵</t>
    <phoneticPr fontId="2" type="noConversion"/>
  </si>
  <si>
    <t>100级守护灵</t>
    <phoneticPr fontId="2" type="noConversion"/>
  </si>
  <si>
    <t>120级守护灵</t>
    <phoneticPr fontId="2" type="noConversion"/>
  </si>
  <si>
    <t>洗练条目</t>
    <phoneticPr fontId="2" type="noConversion"/>
  </si>
  <si>
    <t>洗练组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</si>
  <si>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</si>
  <si>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</si>
  <si>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</si>
  <si>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</si>
  <si>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强化组</t>
    <phoneticPr fontId="2" type="noConversion"/>
  </si>
  <si>
    <t>BaptizeNum</t>
    <phoneticPr fontId="2" type="noConversion"/>
  </si>
  <si>
    <t>BaptizeId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</si>
  <si>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</si>
  <si>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</si>
  <si>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</si>
  <si>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</si>
  <si>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</si>
  <si>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</si>
  <si>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</si>
  <si>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</si>
  <si>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</si>
  <si>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</si>
  <si>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蓝</t>
    <phoneticPr fontId="2" type="noConversion"/>
  </si>
  <si>
    <t>RL</t>
    <phoneticPr fontId="2" type="noConversion"/>
  </si>
  <si>
    <t>DefRate</t>
    <phoneticPr fontId="2" type="noConversion"/>
  </si>
  <si>
    <t>HPRate</t>
    <phoneticPr fontId="2" type="noConversion"/>
  </si>
  <si>
    <t>RLiD</t>
    <phoneticPr fontId="2" type="noConversion"/>
  </si>
  <si>
    <t>熔炼值</t>
    <phoneticPr fontId="2" type="noConversion"/>
  </si>
  <si>
    <t>SubLoc</t>
    <phoneticPr fontId="2" type="noConversion"/>
  </si>
  <si>
    <t>Gs</t>
    <phoneticPr fontId="2" type="noConversion"/>
  </si>
  <si>
    <t>30级寄灵人绿色</t>
    <phoneticPr fontId="2" type="noConversion"/>
  </si>
  <si>
    <t>30级守护灵绿色</t>
    <phoneticPr fontId="2" type="noConversion"/>
  </si>
  <si>
    <t>30级寄灵人蓝色</t>
    <phoneticPr fontId="2" type="noConversion"/>
  </si>
  <si>
    <t>30级守护灵蓝色</t>
    <phoneticPr fontId="2" type="noConversion"/>
  </si>
  <si>
    <t>30级寄灵人紫色</t>
    <phoneticPr fontId="2" type="noConversion"/>
  </si>
  <si>
    <t>30级守护灵紫色</t>
    <phoneticPr fontId="2" type="noConversion"/>
  </si>
  <si>
    <t>30级寄灵人橙色</t>
    <phoneticPr fontId="2" type="noConversion"/>
  </si>
  <si>
    <t>30级守护灵橙色</t>
    <phoneticPr fontId="2" type="noConversion"/>
  </si>
  <si>
    <t>30级寄灵人橙色套1</t>
    <phoneticPr fontId="2" type="noConversion"/>
  </si>
  <si>
    <t>30级守护灵橙色套1</t>
    <phoneticPr fontId="2" type="noConversion"/>
  </si>
  <si>
    <t>60级寄灵人绿色</t>
  </si>
  <si>
    <t>60级守护灵绿色</t>
  </si>
  <si>
    <t>60级寄灵人蓝色</t>
  </si>
  <si>
    <t>60级守护灵蓝色</t>
  </si>
  <si>
    <t>60级寄灵人紫色</t>
  </si>
  <si>
    <t>60级守护灵紫色</t>
  </si>
  <si>
    <t>60级寄灵人橙色</t>
  </si>
  <si>
    <t>60级守护灵橙色</t>
  </si>
  <si>
    <t>60级寄灵人橙色套1</t>
  </si>
  <si>
    <t>60级守护灵橙色套1</t>
  </si>
  <si>
    <t>60级寄灵人橙色套2</t>
  </si>
  <si>
    <t>60级守护灵橙色套2</t>
  </si>
  <si>
    <t>90级寄灵人绿色</t>
  </si>
  <si>
    <t>90级守护灵绿色</t>
  </si>
  <si>
    <t>90级寄灵人蓝色</t>
  </si>
  <si>
    <t>90级守护灵蓝色</t>
  </si>
  <si>
    <t>90级寄灵人紫色</t>
  </si>
  <si>
    <t>90级守护灵紫色</t>
  </si>
  <si>
    <t>90级寄灵人橙色</t>
  </si>
  <si>
    <t>90级守护灵橙色</t>
  </si>
  <si>
    <t>90级寄灵人橙色套1</t>
  </si>
  <si>
    <t>90级守护灵橙色套1</t>
  </si>
  <si>
    <t>90级寄灵人橙色套2</t>
  </si>
  <si>
    <t>90级守护灵橙色套2</t>
  </si>
  <si>
    <t>150级寄灵人绿色</t>
  </si>
  <si>
    <t>150级守护灵绿色</t>
  </si>
  <si>
    <t>150级寄灵人蓝色</t>
  </si>
  <si>
    <t>150级守护灵蓝色</t>
  </si>
  <si>
    <t>150级寄灵人紫色</t>
  </si>
  <si>
    <t>150级守护灵紫色</t>
  </si>
  <si>
    <t>150级寄灵人橙色</t>
  </si>
  <si>
    <t>150级守护灵橙色</t>
  </si>
  <si>
    <t>150级寄灵人橙色套1</t>
  </si>
  <si>
    <t>150级守护灵橙色套1</t>
  </si>
  <si>
    <t>150级寄灵人橙色套2</t>
  </si>
  <si>
    <t>150级守护灵橙色套2</t>
  </si>
  <si>
    <t>150级寄灵人橙色套3</t>
  </si>
  <si>
    <t>150级守护灵橙色套3</t>
  </si>
  <si>
    <t>180级寄灵人绿色</t>
  </si>
  <si>
    <t>180级守护灵绿色</t>
  </si>
  <si>
    <t>180级寄灵人蓝色</t>
  </si>
  <si>
    <t>180级守护灵蓝色</t>
  </si>
  <si>
    <t>180级寄灵人紫色</t>
  </si>
  <si>
    <t>180级守护灵紫色</t>
  </si>
  <si>
    <t>180级寄灵人橙色</t>
  </si>
  <si>
    <t>180级守护灵橙色</t>
  </si>
  <si>
    <t>180级寄灵人橙色套1</t>
  </si>
  <si>
    <t>180级守护灵橙色套1</t>
  </si>
  <si>
    <t>180级寄灵人橙色套2</t>
  </si>
  <si>
    <t>180级守护灵橙色套2</t>
  </si>
  <si>
    <t>180级寄灵人橙色套3</t>
  </si>
  <si>
    <t>180级守护灵橙色套3</t>
  </si>
  <si>
    <t>暴击</t>
    <phoneticPr fontId="2" type="noConversion"/>
  </si>
  <si>
    <t>格挡</t>
  </si>
  <si>
    <t>穿透</t>
  </si>
  <si>
    <t>30级寄灵人</t>
    <phoneticPr fontId="2" type="noConversion"/>
  </si>
  <si>
    <t>60级寄灵人</t>
    <phoneticPr fontId="2" type="noConversion"/>
  </si>
  <si>
    <t>90级寄灵人</t>
    <phoneticPr fontId="2" type="noConversion"/>
  </si>
  <si>
    <t>150级寄灵人</t>
    <phoneticPr fontId="2" type="noConversion"/>
  </si>
  <si>
    <t>180级寄灵人</t>
    <phoneticPr fontId="2" type="noConversion"/>
  </si>
  <si>
    <t>爆伤</t>
    <phoneticPr fontId="2" type="noConversion"/>
  </si>
  <si>
    <t>效果抵抗</t>
    <phoneticPr fontId="2" type="noConversion"/>
  </si>
  <si>
    <t>Crit</t>
    <phoneticPr fontId="2" type="noConversion"/>
  </si>
  <si>
    <t>CritRate</t>
    <phoneticPr fontId="2" type="noConversion"/>
  </si>
  <si>
    <t>DefIgnor</t>
    <phoneticPr fontId="2" type="noConversion"/>
  </si>
  <si>
    <t>Block</t>
    <phoneticPr fontId="2" type="noConversion"/>
  </si>
  <si>
    <t>EffectHit</t>
    <phoneticPr fontId="2" type="noConversion"/>
  </si>
  <si>
    <t>EffectResist</t>
    <phoneticPr fontId="2" type="noConversion"/>
  </si>
  <si>
    <t>等级</t>
    <phoneticPr fontId="2" type="noConversion"/>
  </si>
  <si>
    <t>攻击</t>
    <phoneticPr fontId="2" type="noConversion"/>
  </si>
  <si>
    <t>血量</t>
    <phoneticPr fontId="2" type="noConversion"/>
  </si>
  <si>
    <t>突破</t>
    <phoneticPr fontId="2" type="noConversion"/>
  </si>
  <si>
    <t>升星</t>
    <phoneticPr fontId="2" type="noConversion"/>
  </si>
  <si>
    <t>升级</t>
    <phoneticPr fontId="2" type="noConversion"/>
  </si>
  <si>
    <t>装备基础</t>
    <phoneticPr fontId="2" type="noConversion"/>
  </si>
  <si>
    <t>品质</t>
    <phoneticPr fontId="2" type="noConversion"/>
  </si>
  <si>
    <t>等级</t>
    <phoneticPr fontId="2" type="noConversion"/>
  </si>
  <si>
    <t>强化</t>
    <phoneticPr fontId="2" type="noConversion"/>
  </si>
  <si>
    <t>等级</t>
    <phoneticPr fontId="2" type="noConversion"/>
  </si>
  <si>
    <t>攻击总</t>
    <phoneticPr fontId="2" type="noConversion"/>
  </si>
  <si>
    <t>攻击升级</t>
    <phoneticPr fontId="2" type="noConversion"/>
  </si>
  <si>
    <t>防御升级</t>
    <phoneticPr fontId="2" type="noConversion"/>
  </si>
  <si>
    <t>血量升级</t>
    <phoneticPr fontId="2" type="noConversion"/>
  </si>
  <si>
    <t>防御总</t>
    <phoneticPr fontId="2" type="noConversion"/>
  </si>
  <si>
    <t>血量总</t>
    <phoneticPr fontId="2" type="noConversion"/>
  </si>
  <si>
    <t>等级段</t>
    <phoneticPr fontId="2" type="noConversion"/>
  </si>
  <si>
    <t>攻击基础</t>
    <phoneticPr fontId="2" type="noConversion"/>
  </si>
  <si>
    <t>防御基础</t>
    <phoneticPr fontId="2" type="noConversion"/>
  </si>
  <si>
    <t>血量基础</t>
    <phoneticPr fontId="2" type="noConversion"/>
  </si>
  <si>
    <t>攻击基础</t>
    <phoneticPr fontId="2" type="noConversion"/>
  </si>
  <si>
    <t>30级</t>
  </si>
  <si>
    <t>30级</t>
    <phoneticPr fontId="2" type="noConversion"/>
  </si>
  <si>
    <t>60级</t>
  </si>
  <si>
    <t>60级</t>
    <phoneticPr fontId="2" type="noConversion"/>
  </si>
  <si>
    <t>90级</t>
  </si>
  <si>
    <t>90级</t>
    <phoneticPr fontId="2" type="noConversion"/>
  </si>
  <si>
    <t>120级</t>
  </si>
  <si>
    <t>150级</t>
  </si>
  <si>
    <t>150级</t>
    <phoneticPr fontId="2" type="noConversion"/>
  </si>
  <si>
    <t>180级</t>
  </si>
  <si>
    <t>180级</t>
    <phoneticPr fontId="2" type="noConversion"/>
  </si>
  <si>
    <t>防Up填</t>
    <phoneticPr fontId="2" type="noConversion"/>
  </si>
  <si>
    <t>血Up填</t>
    <phoneticPr fontId="2" type="noConversion"/>
  </si>
  <si>
    <t>防Up</t>
    <phoneticPr fontId="2" type="noConversion"/>
  </si>
  <si>
    <t>攻Up填</t>
    <phoneticPr fontId="2" type="noConversion"/>
  </si>
  <si>
    <t>攻Base填</t>
    <phoneticPr fontId="2" type="noConversion"/>
  </si>
  <si>
    <t>防Base填</t>
    <phoneticPr fontId="2" type="noConversion"/>
  </si>
  <si>
    <t>血Base填</t>
    <phoneticPr fontId="2" type="noConversion"/>
  </si>
  <si>
    <t>攻击升级</t>
    <phoneticPr fontId="2" type="noConversion"/>
  </si>
  <si>
    <t>攻击</t>
    <phoneticPr fontId="2" type="noConversion"/>
  </si>
  <si>
    <t>防御</t>
    <phoneticPr fontId="2" type="noConversion"/>
  </si>
  <si>
    <t>血量升级</t>
    <phoneticPr fontId="2" type="noConversion"/>
  </si>
  <si>
    <t>血量</t>
    <phoneticPr fontId="2" type="noConversion"/>
  </si>
  <si>
    <t>洗练系数</t>
    <phoneticPr fontId="2" type="noConversion"/>
  </si>
  <si>
    <t>装备洗练</t>
    <phoneticPr fontId="2" type="noConversion"/>
  </si>
  <si>
    <t>洗练条目</t>
    <phoneticPr fontId="2" type="noConversion"/>
  </si>
  <si>
    <t>套装</t>
    <phoneticPr fontId="2" type="noConversion"/>
  </si>
  <si>
    <t>专属武器</t>
    <phoneticPr fontId="2" type="noConversion"/>
  </si>
  <si>
    <t>等级</t>
    <phoneticPr fontId="2" type="noConversion"/>
  </si>
  <si>
    <t>突破段</t>
    <phoneticPr fontId="2" type="noConversion"/>
  </si>
  <si>
    <t>比例</t>
    <phoneticPr fontId="2" type="noConversion"/>
  </si>
  <si>
    <t>DefExt</t>
    <phoneticPr fontId="2" type="noConversion"/>
  </si>
  <si>
    <t>Rate</t>
    <phoneticPr fontId="2" type="noConversion"/>
  </si>
  <si>
    <t>倍率</t>
    <phoneticPr fontId="2" type="noConversion"/>
  </si>
  <si>
    <t>Quality</t>
    <phoneticPr fontId="2" type="noConversion"/>
  </si>
  <si>
    <t>AtkFac</t>
    <phoneticPr fontId="2" type="noConversion"/>
  </si>
  <si>
    <t>HpFac</t>
    <phoneticPr fontId="2" type="noConversion"/>
  </si>
  <si>
    <t>等级</t>
    <phoneticPr fontId="2" type="noConversion"/>
  </si>
  <si>
    <t>升级.攻</t>
    <phoneticPr fontId="2" type="noConversion"/>
  </si>
  <si>
    <t>升级.防</t>
    <phoneticPr fontId="2" type="noConversion"/>
  </si>
  <si>
    <t>升级.血</t>
    <phoneticPr fontId="2" type="noConversion"/>
  </si>
  <si>
    <t>装备.攻</t>
    <phoneticPr fontId="2" type="noConversion"/>
  </si>
  <si>
    <t>装备.防</t>
    <phoneticPr fontId="2" type="noConversion"/>
  </si>
  <si>
    <t>装备.血</t>
    <phoneticPr fontId="2" type="noConversion"/>
  </si>
  <si>
    <t>装洗.攻</t>
    <phoneticPr fontId="2" type="noConversion"/>
  </si>
  <si>
    <t>装洗.防</t>
    <phoneticPr fontId="2" type="noConversion"/>
  </si>
  <si>
    <t>装洗.血</t>
    <phoneticPr fontId="2" type="noConversion"/>
  </si>
  <si>
    <t>AttrId</t>
    <phoneticPr fontId="2" type="noConversion"/>
  </si>
  <si>
    <t>套装.攻</t>
    <phoneticPr fontId="2" type="noConversion"/>
  </si>
  <si>
    <t>套装.防</t>
    <phoneticPr fontId="2" type="noConversion"/>
  </si>
  <si>
    <t>套装.血</t>
    <phoneticPr fontId="2" type="noConversion"/>
  </si>
  <si>
    <t>专属.攻</t>
    <phoneticPr fontId="2" type="noConversion"/>
  </si>
  <si>
    <t>专属.防</t>
    <phoneticPr fontId="2" type="noConversion"/>
  </si>
  <si>
    <t>专属.血</t>
    <phoneticPr fontId="2" type="noConversion"/>
  </si>
  <si>
    <t>升级</t>
    <phoneticPr fontId="2" type="noConversion"/>
  </si>
  <si>
    <t>装备</t>
    <phoneticPr fontId="2" type="noConversion"/>
  </si>
  <si>
    <t>装洗</t>
    <phoneticPr fontId="2" type="noConversion"/>
  </si>
  <si>
    <t>套装</t>
    <phoneticPr fontId="2" type="noConversion"/>
  </si>
  <si>
    <t>专属</t>
    <phoneticPr fontId="2" type="noConversion"/>
  </si>
  <si>
    <t>总和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</si>
</sst>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6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10" fontId="0" fillId="0" borderId="0" xfId="0" applyNumberFormat="1"/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6" fontId="1" fillId="7" borderId="4" xfId="7" applyNumberFormat="1">
      <alignment horizontal="center" vertical="center" wrapText="1"/>
    </xf>
    <xf numFmtId="0" fontId="0" fillId="0" borderId="0" xfId="0"/>
    <xf numFmtId="176" fontId="7" fillId="0" borderId="4" xfId="4" applyNumberFormat="1">
      <alignment vertical="top" wrapText="1"/>
    </xf>
    <xf numFmtId="0" fontId="0" fillId="0" borderId="0" xfId="0" applyAlignment="1">
      <alignment horizontal="center" vertical="center"/>
    </xf>
    <xf numFmtId="177" fontId="7" fillId="0" borderId="4" xfId="4" applyNumberFormat="1">
      <alignment vertical="top" wrapText="1"/>
    </xf>
    <xf numFmtId="0" fontId="8" fillId="0" borderId="3" xfId="3">
      <alignment horizontal="center" vertical="center"/>
    </xf>
    <xf numFmtId="9" fontId="0" fillId="0" borderId="0" xfId="0" applyNumberFormat="1"/>
    <xf numFmtId="9" fontId="1" fillId="0" borderId="0" xfId="1" applyNumberForma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2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属性分配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6D-4346-83CB-CECA5D9E11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6D-4346-83CB-CECA5D9E11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6D-4346-83CB-CECA5D9E11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06D-4346-83CB-CECA5D9E11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6D-4346-83CB-CECA5D9E112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06D-4346-83CB-CECA5D9E112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06D-4346-83CB-CECA5D9E112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06D-4346-83CB-CECA5D9E112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06D-4346-83CB-CECA5D9E112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06D-4346-83CB-CECA5D9E112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新属性汇总!$BG$3:$BK$3</c:f>
              <c:strCache>
                <c:ptCount val="5"/>
                <c:pt idx="0">
                  <c:v>升级</c:v>
                </c:pt>
                <c:pt idx="1">
                  <c:v>装备</c:v>
                </c:pt>
                <c:pt idx="2">
                  <c:v>装洗</c:v>
                </c:pt>
                <c:pt idx="3">
                  <c:v>套装</c:v>
                </c:pt>
                <c:pt idx="4">
                  <c:v>专属</c:v>
                </c:pt>
              </c:strCache>
            </c:strRef>
          </c:cat>
          <c:val>
            <c:numRef>
              <c:f>新属性汇总!$BG$4:$BK$4</c:f>
              <c:numCache>
                <c:formatCode>General</c:formatCode>
                <c:ptCount val="5"/>
                <c:pt idx="0">
                  <c:v>1047342</c:v>
                </c:pt>
                <c:pt idx="1">
                  <c:v>455788</c:v>
                </c:pt>
                <c:pt idx="2">
                  <c:v>195156</c:v>
                </c:pt>
                <c:pt idx="3">
                  <c:v>219384</c:v>
                </c:pt>
                <c:pt idx="4">
                  <c:v>472657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D-4346-83CB-CECA5D9E112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533400</xdr:colOff>
      <xdr:row>2</xdr:row>
      <xdr:rowOff>152400</xdr:rowOff>
    </xdr:from>
    <xdr:to>
      <xdr:col>77</xdr:col>
      <xdr:colOff>352425</xdr:colOff>
      <xdr:row>17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51" t="s">
        <v>262</v>
      </c>
      <c r="C2" s="52"/>
      <c r="D2" s="52"/>
      <c r="E2" s="53"/>
    </row>
    <row r="3" spans="2:5" ht="35.1" customHeight="1" x14ac:dyDescent="0.2">
      <c r="B3" s="2" t="s">
        <v>0</v>
      </c>
      <c r="C3" s="3" t="s">
        <v>11</v>
      </c>
      <c r="D3" s="54" t="s">
        <v>1</v>
      </c>
      <c r="E3" s="56" t="s">
        <v>263</v>
      </c>
    </row>
    <row r="4" spans="2:5" ht="35.1" customHeight="1" x14ac:dyDescent="0.2">
      <c r="B4" s="2" t="s">
        <v>2</v>
      </c>
      <c r="C4" s="3" t="s">
        <v>12</v>
      </c>
      <c r="D4" s="55"/>
      <c r="E4" s="57"/>
    </row>
    <row r="5" spans="2:5" ht="35.1" customHeight="1" x14ac:dyDescent="0.2">
      <c r="B5" s="4" t="s">
        <v>3</v>
      </c>
      <c r="C5" s="58" t="s">
        <v>264</v>
      </c>
      <c r="D5" s="59"/>
      <c r="E5" s="60"/>
    </row>
    <row r="6" spans="2:5" ht="18" x14ac:dyDescent="0.2">
      <c r="B6" s="61" t="s">
        <v>4</v>
      </c>
      <c r="C6" s="62"/>
      <c r="D6" s="62"/>
      <c r="E6" s="63"/>
    </row>
    <row r="7" spans="2:5" ht="18" x14ac:dyDescent="0.2">
      <c r="B7" s="5" t="s">
        <v>5</v>
      </c>
      <c r="C7" s="6" t="s">
        <v>6</v>
      </c>
      <c r="D7" s="49" t="s">
        <v>7</v>
      </c>
      <c r="E7" s="50"/>
    </row>
    <row r="8" spans="2:5" x14ac:dyDescent="0.2">
      <c r="B8" s="7">
        <v>43525</v>
      </c>
      <c r="C8" s="8" t="s">
        <v>10</v>
      </c>
      <c r="D8" s="44" t="s">
        <v>8</v>
      </c>
      <c r="E8" s="45"/>
    </row>
    <row r="9" spans="2:5" x14ac:dyDescent="0.2">
      <c r="B9" s="7"/>
      <c r="C9" s="8"/>
      <c r="D9" s="44"/>
      <c r="E9" s="45"/>
    </row>
    <row r="10" spans="2:5" x14ac:dyDescent="0.2">
      <c r="B10" s="9"/>
      <c r="C10" s="8"/>
      <c r="D10" s="44"/>
      <c r="E10" s="45"/>
    </row>
    <row r="11" spans="2:5" x14ac:dyDescent="0.2">
      <c r="B11" s="9"/>
      <c r="C11" s="8"/>
      <c r="D11" s="44"/>
      <c r="E11" s="45"/>
    </row>
    <row r="12" spans="2:5" x14ac:dyDescent="0.2">
      <c r="B12" s="9"/>
      <c r="C12" s="8"/>
      <c r="D12" s="44"/>
      <c r="E12" s="45"/>
    </row>
    <row r="13" spans="2:5" x14ac:dyDescent="0.2">
      <c r="B13" s="9"/>
      <c r="C13" s="8"/>
      <c r="D13" s="44"/>
      <c r="E13" s="45"/>
    </row>
    <row r="14" spans="2:5" x14ac:dyDescent="0.2">
      <c r="B14" s="9"/>
      <c r="C14" s="8"/>
      <c r="D14" s="44"/>
      <c r="E14" s="45"/>
    </row>
    <row r="15" spans="2:5" x14ac:dyDescent="0.2">
      <c r="B15" s="9"/>
      <c r="C15" s="8"/>
      <c r="D15" s="44"/>
      <c r="E15" s="45"/>
    </row>
    <row r="16" spans="2:5" x14ac:dyDescent="0.2">
      <c r="B16" s="9"/>
      <c r="C16" s="8"/>
      <c r="D16" s="44"/>
      <c r="E16" s="45"/>
    </row>
    <row r="17" spans="2:5" x14ac:dyDescent="0.2">
      <c r="B17" s="9"/>
      <c r="C17" s="8"/>
      <c r="D17" s="44"/>
      <c r="E17" s="45"/>
    </row>
    <row r="18" spans="2:5" x14ac:dyDescent="0.2">
      <c r="B18" s="9"/>
      <c r="C18" s="8"/>
      <c r="D18" s="44"/>
      <c r="E18" s="45"/>
    </row>
    <row r="19" spans="2:5" x14ac:dyDescent="0.2">
      <c r="B19" s="9"/>
      <c r="C19" s="8"/>
      <c r="D19" s="44"/>
      <c r="E19" s="45"/>
    </row>
    <row r="20" spans="2:5" x14ac:dyDescent="0.2">
      <c r="B20" s="9"/>
      <c r="C20" s="8"/>
      <c r="D20" s="44"/>
      <c r="E20" s="45"/>
    </row>
    <row r="21" spans="2:5" x14ac:dyDescent="0.2">
      <c r="B21" s="9"/>
      <c r="C21" s="8"/>
      <c r="D21" s="44"/>
      <c r="E21" s="45"/>
    </row>
    <row r="22" spans="2:5" x14ac:dyDescent="0.2">
      <c r="B22" s="9"/>
      <c r="C22" s="8"/>
      <c r="D22" s="44"/>
      <c r="E22" s="45"/>
    </row>
    <row r="23" spans="2:5" x14ac:dyDescent="0.2">
      <c r="B23" s="9"/>
      <c r="C23" s="8"/>
      <c r="D23" s="44"/>
      <c r="E23" s="45"/>
    </row>
    <row r="24" spans="2:5" x14ac:dyDescent="0.2">
      <c r="B24" s="9"/>
      <c r="C24" s="8"/>
      <c r="D24" s="44"/>
      <c r="E24" s="45"/>
    </row>
    <row r="25" spans="2:5" x14ac:dyDescent="0.2">
      <c r="B25" s="9"/>
      <c r="C25" s="8"/>
      <c r="D25" s="44"/>
      <c r="E25" s="45"/>
    </row>
    <row r="26" spans="2:5" x14ac:dyDescent="0.2">
      <c r="B26" s="9"/>
      <c r="C26" s="8"/>
      <c r="D26" s="44"/>
      <c r="E26" s="45"/>
    </row>
    <row r="27" spans="2:5" x14ac:dyDescent="0.2">
      <c r="B27" s="9"/>
      <c r="C27" s="8"/>
      <c r="D27" s="44"/>
      <c r="E27" s="45"/>
    </row>
    <row r="28" spans="2:5" ht="18" thickBot="1" x14ac:dyDescent="0.25">
      <c r="B28" s="10"/>
      <c r="C28" s="11"/>
      <c r="D28" s="46"/>
      <c r="E28" s="47"/>
    </row>
    <row r="30" spans="2:5" x14ac:dyDescent="0.2">
      <c r="B30" s="48" t="s">
        <v>9</v>
      </c>
      <c r="C30" s="48"/>
      <c r="D30" s="48"/>
      <c r="E30" s="48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9" t="s">
        <v>25</v>
      </c>
    </row>
    <row r="2" spans="1:8" x14ac:dyDescent="0.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29</v>
      </c>
    </row>
    <row r="3" spans="1:8" ht="15" x14ac:dyDescent="0.2">
      <c r="A3" s="22" t="s">
        <v>31</v>
      </c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</row>
    <row r="4" spans="1:8" ht="16.5" x14ac:dyDescent="0.2">
      <c r="A4" s="13">
        <v>1</v>
      </c>
      <c r="B4" s="13" t="s">
        <v>39</v>
      </c>
      <c r="C4" s="21" t="s">
        <v>40</v>
      </c>
      <c r="D4" s="21" t="b">
        <v>0</v>
      </c>
      <c r="E4" s="21" t="str">
        <f>C4&amp;" +%d"</f>
        <v>基础攻击 +%d</v>
      </c>
      <c r="F4" s="21">
        <v>1</v>
      </c>
      <c r="G4" s="21">
        <v>10</v>
      </c>
      <c r="H4" s="21" t="s">
        <v>41</v>
      </c>
    </row>
    <row r="5" spans="1:8" ht="16.5" x14ac:dyDescent="0.2">
      <c r="A5" s="13">
        <v>2</v>
      </c>
      <c r="B5" s="13" t="s">
        <v>42</v>
      </c>
      <c r="C5" s="21" t="s">
        <v>43</v>
      </c>
      <c r="D5" s="21" t="b">
        <v>0</v>
      </c>
      <c r="E5" s="21" t="str">
        <f>C5&amp;" +%d"</f>
        <v>基础防御 +%d</v>
      </c>
      <c r="F5" s="21">
        <v>1</v>
      </c>
      <c r="G5" s="21">
        <v>20</v>
      </c>
      <c r="H5" s="21" t="s">
        <v>44</v>
      </c>
    </row>
    <row r="6" spans="1:8" ht="16.5" x14ac:dyDescent="0.2">
      <c r="A6" s="13">
        <v>3</v>
      </c>
      <c r="B6" s="21" t="s">
        <v>45</v>
      </c>
      <c r="C6" s="21" t="s">
        <v>46</v>
      </c>
      <c r="D6" s="21" t="b">
        <v>0</v>
      </c>
      <c r="E6" s="21" t="str">
        <f>C6&amp;" +%d"</f>
        <v>基础生命 +%d</v>
      </c>
      <c r="F6" s="21">
        <v>1</v>
      </c>
      <c r="G6" s="21">
        <v>1</v>
      </c>
      <c r="H6" s="21" t="s">
        <v>47</v>
      </c>
    </row>
    <row r="7" spans="1:8" ht="16.5" x14ac:dyDescent="0.2">
      <c r="A7" s="13">
        <v>4</v>
      </c>
      <c r="B7" s="13" t="s">
        <v>48</v>
      </c>
      <c r="C7" s="13" t="s">
        <v>49</v>
      </c>
      <c r="D7" s="21" t="b">
        <v>0</v>
      </c>
      <c r="E7" s="21" t="str">
        <f>C7&amp;" +%f%%"</f>
        <v>暴击率 +%f%%</v>
      </c>
      <c r="F7" s="21">
        <v>100</v>
      </c>
      <c r="G7" s="21">
        <v>100000</v>
      </c>
      <c r="H7" s="21" t="s">
        <v>50</v>
      </c>
    </row>
    <row r="8" spans="1:8" ht="16.5" x14ac:dyDescent="0.2">
      <c r="A8" s="13">
        <v>5</v>
      </c>
      <c r="B8" s="21" t="s">
        <v>51</v>
      </c>
      <c r="C8" s="13" t="s">
        <v>52</v>
      </c>
      <c r="D8" s="21" t="b">
        <v>0</v>
      </c>
      <c r="E8" s="21" t="str">
        <f t="shared" ref="E8:E18" si="0">C8&amp;" +%f%%"</f>
        <v>暴击伤害 +%f%%</v>
      </c>
      <c r="F8" s="21">
        <v>100</v>
      </c>
      <c r="G8" s="21">
        <v>50000</v>
      </c>
      <c r="H8" s="21" t="s">
        <v>53</v>
      </c>
    </row>
    <row r="9" spans="1:8" ht="16.5" x14ac:dyDescent="0.2">
      <c r="A9" s="13">
        <v>6</v>
      </c>
      <c r="B9" s="13" t="s">
        <v>54</v>
      </c>
      <c r="C9" s="13" t="s">
        <v>55</v>
      </c>
      <c r="D9" s="21" t="b">
        <v>0</v>
      </c>
      <c r="E9" s="21" t="str">
        <f t="shared" si="0"/>
        <v>效果命中 +%f%%</v>
      </c>
      <c r="F9" s="21">
        <v>100</v>
      </c>
      <c r="G9" s="21">
        <v>75000</v>
      </c>
      <c r="H9" s="21" t="s">
        <v>56</v>
      </c>
    </row>
    <row r="10" spans="1:8" ht="15.75" customHeight="1" x14ac:dyDescent="0.2">
      <c r="A10" s="13">
        <v>7</v>
      </c>
      <c r="B10" s="21" t="s">
        <v>57</v>
      </c>
      <c r="C10" s="13" t="s">
        <v>58</v>
      </c>
      <c r="D10" s="21" t="b">
        <v>0</v>
      </c>
      <c r="E10" s="21" t="str">
        <f t="shared" si="0"/>
        <v>效果抵抗 +%f%%</v>
      </c>
      <c r="F10" s="21">
        <v>100</v>
      </c>
      <c r="G10" s="21">
        <v>75000</v>
      </c>
      <c r="H10" s="21" t="s">
        <v>59</v>
      </c>
    </row>
    <row r="11" spans="1:8" ht="18" customHeight="1" x14ac:dyDescent="0.2">
      <c r="A11" s="13">
        <v>8</v>
      </c>
      <c r="B11" s="13" t="s">
        <v>60</v>
      </c>
      <c r="C11" s="13" t="s">
        <v>61</v>
      </c>
      <c r="D11" s="21" t="b">
        <v>1</v>
      </c>
      <c r="E11" s="21" t="str">
        <f t="shared" si="0"/>
        <v>攻击百分比加成 +%f%%</v>
      </c>
      <c r="F11" s="21">
        <v>100</v>
      </c>
      <c r="G11" s="21">
        <v>0</v>
      </c>
      <c r="H11" s="21" t="s">
        <v>62</v>
      </c>
    </row>
    <row r="12" spans="1:8" ht="18" customHeight="1" x14ac:dyDescent="0.2">
      <c r="A12" s="13">
        <v>9</v>
      </c>
      <c r="B12" s="13" t="s">
        <v>63</v>
      </c>
      <c r="C12" s="13" t="s">
        <v>64</v>
      </c>
      <c r="D12" s="21" t="b">
        <v>1</v>
      </c>
      <c r="E12" s="21" t="str">
        <f t="shared" si="0"/>
        <v>防御百分比加成 +%f%%</v>
      </c>
      <c r="F12" s="21">
        <v>100</v>
      </c>
      <c r="G12" s="21">
        <v>0</v>
      </c>
      <c r="H12" s="21" t="s">
        <v>65</v>
      </c>
    </row>
    <row r="13" spans="1:8" ht="18" customHeight="1" x14ac:dyDescent="0.2">
      <c r="A13" s="13">
        <v>10</v>
      </c>
      <c r="B13" s="13" t="s">
        <v>66</v>
      </c>
      <c r="C13" s="13" t="s">
        <v>67</v>
      </c>
      <c r="D13" s="21" t="b">
        <v>1</v>
      </c>
      <c r="E13" s="21" t="str">
        <f t="shared" si="0"/>
        <v>生命百分比加成 +%f%%</v>
      </c>
      <c r="F13" s="21">
        <v>100</v>
      </c>
      <c r="G13" s="21">
        <v>0</v>
      </c>
      <c r="H13" s="21" t="s">
        <v>68</v>
      </c>
    </row>
    <row r="14" spans="1:8" ht="16.5" x14ac:dyDescent="0.2">
      <c r="A14" s="13">
        <v>11</v>
      </c>
      <c r="B14" s="21" t="s">
        <v>69</v>
      </c>
      <c r="C14" s="21" t="s">
        <v>70</v>
      </c>
      <c r="D14" s="21" t="b">
        <v>1</v>
      </c>
      <c r="E14" s="21" t="str">
        <f t="shared" si="0"/>
        <v>攻击 +%f%%</v>
      </c>
      <c r="F14" s="21">
        <v>100</v>
      </c>
      <c r="G14" s="21">
        <v>0</v>
      </c>
      <c r="H14" s="21" t="s">
        <v>71</v>
      </c>
    </row>
    <row r="15" spans="1:8" ht="16.5" x14ac:dyDescent="0.2">
      <c r="A15" s="13">
        <v>12</v>
      </c>
      <c r="B15" s="21" t="s">
        <v>72</v>
      </c>
      <c r="C15" s="21" t="s">
        <v>73</v>
      </c>
      <c r="D15" s="21" t="b">
        <v>1</v>
      </c>
      <c r="E15" s="21" t="str">
        <f t="shared" si="0"/>
        <v>防御 +%f%%</v>
      </c>
      <c r="F15" s="21">
        <v>100</v>
      </c>
      <c r="G15" s="21">
        <v>0</v>
      </c>
      <c r="H15" s="21" t="s">
        <v>74</v>
      </c>
    </row>
    <row r="16" spans="1:8" ht="16.5" x14ac:dyDescent="0.2">
      <c r="A16" s="13">
        <v>13</v>
      </c>
      <c r="B16" s="21" t="s">
        <v>75</v>
      </c>
      <c r="C16" s="21" t="s">
        <v>76</v>
      </c>
      <c r="D16" s="21" t="b">
        <v>1</v>
      </c>
      <c r="E16" s="21" t="str">
        <f t="shared" si="0"/>
        <v>生命 +%f%%</v>
      </c>
      <c r="F16" s="21">
        <v>100</v>
      </c>
      <c r="G16" s="21">
        <v>0</v>
      </c>
      <c r="H16" s="21" t="s">
        <v>77</v>
      </c>
    </row>
    <row r="17" spans="1:8" ht="16.5" x14ac:dyDescent="0.2">
      <c r="A17" s="13">
        <v>14</v>
      </c>
      <c r="B17" s="21" t="s">
        <v>78</v>
      </c>
      <c r="C17" s="21" t="s">
        <v>79</v>
      </c>
      <c r="D17" s="21" t="b">
        <v>0</v>
      </c>
      <c r="E17" s="21" t="str">
        <f t="shared" si="0"/>
        <v>格挡 +%f%%</v>
      </c>
      <c r="F17" s="21">
        <v>100</v>
      </c>
      <c r="G17" s="21">
        <v>0</v>
      </c>
      <c r="H17" s="21" t="s">
        <v>80</v>
      </c>
    </row>
    <row r="18" spans="1:8" ht="16.5" x14ac:dyDescent="0.2">
      <c r="A18" s="13">
        <v>15</v>
      </c>
      <c r="B18" s="21" t="s">
        <v>81</v>
      </c>
      <c r="C18" s="21" t="s">
        <v>82</v>
      </c>
      <c r="D18" s="21" t="b">
        <v>0</v>
      </c>
      <c r="E18" s="21" t="str">
        <f t="shared" si="0"/>
        <v>穿透 +%f%%</v>
      </c>
      <c r="F18" s="21">
        <v>100</v>
      </c>
      <c r="G18" s="21">
        <v>100000</v>
      </c>
      <c r="H18" s="21" t="s">
        <v>83</v>
      </c>
    </row>
    <row r="19" spans="1:8" ht="16.5" x14ac:dyDescent="0.2">
      <c r="A19" s="13">
        <v>16</v>
      </c>
      <c r="B19" s="13" t="s">
        <v>84</v>
      </c>
      <c r="C19" s="21" t="s">
        <v>85</v>
      </c>
      <c r="D19" s="21" t="b">
        <v>1</v>
      </c>
      <c r="E19" s="21" t="str">
        <f>C19&amp;" +%d"</f>
        <v>防御基值 +%d</v>
      </c>
      <c r="F19" s="21">
        <v>1</v>
      </c>
      <c r="G19" s="21">
        <v>0</v>
      </c>
      <c r="H19" s="21" t="s">
        <v>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1"/>
  <sheetViews>
    <sheetView topLeftCell="A4" workbookViewId="0">
      <selection activeCell="Q32" sqref="Q32"/>
    </sheetView>
  </sheetViews>
  <sheetFormatPr defaultRowHeight="14.25" x14ac:dyDescent="0.2"/>
  <cols>
    <col min="1" max="2" width="9" style="20" customWidth="1"/>
    <col min="3" max="3" width="9.25" style="20" customWidth="1"/>
    <col min="4" max="4" width="10" style="20" customWidth="1"/>
    <col min="5" max="5" width="11.125" style="20" customWidth="1"/>
    <col min="6" max="6" width="10.625" style="20" customWidth="1"/>
    <col min="7" max="7" width="10.125" style="20" customWidth="1"/>
    <col min="8" max="8" width="10.375" style="20" customWidth="1"/>
    <col min="9" max="9" width="10" style="20" customWidth="1"/>
    <col min="10" max="11" width="9" style="20"/>
    <col min="12" max="12" width="11.125" style="20" customWidth="1"/>
    <col min="13" max="13" width="10.125" style="20" customWidth="1"/>
    <col min="14" max="14" width="9.375" style="20" customWidth="1"/>
    <col min="15" max="15" width="9" style="20"/>
    <col min="16" max="16" width="9.75" style="20" customWidth="1"/>
    <col min="17" max="18" width="9" style="20"/>
    <col min="19" max="19" width="11" style="20" customWidth="1"/>
    <col min="20" max="20" width="11.125" style="20" customWidth="1"/>
    <col min="21" max="21" width="11.375" style="20" customWidth="1"/>
    <col min="22" max="22" width="10.5" style="20" customWidth="1"/>
    <col min="23" max="16384" width="9" style="20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4" t="s">
        <v>113</v>
      </c>
      <c r="L4" s="64"/>
      <c r="P4" s="65" t="s">
        <v>112</v>
      </c>
      <c r="Q4" s="65"/>
      <c r="R4" s="65"/>
      <c r="S4" s="65"/>
      <c r="T4" s="65"/>
      <c r="U4" s="65"/>
      <c r="V4" s="65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415</v>
      </c>
      <c r="E6" s="22" t="s">
        <v>416</v>
      </c>
      <c r="F6" s="22" t="s">
        <v>422</v>
      </c>
      <c r="G6" s="22"/>
      <c r="H6" s="22"/>
      <c r="K6" s="13" t="s">
        <v>14</v>
      </c>
      <c r="L6" s="13">
        <v>0.5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1.7550000000000001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1.7550000000000001</v>
      </c>
      <c r="G8" s="13"/>
      <c r="H8" s="13"/>
      <c r="K8" s="13" t="s">
        <v>17</v>
      </c>
      <c r="L8" s="13">
        <v>1.1499999999999999</v>
      </c>
      <c r="P8" s="13">
        <v>3</v>
      </c>
      <c r="Q8" s="13">
        <v>1.1499999999999999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1.3</v>
      </c>
      <c r="M9" s="39"/>
      <c r="O9" s="39"/>
      <c r="P9" s="13">
        <v>4</v>
      </c>
      <c r="Q9" s="13">
        <v>1.2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525</v>
      </c>
      <c r="L10" s="13">
        <v>1.5</v>
      </c>
      <c r="P10" s="13">
        <v>5</v>
      </c>
      <c r="Q10" s="13">
        <v>1.35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5" t="s">
        <v>97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S12" s="16"/>
    </row>
    <row r="13" spans="1:22" ht="17.25" x14ac:dyDescent="0.2">
      <c r="A13" s="12" t="s">
        <v>98</v>
      </c>
      <c r="B13" s="12" t="s">
        <v>409</v>
      </c>
      <c r="C13" s="12" t="s">
        <v>410</v>
      </c>
      <c r="D13" s="12" t="s">
        <v>99</v>
      </c>
      <c r="E13" s="12" t="s">
        <v>100</v>
      </c>
      <c r="F13" s="12" t="s">
        <v>101</v>
      </c>
      <c r="G13" s="12" t="s">
        <v>411</v>
      </c>
      <c r="H13" s="12" t="s">
        <v>338</v>
      </c>
      <c r="I13" s="12" t="s">
        <v>339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421</v>
      </c>
      <c r="O13" s="12" t="s">
        <v>15</v>
      </c>
      <c r="S13" s="16"/>
      <c r="V13" s="12" t="s">
        <v>342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10</v>
      </c>
      <c r="E14" s="14">
        <f t="shared" ref="E14:E34" si="0">D14/2</f>
        <v>5</v>
      </c>
      <c r="F14" s="14">
        <f t="shared" ref="F14:F34" si="1">D14*$C$7/2</f>
        <v>30</v>
      </c>
      <c r="G14" s="13">
        <v>50</v>
      </c>
      <c r="H14" s="13">
        <v>0</v>
      </c>
      <c r="I14" s="13">
        <v>250</v>
      </c>
      <c r="J14" s="14">
        <f>G14</f>
        <v>50</v>
      </c>
      <c r="K14" s="14">
        <f>H14</f>
        <v>0</v>
      </c>
      <c r="L14" s="14">
        <f>I14</f>
        <v>250</v>
      </c>
      <c r="M14" s="17">
        <f>D14/J14</f>
        <v>0.2</v>
      </c>
      <c r="N14" s="14">
        <f t="shared" ref="N14:N34" si="2">(1+M14)*(1+M14)</f>
        <v>1.44</v>
      </c>
      <c r="O14" s="14">
        <v>50</v>
      </c>
      <c r="Q14" s="24"/>
      <c r="S14" s="16"/>
      <c r="U14" s="15" t="s">
        <v>343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20</v>
      </c>
      <c r="D15" s="14">
        <f>ROUND(J15*M15,2)</f>
        <v>10</v>
      </c>
      <c r="E15" s="14">
        <f t="shared" si="0"/>
        <v>5</v>
      </c>
      <c r="F15" s="14">
        <f t="shared" si="1"/>
        <v>30</v>
      </c>
      <c r="G15" s="14">
        <v>10</v>
      </c>
      <c r="H15" s="14">
        <f>ROUND(E14*($B15-B14)*$D$7,0)</f>
        <v>11</v>
      </c>
      <c r="I15" s="14">
        <f>G15*$C$7/2</f>
        <v>30</v>
      </c>
      <c r="J15" s="14">
        <f t="shared" ref="J15:J32" si="3">J14+D14*($B15-$B14)+G15</f>
        <v>150</v>
      </c>
      <c r="K15" s="14">
        <f t="shared" ref="K15:L30" si="4">K14+E14*($B15-$B14)+H15</f>
        <v>56</v>
      </c>
      <c r="L15" s="14">
        <f t="shared" si="4"/>
        <v>550</v>
      </c>
      <c r="M15" s="38">
        <v>6.6650000000000001E-2</v>
      </c>
      <c r="N15" s="14">
        <f t="shared" si="2"/>
        <v>1.1377422225000002</v>
      </c>
      <c r="O15" s="14">
        <f>ROUND((O$14+K15*3)/50,0)*50</f>
        <v>200</v>
      </c>
      <c r="Q15" s="24"/>
      <c r="S15" s="16"/>
      <c r="U15" s="15" t="s">
        <v>344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30</v>
      </c>
      <c r="D16" s="14">
        <f t="shared" ref="D16:D34" si="5">ROUND(J16*M16,2)</f>
        <v>15</v>
      </c>
      <c r="E16" s="14">
        <f t="shared" si="0"/>
        <v>7.5</v>
      </c>
      <c r="F16" s="14">
        <f t="shared" si="1"/>
        <v>45</v>
      </c>
      <c r="G16" s="14">
        <f>ROUND(D15*($B16-$B15)*$D$7,0)</f>
        <v>25</v>
      </c>
      <c r="H16" s="14">
        <f>ROUND(E15*($B16-$B15)*$D$7,0)</f>
        <v>13</v>
      </c>
      <c r="I16" s="14">
        <f t="shared" ref="I16:I34" si="6">G16*$C$7/2</f>
        <v>75</v>
      </c>
      <c r="J16" s="14">
        <f t="shared" si="3"/>
        <v>275</v>
      </c>
      <c r="K16" s="14">
        <f t="shared" si="4"/>
        <v>119</v>
      </c>
      <c r="L16" s="14">
        <f t="shared" si="4"/>
        <v>925</v>
      </c>
      <c r="M16" s="38">
        <v>5.4550000000000001E-2</v>
      </c>
      <c r="N16" s="14">
        <f t="shared" si="2"/>
        <v>1.1120757025000003</v>
      </c>
      <c r="O16" s="14">
        <f t="shared" ref="O16:O35" si="7">ROUND((O$14+K16*3)/50,0)*50</f>
        <v>400</v>
      </c>
      <c r="Q16" s="24"/>
      <c r="S16" s="16"/>
      <c r="U16" s="15" t="s">
        <v>345</v>
      </c>
      <c r="V16" s="28">
        <v>0.2</v>
      </c>
    </row>
    <row r="17" spans="1:24" ht="16.5" x14ac:dyDescent="0.2">
      <c r="A17" s="13">
        <v>4</v>
      </c>
      <c r="B17" s="13">
        <v>30</v>
      </c>
      <c r="C17" s="13">
        <v>40</v>
      </c>
      <c r="D17" s="14">
        <f t="shared" si="5"/>
        <v>20</v>
      </c>
      <c r="E17" s="14">
        <f t="shared" si="0"/>
        <v>10</v>
      </c>
      <c r="F17" s="14">
        <f t="shared" si="1"/>
        <v>60</v>
      </c>
      <c r="G17" s="14">
        <f t="shared" ref="G17:H32" si="8">ROUND(D16*($B17-$B16)*$D$7,0)</f>
        <v>38</v>
      </c>
      <c r="H17" s="14">
        <f t="shared" si="8"/>
        <v>19</v>
      </c>
      <c r="I17" s="14">
        <f t="shared" si="6"/>
        <v>114</v>
      </c>
      <c r="J17" s="14">
        <f t="shared" si="3"/>
        <v>463</v>
      </c>
      <c r="K17" s="14">
        <f t="shared" si="4"/>
        <v>213</v>
      </c>
      <c r="L17" s="14">
        <f t="shared" si="4"/>
        <v>1489</v>
      </c>
      <c r="M17" s="38">
        <v>4.3200000000000002E-2</v>
      </c>
      <c r="N17" s="14">
        <f t="shared" si="2"/>
        <v>1.0882662399999998</v>
      </c>
      <c r="O17" s="14">
        <f t="shared" si="7"/>
        <v>700</v>
      </c>
      <c r="Q17" s="24"/>
      <c r="S17" s="16"/>
      <c r="U17" s="15" t="s">
        <v>346</v>
      </c>
      <c r="V17" s="28">
        <v>0.1</v>
      </c>
    </row>
    <row r="18" spans="1:24" ht="16.5" x14ac:dyDescent="0.2">
      <c r="A18" s="13">
        <v>5</v>
      </c>
      <c r="B18" s="13">
        <v>40</v>
      </c>
      <c r="C18" s="13">
        <v>50</v>
      </c>
      <c r="D18" s="14">
        <f t="shared" si="5"/>
        <v>25</v>
      </c>
      <c r="E18" s="14">
        <f t="shared" si="0"/>
        <v>12.5</v>
      </c>
      <c r="F18" s="14">
        <f t="shared" si="1"/>
        <v>75</v>
      </c>
      <c r="G18" s="14">
        <f t="shared" si="8"/>
        <v>50</v>
      </c>
      <c r="H18" s="14">
        <f t="shared" si="8"/>
        <v>25</v>
      </c>
      <c r="I18" s="14">
        <f t="shared" si="6"/>
        <v>150</v>
      </c>
      <c r="J18" s="14">
        <f t="shared" si="3"/>
        <v>713</v>
      </c>
      <c r="K18" s="14">
        <f t="shared" si="4"/>
        <v>338</v>
      </c>
      <c r="L18" s="14">
        <f t="shared" si="4"/>
        <v>2239</v>
      </c>
      <c r="M18" s="38">
        <v>3.5060000000000001E-2</v>
      </c>
      <c r="N18" s="14">
        <f t="shared" si="2"/>
        <v>1.0713492036000003</v>
      </c>
      <c r="O18" s="14">
        <f t="shared" si="7"/>
        <v>1050</v>
      </c>
      <c r="Q18" s="24"/>
      <c r="S18" s="16"/>
    </row>
    <row r="19" spans="1:24" ht="17.25" x14ac:dyDescent="0.2">
      <c r="A19" s="13">
        <v>6</v>
      </c>
      <c r="B19" s="13">
        <v>50</v>
      </c>
      <c r="C19" s="13">
        <v>60</v>
      </c>
      <c r="D19" s="14">
        <f t="shared" si="5"/>
        <v>30</v>
      </c>
      <c r="E19" s="14">
        <f t="shared" si="0"/>
        <v>15</v>
      </c>
      <c r="F19" s="14">
        <f t="shared" si="1"/>
        <v>90</v>
      </c>
      <c r="G19" s="14">
        <f t="shared" si="8"/>
        <v>63</v>
      </c>
      <c r="H19" s="14">
        <f t="shared" si="8"/>
        <v>31</v>
      </c>
      <c r="I19" s="14">
        <f t="shared" si="6"/>
        <v>189</v>
      </c>
      <c r="J19" s="14">
        <f t="shared" si="3"/>
        <v>1026</v>
      </c>
      <c r="K19" s="14">
        <f t="shared" si="4"/>
        <v>494</v>
      </c>
      <c r="L19" s="14">
        <f t="shared" si="4"/>
        <v>3178</v>
      </c>
      <c r="M19" s="38">
        <v>2.9239999999999999E-2</v>
      </c>
      <c r="N19" s="14">
        <f t="shared" si="2"/>
        <v>1.0593349775999998</v>
      </c>
      <c r="O19" s="14">
        <f t="shared" si="7"/>
        <v>1550</v>
      </c>
      <c r="R19" s="12" t="s">
        <v>536</v>
      </c>
      <c r="S19" s="12" t="s">
        <v>537</v>
      </c>
      <c r="T19" s="12" t="s">
        <v>538</v>
      </c>
    </row>
    <row r="20" spans="1:24" ht="16.5" x14ac:dyDescent="0.2">
      <c r="A20" s="13">
        <v>7</v>
      </c>
      <c r="B20" s="13">
        <v>60</v>
      </c>
      <c r="C20" s="13">
        <v>70</v>
      </c>
      <c r="D20" s="14">
        <f t="shared" si="5"/>
        <v>35</v>
      </c>
      <c r="E20" s="14">
        <f t="shared" si="0"/>
        <v>17.5</v>
      </c>
      <c r="F20" s="14">
        <f t="shared" si="1"/>
        <v>105</v>
      </c>
      <c r="G20" s="14">
        <f t="shared" si="8"/>
        <v>75</v>
      </c>
      <c r="H20" s="14">
        <f t="shared" si="8"/>
        <v>38</v>
      </c>
      <c r="I20" s="14">
        <f t="shared" si="6"/>
        <v>225</v>
      </c>
      <c r="J20" s="14">
        <f t="shared" si="3"/>
        <v>1401</v>
      </c>
      <c r="K20" s="14">
        <f t="shared" si="4"/>
        <v>682</v>
      </c>
      <c r="L20" s="14">
        <f t="shared" si="4"/>
        <v>4303</v>
      </c>
      <c r="M20" s="38">
        <v>2.4979999999999999E-2</v>
      </c>
      <c r="N20" s="14">
        <f t="shared" si="2"/>
        <v>1.0505840004</v>
      </c>
      <c r="O20" s="14">
        <f t="shared" si="7"/>
        <v>2100</v>
      </c>
      <c r="Q20" s="13" t="s">
        <v>15</v>
      </c>
      <c r="R20" s="13">
        <v>50</v>
      </c>
      <c r="S20" s="13">
        <v>0</v>
      </c>
      <c r="T20" s="13">
        <v>250</v>
      </c>
    </row>
    <row r="21" spans="1:24" ht="16.5" x14ac:dyDescent="0.2">
      <c r="A21" s="13">
        <v>8</v>
      </c>
      <c r="B21" s="13">
        <v>70</v>
      </c>
      <c r="C21" s="13">
        <v>80</v>
      </c>
      <c r="D21" s="14">
        <f t="shared" si="5"/>
        <v>45</v>
      </c>
      <c r="E21" s="14">
        <f t="shared" si="0"/>
        <v>22.5</v>
      </c>
      <c r="F21" s="14">
        <f t="shared" si="1"/>
        <v>135</v>
      </c>
      <c r="G21" s="14">
        <f t="shared" si="8"/>
        <v>88</v>
      </c>
      <c r="H21" s="14">
        <f t="shared" si="8"/>
        <v>44</v>
      </c>
      <c r="I21" s="14">
        <f t="shared" si="6"/>
        <v>264</v>
      </c>
      <c r="J21" s="14">
        <f t="shared" si="3"/>
        <v>1839</v>
      </c>
      <c r="K21" s="14">
        <f t="shared" si="4"/>
        <v>901</v>
      </c>
      <c r="L21" s="14">
        <f t="shared" si="4"/>
        <v>5617</v>
      </c>
      <c r="M21" s="38">
        <v>2.4469999999999999E-2</v>
      </c>
      <c r="N21" s="14">
        <f t="shared" si="2"/>
        <v>1.0495387809000001</v>
      </c>
      <c r="O21" s="14">
        <f t="shared" si="7"/>
        <v>2750</v>
      </c>
      <c r="P21" s="33"/>
      <c r="Q21" s="13" t="s">
        <v>17</v>
      </c>
      <c r="R21" s="13">
        <v>100</v>
      </c>
      <c r="S21" s="13">
        <v>0</v>
      </c>
      <c r="T21" s="13">
        <v>750</v>
      </c>
      <c r="V21" s="37"/>
      <c r="X21" s="37"/>
    </row>
    <row r="22" spans="1:24" ht="16.5" x14ac:dyDescent="0.2">
      <c r="A22" s="13">
        <v>9</v>
      </c>
      <c r="B22" s="13">
        <v>80</v>
      </c>
      <c r="C22" s="13">
        <v>90</v>
      </c>
      <c r="D22" s="14">
        <f t="shared" si="5"/>
        <v>60.05</v>
      </c>
      <c r="E22" s="14">
        <f t="shared" si="0"/>
        <v>30.024999999999999</v>
      </c>
      <c r="F22" s="14">
        <f t="shared" si="1"/>
        <v>180.14999999999998</v>
      </c>
      <c r="G22" s="14">
        <f t="shared" si="8"/>
        <v>113</v>
      </c>
      <c r="H22" s="14">
        <f t="shared" si="8"/>
        <v>56</v>
      </c>
      <c r="I22" s="14">
        <f t="shared" si="6"/>
        <v>339</v>
      </c>
      <c r="J22" s="14">
        <f t="shared" si="3"/>
        <v>2402</v>
      </c>
      <c r="K22" s="14">
        <f t="shared" si="4"/>
        <v>1182</v>
      </c>
      <c r="L22" s="14">
        <f t="shared" si="4"/>
        <v>7306</v>
      </c>
      <c r="M22" s="38">
        <v>2.5000000000000001E-2</v>
      </c>
      <c r="N22" s="14">
        <f t="shared" si="2"/>
        <v>1.0506249999999999</v>
      </c>
      <c r="O22" s="14">
        <f t="shared" si="7"/>
        <v>3600</v>
      </c>
      <c r="P22" s="33"/>
      <c r="Q22" s="13" t="s">
        <v>116</v>
      </c>
      <c r="R22" s="13">
        <v>150</v>
      </c>
      <c r="S22" s="13">
        <v>0</v>
      </c>
      <c r="T22" s="13">
        <v>750</v>
      </c>
      <c r="V22" s="37"/>
      <c r="X22" s="37"/>
    </row>
    <row r="23" spans="1:24" ht="16.5" x14ac:dyDescent="0.2">
      <c r="A23" s="13">
        <v>10</v>
      </c>
      <c r="B23" s="13">
        <v>90</v>
      </c>
      <c r="C23" s="13">
        <v>100</v>
      </c>
      <c r="D23" s="14">
        <f t="shared" si="5"/>
        <v>78.5</v>
      </c>
      <c r="E23" s="14">
        <f t="shared" si="0"/>
        <v>39.25</v>
      </c>
      <c r="F23" s="14">
        <f t="shared" si="1"/>
        <v>235.5</v>
      </c>
      <c r="G23" s="14">
        <f t="shared" si="8"/>
        <v>150</v>
      </c>
      <c r="H23" s="14">
        <f t="shared" si="8"/>
        <v>75</v>
      </c>
      <c r="I23" s="14">
        <f t="shared" si="6"/>
        <v>450</v>
      </c>
      <c r="J23" s="14">
        <f t="shared" si="3"/>
        <v>3152.5</v>
      </c>
      <c r="K23" s="14">
        <f t="shared" si="4"/>
        <v>1557.25</v>
      </c>
      <c r="L23" s="14">
        <f t="shared" si="4"/>
        <v>9557.5</v>
      </c>
      <c r="M23" s="38">
        <v>2.4899999999999999E-2</v>
      </c>
      <c r="N23" s="14">
        <f t="shared" si="2"/>
        <v>1.0504200099999998</v>
      </c>
      <c r="O23" s="14">
        <f t="shared" si="7"/>
        <v>4700</v>
      </c>
      <c r="P23" s="33"/>
      <c r="Q23" s="13" t="s">
        <v>540</v>
      </c>
      <c r="R23" s="13">
        <v>200</v>
      </c>
      <c r="S23" s="13">
        <v>0</v>
      </c>
      <c r="T23" s="13">
        <v>1000</v>
      </c>
      <c r="V23" s="37"/>
      <c r="X23" s="37"/>
    </row>
    <row r="24" spans="1:24" ht="17.25" x14ac:dyDescent="0.2">
      <c r="A24" s="13">
        <v>11</v>
      </c>
      <c r="B24" s="13">
        <v>100</v>
      </c>
      <c r="C24" s="13">
        <v>110</v>
      </c>
      <c r="D24" s="14">
        <f t="shared" si="5"/>
        <v>103.34</v>
      </c>
      <c r="E24" s="14">
        <f t="shared" si="0"/>
        <v>51.67</v>
      </c>
      <c r="F24" s="14">
        <f t="shared" si="1"/>
        <v>310.02</v>
      </c>
      <c r="G24" s="14">
        <f t="shared" si="8"/>
        <v>196</v>
      </c>
      <c r="H24" s="14">
        <f t="shared" si="8"/>
        <v>98</v>
      </c>
      <c r="I24" s="14">
        <f t="shared" si="6"/>
        <v>588</v>
      </c>
      <c r="J24" s="14">
        <f t="shared" si="3"/>
        <v>4133.5</v>
      </c>
      <c r="K24" s="14">
        <f t="shared" si="4"/>
        <v>2047.75</v>
      </c>
      <c r="L24" s="14">
        <f t="shared" si="4"/>
        <v>12500.5</v>
      </c>
      <c r="M24" s="38">
        <v>2.5000000000000001E-2</v>
      </c>
      <c r="N24" s="14">
        <f t="shared" si="2"/>
        <v>1.0506249999999999</v>
      </c>
      <c r="O24" s="14">
        <f t="shared" si="7"/>
        <v>6200</v>
      </c>
      <c r="P24" s="33"/>
      <c r="R24" s="12" t="s">
        <v>536</v>
      </c>
      <c r="S24" s="12" t="s">
        <v>537</v>
      </c>
      <c r="T24" s="12" t="s">
        <v>538</v>
      </c>
    </row>
    <row r="25" spans="1:24" ht="16.5" x14ac:dyDescent="0.2">
      <c r="A25" s="13">
        <v>12</v>
      </c>
      <c r="B25" s="13">
        <v>110</v>
      </c>
      <c r="C25" s="13">
        <v>120</v>
      </c>
      <c r="D25" s="14">
        <f t="shared" si="5"/>
        <v>135.62</v>
      </c>
      <c r="E25" s="14">
        <f t="shared" si="0"/>
        <v>67.81</v>
      </c>
      <c r="F25" s="14">
        <f t="shared" si="1"/>
        <v>406.86</v>
      </c>
      <c r="G25" s="14">
        <f t="shared" si="8"/>
        <v>258</v>
      </c>
      <c r="H25" s="14">
        <f t="shared" si="8"/>
        <v>129</v>
      </c>
      <c r="I25" s="14">
        <f t="shared" si="6"/>
        <v>774</v>
      </c>
      <c r="J25" s="14">
        <f t="shared" si="3"/>
        <v>5424.9</v>
      </c>
      <c r="K25" s="14">
        <f t="shared" si="4"/>
        <v>2693.45</v>
      </c>
      <c r="L25" s="14">
        <f t="shared" si="4"/>
        <v>16374.7</v>
      </c>
      <c r="M25" s="38">
        <v>2.5000000000000001E-2</v>
      </c>
      <c r="N25" s="14">
        <f t="shared" si="2"/>
        <v>1.0506249999999999</v>
      </c>
      <c r="O25" s="14">
        <f t="shared" si="7"/>
        <v>8150</v>
      </c>
      <c r="P25" s="33"/>
      <c r="Q25" s="13" t="s">
        <v>15</v>
      </c>
      <c r="R25" s="13">
        <v>150</v>
      </c>
      <c r="S25" s="13">
        <v>0</v>
      </c>
      <c r="T25" s="13">
        <v>300</v>
      </c>
    </row>
    <row r="26" spans="1:24" ht="16.5" x14ac:dyDescent="0.2">
      <c r="A26" s="13">
        <v>13</v>
      </c>
      <c r="B26" s="13">
        <v>120</v>
      </c>
      <c r="C26" s="13">
        <v>130</v>
      </c>
      <c r="D26" s="14">
        <f t="shared" si="5"/>
        <v>178</v>
      </c>
      <c r="E26" s="14">
        <f t="shared" si="0"/>
        <v>89</v>
      </c>
      <c r="F26" s="14">
        <f t="shared" si="1"/>
        <v>534</v>
      </c>
      <c r="G26" s="14">
        <f t="shared" si="8"/>
        <v>339</v>
      </c>
      <c r="H26" s="14">
        <f t="shared" si="8"/>
        <v>170</v>
      </c>
      <c r="I26" s="14">
        <f t="shared" si="6"/>
        <v>1017</v>
      </c>
      <c r="J26" s="14">
        <f t="shared" si="3"/>
        <v>7120.0999999999995</v>
      </c>
      <c r="K26" s="14">
        <f t="shared" si="4"/>
        <v>3541.5499999999997</v>
      </c>
      <c r="L26" s="14">
        <f t="shared" si="4"/>
        <v>21460.300000000003</v>
      </c>
      <c r="M26" s="38">
        <v>2.5000000000000001E-2</v>
      </c>
      <c r="N26" s="14">
        <f t="shared" si="2"/>
        <v>1.0506249999999999</v>
      </c>
      <c r="O26" s="14">
        <f t="shared" si="7"/>
        <v>10650</v>
      </c>
      <c r="P26" s="33"/>
      <c r="Q26" s="13" t="s">
        <v>17</v>
      </c>
      <c r="R26" s="13">
        <v>250</v>
      </c>
      <c r="S26" s="13">
        <v>0</v>
      </c>
      <c r="T26" s="13">
        <v>800</v>
      </c>
      <c r="V26" s="37"/>
      <c r="X26" s="37"/>
    </row>
    <row r="27" spans="1:24" ht="16.5" x14ac:dyDescent="0.2">
      <c r="A27" s="13">
        <v>14</v>
      </c>
      <c r="B27" s="13">
        <v>130</v>
      </c>
      <c r="C27" s="13">
        <v>140</v>
      </c>
      <c r="D27" s="14">
        <f t="shared" si="5"/>
        <v>233.63</v>
      </c>
      <c r="E27" s="14">
        <f t="shared" si="0"/>
        <v>116.815</v>
      </c>
      <c r="F27" s="14">
        <f t="shared" si="1"/>
        <v>700.89</v>
      </c>
      <c r="G27" s="14">
        <f t="shared" si="8"/>
        <v>445</v>
      </c>
      <c r="H27" s="14">
        <f t="shared" si="8"/>
        <v>223</v>
      </c>
      <c r="I27" s="14">
        <f t="shared" si="6"/>
        <v>1335</v>
      </c>
      <c r="J27" s="14">
        <f t="shared" si="3"/>
        <v>9345.0999999999985</v>
      </c>
      <c r="K27" s="14">
        <f t="shared" si="4"/>
        <v>4654.5499999999993</v>
      </c>
      <c r="L27" s="14">
        <f t="shared" si="4"/>
        <v>28135.300000000003</v>
      </c>
      <c r="M27" s="38">
        <v>2.5000000000000001E-2</v>
      </c>
      <c r="N27" s="14">
        <f t="shared" si="2"/>
        <v>1.0506249999999999</v>
      </c>
      <c r="O27" s="14">
        <f t="shared" si="7"/>
        <v>14000</v>
      </c>
      <c r="P27" s="33"/>
      <c r="Q27" s="13" t="s">
        <v>116</v>
      </c>
      <c r="R27" s="13">
        <v>350</v>
      </c>
      <c r="S27" s="13">
        <v>0</v>
      </c>
      <c r="T27" s="13">
        <v>1300</v>
      </c>
      <c r="V27" s="37"/>
      <c r="X27" s="37"/>
    </row>
    <row r="28" spans="1:24" ht="16.5" x14ac:dyDescent="0.2">
      <c r="A28" s="13">
        <v>15</v>
      </c>
      <c r="B28" s="13">
        <v>140</v>
      </c>
      <c r="C28" s="13">
        <v>150</v>
      </c>
      <c r="D28" s="14">
        <f t="shared" si="5"/>
        <v>306.64</v>
      </c>
      <c r="E28" s="14">
        <f t="shared" si="0"/>
        <v>153.32</v>
      </c>
      <c r="F28" s="14">
        <f t="shared" si="1"/>
        <v>919.92</v>
      </c>
      <c r="G28" s="14">
        <f t="shared" si="8"/>
        <v>584</v>
      </c>
      <c r="H28" s="14">
        <f t="shared" si="8"/>
        <v>292</v>
      </c>
      <c r="I28" s="14">
        <f t="shared" si="6"/>
        <v>1752</v>
      </c>
      <c r="J28" s="14">
        <f t="shared" si="3"/>
        <v>12265.399999999998</v>
      </c>
      <c r="K28" s="14">
        <f t="shared" si="4"/>
        <v>6114.6999999999989</v>
      </c>
      <c r="L28" s="14">
        <f t="shared" si="4"/>
        <v>36896.200000000004</v>
      </c>
      <c r="M28" s="38">
        <v>2.5000000000000001E-2</v>
      </c>
      <c r="N28" s="14">
        <f t="shared" si="2"/>
        <v>1.0506249999999999</v>
      </c>
      <c r="O28" s="14">
        <f t="shared" si="7"/>
        <v>18400</v>
      </c>
      <c r="P28" s="33"/>
      <c r="Q28" s="13" t="s">
        <v>540</v>
      </c>
      <c r="R28" s="13">
        <v>600</v>
      </c>
      <c r="S28" s="13">
        <v>0</v>
      </c>
      <c r="T28" s="13">
        <v>2800</v>
      </c>
      <c r="V28" s="37"/>
      <c r="X28" s="37"/>
    </row>
    <row r="29" spans="1:24" ht="16.5" x14ac:dyDescent="0.2">
      <c r="A29" s="13">
        <v>16</v>
      </c>
      <c r="B29" s="13">
        <v>150</v>
      </c>
      <c r="C29" s="13">
        <v>160</v>
      </c>
      <c r="D29" s="14">
        <f t="shared" si="5"/>
        <v>402.47</v>
      </c>
      <c r="E29" s="14">
        <f t="shared" si="0"/>
        <v>201.23500000000001</v>
      </c>
      <c r="F29" s="14">
        <f t="shared" si="1"/>
        <v>1207.4100000000001</v>
      </c>
      <c r="G29" s="14">
        <f t="shared" si="8"/>
        <v>767</v>
      </c>
      <c r="H29" s="14">
        <f t="shared" si="8"/>
        <v>383</v>
      </c>
      <c r="I29" s="14">
        <f t="shared" si="6"/>
        <v>2301</v>
      </c>
      <c r="J29" s="14">
        <f t="shared" si="3"/>
        <v>16098.799999999997</v>
      </c>
      <c r="K29" s="14">
        <f t="shared" si="4"/>
        <v>8030.8999999999987</v>
      </c>
      <c r="L29" s="14">
        <f t="shared" si="4"/>
        <v>48396.4</v>
      </c>
      <c r="M29" s="38">
        <v>2.5000000000000001E-2</v>
      </c>
      <c r="N29" s="14">
        <f t="shared" si="2"/>
        <v>1.0506249999999999</v>
      </c>
      <c r="O29" s="14">
        <f t="shared" si="7"/>
        <v>24150</v>
      </c>
      <c r="P29" s="33"/>
      <c r="Q29" s="24"/>
    </row>
    <row r="30" spans="1:24" ht="16.5" x14ac:dyDescent="0.2">
      <c r="A30" s="13">
        <v>17</v>
      </c>
      <c r="B30" s="13">
        <v>160</v>
      </c>
      <c r="C30" s="13">
        <v>170</v>
      </c>
      <c r="D30" s="14">
        <f t="shared" si="5"/>
        <v>528.24</v>
      </c>
      <c r="E30" s="14">
        <f t="shared" si="0"/>
        <v>264.12</v>
      </c>
      <c r="F30" s="14">
        <f t="shared" si="1"/>
        <v>1584.72</v>
      </c>
      <c r="G30" s="14">
        <f t="shared" si="8"/>
        <v>1006</v>
      </c>
      <c r="H30" s="14">
        <f t="shared" si="8"/>
        <v>503</v>
      </c>
      <c r="I30" s="14">
        <f t="shared" si="6"/>
        <v>3018</v>
      </c>
      <c r="J30" s="14">
        <f t="shared" si="3"/>
        <v>21129.499999999996</v>
      </c>
      <c r="K30" s="14">
        <f t="shared" si="4"/>
        <v>10546.249999999998</v>
      </c>
      <c r="L30" s="14">
        <f t="shared" si="4"/>
        <v>63488.5</v>
      </c>
      <c r="M30" s="38">
        <v>2.5000000000000001E-2</v>
      </c>
      <c r="N30" s="14">
        <f t="shared" si="2"/>
        <v>1.0506249999999999</v>
      </c>
      <c r="O30" s="14">
        <f t="shared" si="7"/>
        <v>31700</v>
      </c>
      <c r="P30" s="33"/>
      <c r="Q30" s="24"/>
    </row>
    <row r="31" spans="1:24" ht="16.5" x14ac:dyDescent="0.2">
      <c r="A31" s="13">
        <v>18</v>
      </c>
      <c r="B31" s="13">
        <v>170</v>
      </c>
      <c r="C31" s="13">
        <v>180</v>
      </c>
      <c r="D31" s="14">
        <f t="shared" si="5"/>
        <v>693.32</v>
      </c>
      <c r="E31" s="14">
        <f t="shared" si="0"/>
        <v>346.66</v>
      </c>
      <c r="F31" s="14">
        <f t="shared" si="1"/>
        <v>2079.96</v>
      </c>
      <c r="G31" s="14">
        <f t="shared" si="8"/>
        <v>1321</v>
      </c>
      <c r="H31" s="14">
        <f t="shared" si="8"/>
        <v>660</v>
      </c>
      <c r="I31" s="14">
        <f t="shared" si="6"/>
        <v>3963</v>
      </c>
      <c r="J31" s="14">
        <f t="shared" si="3"/>
        <v>27732.899999999994</v>
      </c>
      <c r="K31" s="14">
        <f>K30+E30*($B31-$B30)+H31</f>
        <v>13847.449999999997</v>
      </c>
      <c r="L31" s="14">
        <f>L30+F30*($B31-$B30)+I31</f>
        <v>83298.7</v>
      </c>
      <c r="M31" s="38">
        <v>2.5000000000000001E-2</v>
      </c>
      <c r="N31" s="14">
        <f t="shared" si="2"/>
        <v>1.0506249999999999</v>
      </c>
      <c r="O31" s="14">
        <f t="shared" si="7"/>
        <v>41600</v>
      </c>
      <c r="P31" s="33"/>
      <c r="Q31" s="24"/>
    </row>
    <row r="32" spans="1:24" ht="16.5" x14ac:dyDescent="0.2">
      <c r="A32" s="13">
        <v>19</v>
      </c>
      <c r="B32" s="13">
        <v>180</v>
      </c>
      <c r="C32" s="13">
        <v>190</v>
      </c>
      <c r="D32" s="14">
        <f t="shared" si="5"/>
        <v>909.98</v>
      </c>
      <c r="E32" s="14">
        <f t="shared" si="0"/>
        <v>454.99</v>
      </c>
      <c r="F32" s="14">
        <f t="shared" si="1"/>
        <v>2729.94</v>
      </c>
      <c r="G32" s="14">
        <f t="shared" si="8"/>
        <v>1733</v>
      </c>
      <c r="H32" s="14">
        <f t="shared" si="8"/>
        <v>867</v>
      </c>
      <c r="I32" s="14">
        <f t="shared" si="6"/>
        <v>5199</v>
      </c>
      <c r="J32" s="14">
        <f t="shared" si="3"/>
        <v>36399.099999999991</v>
      </c>
      <c r="K32" s="14">
        <f>K31+E31*($B32-$B31)+H32</f>
        <v>18181.049999999996</v>
      </c>
      <c r="L32" s="14">
        <f>L31+F31*($B32-$B31)+I32</f>
        <v>109297.29999999999</v>
      </c>
      <c r="M32" s="38">
        <v>2.5000000000000001E-2</v>
      </c>
      <c r="N32" s="14">
        <f t="shared" si="2"/>
        <v>1.0506249999999999</v>
      </c>
      <c r="O32" s="14">
        <f t="shared" si="7"/>
        <v>54600</v>
      </c>
      <c r="P32" s="33"/>
      <c r="Q32" s="24"/>
    </row>
    <row r="33" spans="1:17" ht="16.5" x14ac:dyDescent="0.2">
      <c r="A33" s="13">
        <v>20</v>
      </c>
      <c r="B33" s="13">
        <v>190</v>
      </c>
      <c r="C33" s="13">
        <v>200</v>
      </c>
      <c r="D33" s="14">
        <f t="shared" si="5"/>
        <v>1194.3499999999999</v>
      </c>
      <c r="E33" s="14">
        <f t="shared" si="0"/>
        <v>597.17499999999995</v>
      </c>
      <c r="F33" s="14">
        <f t="shared" si="1"/>
        <v>3583.0499999999997</v>
      </c>
      <c r="G33" s="14">
        <f>ROUND(D32*($B33-$B32)*$D$7,0)</f>
        <v>2275</v>
      </c>
      <c r="H33" s="14">
        <f>ROUND(E32*($B33-$B32)*$D$7,0)</f>
        <v>1137</v>
      </c>
      <c r="I33" s="14">
        <f t="shared" si="6"/>
        <v>6825</v>
      </c>
      <c r="J33" s="14">
        <f t="shared" ref="J33:L34" si="9">J32+D32*($B33-$B32)+G33</f>
        <v>47773.899999999994</v>
      </c>
      <c r="K33" s="14">
        <f t="shared" si="9"/>
        <v>23867.949999999997</v>
      </c>
      <c r="L33" s="14">
        <f t="shared" si="9"/>
        <v>143421.69999999998</v>
      </c>
      <c r="M33" s="38">
        <v>2.5000000000000001E-2</v>
      </c>
      <c r="N33" s="14">
        <f t="shared" si="2"/>
        <v>1.0506249999999999</v>
      </c>
      <c r="O33" s="14">
        <f t="shared" si="7"/>
        <v>71650</v>
      </c>
      <c r="P33" s="33"/>
      <c r="Q33" s="24"/>
    </row>
    <row r="34" spans="1:17" ht="16.5" x14ac:dyDescent="0.2">
      <c r="A34" s="13">
        <v>21</v>
      </c>
      <c r="B34" s="13">
        <v>200</v>
      </c>
      <c r="C34" s="13">
        <v>210</v>
      </c>
      <c r="D34" s="14">
        <f t="shared" si="5"/>
        <v>1567.59</v>
      </c>
      <c r="E34" s="14">
        <f t="shared" si="0"/>
        <v>783.79499999999996</v>
      </c>
      <c r="F34" s="14">
        <f t="shared" si="1"/>
        <v>4702.7699999999995</v>
      </c>
      <c r="G34" s="14">
        <f>ROUND(D33*($B34-$B33)*$D$7,0)</f>
        <v>2986</v>
      </c>
      <c r="H34" s="14">
        <f>ROUND(E33*($B34-$B33)*$D$7,0)</f>
        <v>1493</v>
      </c>
      <c r="I34" s="14">
        <f t="shared" si="6"/>
        <v>8958</v>
      </c>
      <c r="J34" s="14">
        <f t="shared" si="9"/>
        <v>62703.399999999994</v>
      </c>
      <c r="K34" s="14">
        <f t="shared" si="9"/>
        <v>31332.699999999997</v>
      </c>
      <c r="L34" s="14">
        <f t="shared" si="9"/>
        <v>188210.19999999998</v>
      </c>
      <c r="M34" s="38">
        <v>2.5000000000000001E-2</v>
      </c>
      <c r="N34" s="14">
        <f t="shared" si="2"/>
        <v>1.0506249999999999</v>
      </c>
      <c r="O34" s="14">
        <f t="shared" si="7"/>
        <v>94050</v>
      </c>
      <c r="P34" s="33"/>
      <c r="Q34" s="24"/>
    </row>
    <row r="35" spans="1:17" ht="16.5" x14ac:dyDescent="0.2">
      <c r="A35" s="13" t="s">
        <v>107</v>
      </c>
      <c r="B35" s="13">
        <v>210</v>
      </c>
      <c r="C35" s="13"/>
      <c r="D35" s="13"/>
      <c r="E35" s="13"/>
      <c r="F35" s="13"/>
      <c r="G35" s="13"/>
      <c r="H35" s="13"/>
      <c r="I35" s="13"/>
      <c r="J35" s="14">
        <f>J34+D34*($B35-$B34)+G35</f>
        <v>78379.299999999988</v>
      </c>
      <c r="K35" s="14">
        <f>K34+E34*($B35-$B34)+H35</f>
        <v>39170.649999999994</v>
      </c>
      <c r="L35" s="14">
        <f>L34+F34*($B35-$B34)+I35</f>
        <v>235237.89999999997</v>
      </c>
      <c r="M35" s="13"/>
      <c r="N35" s="13"/>
      <c r="O35" s="14">
        <f t="shared" si="7"/>
        <v>117550</v>
      </c>
      <c r="P35" s="33"/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5" t="s">
        <v>108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Q40" s="24"/>
    </row>
    <row r="41" spans="1:17" ht="17.25" x14ac:dyDescent="0.2">
      <c r="A41" s="12" t="s">
        <v>98</v>
      </c>
      <c r="B41" s="12" t="s">
        <v>409</v>
      </c>
      <c r="C41" s="12" t="s">
        <v>410</v>
      </c>
      <c r="D41" s="12" t="s">
        <v>99</v>
      </c>
      <c r="E41" s="12" t="s">
        <v>100</v>
      </c>
      <c r="F41" s="12" t="s">
        <v>101</v>
      </c>
      <c r="G41" s="12" t="s">
        <v>412</v>
      </c>
      <c r="H41" s="12" t="s">
        <v>413</v>
      </c>
      <c r="I41" s="12" t="s">
        <v>414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10</v>
      </c>
      <c r="E42" s="14">
        <f>D42/2</f>
        <v>5</v>
      </c>
      <c r="F42" s="14">
        <f>INT(D42*$C$8/2)</f>
        <v>45</v>
      </c>
      <c r="G42" s="13">
        <v>200</v>
      </c>
      <c r="H42" s="13">
        <v>100</v>
      </c>
      <c r="I42" s="13">
        <v>450</v>
      </c>
      <c r="J42" s="14">
        <f>G42</f>
        <v>200</v>
      </c>
      <c r="K42" s="14">
        <f>H42</f>
        <v>100</v>
      </c>
      <c r="L42" s="14">
        <f>I42</f>
        <v>450</v>
      </c>
      <c r="M42" s="17">
        <f t="shared" ref="M42:M62" si="10">D42/J42</f>
        <v>0.05</v>
      </c>
      <c r="N42" s="14">
        <f>(1+M42)*(1+M42)</f>
        <v>1.1025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 t="shared" ref="D43:D62" si="11">D15</f>
        <v>10</v>
      </c>
      <c r="E43" s="14">
        <f t="shared" ref="E43:E62" si="12">D43/2</f>
        <v>5</v>
      </c>
      <c r="F43" s="14">
        <f t="shared" ref="F43:F62" si="13">INT(D43*$C$8/2)</f>
        <v>45</v>
      </c>
      <c r="G43" s="14">
        <v>25</v>
      </c>
      <c r="H43" s="14">
        <v>10</v>
      </c>
      <c r="I43" s="14">
        <f t="shared" ref="I43:I62" si="14">G43*$C$8</f>
        <v>225</v>
      </c>
      <c r="J43" s="14">
        <f t="shared" ref="J43:J59" si="15">J42+D42*($B43-$B42)+G43</f>
        <v>315</v>
      </c>
      <c r="K43" s="14">
        <f t="shared" ref="K43:L58" si="16">K42+E42*($B43-$B42)+H43</f>
        <v>155</v>
      </c>
      <c r="L43" s="14">
        <f t="shared" si="16"/>
        <v>1080</v>
      </c>
      <c r="M43" s="17">
        <f t="shared" si="10"/>
        <v>3.1746031746031744E-2</v>
      </c>
      <c r="N43" s="14">
        <f t="shared" ref="N43:N62" si="17">(1+M43)*(1+M43)</f>
        <v>1.0644998740236833</v>
      </c>
      <c r="O43" s="14">
        <f>ROUND((O$42+K43*3)/50,0)*50</f>
        <v>550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 t="shared" si="11"/>
        <v>15</v>
      </c>
      <c r="E44" s="14">
        <f t="shared" si="12"/>
        <v>7.5</v>
      </c>
      <c r="F44" s="14">
        <f t="shared" si="13"/>
        <v>67</v>
      </c>
      <c r="G44" s="14">
        <f t="shared" ref="G44:G62" si="18">ROUND(D43*($B44-B43)*$D$7,0)</f>
        <v>25</v>
      </c>
      <c r="H44" s="14">
        <f t="shared" ref="H44:H62" si="19">ROUND(E43*($B44-B43)*$D$7,0)</f>
        <v>13</v>
      </c>
      <c r="I44" s="14">
        <f t="shared" si="14"/>
        <v>225</v>
      </c>
      <c r="J44" s="14">
        <f t="shared" si="15"/>
        <v>440</v>
      </c>
      <c r="K44" s="14">
        <f t="shared" si="16"/>
        <v>218</v>
      </c>
      <c r="L44" s="14">
        <f t="shared" si="16"/>
        <v>1755</v>
      </c>
      <c r="M44" s="17">
        <f t="shared" si="10"/>
        <v>3.4090909090909088E-2</v>
      </c>
      <c r="N44" s="14">
        <f t="shared" si="17"/>
        <v>1.069344008264463</v>
      </c>
      <c r="O44" s="14">
        <f t="shared" ref="O44:O62" si="20">ROUND((O$42+K44*3)/50,0)*50</f>
        <v>750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si="11"/>
        <v>20</v>
      </c>
      <c r="E45" s="14">
        <f t="shared" si="12"/>
        <v>10</v>
      </c>
      <c r="F45" s="14">
        <f t="shared" si="13"/>
        <v>90</v>
      </c>
      <c r="G45" s="14">
        <f t="shared" si="18"/>
        <v>38</v>
      </c>
      <c r="H45" s="14">
        <f t="shared" si="19"/>
        <v>19</v>
      </c>
      <c r="I45" s="14">
        <f t="shared" si="14"/>
        <v>342</v>
      </c>
      <c r="J45" s="14">
        <f t="shared" si="15"/>
        <v>628</v>
      </c>
      <c r="K45" s="14">
        <f t="shared" si="16"/>
        <v>312</v>
      </c>
      <c r="L45" s="14">
        <f t="shared" si="16"/>
        <v>2767</v>
      </c>
      <c r="M45" s="17">
        <f t="shared" si="10"/>
        <v>3.1847133757961783E-2</v>
      </c>
      <c r="N45" s="14">
        <f t="shared" si="17"/>
        <v>1.0647085074445211</v>
      </c>
      <c r="O45" s="14">
        <f t="shared" si="20"/>
        <v>1050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11"/>
        <v>25</v>
      </c>
      <c r="E46" s="14">
        <f t="shared" si="12"/>
        <v>12.5</v>
      </c>
      <c r="F46" s="14">
        <f t="shared" si="13"/>
        <v>112</v>
      </c>
      <c r="G46" s="14">
        <f t="shared" si="18"/>
        <v>50</v>
      </c>
      <c r="H46" s="14">
        <f t="shared" si="19"/>
        <v>25</v>
      </c>
      <c r="I46" s="14">
        <f t="shared" si="14"/>
        <v>450</v>
      </c>
      <c r="J46" s="14">
        <f t="shared" si="15"/>
        <v>878</v>
      </c>
      <c r="K46" s="14">
        <f t="shared" si="16"/>
        <v>437</v>
      </c>
      <c r="L46" s="14">
        <f t="shared" si="16"/>
        <v>4117</v>
      </c>
      <c r="M46" s="17">
        <f t="shared" si="10"/>
        <v>2.847380410022779E-2</v>
      </c>
      <c r="N46" s="14">
        <f t="shared" si="17"/>
        <v>1.0577583657203935</v>
      </c>
      <c r="O46" s="14">
        <f t="shared" si="20"/>
        <v>1400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11"/>
        <v>30</v>
      </c>
      <c r="E47" s="14">
        <f t="shared" si="12"/>
        <v>15</v>
      </c>
      <c r="F47" s="14">
        <f t="shared" si="13"/>
        <v>135</v>
      </c>
      <c r="G47" s="14">
        <f t="shared" si="18"/>
        <v>63</v>
      </c>
      <c r="H47" s="14">
        <f t="shared" si="19"/>
        <v>31</v>
      </c>
      <c r="I47" s="14">
        <f t="shared" si="14"/>
        <v>567</v>
      </c>
      <c r="J47" s="14">
        <f t="shared" si="15"/>
        <v>1191</v>
      </c>
      <c r="K47" s="14">
        <f t="shared" si="16"/>
        <v>593</v>
      </c>
      <c r="L47" s="14">
        <f t="shared" si="16"/>
        <v>5804</v>
      </c>
      <c r="M47" s="17">
        <f t="shared" si="10"/>
        <v>2.5188916876574308E-2</v>
      </c>
      <c r="N47" s="14">
        <f t="shared" si="17"/>
        <v>1.0510123152865634</v>
      </c>
      <c r="O47" s="14">
        <f t="shared" si="20"/>
        <v>1900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11"/>
        <v>35</v>
      </c>
      <c r="E48" s="14">
        <f t="shared" si="12"/>
        <v>17.5</v>
      </c>
      <c r="F48" s="14">
        <f t="shared" si="13"/>
        <v>157</v>
      </c>
      <c r="G48" s="14">
        <f t="shared" si="18"/>
        <v>75</v>
      </c>
      <c r="H48" s="14">
        <f t="shared" si="19"/>
        <v>38</v>
      </c>
      <c r="I48" s="14">
        <f t="shared" si="14"/>
        <v>675</v>
      </c>
      <c r="J48" s="14">
        <f t="shared" si="15"/>
        <v>1566</v>
      </c>
      <c r="K48" s="14">
        <f t="shared" si="16"/>
        <v>781</v>
      </c>
      <c r="L48" s="14">
        <f t="shared" si="16"/>
        <v>7829</v>
      </c>
      <c r="M48" s="17">
        <f t="shared" si="10"/>
        <v>2.2349936143039591E-2</v>
      </c>
      <c r="N48" s="14">
        <f t="shared" si="17"/>
        <v>1.0451993919316769</v>
      </c>
      <c r="O48" s="14">
        <f t="shared" si="20"/>
        <v>2450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11"/>
        <v>45</v>
      </c>
      <c r="E49" s="14">
        <f t="shared" si="12"/>
        <v>22.5</v>
      </c>
      <c r="F49" s="14">
        <f t="shared" si="13"/>
        <v>202</v>
      </c>
      <c r="G49" s="14">
        <f t="shared" si="18"/>
        <v>88</v>
      </c>
      <c r="H49" s="14">
        <f t="shared" si="19"/>
        <v>44</v>
      </c>
      <c r="I49" s="14">
        <f t="shared" si="14"/>
        <v>792</v>
      </c>
      <c r="J49" s="14">
        <f t="shared" si="15"/>
        <v>2004</v>
      </c>
      <c r="K49" s="14">
        <f t="shared" si="16"/>
        <v>1000</v>
      </c>
      <c r="L49" s="14">
        <f t="shared" si="16"/>
        <v>10191</v>
      </c>
      <c r="M49" s="17">
        <f t="shared" si="10"/>
        <v>2.2455089820359281E-2</v>
      </c>
      <c r="N49" s="14">
        <f t="shared" si="17"/>
        <v>1.0454144106995589</v>
      </c>
      <c r="O49" s="14">
        <f t="shared" si="20"/>
        <v>3100</v>
      </c>
    </row>
    <row r="50" spans="1:15" ht="16.5" x14ac:dyDescent="0.2">
      <c r="A50" s="13">
        <v>9</v>
      </c>
      <c r="B50" s="13">
        <v>80</v>
      </c>
      <c r="C50" s="13">
        <v>90</v>
      </c>
      <c r="D50" s="14">
        <f t="shared" si="11"/>
        <v>60.05</v>
      </c>
      <c r="E50" s="14">
        <f t="shared" si="12"/>
        <v>30.024999999999999</v>
      </c>
      <c r="F50" s="14">
        <f t="shared" si="13"/>
        <v>270</v>
      </c>
      <c r="G50" s="14">
        <f t="shared" si="18"/>
        <v>113</v>
      </c>
      <c r="H50" s="14">
        <f t="shared" si="19"/>
        <v>56</v>
      </c>
      <c r="I50" s="14">
        <f t="shared" si="14"/>
        <v>1017</v>
      </c>
      <c r="J50" s="14">
        <f t="shared" si="15"/>
        <v>2567</v>
      </c>
      <c r="K50" s="14">
        <f t="shared" si="16"/>
        <v>1281</v>
      </c>
      <c r="L50" s="14">
        <f t="shared" si="16"/>
        <v>13228</v>
      </c>
      <c r="M50" s="17">
        <f t="shared" si="10"/>
        <v>2.3393065835605763E-2</v>
      </c>
      <c r="N50" s="14">
        <f t="shared" si="17"/>
        <v>1.0473333672004006</v>
      </c>
      <c r="O50" s="14">
        <f t="shared" si="20"/>
        <v>3950</v>
      </c>
    </row>
    <row r="51" spans="1:15" ht="16.5" x14ac:dyDescent="0.2">
      <c r="A51" s="13">
        <v>10</v>
      </c>
      <c r="B51" s="13">
        <v>90</v>
      </c>
      <c r="C51" s="13">
        <v>100</v>
      </c>
      <c r="D51" s="14">
        <f t="shared" si="11"/>
        <v>78.5</v>
      </c>
      <c r="E51" s="14">
        <f t="shared" si="12"/>
        <v>39.25</v>
      </c>
      <c r="F51" s="14">
        <f t="shared" si="13"/>
        <v>353</v>
      </c>
      <c r="G51" s="14">
        <f t="shared" si="18"/>
        <v>150</v>
      </c>
      <c r="H51" s="14">
        <f t="shared" si="19"/>
        <v>75</v>
      </c>
      <c r="I51" s="14">
        <f t="shared" si="14"/>
        <v>1350</v>
      </c>
      <c r="J51" s="14">
        <f t="shared" si="15"/>
        <v>3317.5</v>
      </c>
      <c r="K51" s="14">
        <f t="shared" si="16"/>
        <v>1656.25</v>
      </c>
      <c r="L51" s="14">
        <f t="shared" si="16"/>
        <v>17278</v>
      </c>
      <c r="M51" s="17">
        <f t="shared" si="10"/>
        <v>2.3662396382818387E-2</v>
      </c>
      <c r="N51" s="14">
        <f t="shared" si="17"/>
        <v>1.0478847017682145</v>
      </c>
      <c r="O51" s="14">
        <f t="shared" si="20"/>
        <v>5050</v>
      </c>
    </row>
    <row r="52" spans="1:15" ht="16.5" x14ac:dyDescent="0.2">
      <c r="A52" s="13">
        <v>11</v>
      </c>
      <c r="B52" s="13">
        <v>100</v>
      </c>
      <c r="C52" s="13">
        <v>110</v>
      </c>
      <c r="D52" s="14">
        <f t="shared" si="11"/>
        <v>103.34</v>
      </c>
      <c r="E52" s="14">
        <f t="shared" si="12"/>
        <v>51.67</v>
      </c>
      <c r="F52" s="14">
        <f t="shared" si="13"/>
        <v>465</v>
      </c>
      <c r="G52" s="14">
        <f t="shared" si="18"/>
        <v>196</v>
      </c>
      <c r="H52" s="14">
        <f t="shared" si="19"/>
        <v>98</v>
      </c>
      <c r="I52" s="14">
        <f t="shared" si="14"/>
        <v>1764</v>
      </c>
      <c r="J52" s="14">
        <f t="shared" si="15"/>
        <v>4298.5</v>
      </c>
      <c r="K52" s="14">
        <f t="shared" si="16"/>
        <v>2146.75</v>
      </c>
      <c r="L52" s="14">
        <f t="shared" si="16"/>
        <v>22572</v>
      </c>
      <c r="M52" s="17">
        <f t="shared" si="10"/>
        <v>2.4040944515528673E-2</v>
      </c>
      <c r="N52" s="14">
        <f t="shared" si="17"/>
        <v>1.0486598560442562</v>
      </c>
      <c r="O52" s="14">
        <f t="shared" si="20"/>
        <v>6550</v>
      </c>
    </row>
    <row r="53" spans="1:15" ht="16.5" x14ac:dyDescent="0.2">
      <c r="A53" s="13">
        <v>12</v>
      </c>
      <c r="B53" s="13">
        <v>110</v>
      </c>
      <c r="C53" s="13">
        <v>120</v>
      </c>
      <c r="D53" s="14">
        <f t="shared" si="11"/>
        <v>135.62</v>
      </c>
      <c r="E53" s="14">
        <f t="shared" si="12"/>
        <v>67.81</v>
      </c>
      <c r="F53" s="14">
        <f t="shared" si="13"/>
        <v>610</v>
      </c>
      <c r="G53" s="14">
        <f t="shared" si="18"/>
        <v>258</v>
      </c>
      <c r="H53" s="14">
        <f t="shared" si="19"/>
        <v>129</v>
      </c>
      <c r="I53" s="14">
        <f t="shared" si="14"/>
        <v>2322</v>
      </c>
      <c r="J53" s="14">
        <f t="shared" si="15"/>
        <v>5589.9</v>
      </c>
      <c r="K53" s="14">
        <f t="shared" si="16"/>
        <v>2792.45</v>
      </c>
      <c r="L53" s="14">
        <f t="shared" si="16"/>
        <v>29544</v>
      </c>
      <c r="M53" s="17">
        <f t="shared" si="10"/>
        <v>2.4261614697937355E-2</v>
      </c>
      <c r="N53" s="14">
        <f t="shared" si="17"/>
        <v>1.0491118553436258</v>
      </c>
      <c r="O53" s="14">
        <f t="shared" si="20"/>
        <v>8500</v>
      </c>
    </row>
    <row r="54" spans="1:15" ht="16.5" x14ac:dyDescent="0.2">
      <c r="A54" s="13">
        <v>13</v>
      </c>
      <c r="B54" s="13">
        <v>120</v>
      </c>
      <c r="C54" s="13">
        <v>130</v>
      </c>
      <c r="D54" s="14">
        <f t="shared" si="11"/>
        <v>178</v>
      </c>
      <c r="E54" s="14">
        <f t="shared" si="12"/>
        <v>89</v>
      </c>
      <c r="F54" s="14">
        <f t="shared" si="13"/>
        <v>801</v>
      </c>
      <c r="G54" s="14">
        <f t="shared" si="18"/>
        <v>339</v>
      </c>
      <c r="H54" s="14">
        <f t="shared" si="19"/>
        <v>170</v>
      </c>
      <c r="I54" s="14">
        <f t="shared" si="14"/>
        <v>3051</v>
      </c>
      <c r="J54" s="14">
        <f t="shared" si="15"/>
        <v>7285.0999999999995</v>
      </c>
      <c r="K54" s="14">
        <f t="shared" si="16"/>
        <v>3640.5499999999997</v>
      </c>
      <c r="L54" s="14">
        <f t="shared" si="16"/>
        <v>38695</v>
      </c>
      <c r="M54" s="17">
        <f t="shared" si="10"/>
        <v>2.4433432622750547E-2</v>
      </c>
      <c r="N54" s="14">
        <f t="shared" si="17"/>
        <v>1.0494638578752313</v>
      </c>
      <c r="O54" s="14">
        <f t="shared" si="20"/>
        <v>11000</v>
      </c>
    </row>
    <row r="55" spans="1:15" ht="16.5" x14ac:dyDescent="0.2">
      <c r="A55" s="13">
        <v>14</v>
      </c>
      <c r="B55" s="13">
        <v>130</v>
      </c>
      <c r="C55" s="13">
        <v>140</v>
      </c>
      <c r="D55" s="14">
        <f t="shared" si="11"/>
        <v>233.63</v>
      </c>
      <c r="E55" s="14">
        <f t="shared" si="12"/>
        <v>116.815</v>
      </c>
      <c r="F55" s="14">
        <f t="shared" si="13"/>
        <v>1051</v>
      </c>
      <c r="G55" s="14">
        <f t="shared" si="18"/>
        <v>445</v>
      </c>
      <c r="H55" s="14">
        <f t="shared" si="19"/>
        <v>223</v>
      </c>
      <c r="I55" s="14">
        <f t="shared" si="14"/>
        <v>4005</v>
      </c>
      <c r="J55" s="14">
        <f t="shared" si="15"/>
        <v>9510.0999999999985</v>
      </c>
      <c r="K55" s="14">
        <f t="shared" si="16"/>
        <v>4753.5499999999993</v>
      </c>
      <c r="L55" s="14">
        <f t="shared" si="16"/>
        <v>50710</v>
      </c>
      <c r="M55" s="17">
        <f t="shared" si="10"/>
        <v>2.456651349617775E-2</v>
      </c>
      <c r="N55" s="14">
        <f t="shared" si="17"/>
        <v>1.0497365405777133</v>
      </c>
      <c r="O55" s="14">
        <f t="shared" si="20"/>
        <v>14350</v>
      </c>
    </row>
    <row r="56" spans="1:15" ht="16.5" x14ac:dyDescent="0.2">
      <c r="A56" s="13">
        <v>15</v>
      </c>
      <c r="B56" s="13">
        <v>140</v>
      </c>
      <c r="C56" s="13">
        <v>150</v>
      </c>
      <c r="D56" s="14">
        <f t="shared" si="11"/>
        <v>306.64</v>
      </c>
      <c r="E56" s="14">
        <f t="shared" si="12"/>
        <v>153.32</v>
      </c>
      <c r="F56" s="14">
        <f t="shared" si="13"/>
        <v>1379</v>
      </c>
      <c r="G56" s="14">
        <f t="shared" si="18"/>
        <v>584</v>
      </c>
      <c r="H56" s="14">
        <f t="shared" si="19"/>
        <v>292</v>
      </c>
      <c r="I56" s="14">
        <f t="shared" si="14"/>
        <v>5256</v>
      </c>
      <c r="J56" s="14">
        <f t="shared" si="15"/>
        <v>12430.399999999998</v>
      </c>
      <c r="K56" s="14">
        <f t="shared" si="16"/>
        <v>6213.6999999999989</v>
      </c>
      <c r="L56" s="14">
        <f t="shared" si="16"/>
        <v>66476</v>
      </c>
      <c r="M56" s="17">
        <f t="shared" si="10"/>
        <v>2.4668554511520148E-2</v>
      </c>
      <c r="N56" s="14">
        <f t="shared" si="17"/>
        <v>1.0499456466047281</v>
      </c>
      <c r="O56" s="14">
        <f t="shared" si="20"/>
        <v>18750</v>
      </c>
    </row>
    <row r="57" spans="1:15" ht="16.5" x14ac:dyDescent="0.2">
      <c r="A57" s="13">
        <v>16</v>
      </c>
      <c r="B57" s="13">
        <v>150</v>
      </c>
      <c r="C57" s="13">
        <v>160</v>
      </c>
      <c r="D57" s="14">
        <f t="shared" si="11"/>
        <v>402.47</v>
      </c>
      <c r="E57" s="14">
        <f t="shared" si="12"/>
        <v>201.23500000000001</v>
      </c>
      <c r="F57" s="14">
        <f t="shared" si="13"/>
        <v>1811</v>
      </c>
      <c r="G57" s="14">
        <f t="shared" si="18"/>
        <v>767</v>
      </c>
      <c r="H57" s="14">
        <f t="shared" si="19"/>
        <v>383</v>
      </c>
      <c r="I57" s="14">
        <f t="shared" si="14"/>
        <v>6903</v>
      </c>
      <c r="J57" s="14">
        <f t="shared" si="15"/>
        <v>16263.799999999997</v>
      </c>
      <c r="K57" s="14">
        <f t="shared" si="16"/>
        <v>8129.8999999999987</v>
      </c>
      <c r="L57" s="14">
        <f t="shared" si="16"/>
        <v>87169</v>
      </c>
      <c r="M57" s="17">
        <f t="shared" si="10"/>
        <v>2.4746369237201644E-2</v>
      </c>
      <c r="N57" s="14">
        <f t="shared" si="17"/>
        <v>1.0501051212648271</v>
      </c>
      <c r="O57" s="14">
        <f t="shared" si="20"/>
        <v>24500</v>
      </c>
    </row>
    <row r="58" spans="1:15" ht="16.5" x14ac:dyDescent="0.2">
      <c r="A58" s="13">
        <v>17</v>
      </c>
      <c r="B58" s="13">
        <v>160</v>
      </c>
      <c r="C58" s="13">
        <v>170</v>
      </c>
      <c r="D58" s="14">
        <f t="shared" si="11"/>
        <v>528.24</v>
      </c>
      <c r="E58" s="14">
        <f t="shared" si="12"/>
        <v>264.12</v>
      </c>
      <c r="F58" s="14">
        <f t="shared" si="13"/>
        <v>2377</v>
      </c>
      <c r="G58" s="14">
        <f t="shared" si="18"/>
        <v>1006</v>
      </c>
      <c r="H58" s="14">
        <f t="shared" si="19"/>
        <v>503</v>
      </c>
      <c r="I58" s="14">
        <f t="shared" si="14"/>
        <v>9054</v>
      </c>
      <c r="J58" s="14">
        <f t="shared" si="15"/>
        <v>21294.499999999996</v>
      </c>
      <c r="K58" s="14">
        <f t="shared" si="16"/>
        <v>10645.249999999998</v>
      </c>
      <c r="L58" s="14">
        <f t="shared" si="16"/>
        <v>114333</v>
      </c>
      <c r="M58" s="17">
        <f t="shared" si="10"/>
        <v>2.4806405409847618E-2</v>
      </c>
      <c r="N58" s="14">
        <f t="shared" si="17"/>
        <v>1.0502281685690529</v>
      </c>
      <c r="O58" s="14">
        <f t="shared" si="20"/>
        <v>32050</v>
      </c>
    </row>
    <row r="59" spans="1:15" ht="16.5" x14ac:dyDescent="0.2">
      <c r="A59" s="13">
        <v>18</v>
      </c>
      <c r="B59" s="13">
        <v>170</v>
      </c>
      <c r="C59" s="13">
        <v>180</v>
      </c>
      <c r="D59" s="14">
        <f t="shared" si="11"/>
        <v>693.32</v>
      </c>
      <c r="E59" s="14">
        <f t="shared" si="12"/>
        <v>346.66</v>
      </c>
      <c r="F59" s="14">
        <f t="shared" si="13"/>
        <v>3119</v>
      </c>
      <c r="G59" s="14">
        <f t="shared" si="18"/>
        <v>1321</v>
      </c>
      <c r="H59" s="14">
        <f t="shared" si="19"/>
        <v>660</v>
      </c>
      <c r="I59" s="14">
        <f t="shared" si="14"/>
        <v>11889</v>
      </c>
      <c r="J59" s="14">
        <f t="shared" si="15"/>
        <v>27897.899999999994</v>
      </c>
      <c r="K59" s="14">
        <f>K58+E58*($B59-$B58)+H59</f>
        <v>13946.449999999997</v>
      </c>
      <c r="L59" s="14">
        <f>L58+F58*($B59-$B58)+I59</f>
        <v>149992</v>
      </c>
      <c r="M59" s="17">
        <f t="shared" si="10"/>
        <v>2.485204979586278E-2</v>
      </c>
      <c r="N59" s="14">
        <f t="shared" si="17"/>
        <v>1.0503217239707818</v>
      </c>
      <c r="O59" s="14">
        <f t="shared" si="20"/>
        <v>41950</v>
      </c>
    </row>
    <row r="60" spans="1:15" ht="16.5" x14ac:dyDescent="0.2">
      <c r="A60" s="13">
        <v>19</v>
      </c>
      <c r="B60" s="13">
        <v>180</v>
      </c>
      <c r="C60" s="13">
        <v>190</v>
      </c>
      <c r="D60" s="14">
        <f t="shared" si="11"/>
        <v>909.98</v>
      </c>
      <c r="E60" s="14">
        <f t="shared" si="12"/>
        <v>454.99</v>
      </c>
      <c r="F60" s="14">
        <f t="shared" si="13"/>
        <v>4094</v>
      </c>
      <c r="G60" s="14">
        <f t="shared" si="18"/>
        <v>1733</v>
      </c>
      <c r="H60" s="14">
        <f t="shared" si="19"/>
        <v>867</v>
      </c>
      <c r="I60" s="14">
        <f t="shared" si="14"/>
        <v>15597</v>
      </c>
      <c r="J60" s="14">
        <f t="shared" ref="J60:L63" si="21">J59+D59*($B60-$B59)+G60</f>
        <v>36564.099999999991</v>
      </c>
      <c r="K60" s="14">
        <f t="shared" si="21"/>
        <v>18280.049999999996</v>
      </c>
      <c r="L60" s="14">
        <f t="shared" si="21"/>
        <v>196779</v>
      </c>
      <c r="M60" s="17">
        <f t="shared" si="10"/>
        <v>2.4887252797142559E-2</v>
      </c>
      <c r="N60" s="14">
        <f t="shared" si="17"/>
        <v>1.0503938809460742</v>
      </c>
      <c r="O60" s="14">
        <f t="shared" si="20"/>
        <v>54950</v>
      </c>
    </row>
    <row r="61" spans="1:15" ht="16.5" x14ac:dyDescent="0.2">
      <c r="A61" s="13">
        <v>20</v>
      </c>
      <c r="B61" s="13">
        <v>190</v>
      </c>
      <c r="C61" s="13">
        <v>200</v>
      </c>
      <c r="D61" s="14">
        <f t="shared" si="11"/>
        <v>1194.3499999999999</v>
      </c>
      <c r="E61" s="14">
        <f t="shared" si="12"/>
        <v>597.17499999999995</v>
      </c>
      <c r="F61" s="14">
        <f t="shared" si="13"/>
        <v>5374</v>
      </c>
      <c r="G61" s="14">
        <f t="shared" si="18"/>
        <v>2275</v>
      </c>
      <c r="H61" s="14">
        <f t="shared" si="19"/>
        <v>1137</v>
      </c>
      <c r="I61" s="14">
        <f t="shared" si="14"/>
        <v>20475</v>
      </c>
      <c r="J61" s="14">
        <f t="shared" si="21"/>
        <v>47938.899999999994</v>
      </c>
      <c r="K61" s="14">
        <f t="shared" si="21"/>
        <v>23966.949999999997</v>
      </c>
      <c r="L61" s="14">
        <f t="shared" si="21"/>
        <v>258194</v>
      </c>
      <c r="M61" s="17">
        <f t="shared" si="10"/>
        <v>2.4914005119016081E-2</v>
      </c>
      <c r="N61" s="14">
        <f t="shared" si="17"/>
        <v>1.0504487178891022</v>
      </c>
      <c r="O61" s="14">
        <f t="shared" si="20"/>
        <v>72000</v>
      </c>
    </row>
    <row r="62" spans="1:15" ht="16.5" x14ac:dyDescent="0.2">
      <c r="A62" s="13">
        <v>21</v>
      </c>
      <c r="B62" s="13">
        <v>200</v>
      </c>
      <c r="C62" s="13">
        <v>210</v>
      </c>
      <c r="D62" s="14">
        <f t="shared" si="11"/>
        <v>1567.59</v>
      </c>
      <c r="E62" s="14">
        <f t="shared" si="12"/>
        <v>783.79499999999996</v>
      </c>
      <c r="F62" s="14">
        <f t="shared" si="13"/>
        <v>7054</v>
      </c>
      <c r="G62" s="14">
        <f t="shared" si="18"/>
        <v>2986</v>
      </c>
      <c r="H62" s="14">
        <f t="shared" si="19"/>
        <v>1493</v>
      </c>
      <c r="I62" s="14">
        <f t="shared" si="14"/>
        <v>26874</v>
      </c>
      <c r="J62" s="14">
        <f t="shared" si="21"/>
        <v>62868.399999999994</v>
      </c>
      <c r="K62" s="14">
        <f t="shared" si="21"/>
        <v>31431.699999999997</v>
      </c>
      <c r="L62" s="14">
        <f t="shared" si="21"/>
        <v>338808</v>
      </c>
      <c r="M62" s="17">
        <f t="shared" si="10"/>
        <v>2.493446628194769E-2</v>
      </c>
      <c r="N62" s="14">
        <f t="shared" si="17"/>
        <v>1.0504906601726611</v>
      </c>
      <c r="O62" s="14">
        <f t="shared" si="20"/>
        <v>94400</v>
      </c>
    </row>
    <row r="63" spans="1:15" ht="16.5" x14ac:dyDescent="0.2">
      <c r="A63" s="13"/>
      <c r="B63" s="13">
        <v>210</v>
      </c>
      <c r="C63" s="13"/>
      <c r="D63" s="13"/>
      <c r="E63" s="13"/>
      <c r="F63" s="13"/>
      <c r="G63" s="13"/>
      <c r="H63" s="13"/>
      <c r="I63" s="13"/>
      <c r="J63" s="14">
        <f t="shared" si="21"/>
        <v>78544.299999999988</v>
      </c>
      <c r="K63" s="14">
        <f t="shared" si="21"/>
        <v>39269.649999999994</v>
      </c>
      <c r="L63" s="14">
        <f t="shared" si="21"/>
        <v>409348</v>
      </c>
      <c r="M63" s="13"/>
      <c r="N63" s="13"/>
      <c r="O63" s="14">
        <f>ROUND((O$42+K63*3)/50,0)*50</f>
        <v>117900</v>
      </c>
    </row>
    <row r="64" spans="1:15" ht="17.25" customHeight="1" x14ac:dyDescent="0.2"/>
    <row r="65" spans="1:22" ht="17.25" customHeight="1" x14ac:dyDescent="0.2"/>
    <row r="66" spans="1:22" ht="20.25" x14ac:dyDescent="0.2">
      <c r="A66" s="65" t="s">
        <v>117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21" customHeight="1" x14ac:dyDescent="0.2">
      <c r="A67" s="25"/>
      <c r="B67" s="65" t="s">
        <v>95</v>
      </c>
      <c r="C67" s="65"/>
      <c r="D67" s="65"/>
      <c r="E67" s="65"/>
      <c r="F67" s="65"/>
      <c r="G67" s="65"/>
      <c r="H67" s="65"/>
      <c r="I67" s="65"/>
      <c r="J67" s="65"/>
      <c r="L67" s="16"/>
      <c r="M67" s="16"/>
      <c r="N67" s="65" t="s">
        <v>120</v>
      </c>
      <c r="O67" s="65"/>
      <c r="P67" s="65"/>
      <c r="Q67" s="65"/>
      <c r="R67" s="65"/>
      <c r="S67" s="65"/>
      <c r="T67" s="65"/>
      <c r="U67" s="65"/>
      <c r="V67" s="65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137555</v>
      </c>
      <c r="C69" s="14">
        <f>INT(K35*$Q$10*$L$9)</f>
        <v>68744</v>
      </c>
      <c r="D69" s="14">
        <f>INT(L35*$Q$10*$L$9)</f>
        <v>412842</v>
      </c>
      <c r="E69" s="26">
        <v>1</v>
      </c>
      <c r="F69" s="26">
        <v>1</v>
      </c>
      <c r="G69" s="26">
        <v>1</v>
      </c>
      <c r="H69" s="14">
        <f>INT(B69/$Q$10)</f>
        <v>101892</v>
      </c>
      <c r="I69" s="14">
        <f>INT(C69/$Q$10)</f>
        <v>50921</v>
      </c>
      <c r="J69" s="14">
        <f>INT(D69/$Q$10)</f>
        <v>305808</v>
      </c>
      <c r="M69" s="15" t="s">
        <v>121</v>
      </c>
      <c r="N69" s="14">
        <f>INT(J63*$Q$10*$L$10)</f>
        <v>159052</v>
      </c>
      <c r="O69" s="14">
        <f>INT(K63*$Q$10*$L$10)</f>
        <v>79521</v>
      </c>
      <c r="P69" s="14">
        <f>INT(L63*$Q$10*$L$10)</f>
        <v>828929</v>
      </c>
      <c r="Q69" s="14"/>
      <c r="R69" s="14"/>
      <c r="S69" s="14"/>
      <c r="T69" s="14">
        <f>(N69)</f>
        <v>159052</v>
      </c>
      <c r="U69" s="14">
        <f>(O69)</f>
        <v>79521</v>
      </c>
      <c r="V69" s="14">
        <f>(P69)</f>
        <v>828929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0.5</v>
      </c>
      <c r="U73" s="26">
        <v>0.5</v>
      </c>
      <c r="V73" s="26">
        <v>0.5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5" t="s">
        <v>129</v>
      </c>
      <c r="B77" s="65"/>
      <c r="C77" s="65"/>
      <c r="D77" s="65"/>
      <c r="E77" s="65"/>
      <c r="F77" s="65"/>
      <c r="G77" s="65"/>
      <c r="H77" s="65"/>
      <c r="I77" s="65"/>
      <c r="J77" s="65"/>
      <c r="M77" s="65" t="s">
        <v>129</v>
      </c>
      <c r="N77" s="65"/>
      <c r="O77" s="65"/>
      <c r="P77" s="65"/>
      <c r="Q77" s="65"/>
      <c r="R77" s="65"/>
      <c r="S77" s="65"/>
      <c r="T77" s="65"/>
      <c r="U77" s="65"/>
      <c r="V77" s="65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48144</v>
      </c>
      <c r="C79" s="14">
        <f>INT(C69*C72)</f>
        <v>24060</v>
      </c>
      <c r="D79" s="14">
        <f>INT(D69*D72)</f>
        <v>144494</v>
      </c>
      <c r="E79" s="17">
        <f t="shared" ref="E79:G81" si="22">E$69*E72</f>
        <v>0</v>
      </c>
      <c r="F79" s="17">
        <f t="shared" si="22"/>
        <v>0</v>
      </c>
      <c r="G79" s="17">
        <f t="shared" si="22"/>
        <v>0</v>
      </c>
      <c r="H79" s="13"/>
      <c r="I79" s="13"/>
      <c r="J79" s="13"/>
      <c r="M79" s="15" t="s">
        <v>122</v>
      </c>
      <c r="N79" s="14">
        <f>INT(N69*N72)</f>
        <v>55668</v>
      </c>
      <c r="O79" s="14">
        <f>INT(O69*O72)</f>
        <v>27832</v>
      </c>
      <c r="P79" s="14">
        <f>INT(P69*P72)</f>
        <v>290125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>INT(E$69*E73)</f>
        <v>0</v>
      </c>
      <c r="F80" s="27">
        <f>INT(F$69*F73)</f>
        <v>0</v>
      </c>
      <c r="G80" s="27">
        <f>INT(G$69*G73)</f>
        <v>0</v>
      </c>
      <c r="H80" s="27">
        <f t="shared" ref="H80:J81" si="23">INT(H$69*H73)</f>
        <v>0</v>
      </c>
      <c r="I80" s="27">
        <f t="shared" si="23"/>
        <v>0</v>
      </c>
      <c r="J80" s="27">
        <f t="shared" si="23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53017.333333333336</v>
      </c>
      <c r="U80" s="14">
        <f>U69*U73/$L$10</f>
        <v>26507</v>
      </c>
      <c r="V80" s="14">
        <f>V69*V73/$L$10</f>
        <v>276309.66666666669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22"/>
        <v>0.5</v>
      </c>
      <c r="F81" s="17">
        <f t="shared" si="22"/>
        <v>0.5</v>
      </c>
      <c r="G81" s="17">
        <f t="shared" si="22"/>
        <v>0.5</v>
      </c>
      <c r="H81" s="27">
        <f t="shared" si="23"/>
        <v>101892</v>
      </c>
      <c r="I81" s="27">
        <f t="shared" si="23"/>
        <v>50921</v>
      </c>
      <c r="J81" s="27">
        <f t="shared" si="23"/>
        <v>305808</v>
      </c>
      <c r="M81" s="15" t="s">
        <v>130</v>
      </c>
      <c r="N81" s="14">
        <f>INT(B69*T10)</f>
        <v>55022</v>
      </c>
      <c r="O81" s="14">
        <f>INT(C69*U10)</f>
        <v>27497</v>
      </c>
      <c r="P81" s="14">
        <f>INT(D69*V10)</f>
        <v>165136</v>
      </c>
      <c r="Q81" s="14"/>
      <c r="R81" s="14"/>
      <c r="S81" s="14"/>
      <c r="T81" s="14"/>
      <c r="U81" s="14"/>
      <c r="V81" s="14"/>
    </row>
  </sheetData>
  <mergeCells count="9">
    <mergeCell ref="K4:L4"/>
    <mergeCell ref="P4:V4"/>
    <mergeCell ref="A77:J77"/>
    <mergeCell ref="B67:J67"/>
    <mergeCell ref="N67:V67"/>
    <mergeCell ref="A66:V66"/>
    <mergeCell ref="A40:N40"/>
    <mergeCell ref="M77:V77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workbookViewId="0">
      <selection activeCell="F32" sqref="F32"/>
    </sheetView>
  </sheetViews>
  <sheetFormatPr defaultRowHeight="14.25" x14ac:dyDescent="0.2"/>
  <cols>
    <col min="1" max="2" width="9" style="37" customWidth="1"/>
    <col min="3" max="3" width="9.25" style="37" customWidth="1"/>
    <col min="4" max="4" width="10" style="37" customWidth="1"/>
    <col min="5" max="5" width="11.125" style="37" customWidth="1"/>
    <col min="6" max="6" width="10.625" style="37" customWidth="1"/>
    <col min="7" max="7" width="10.125" style="37" customWidth="1"/>
    <col min="8" max="8" width="10.375" style="37" customWidth="1"/>
    <col min="9" max="9" width="10" style="37" customWidth="1"/>
    <col min="10" max="11" width="9" style="37"/>
    <col min="12" max="12" width="11.125" style="37" customWidth="1"/>
    <col min="13" max="13" width="10.125" style="37" customWidth="1"/>
    <col min="14" max="14" width="9.375" style="37" customWidth="1"/>
    <col min="15" max="15" width="9" style="37"/>
    <col min="16" max="16" width="9.75" style="37" customWidth="1"/>
    <col min="17" max="18" width="9" style="37"/>
    <col min="19" max="19" width="11" style="37" customWidth="1"/>
    <col min="20" max="20" width="11.125" style="37" customWidth="1"/>
    <col min="21" max="21" width="11.375" style="37" customWidth="1"/>
    <col min="22" max="22" width="10.5" style="37" customWidth="1"/>
    <col min="23" max="16384" width="9" style="37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4" t="s">
        <v>113</v>
      </c>
      <c r="L4" s="64"/>
      <c r="P4" s="65" t="s">
        <v>112</v>
      </c>
      <c r="Q4" s="65"/>
      <c r="R4" s="65"/>
      <c r="S4" s="65"/>
      <c r="T4" s="65"/>
      <c r="U4" s="65"/>
      <c r="V4" s="65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415</v>
      </c>
      <c r="E6" s="22" t="s">
        <v>416</v>
      </c>
      <c r="F6" s="22" t="s">
        <v>422</v>
      </c>
      <c r="G6" s="22"/>
      <c r="H6" s="22"/>
      <c r="K6" s="13" t="s">
        <v>14</v>
      </c>
      <c r="L6" s="13">
        <v>0.7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2.25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2.25</v>
      </c>
      <c r="G8" s="13"/>
      <c r="H8" s="13"/>
      <c r="K8" s="13" t="s">
        <v>17</v>
      </c>
      <c r="L8" s="13">
        <v>1.2</v>
      </c>
      <c r="P8" s="13">
        <v>3</v>
      </c>
      <c r="Q8" s="13">
        <v>1.2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1.5</v>
      </c>
      <c r="M9" s="39">
        <v>1.75</v>
      </c>
      <c r="O9" s="39">
        <v>2</v>
      </c>
      <c r="P9" s="13">
        <v>4</v>
      </c>
      <c r="Q9" s="13">
        <v>1.35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525</v>
      </c>
      <c r="L10" s="13">
        <v>2</v>
      </c>
      <c r="P10" s="13">
        <v>5</v>
      </c>
      <c r="Q10" s="13">
        <v>1.5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5" t="s">
        <v>97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S12" s="16"/>
    </row>
    <row r="13" spans="1:22" ht="17.25" x14ac:dyDescent="0.2">
      <c r="A13" s="12" t="s">
        <v>98</v>
      </c>
      <c r="B13" s="12" t="s">
        <v>409</v>
      </c>
      <c r="C13" s="12" t="s">
        <v>410</v>
      </c>
      <c r="D13" s="12" t="s">
        <v>99</v>
      </c>
      <c r="E13" s="12" t="s">
        <v>100</v>
      </c>
      <c r="F13" s="12" t="s">
        <v>101</v>
      </c>
      <c r="G13" s="12" t="s">
        <v>411</v>
      </c>
      <c r="H13" s="12" t="s">
        <v>338</v>
      </c>
      <c r="I13" s="12" t="s">
        <v>339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421</v>
      </c>
      <c r="O13" s="12" t="s">
        <v>15</v>
      </c>
      <c r="S13" s="16"/>
      <c r="V13" s="12" t="s">
        <v>342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10</v>
      </c>
      <c r="E14" s="14">
        <f t="shared" ref="E14:E34" si="0">D14/2</f>
        <v>5</v>
      </c>
      <c r="F14" s="14">
        <f t="shared" ref="F14:F34" si="1">D14*$C$7/2</f>
        <v>30</v>
      </c>
      <c r="G14" s="13">
        <v>50</v>
      </c>
      <c r="H14" s="13">
        <v>0</v>
      </c>
      <c r="I14" s="13">
        <v>200</v>
      </c>
      <c r="J14" s="14">
        <f>G14</f>
        <v>50</v>
      </c>
      <c r="K14" s="14">
        <f>H14</f>
        <v>0</v>
      </c>
      <c r="L14" s="14">
        <f>I14</f>
        <v>200</v>
      </c>
      <c r="M14" s="17">
        <f>D14/J14</f>
        <v>0.2</v>
      </c>
      <c r="N14" s="14">
        <f t="shared" ref="N14:N34" si="2">(1+M14)*(1+M14)</f>
        <v>1.44</v>
      </c>
      <c r="O14" s="14">
        <v>50</v>
      </c>
      <c r="Q14" s="24"/>
      <c r="S14" s="16"/>
      <c r="U14" s="15" t="s">
        <v>343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20</v>
      </c>
      <c r="D15" s="14">
        <f>ROUND(J15*M15,2)</f>
        <v>10</v>
      </c>
      <c r="E15" s="14">
        <f t="shared" si="0"/>
        <v>5</v>
      </c>
      <c r="F15" s="14">
        <f t="shared" si="1"/>
        <v>30</v>
      </c>
      <c r="G15" s="14">
        <v>10</v>
      </c>
      <c r="H15" s="14">
        <f>ROUND(E14*($B15-B14)*$D$7,0)</f>
        <v>11</v>
      </c>
      <c r="I15" s="14">
        <f>G15*$C$7/2</f>
        <v>30</v>
      </c>
      <c r="J15" s="14">
        <f t="shared" ref="J15:J32" si="3">J14+D14*($B15-$B14)+G15</f>
        <v>150</v>
      </c>
      <c r="K15" s="14">
        <f t="shared" ref="K15:L30" si="4">K14+E14*($B15-$B14)+H15</f>
        <v>56</v>
      </c>
      <c r="L15" s="14">
        <f t="shared" si="4"/>
        <v>500</v>
      </c>
      <c r="M15" s="38">
        <v>6.6650000000000001E-2</v>
      </c>
      <c r="N15" s="14">
        <f t="shared" si="2"/>
        <v>1.1377422225000002</v>
      </c>
      <c r="O15" s="14">
        <f>ROUND((O$14+K15*3)/50,0)*50</f>
        <v>200</v>
      </c>
      <c r="Q15" s="24"/>
      <c r="S15" s="16"/>
      <c r="U15" s="15" t="s">
        <v>344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30</v>
      </c>
      <c r="D16" s="14">
        <f t="shared" ref="D16:D34" si="5">ROUND(J16*M16,2)</f>
        <v>15</v>
      </c>
      <c r="E16" s="14">
        <f t="shared" si="0"/>
        <v>7.5</v>
      </c>
      <c r="F16" s="14">
        <f t="shared" si="1"/>
        <v>45</v>
      </c>
      <c r="G16" s="14">
        <f>ROUND(D15*($B16-$B15)*$D$7,0)</f>
        <v>25</v>
      </c>
      <c r="H16" s="14">
        <f>ROUND(E15*($B16-$B15)*$D$7,0)</f>
        <v>13</v>
      </c>
      <c r="I16" s="14">
        <f t="shared" ref="I16:I34" si="6">G16*$C$7/2</f>
        <v>75</v>
      </c>
      <c r="J16" s="14">
        <f t="shared" si="3"/>
        <v>275</v>
      </c>
      <c r="K16" s="14">
        <f t="shared" si="4"/>
        <v>119</v>
      </c>
      <c r="L16" s="14">
        <f t="shared" si="4"/>
        <v>875</v>
      </c>
      <c r="M16" s="38">
        <v>5.4550000000000001E-2</v>
      </c>
      <c r="N16" s="14">
        <f t="shared" si="2"/>
        <v>1.1120757025000003</v>
      </c>
      <c r="O16" s="14">
        <f t="shared" ref="O16:O35" si="7">ROUND((O$14+K16*3)/50,0)*50</f>
        <v>400</v>
      </c>
      <c r="Q16" s="24"/>
      <c r="S16" s="16"/>
      <c r="U16" s="15" t="s">
        <v>345</v>
      </c>
      <c r="V16" s="28">
        <v>0.2</v>
      </c>
    </row>
    <row r="17" spans="1:22" ht="16.5" x14ac:dyDescent="0.2">
      <c r="A17" s="13">
        <v>4</v>
      </c>
      <c r="B17" s="13">
        <v>30</v>
      </c>
      <c r="C17" s="13">
        <v>40</v>
      </c>
      <c r="D17" s="14">
        <f t="shared" si="5"/>
        <v>20</v>
      </c>
      <c r="E17" s="14">
        <f t="shared" si="0"/>
        <v>10</v>
      </c>
      <c r="F17" s="14">
        <f t="shared" si="1"/>
        <v>60</v>
      </c>
      <c r="G17" s="14">
        <f t="shared" ref="G17:H32" si="8">ROUND(D16*($B17-$B16)*$D$7,0)</f>
        <v>38</v>
      </c>
      <c r="H17" s="14">
        <f t="shared" si="8"/>
        <v>19</v>
      </c>
      <c r="I17" s="14">
        <f t="shared" si="6"/>
        <v>114</v>
      </c>
      <c r="J17" s="14">
        <f t="shared" si="3"/>
        <v>463</v>
      </c>
      <c r="K17" s="14">
        <f t="shared" si="4"/>
        <v>213</v>
      </c>
      <c r="L17" s="14">
        <f t="shared" si="4"/>
        <v>1439</v>
      </c>
      <c r="M17" s="38">
        <v>4.3200000000000002E-2</v>
      </c>
      <c r="N17" s="14">
        <f t="shared" si="2"/>
        <v>1.0882662399999998</v>
      </c>
      <c r="O17" s="14">
        <f t="shared" si="7"/>
        <v>700</v>
      </c>
      <c r="Q17" s="24"/>
      <c r="S17" s="16"/>
      <c r="U17" s="15" t="s">
        <v>346</v>
      </c>
      <c r="V17" s="28">
        <v>0.1</v>
      </c>
    </row>
    <row r="18" spans="1:22" ht="16.5" x14ac:dyDescent="0.2">
      <c r="A18" s="13">
        <v>5</v>
      </c>
      <c r="B18" s="13">
        <v>40</v>
      </c>
      <c r="C18" s="13">
        <v>50</v>
      </c>
      <c r="D18" s="14">
        <f t="shared" si="5"/>
        <v>25</v>
      </c>
      <c r="E18" s="14">
        <f t="shared" si="0"/>
        <v>12.5</v>
      </c>
      <c r="F18" s="14">
        <f t="shared" si="1"/>
        <v>75</v>
      </c>
      <c r="G18" s="14">
        <f t="shared" si="8"/>
        <v>50</v>
      </c>
      <c r="H18" s="14">
        <f t="shared" si="8"/>
        <v>25</v>
      </c>
      <c r="I18" s="14">
        <f t="shared" si="6"/>
        <v>150</v>
      </c>
      <c r="J18" s="14">
        <f t="shared" si="3"/>
        <v>713</v>
      </c>
      <c r="K18" s="14">
        <f t="shared" si="4"/>
        <v>338</v>
      </c>
      <c r="L18" s="14">
        <f t="shared" si="4"/>
        <v>2189</v>
      </c>
      <c r="M18" s="38">
        <v>3.5060000000000001E-2</v>
      </c>
      <c r="N18" s="14">
        <f t="shared" si="2"/>
        <v>1.0713492036000003</v>
      </c>
      <c r="O18" s="14">
        <f t="shared" si="7"/>
        <v>1050</v>
      </c>
      <c r="Q18" s="24"/>
      <c r="S18" s="16"/>
    </row>
    <row r="19" spans="1:22" ht="17.25" x14ac:dyDescent="0.2">
      <c r="A19" s="13">
        <v>6</v>
      </c>
      <c r="B19" s="13">
        <v>50</v>
      </c>
      <c r="C19" s="13">
        <v>60</v>
      </c>
      <c r="D19" s="14">
        <f t="shared" si="5"/>
        <v>30</v>
      </c>
      <c r="E19" s="14">
        <f t="shared" si="0"/>
        <v>15</v>
      </c>
      <c r="F19" s="14">
        <f t="shared" si="1"/>
        <v>90</v>
      </c>
      <c r="G19" s="14">
        <f t="shared" si="8"/>
        <v>63</v>
      </c>
      <c r="H19" s="14">
        <f t="shared" si="8"/>
        <v>31</v>
      </c>
      <c r="I19" s="14">
        <f t="shared" si="6"/>
        <v>189</v>
      </c>
      <c r="J19" s="14">
        <f t="shared" si="3"/>
        <v>1026</v>
      </c>
      <c r="K19" s="14">
        <f t="shared" si="4"/>
        <v>494</v>
      </c>
      <c r="L19" s="14">
        <f t="shared" si="4"/>
        <v>3128</v>
      </c>
      <c r="M19" s="38">
        <v>2.9239999999999999E-2</v>
      </c>
      <c r="N19" s="14">
        <f t="shared" si="2"/>
        <v>1.0593349775999998</v>
      </c>
      <c r="O19" s="14">
        <f t="shared" si="7"/>
        <v>1550</v>
      </c>
      <c r="R19" s="12" t="s">
        <v>530</v>
      </c>
      <c r="S19" s="12" t="s">
        <v>178</v>
      </c>
      <c r="T19" s="12" t="s">
        <v>538</v>
      </c>
    </row>
    <row r="20" spans="1:22" ht="16.5" x14ac:dyDescent="0.2">
      <c r="A20" s="13">
        <v>7</v>
      </c>
      <c r="B20" s="13">
        <v>60</v>
      </c>
      <c r="C20" s="13">
        <v>70</v>
      </c>
      <c r="D20" s="14">
        <f t="shared" si="5"/>
        <v>35.03</v>
      </c>
      <c r="E20" s="14">
        <f t="shared" si="0"/>
        <v>17.515000000000001</v>
      </c>
      <c r="F20" s="14">
        <f t="shared" si="1"/>
        <v>105.09</v>
      </c>
      <c r="G20" s="14">
        <f t="shared" si="8"/>
        <v>75</v>
      </c>
      <c r="H20" s="14">
        <f t="shared" si="8"/>
        <v>38</v>
      </c>
      <c r="I20" s="14">
        <f t="shared" si="6"/>
        <v>225</v>
      </c>
      <c r="J20" s="14">
        <f t="shared" si="3"/>
        <v>1401</v>
      </c>
      <c r="K20" s="14">
        <f t="shared" si="4"/>
        <v>682</v>
      </c>
      <c r="L20" s="14">
        <f t="shared" si="4"/>
        <v>4253</v>
      </c>
      <c r="M20" s="38">
        <v>2.5000000000000001E-2</v>
      </c>
      <c r="N20" s="14">
        <f t="shared" si="2"/>
        <v>1.0506249999999999</v>
      </c>
      <c r="O20" s="14">
        <f t="shared" si="7"/>
        <v>2100</v>
      </c>
      <c r="Q20" s="13" t="s">
        <v>15</v>
      </c>
      <c r="R20" s="13">
        <v>0</v>
      </c>
      <c r="S20" s="13">
        <v>0</v>
      </c>
      <c r="T20" s="13">
        <v>0</v>
      </c>
    </row>
    <row r="21" spans="1:22" ht="16.5" x14ac:dyDescent="0.2">
      <c r="A21" s="13">
        <v>8</v>
      </c>
      <c r="B21" s="13">
        <v>70</v>
      </c>
      <c r="C21" s="13">
        <v>80</v>
      </c>
      <c r="D21" s="14">
        <f t="shared" si="5"/>
        <v>45.98</v>
      </c>
      <c r="E21" s="14">
        <f t="shared" si="0"/>
        <v>22.99</v>
      </c>
      <c r="F21" s="14">
        <f t="shared" si="1"/>
        <v>137.94</v>
      </c>
      <c r="G21" s="14">
        <f t="shared" si="8"/>
        <v>88</v>
      </c>
      <c r="H21" s="14">
        <f t="shared" si="8"/>
        <v>44</v>
      </c>
      <c r="I21" s="14">
        <f t="shared" si="6"/>
        <v>264</v>
      </c>
      <c r="J21" s="14">
        <f t="shared" si="3"/>
        <v>1839.3</v>
      </c>
      <c r="K21" s="14">
        <f t="shared" si="4"/>
        <v>901.15</v>
      </c>
      <c r="L21" s="14">
        <f t="shared" si="4"/>
        <v>5567.9</v>
      </c>
      <c r="M21" s="38">
        <v>2.5000000000000001E-2</v>
      </c>
      <c r="N21" s="14">
        <f t="shared" si="2"/>
        <v>1.0506249999999999</v>
      </c>
      <c r="O21" s="14">
        <f t="shared" si="7"/>
        <v>2750</v>
      </c>
      <c r="Q21" s="13" t="s">
        <v>17</v>
      </c>
      <c r="R21" s="13">
        <v>20</v>
      </c>
      <c r="S21" s="13">
        <v>0</v>
      </c>
      <c r="T21" s="13">
        <v>100</v>
      </c>
    </row>
    <row r="22" spans="1:22" ht="16.5" x14ac:dyDescent="0.2">
      <c r="A22" s="13">
        <v>9</v>
      </c>
      <c r="B22" s="13">
        <v>80</v>
      </c>
      <c r="C22" s="13">
        <v>90</v>
      </c>
      <c r="D22" s="14">
        <f t="shared" si="5"/>
        <v>60.35</v>
      </c>
      <c r="E22" s="14">
        <f t="shared" si="0"/>
        <v>30.175000000000001</v>
      </c>
      <c r="F22" s="14">
        <f t="shared" si="1"/>
        <v>181.05</v>
      </c>
      <c r="G22" s="14">
        <f t="shared" si="8"/>
        <v>115</v>
      </c>
      <c r="H22" s="14">
        <f t="shared" si="8"/>
        <v>57</v>
      </c>
      <c r="I22" s="14">
        <f t="shared" si="6"/>
        <v>345</v>
      </c>
      <c r="J22" s="14">
        <f t="shared" si="3"/>
        <v>2414.1</v>
      </c>
      <c r="K22" s="14">
        <f t="shared" si="4"/>
        <v>1188.05</v>
      </c>
      <c r="L22" s="14">
        <f t="shared" si="4"/>
        <v>7292.2999999999993</v>
      </c>
      <c r="M22" s="38">
        <v>2.5000000000000001E-2</v>
      </c>
      <c r="N22" s="14">
        <f t="shared" si="2"/>
        <v>1.0506249999999999</v>
      </c>
      <c r="O22" s="14">
        <f t="shared" si="7"/>
        <v>3600</v>
      </c>
      <c r="Q22" s="13" t="s">
        <v>116</v>
      </c>
      <c r="R22" s="13">
        <v>50</v>
      </c>
      <c r="S22" s="13">
        <v>0</v>
      </c>
      <c r="T22" s="13">
        <v>300</v>
      </c>
    </row>
    <row r="23" spans="1:22" ht="16.5" x14ac:dyDescent="0.2">
      <c r="A23" s="13">
        <v>10</v>
      </c>
      <c r="B23" s="13">
        <v>90</v>
      </c>
      <c r="C23" s="13">
        <v>100</v>
      </c>
      <c r="D23" s="14">
        <f t="shared" si="5"/>
        <v>79.22</v>
      </c>
      <c r="E23" s="14">
        <f t="shared" si="0"/>
        <v>39.61</v>
      </c>
      <c r="F23" s="14">
        <f t="shared" si="1"/>
        <v>237.66</v>
      </c>
      <c r="G23" s="14">
        <f t="shared" si="8"/>
        <v>151</v>
      </c>
      <c r="H23" s="14">
        <f t="shared" si="8"/>
        <v>75</v>
      </c>
      <c r="I23" s="14">
        <f t="shared" si="6"/>
        <v>453</v>
      </c>
      <c r="J23" s="14">
        <f t="shared" si="3"/>
        <v>3168.6</v>
      </c>
      <c r="K23" s="14">
        <f t="shared" si="4"/>
        <v>1564.8</v>
      </c>
      <c r="L23" s="14">
        <f t="shared" si="4"/>
        <v>9555.7999999999993</v>
      </c>
      <c r="M23" s="38">
        <v>2.5000000000000001E-2</v>
      </c>
      <c r="N23" s="14">
        <f t="shared" si="2"/>
        <v>1.0506249999999999</v>
      </c>
      <c r="O23" s="14">
        <f t="shared" si="7"/>
        <v>4750</v>
      </c>
      <c r="Q23" s="13" t="s">
        <v>525</v>
      </c>
      <c r="R23" s="13">
        <v>100</v>
      </c>
      <c r="S23" s="13">
        <v>0</v>
      </c>
      <c r="T23" s="13">
        <v>500</v>
      </c>
    </row>
    <row r="24" spans="1:22" ht="17.25" x14ac:dyDescent="0.2">
      <c r="A24" s="13">
        <v>11</v>
      </c>
      <c r="B24" s="13">
        <v>100</v>
      </c>
      <c r="C24" s="13">
        <v>110</v>
      </c>
      <c r="D24" s="14">
        <f t="shared" si="5"/>
        <v>103.97</v>
      </c>
      <c r="E24" s="14">
        <f t="shared" si="0"/>
        <v>51.984999999999999</v>
      </c>
      <c r="F24" s="14">
        <f t="shared" si="1"/>
        <v>311.90999999999997</v>
      </c>
      <c r="G24" s="14">
        <f t="shared" si="8"/>
        <v>198</v>
      </c>
      <c r="H24" s="14">
        <f t="shared" si="8"/>
        <v>99</v>
      </c>
      <c r="I24" s="14">
        <f t="shared" si="6"/>
        <v>594</v>
      </c>
      <c r="J24" s="14">
        <f t="shared" si="3"/>
        <v>4158.8</v>
      </c>
      <c r="K24" s="14">
        <f t="shared" si="4"/>
        <v>2059.9</v>
      </c>
      <c r="L24" s="14">
        <f t="shared" si="4"/>
        <v>12526.4</v>
      </c>
      <c r="M24" s="38">
        <v>2.5000000000000001E-2</v>
      </c>
      <c r="N24" s="14">
        <f t="shared" si="2"/>
        <v>1.0506249999999999</v>
      </c>
      <c r="O24" s="14">
        <f t="shared" si="7"/>
        <v>6250</v>
      </c>
      <c r="R24" s="12" t="s">
        <v>530</v>
      </c>
      <c r="S24" s="12" t="s">
        <v>178</v>
      </c>
      <c r="T24" s="12" t="s">
        <v>538</v>
      </c>
    </row>
    <row r="25" spans="1:22" ht="16.5" x14ac:dyDescent="0.2">
      <c r="A25" s="13">
        <v>12</v>
      </c>
      <c r="B25" s="13">
        <v>110</v>
      </c>
      <c r="C25" s="13">
        <v>120</v>
      </c>
      <c r="D25" s="14">
        <f t="shared" si="5"/>
        <v>136.46</v>
      </c>
      <c r="E25" s="14">
        <f t="shared" si="0"/>
        <v>68.23</v>
      </c>
      <c r="F25" s="14">
        <f t="shared" si="1"/>
        <v>409.38</v>
      </c>
      <c r="G25" s="14">
        <f t="shared" si="8"/>
        <v>260</v>
      </c>
      <c r="H25" s="14">
        <f t="shared" si="8"/>
        <v>130</v>
      </c>
      <c r="I25" s="14">
        <f t="shared" si="6"/>
        <v>780</v>
      </c>
      <c r="J25" s="14">
        <f t="shared" si="3"/>
        <v>5458.5</v>
      </c>
      <c r="K25" s="14">
        <f t="shared" si="4"/>
        <v>2709.75</v>
      </c>
      <c r="L25" s="14">
        <f t="shared" si="4"/>
        <v>16425.5</v>
      </c>
      <c r="M25" s="38">
        <v>2.5000000000000001E-2</v>
      </c>
      <c r="N25" s="14">
        <f t="shared" si="2"/>
        <v>1.0506249999999999</v>
      </c>
      <c r="O25" s="14">
        <f t="shared" si="7"/>
        <v>8200</v>
      </c>
      <c r="Q25" s="13" t="s">
        <v>15</v>
      </c>
      <c r="R25" s="13">
        <v>0</v>
      </c>
      <c r="S25" s="13">
        <v>0</v>
      </c>
      <c r="T25" s="13">
        <v>0</v>
      </c>
    </row>
    <row r="26" spans="1:22" ht="16.5" x14ac:dyDescent="0.2">
      <c r="A26" s="13">
        <v>13</v>
      </c>
      <c r="B26" s="13">
        <v>120</v>
      </c>
      <c r="C26" s="13">
        <v>130</v>
      </c>
      <c r="D26" s="14">
        <f t="shared" si="5"/>
        <v>179.1</v>
      </c>
      <c r="E26" s="14">
        <f t="shared" si="0"/>
        <v>89.55</v>
      </c>
      <c r="F26" s="14">
        <f t="shared" si="1"/>
        <v>537.29999999999995</v>
      </c>
      <c r="G26" s="14">
        <f t="shared" si="8"/>
        <v>341</v>
      </c>
      <c r="H26" s="14">
        <f t="shared" si="8"/>
        <v>171</v>
      </c>
      <c r="I26" s="14">
        <f t="shared" si="6"/>
        <v>1023</v>
      </c>
      <c r="J26" s="14">
        <f t="shared" si="3"/>
        <v>7164.1</v>
      </c>
      <c r="K26" s="14">
        <f t="shared" si="4"/>
        <v>3563.05</v>
      </c>
      <c r="L26" s="14">
        <f t="shared" si="4"/>
        <v>21542.3</v>
      </c>
      <c r="M26" s="38">
        <v>2.5000000000000001E-2</v>
      </c>
      <c r="N26" s="14">
        <f t="shared" si="2"/>
        <v>1.0506249999999999</v>
      </c>
      <c r="O26" s="14">
        <f t="shared" si="7"/>
        <v>10750</v>
      </c>
      <c r="Q26" s="13" t="s">
        <v>17</v>
      </c>
      <c r="R26" s="13">
        <v>50</v>
      </c>
      <c r="S26" s="13">
        <v>0</v>
      </c>
      <c r="T26" s="13">
        <v>200</v>
      </c>
    </row>
    <row r="27" spans="1:22" ht="16.5" x14ac:dyDescent="0.2">
      <c r="A27" s="13">
        <v>14</v>
      </c>
      <c r="B27" s="13">
        <v>130</v>
      </c>
      <c r="C27" s="13">
        <v>140</v>
      </c>
      <c r="D27" s="14">
        <f t="shared" si="5"/>
        <v>235.08</v>
      </c>
      <c r="E27" s="14">
        <f t="shared" si="0"/>
        <v>117.54</v>
      </c>
      <c r="F27" s="14">
        <f t="shared" si="1"/>
        <v>705.24</v>
      </c>
      <c r="G27" s="14">
        <f t="shared" si="8"/>
        <v>448</v>
      </c>
      <c r="H27" s="14">
        <f t="shared" si="8"/>
        <v>224</v>
      </c>
      <c r="I27" s="14">
        <f t="shared" si="6"/>
        <v>1344</v>
      </c>
      <c r="J27" s="14">
        <f t="shared" si="3"/>
        <v>9403.1</v>
      </c>
      <c r="K27" s="14">
        <f t="shared" si="4"/>
        <v>4682.55</v>
      </c>
      <c r="L27" s="14">
        <f t="shared" si="4"/>
        <v>28259.3</v>
      </c>
      <c r="M27" s="38">
        <v>2.5000000000000001E-2</v>
      </c>
      <c r="N27" s="14">
        <f t="shared" si="2"/>
        <v>1.0506249999999999</v>
      </c>
      <c r="O27" s="14">
        <f t="shared" si="7"/>
        <v>14100</v>
      </c>
      <c r="Q27" s="13" t="s">
        <v>116</v>
      </c>
      <c r="R27" s="13">
        <v>100</v>
      </c>
      <c r="S27" s="13">
        <v>0</v>
      </c>
      <c r="T27" s="13">
        <v>500</v>
      </c>
    </row>
    <row r="28" spans="1:22" ht="16.5" x14ac:dyDescent="0.2">
      <c r="A28" s="13">
        <v>15</v>
      </c>
      <c r="B28" s="13">
        <v>140</v>
      </c>
      <c r="C28" s="13">
        <v>150</v>
      </c>
      <c r="D28" s="14">
        <f t="shared" si="5"/>
        <v>308.55</v>
      </c>
      <c r="E28" s="14">
        <f t="shared" si="0"/>
        <v>154.27500000000001</v>
      </c>
      <c r="F28" s="14">
        <f t="shared" si="1"/>
        <v>925.65000000000009</v>
      </c>
      <c r="G28" s="14">
        <f t="shared" si="8"/>
        <v>588</v>
      </c>
      <c r="H28" s="14">
        <f t="shared" si="8"/>
        <v>294</v>
      </c>
      <c r="I28" s="14">
        <f t="shared" si="6"/>
        <v>1764</v>
      </c>
      <c r="J28" s="14">
        <f t="shared" si="3"/>
        <v>12341.900000000001</v>
      </c>
      <c r="K28" s="14">
        <f t="shared" si="4"/>
        <v>6151.9500000000007</v>
      </c>
      <c r="L28" s="14">
        <f t="shared" si="4"/>
        <v>37075.699999999997</v>
      </c>
      <c r="M28" s="38">
        <v>2.5000000000000001E-2</v>
      </c>
      <c r="N28" s="14">
        <f t="shared" si="2"/>
        <v>1.0506249999999999</v>
      </c>
      <c r="O28" s="14">
        <f t="shared" si="7"/>
        <v>18500</v>
      </c>
      <c r="Q28" s="13" t="s">
        <v>525</v>
      </c>
      <c r="R28" s="13">
        <v>200</v>
      </c>
      <c r="S28" s="13">
        <v>0</v>
      </c>
      <c r="T28" s="13">
        <v>1000</v>
      </c>
    </row>
    <row r="29" spans="1:22" ht="16.5" x14ac:dyDescent="0.2">
      <c r="A29" s="13">
        <v>16</v>
      </c>
      <c r="B29" s="13">
        <v>150</v>
      </c>
      <c r="C29" s="13">
        <v>160</v>
      </c>
      <c r="D29" s="14">
        <f t="shared" si="5"/>
        <v>404.96</v>
      </c>
      <c r="E29" s="14">
        <f t="shared" si="0"/>
        <v>202.48</v>
      </c>
      <c r="F29" s="14">
        <f t="shared" si="1"/>
        <v>1214.8799999999999</v>
      </c>
      <c r="G29" s="14">
        <f t="shared" si="8"/>
        <v>771</v>
      </c>
      <c r="H29" s="14">
        <f t="shared" si="8"/>
        <v>386</v>
      </c>
      <c r="I29" s="14">
        <f t="shared" si="6"/>
        <v>2313</v>
      </c>
      <c r="J29" s="14">
        <f t="shared" si="3"/>
        <v>16198.400000000001</v>
      </c>
      <c r="K29" s="14">
        <f t="shared" si="4"/>
        <v>8080.7000000000007</v>
      </c>
      <c r="L29" s="14">
        <f t="shared" si="4"/>
        <v>48645.2</v>
      </c>
      <c r="M29" s="38">
        <v>2.5000000000000001E-2</v>
      </c>
      <c r="N29" s="14">
        <f t="shared" si="2"/>
        <v>1.0506249999999999</v>
      </c>
      <c r="O29" s="14">
        <f t="shared" si="7"/>
        <v>24300</v>
      </c>
      <c r="Q29" s="24"/>
    </row>
    <row r="30" spans="1:22" ht="16.5" x14ac:dyDescent="0.2">
      <c r="A30" s="13">
        <v>17</v>
      </c>
      <c r="B30" s="13">
        <v>160</v>
      </c>
      <c r="C30" s="13">
        <v>170</v>
      </c>
      <c r="D30" s="14">
        <f t="shared" si="5"/>
        <v>531.5</v>
      </c>
      <c r="E30" s="14">
        <f t="shared" si="0"/>
        <v>265.75</v>
      </c>
      <c r="F30" s="14">
        <f t="shared" si="1"/>
        <v>1594.5</v>
      </c>
      <c r="G30" s="14">
        <f t="shared" si="8"/>
        <v>1012</v>
      </c>
      <c r="H30" s="14">
        <f t="shared" si="8"/>
        <v>506</v>
      </c>
      <c r="I30" s="14">
        <f t="shared" si="6"/>
        <v>3036</v>
      </c>
      <c r="J30" s="14">
        <f t="shared" si="3"/>
        <v>21260</v>
      </c>
      <c r="K30" s="14">
        <f t="shared" si="4"/>
        <v>10611.5</v>
      </c>
      <c r="L30" s="14">
        <f t="shared" si="4"/>
        <v>63830</v>
      </c>
      <c r="M30" s="38">
        <v>2.5000000000000001E-2</v>
      </c>
      <c r="N30" s="14">
        <f t="shared" si="2"/>
        <v>1.0506249999999999</v>
      </c>
      <c r="O30" s="14">
        <f t="shared" si="7"/>
        <v>31900</v>
      </c>
      <c r="Q30" s="24"/>
    </row>
    <row r="31" spans="1:22" ht="16.5" x14ac:dyDescent="0.2">
      <c r="A31" s="13">
        <v>18</v>
      </c>
      <c r="B31" s="13">
        <v>170</v>
      </c>
      <c r="C31" s="13">
        <v>180</v>
      </c>
      <c r="D31" s="14">
        <f t="shared" si="5"/>
        <v>697.6</v>
      </c>
      <c r="E31" s="14">
        <f t="shared" si="0"/>
        <v>348.8</v>
      </c>
      <c r="F31" s="14">
        <f t="shared" si="1"/>
        <v>2092.8000000000002</v>
      </c>
      <c r="G31" s="14">
        <f t="shared" si="8"/>
        <v>1329</v>
      </c>
      <c r="H31" s="14">
        <f t="shared" si="8"/>
        <v>664</v>
      </c>
      <c r="I31" s="14">
        <f t="shared" si="6"/>
        <v>3987</v>
      </c>
      <c r="J31" s="14">
        <f t="shared" si="3"/>
        <v>27904</v>
      </c>
      <c r="K31" s="14">
        <f>K30+E30*($B31-$B30)+H31</f>
        <v>13933</v>
      </c>
      <c r="L31" s="14">
        <f>L30+F30*($B31-$B30)+I31</f>
        <v>83762</v>
      </c>
      <c r="M31" s="38">
        <v>2.5000000000000001E-2</v>
      </c>
      <c r="N31" s="14">
        <f t="shared" si="2"/>
        <v>1.0506249999999999</v>
      </c>
      <c r="O31" s="14">
        <f t="shared" si="7"/>
        <v>41850</v>
      </c>
      <c r="Q31" s="24"/>
    </row>
    <row r="32" spans="1:22" ht="16.5" x14ac:dyDescent="0.2">
      <c r="A32" s="13">
        <v>19</v>
      </c>
      <c r="B32" s="13">
        <v>180</v>
      </c>
      <c r="C32" s="13">
        <v>190</v>
      </c>
      <c r="D32" s="14">
        <f t="shared" si="5"/>
        <v>915.6</v>
      </c>
      <c r="E32" s="14">
        <f t="shared" si="0"/>
        <v>457.8</v>
      </c>
      <c r="F32" s="14">
        <f t="shared" si="1"/>
        <v>2746.8</v>
      </c>
      <c r="G32" s="14">
        <f t="shared" si="8"/>
        <v>1744</v>
      </c>
      <c r="H32" s="14">
        <f t="shared" si="8"/>
        <v>872</v>
      </c>
      <c r="I32" s="14">
        <f t="shared" si="6"/>
        <v>5232</v>
      </c>
      <c r="J32" s="14">
        <f t="shared" si="3"/>
        <v>36624</v>
      </c>
      <c r="K32" s="14">
        <f>K31+E31*($B32-$B31)+H32</f>
        <v>18293</v>
      </c>
      <c r="L32" s="14">
        <f>L31+F31*($B32-$B31)+I32</f>
        <v>109922</v>
      </c>
      <c r="M32" s="38">
        <v>2.5000000000000001E-2</v>
      </c>
      <c r="N32" s="14">
        <f t="shared" si="2"/>
        <v>1.0506249999999999</v>
      </c>
      <c r="O32" s="14">
        <f t="shared" si="7"/>
        <v>54950</v>
      </c>
      <c r="Q32" s="24"/>
    </row>
    <row r="33" spans="1:17" ht="16.5" x14ac:dyDescent="0.2">
      <c r="A33" s="13">
        <v>20</v>
      </c>
      <c r="B33" s="13">
        <v>190</v>
      </c>
      <c r="C33" s="13">
        <v>200</v>
      </c>
      <c r="D33" s="14">
        <f t="shared" si="5"/>
        <v>1201.73</v>
      </c>
      <c r="E33" s="14">
        <f t="shared" si="0"/>
        <v>600.86500000000001</v>
      </c>
      <c r="F33" s="14">
        <f t="shared" si="1"/>
        <v>3605.19</v>
      </c>
      <c r="G33" s="14">
        <f>ROUND(D32*($B33-$B32)*$D$7,0)</f>
        <v>2289</v>
      </c>
      <c r="H33" s="14">
        <f>ROUND(E32*($B33-$B32)*$D$7,0)</f>
        <v>1145</v>
      </c>
      <c r="I33" s="14">
        <f t="shared" si="6"/>
        <v>6867</v>
      </c>
      <c r="J33" s="14">
        <f t="shared" ref="J33:L34" si="9">J32+D32*($B33-$B32)+G33</f>
        <v>48069</v>
      </c>
      <c r="K33" s="14">
        <f t="shared" si="9"/>
        <v>24016</v>
      </c>
      <c r="L33" s="14">
        <f t="shared" si="9"/>
        <v>144257</v>
      </c>
      <c r="M33" s="38">
        <v>2.5000000000000001E-2</v>
      </c>
      <c r="N33" s="14">
        <f t="shared" si="2"/>
        <v>1.0506249999999999</v>
      </c>
      <c r="O33" s="14">
        <f t="shared" si="7"/>
        <v>72100</v>
      </c>
      <c r="Q33" s="24"/>
    </row>
    <row r="34" spans="1:17" ht="16.5" x14ac:dyDescent="0.2">
      <c r="A34" s="13">
        <v>21</v>
      </c>
      <c r="B34" s="13">
        <v>200</v>
      </c>
      <c r="C34" s="13">
        <v>210</v>
      </c>
      <c r="D34" s="14">
        <f t="shared" si="5"/>
        <v>1577.26</v>
      </c>
      <c r="E34" s="14">
        <f t="shared" si="0"/>
        <v>788.63</v>
      </c>
      <c r="F34" s="14">
        <f t="shared" si="1"/>
        <v>4731.78</v>
      </c>
      <c r="G34" s="14">
        <f>ROUND(D33*($B34-$B33)*$D$7,0)</f>
        <v>3004</v>
      </c>
      <c r="H34" s="14">
        <f>ROUND(E33*($B34-$B33)*$D$7,0)</f>
        <v>1502</v>
      </c>
      <c r="I34" s="14">
        <f t="shared" si="6"/>
        <v>9012</v>
      </c>
      <c r="J34" s="14">
        <f t="shared" si="9"/>
        <v>63090.3</v>
      </c>
      <c r="K34" s="14">
        <f t="shared" si="9"/>
        <v>31526.65</v>
      </c>
      <c r="L34" s="14">
        <f t="shared" si="9"/>
        <v>189320.9</v>
      </c>
      <c r="M34" s="38">
        <v>2.5000000000000001E-2</v>
      </c>
      <c r="N34" s="14">
        <f t="shared" si="2"/>
        <v>1.0506249999999999</v>
      </c>
      <c r="O34" s="14">
        <f t="shared" si="7"/>
        <v>94650</v>
      </c>
      <c r="Q34" s="24"/>
    </row>
    <row r="35" spans="1:17" ht="16.5" x14ac:dyDescent="0.2">
      <c r="A35" s="13" t="s">
        <v>107</v>
      </c>
      <c r="B35" s="13">
        <v>210</v>
      </c>
      <c r="C35" s="13"/>
      <c r="D35" s="13"/>
      <c r="E35" s="13"/>
      <c r="F35" s="13"/>
      <c r="G35" s="13"/>
      <c r="H35" s="13"/>
      <c r="I35" s="13"/>
      <c r="J35" s="14">
        <f>J34+D34*($B35-$B34)+G35</f>
        <v>78862.900000000009</v>
      </c>
      <c r="K35" s="14">
        <f>K34+E34*($B35-$B34)+H35</f>
        <v>39412.950000000004</v>
      </c>
      <c r="L35" s="14">
        <f>L34+F34*($B35-$B34)+I35</f>
        <v>236638.69999999998</v>
      </c>
      <c r="M35" s="13"/>
      <c r="N35" s="13"/>
      <c r="O35" s="14">
        <f t="shared" si="7"/>
        <v>118300</v>
      </c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5" t="s">
        <v>108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Q40" s="24"/>
    </row>
    <row r="41" spans="1:17" ht="17.25" x14ac:dyDescent="0.2">
      <c r="A41" s="12" t="s">
        <v>98</v>
      </c>
      <c r="B41" s="12" t="s">
        <v>409</v>
      </c>
      <c r="C41" s="12" t="s">
        <v>410</v>
      </c>
      <c r="D41" s="12" t="s">
        <v>99</v>
      </c>
      <c r="E41" s="12" t="s">
        <v>100</v>
      </c>
      <c r="F41" s="12" t="s">
        <v>101</v>
      </c>
      <c r="G41" s="12" t="s">
        <v>412</v>
      </c>
      <c r="H41" s="12" t="s">
        <v>413</v>
      </c>
      <c r="I41" s="12" t="s">
        <v>414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10</v>
      </c>
      <c r="E42" s="14">
        <f>D42/2</f>
        <v>5</v>
      </c>
      <c r="F42" s="14">
        <f>INT(D42*$C$8/2)</f>
        <v>45</v>
      </c>
      <c r="G42" s="13">
        <v>100</v>
      </c>
      <c r="H42" s="13">
        <v>100</v>
      </c>
      <c r="I42" s="13">
        <v>1500</v>
      </c>
      <c r="J42" s="14">
        <f>G42</f>
        <v>100</v>
      </c>
      <c r="K42" s="14">
        <f>H42</f>
        <v>100</v>
      </c>
      <c r="L42" s="14">
        <f>I42</f>
        <v>1500</v>
      </c>
      <c r="M42" s="17">
        <f t="shared" ref="M42:M62" si="10">D42/J42</f>
        <v>0.1</v>
      </c>
      <c r="N42" s="14">
        <f>(1+M42)*(1+M42)</f>
        <v>1.2100000000000002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 t="shared" ref="D43:D62" si="11">D15</f>
        <v>10</v>
      </c>
      <c r="E43" s="14">
        <f t="shared" ref="E43:E62" si="12">D43/2</f>
        <v>5</v>
      </c>
      <c r="F43" s="14">
        <f t="shared" ref="F43:F62" si="13">INT(D43*$C$8/2)</f>
        <v>45</v>
      </c>
      <c r="G43" s="14">
        <v>25</v>
      </c>
      <c r="H43" s="14">
        <v>10</v>
      </c>
      <c r="I43" s="14">
        <f t="shared" ref="I43:I62" si="14">G43*$C$8</f>
        <v>225</v>
      </c>
      <c r="J43" s="14">
        <f t="shared" ref="J43:J59" si="15">J42+D42*($B43-$B42)+G43</f>
        <v>215</v>
      </c>
      <c r="K43" s="14">
        <f t="shared" ref="K43:L58" si="16">K42+E42*($B43-$B42)+H43</f>
        <v>155</v>
      </c>
      <c r="L43" s="14">
        <f t="shared" si="16"/>
        <v>2130</v>
      </c>
      <c r="M43" s="17">
        <f t="shared" si="10"/>
        <v>4.6511627906976744E-2</v>
      </c>
      <c r="N43" s="14">
        <f t="shared" ref="N43:N62" si="17">(1+M43)*(1+M43)</f>
        <v>1.0951865873445108</v>
      </c>
      <c r="O43" s="14">
        <f>ROUND((O$42+K43*3)/50,0)*50</f>
        <v>550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 t="shared" si="11"/>
        <v>15</v>
      </c>
      <c r="E44" s="14">
        <f t="shared" si="12"/>
        <v>7.5</v>
      </c>
      <c r="F44" s="14">
        <f t="shared" si="13"/>
        <v>67</v>
      </c>
      <c r="G44" s="14">
        <f t="shared" ref="G44:G62" si="18">ROUND(D43*($B44-B43)*$D$7,0)</f>
        <v>25</v>
      </c>
      <c r="H44" s="14">
        <f t="shared" ref="H44:H62" si="19">ROUND(E43*($B44-B43)*$D$7,0)</f>
        <v>13</v>
      </c>
      <c r="I44" s="14">
        <f t="shared" si="14"/>
        <v>225</v>
      </c>
      <c r="J44" s="14">
        <f t="shared" si="15"/>
        <v>340</v>
      </c>
      <c r="K44" s="14">
        <f t="shared" si="16"/>
        <v>218</v>
      </c>
      <c r="L44" s="14">
        <f t="shared" si="16"/>
        <v>2805</v>
      </c>
      <c r="M44" s="17">
        <f t="shared" si="10"/>
        <v>4.4117647058823532E-2</v>
      </c>
      <c r="N44" s="14">
        <f t="shared" si="17"/>
        <v>1.0901816608996542</v>
      </c>
      <c r="O44" s="14">
        <f t="shared" ref="O44:O63" si="20">ROUND((O$42+K44*3)/50,0)*50</f>
        <v>750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si="11"/>
        <v>20</v>
      </c>
      <c r="E45" s="14">
        <f t="shared" si="12"/>
        <v>10</v>
      </c>
      <c r="F45" s="14">
        <f t="shared" si="13"/>
        <v>90</v>
      </c>
      <c r="G45" s="14">
        <f t="shared" si="18"/>
        <v>38</v>
      </c>
      <c r="H45" s="14">
        <f t="shared" si="19"/>
        <v>19</v>
      </c>
      <c r="I45" s="14">
        <f t="shared" si="14"/>
        <v>342</v>
      </c>
      <c r="J45" s="14">
        <f t="shared" si="15"/>
        <v>528</v>
      </c>
      <c r="K45" s="14">
        <f t="shared" si="16"/>
        <v>312</v>
      </c>
      <c r="L45" s="14">
        <f t="shared" si="16"/>
        <v>3817</v>
      </c>
      <c r="M45" s="17">
        <f t="shared" si="10"/>
        <v>3.787878787878788E-2</v>
      </c>
      <c r="N45" s="14">
        <f t="shared" si="17"/>
        <v>1.0771923783287418</v>
      </c>
      <c r="O45" s="14">
        <f t="shared" si="20"/>
        <v>1050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11"/>
        <v>25</v>
      </c>
      <c r="E46" s="14">
        <f t="shared" si="12"/>
        <v>12.5</v>
      </c>
      <c r="F46" s="14">
        <f t="shared" si="13"/>
        <v>112</v>
      </c>
      <c r="G46" s="14">
        <f t="shared" si="18"/>
        <v>50</v>
      </c>
      <c r="H46" s="14">
        <f t="shared" si="19"/>
        <v>25</v>
      </c>
      <c r="I46" s="14">
        <f t="shared" si="14"/>
        <v>450</v>
      </c>
      <c r="J46" s="14">
        <f t="shared" si="15"/>
        <v>778</v>
      </c>
      <c r="K46" s="14">
        <f t="shared" si="16"/>
        <v>437</v>
      </c>
      <c r="L46" s="14">
        <f t="shared" si="16"/>
        <v>5167</v>
      </c>
      <c r="M46" s="17">
        <f t="shared" si="10"/>
        <v>3.2133676092544985E-2</v>
      </c>
      <c r="N46" s="14">
        <f t="shared" si="17"/>
        <v>1.0652999253243107</v>
      </c>
      <c r="O46" s="14">
        <f t="shared" si="20"/>
        <v>1400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11"/>
        <v>30</v>
      </c>
      <c r="E47" s="14">
        <f t="shared" si="12"/>
        <v>15</v>
      </c>
      <c r="F47" s="14">
        <f t="shared" si="13"/>
        <v>135</v>
      </c>
      <c r="G47" s="14">
        <f t="shared" si="18"/>
        <v>63</v>
      </c>
      <c r="H47" s="14">
        <f t="shared" si="19"/>
        <v>31</v>
      </c>
      <c r="I47" s="14">
        <f t="shared" si="14"/>
        <v>567</v>
      </c>
      <c r="J47" s="14">
        <f t="shared" si="15"/>
        <v>1091</v>
      </c>
      <c r="K47" s="14">
        <f t="shared" si="16"/>
        <v>593</v>
      </c>
      <c r="L47" s="14">
        <f t="shared" si="16"/>
        <v>6854</v>
      </c>
      <c r="M47" s="17">
        <f t="shared" si="10"/>
        <v>2.7497708524289642E-2</v>
      </c>
      <c r="N47" s="14">
        <f t="shared" si="17"/>
        <v>1.0557515410226659</v>
      </c>
      <c r="O47" s="14">
        <f t="shared" si="20"/>
        <v>1900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11"/>
        <v>35.03</v>
      </c>
      <c r="E48" s="14">
        <f t="shared" si="12"/>
        <v>17.515000000000001</v>
      </c>
      <c r="F48" s="14">
        <f t="shared" si="13"/>
        <v>157</v>
      </c>
      <c r="G48" s="14">
        <f t="shared" si="18"/>
        <v>75</v>
      </c>
      <c r="H48" s="14">
        <f t="shared" si="19"/>
        <v>38</v>
      </c>
      <c r="I48" s="14">
        <f t="shared" si="14"/>
        <v>675</v>
      </c>
      <c r="J48" s="14">
        <f t="shared" si="15"/>
        <v>1466</v>
      </c>
      <c r="K48" s="14">
        <f t="shared" si="16"/>
        <v>781</v>
      </c>
      <c r="L48" s="14">
        <f t="shared" si="16"/>
        <v>8879</v>
      </c>
      <c r="M48" s="17">
        <f t="shared" si="10"/>
        <v>2.3894952251023192E-2</v>
      </c>
      <c r="N48" s="14">
        <f t="shared" si="17"/>
        <v>1.0483608732451251</v>
      </c>
      <c r="O48" s="14">
        <f t="shared" si="20"/>
        <v>2450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11"/>
        <v>45.98</v>
      </c>
      <c r="E49" s="14">
        <f t="shared" si="12"/>
        <v>22.99</v>
      </c>
      <c r="F49" s="14">
        <f t="shared" si="13"/>
        <v>206</v>
      </c>
      <c r="G49" s="14">
        <f t="shared" si="18"/>
        <v>88</v>
      </c>
      <c r="H49" s="14">
        <f t="shared" si="19"/>
        <v>44</v>
      </c>
      <c r="I49" s="14">
        <f t="shared" si="14"/>
        <v>792</v>
      </c>
      <c r="J49" s="14">
        <f t="shared" si="15"/>
        <v>1904.3</v>
      </c>
      <c r="K49" s="14">
        <f t="shared" si="16"/>
        <v>1000.15</v>
      </c>
      <c r="L49" s="14">
        <f t="shared" si="16"/>
        <v>11241</v>
      </c>
      <c r="M49" s="17">
        <f t="shared" si="10"/>
        <v>2.4145355248647797E-2</v>
      </c>
      <c r="N49" s="14">
        <f t="shared" si="17"/>
        <v>1.0488737086773787</v>
      </c>
      <c r="O49" s="14">
        <f t="shared" si="20"/>
        <v>3100</v>
      </c>
    </row>
    <row r="50" spans="1:15" ht="16.5" x14ac:dyDescent="0.2">
      <c r="A50" s="13">
        <v>9</v>
      </c>
      <c r="B50" s="13">
        <v>80</v>
      </c>
      <c r="C50" s="13">
        <v>85</v>
      </c>
      <c r="D50" s="14">
        <f t="shared" si="11"/>
        <v>60.35</v>
      </c>
      <c r="E50" s="14">
        <f t="shared" si="12"/>
        <v>30.175000000000001</v>
      </c>
      <c r="F50" s="14">
        <f t="shared" si="13"/>
        <v>271</v>
      </c>
      <c r="G50" s="14">
        <f t="shared" si="18"/>
        <v>115</v>
      </c>
      <c r="H50" s="14">
        <f t="shared" si="19"/>
        <v>57</v>
      </c>
      <c r="I50" s="14">
        <f t="shared" si="14"/>
        <v>1035</v>
      </c>
      <c r="J50" s="14">
        <f t="shared" si="15"/>
        <v>2479.1</v>
      </c>
      <c r="K50" s="14">
        <f t="shared" si="16"/>
        <v>1287.05</v>
      </c>
      <c r="L50" s="14">
        <f t="shared" si="16"/>
        <v>14336</v>
      </c>
      <c r="M50" s="17">
        <f t="shared" si="10"/>
        <v>2.4343511758299383E-2</v>
      </c>
      <c r="N50" s="14">
        <f t="shared" si="17"/>
        <v>1.049279630081325</v>
      </c>
      <c r="O50" s="14">
        <f t="shared" si="20"/>
        <v>3950</v>
      </c>
    </row>
    <row r="51" spans="1:15" ht="16.5" x14ac:dyDescent="0.2">
      <c r="A51" s="13">
        <v>10</v>
      </c>
      <c r="B51" s="13">
        <v>85</v>
      </c>
      <c r="C51" s="13">
        <v>90</v>
      </c>
      <c r="D51" s="14">
        <f t="shared" si="11"/>
        <v>79.22</v>
      </c>
      <c r="E51" s="14">
        <f t="shared" si="12"/>
        <v>39.61</v>
      </c>
      <c r="F51" s="14">
        <f t="shared" si="13"/>
        <v>356</v>
      </c>
      <c r="G51" s="14">
        <f t="shared" si="18"/>
        <v>75</v>
      </c>
      <c r="H51" s="14">
        <f t="shared" si="19"/>
        <v>38</v>
      </c>
      <c r="I51" s="14">
        <f t="shared" si="14"/>
        <v>675</v>
      </c>
      <c r="J51" s="14">
        <f t="shared" si="15"/>
        <v>2855.85</v>
      </c>
      <c r="K51" s="14">
        <f t="shared" si="16"/>
        <v>1475.925</v>
      </c>
      <c r="L51" s="14">
        <f t="shared" si="16"/>
        <v>16366</v>
      </c>
      <c r="M51" s="17">
        <f t="shared" si="10"/>
        <v>2.7739552147346674E-2</v>
      </c>
      <c r="N51" s="14">
        <f t="shared" si="17"/>
        <v>1.0562485870480287</v>
      </c>
      <c r="O51" s="14">
        <f t="shared" si="20"/>
        <v>4550</v>
      </c>
    </row>
    <row r="52" spans="1:15" ht="16.5" x14ac:dyDescent="0.2">
      <c r="A52" s="13">
        <v>11</v>
      </c>
      <c r="B52" s="13">
        <v>90</v>
      </c>
      <c r="C52" s="13">
        <v>95</v>
      </c>
      <c r="D52" s="14">
        <f t="shared" si="11"/>
        <v>103.97</v>
      </c>
      <c r="E52" s="14">
        <f t="shared" si="12"/>
        <v>51.984999999999999</v>
      </c>
      <c r="F52" s="14">
        <f t="shared" si="13"/>
        <v>467</v>
      </c>
      <c r="G52" s="14">
        <f t="shared" si="18"/>
        <v>99</v>
      </c>
      <c r="H52" s="14">
        <f t="shared" si="19"/>
        <v>50</v>
      </c>
      <c r="I52" s="14">
        <f t="shared" si="14"/>
        <v>891</v>
      </c>
      <c r="J52" s="14">
        <f t="shared" si="15"/>
        <v>3350.95</v>
      </c>
      <c r="K52" s="14">
        <f t="shared" si="16"/>
        <v>1723.9749999999999</v>
      </c>
      <c r="L52" s="14">
        <f t="shared" si="16"/>
        <v>19037</v>
      </c>
      <c r="M52" s="17">
        <f t="shared" si="10"/>
        <v>3.1027022187737806E-2</v>
      </c>
      <c r="N52" s="14">
        <f t="shared" si="17"/>
        <v>1.0630167204813139</v>
      </c>
      <c r="O52" s="14">
        <f t="shared" si="20"/>
        <v>5250</v>
      </c>
    </row>
    <row r="53" spans="1:15" ht="16.5" x14ac:dyDescent="0.2">
      <c r="A53" s="13">
        <v>12</v>
      </c>
      <c r="B53" s="13">
        <v>95</v>
      </c>
      <c r="C53" s="13">
        <v>100</v>
      </c>
      <c r="D53" s="14">
        <f t="shared" si="11"/>
        <v>136.46</v>
      </c>
      <c r="E53" s="14">
        <f t="shared" si="12"/>
        <v>68.23</v>
      </c>
      <c r="F53" s="14">
        <f t="shared" si="13"/>
        <v>614</v>
      </c>
      <c r="G53" s="14">
        <f t="shared" si="18"/>
        <v>130</v>
      </c>
      <c r="H53" s="14">
        <f t="shared" si="19"/>
        <v>65</v>
      </c>
      <c r="I53" s="14">
        <f t="shared" si="14"/>
        <v>1170</v>
      </c>
      <c r="J53" s="14">
        <f t="shared" si="15"/>
        <v>4000.7999999999997</v>
      </c>
      <c r="K53" s="14">
        <f t="shared" si="16"/>
        <v>2048.8999999999996</v>
      </c>
      <c r="L53" s="14">
        <f t="shared" si="16"/>
        <v>22542</v>
      </c>
      <c r="M53" s="17">
        <f t="shared" si="10"/>
        <v>3.4108178364327141E-2</v>
      </c>
      <c r="N53" s="14">
        <f t="shared" si="17"/>
        <v>1.069379724559987</v>
      </c>
      <c r="O53" s="14">
        <f t="shared" si="20"/>
        <v>6250</v>
      </c>
    </row>
    <row r="54" spans="1:15" ht="16.5" x14ac:dyDescent="0.2">
      <c r="A54" s="13">
        <v>13</v>
      </c>
      <c r="B54" s="13">
        <v>100</v>
      </c>
      <c r="C54" s="13">
        <v>105</v>
      </c>
      <c r="D54" s="14">
        <f t="shared" si="11"/>
        <v>179.1</v>
      </c>
      <c r="E54" s="14">
        <f t="shared" si="12"/>
        <v>89.55</v>
      </c>
      <c r="F54" s="14">
        <f t="shared" si="13"/>
        <v>805</v>
      </c>
      <c r="G54" s="14">
        <f t="shared" si="18"/>
        <v>171</v>
      </c>
      <c r="H54" s="14">
        <f t="shared" si="19"/>
        <v>85</v>
      </c>
      <c r="I54" s="14">
        <f t="shared" si="14"/>
        <v>1539</v>
      </c>
      <c r="J54" s="14">
        <f t="shared" si="15"/>
        <v>4854.0999999999995</v>
      </c>
      <c r="K54" s="14">
        <f t="shared" si="16"/>
        <v>2475.0499999999997</v>
      </c>
      <c r="L54" s="14">
        <f t="shared" si="16"/>
        <v>27151</v>
      </c>
      <c r="M54" s="17">
        <f t="shared" si="10"/>
        <v>3.6896644074081705E-2</v>
      </c>
      <c r="N54" s="14">
        <f t="shared" si="17"/>
        <v>1.0751546504920928</v>
      </c>
      <c r="O54" s="14">
        <f t="shared" si="20"/>
        <v>7550</v>
      </c>
    </row>
    <row r="55" spans="1:15" ht="16.5" x14ac:dyDescent="0.2">
      <c r="A55" s="13">
        <v>14</v>
      </c>
      <c r="B55" s="13">
        <v>105</v>
      </c>
      <c r="C55" s="13">
        <v>110</v>
      </c>
      <c r="D55" s="14">
        <f t="shared" si="11"/>
        <v>235.08</v>
      </c>
      <c r="E55" s="14">
        <f t="shared" si="12"/>
        <v>117.54</v>
      </c>
      <c r="F55" s="14">
        <f t="shared" si="13"/>
        <v>1057</v>
      </c>
      <c r="G55" s="14">
        <f t="shared" si="18"/>
        <v>224</v>
      </c>
      <c r="H55" s="14">
        <f t="shared" si="19"/>
        <v>112</v>
      </c>
      <c r="I55" s="14">
        <f t="shared" si="14"/>
        <v>2016</v>
      </c>
      <c r="J55" s="14">
        <f t="shared" si="15"/>
        <v>5973.5999999999995</v>
      </c>
      <c r="K55" s="14">
        <f t="shared" si="16"/>
        <v>3034.7999999999997</v>
      </c>
      <c r="L55" s="14">
        <f t="shared" si="16"/>
        <v>33192</v>
      </c>
      <c r="M55" s="17">
        <f t="shared" si="10"/>
        <v>3.9353153877059066E-2</v>
      </c>
      <c r="N55" s="14">
        <f t="shared" si="17"/>
        <v>1.0802549784741897</v>
      </c>
      <c r="O55" s="14">
        <f t="shared" si="20"/>
        <v>9200</v>
      </c>
    </row>
    <row r="56" spans="1:15" ht="16.5" x14ac:dyDescent="0.2">
      <c r="A56" s="13">
        <v>15</v>
      </c>
      <c r="B56" s="13">
        <v>110</v>
      </c>
      <c r="C56" s="13">
        <v>115</v>
      </c>
      <c r="D56" s="14">
        <f t="shared" si="11"/>
        <v>308.55</v>
      </c>
      <c r="E56" s="14">
        <f t="shared" si="12"/>
        <v>154.27500000000001</v>
      </c>
      <c r="F56" s="14">
        <f t="shared" si="13"/>
        <v>1388</v>
      </c>
      <c r="G56" s="14">
        <f t="shared" si="18"/>
        <v>294</v>
      </c>
      <c r="H56" s="14">
        <f t="shared" si="19"/>
        <v>147</v>
      </c>
      <c r="I56" s="14">
        <f t="shared" si="14"/>
        <v>2646</v>
      </c>
      <c r="J56" s="14">
        <f t="shared" si="15"/>
        <v>7443</v>
      </c>
      <c r="K56" s="14">
        <f t="shared" si="16"/>
        <v>3769.5</v>
      </c>
      <c r="L56" s="14">
        <f t="shared" si="16"/>
        <v>41123</v>
      </c>
      <c r="M56" s="17">
        <f t="shared" si="10"/>
        <v>4.1455058444175734E-2</v>
      </c>
      <c r="N56" s="14">
        <f t="shared" si="17"/>
        <v>1.0846286387589614</v>
      </c>
      <c r="O56" s="14">
        <f t="shared" si="20"/>
        <v>11400</v>
      </c>
    </row>
    <row r="57" spans="1:15" ht="16.5" x14ac:dyDescent="0.2">
      <c r="A57" s="13">
        <v>16</v>
      </c>
      <c r="B57" s="13">
        <v>115</v>
      </c>
      <c r="C57" s="13">
        <v>120</v>
      </c>
      <c r="D57" s="14">
        <f t="shared" si="11"/>
        <v>404.96</v>
      </c>
      <c r="E57" s="14">
        <f t="shared" si="12"/>
        <v>202.48</v>
      </c>
      <c r="F57" s="14">
        <f t="shared" si="13"/>
        <v>1822</v>
      </c>
      <c r="G57" s="14">
        <f t="shared" si="18"/>
        <v>386</v>
      </c>
      <c r="H57" s="14">
        <f t="shared" si="19"/>
        <v>193</v>
      </c>
      <c r="I57" s="14">
        <f t="shared" si="14"/>
        <v>3474</v>
      </c>
      <c r="J57" s="14">
        <f t="shared" si="15"/>
        <v>9371.75</v>
      </c>
      <c r="K57" s="14">
        <f t="shared" si="16"/>
        <v>4733.875</v>
      </c>
      <c r="L57" s="14">
        <f t="shared" si="16"/>
        <v>51537</v>
      </c>
      <c r="M57" s="17">
        <f t="shared" si="10"/>
        <v>4.3210713047189687E-2</v>
      </c>
      <c r="N57" s="14">
        <f t="shared" si="17"/>
        <v>1.088288591816426</v>
      </c>
      <c r="O57" s="14">
        <f t="shared" si="20"/>
        <v>14300</v>
      </c>
    </row>
    <row r="58" spans="1:15" ht="16.5" x14ac:dyDescent="0.2">
      <c r="A58" s="13">
        <v>17</v>
      </c>
      <c r="B58" s="13">
        <v>120</v>
      </c>
      <c r="C58" s="13">
        <v>125</v>
      </c>
      <c r="D58" s="14">
        <f t="shared" si="11"/>
        <v>531.5</v>
      </c>
      <c r="E58" s="14">
        <f t="shared" si="12"/>
        <v>265.75</v>
      </c>
      <c r="F58" s="14">
        <f t="shared" si="13"/>
        <v>2391</v>
      </c>
      <c r="G58" s="14">
        <f t="shared" si="18"/>
        <v>506</v>
      </c>
      <c r="H58" s="14">
        <f t="shared" si="19"/>
        <v>253</v>
      </c>
      <c r="I58" s="14">
        <f t="shared" si="14"/>
        <v>4554</v>
      </c>
      <c r="J58" s="14">
        <f t="shared" si="15"/>
        <v>11902.55</v>
      </c>
      <c r="K58" s="14">
        <f t="shared" si="16"/>
        <v>5999.2749999999996</v>
      </c>
      <c r="L58" s="14">
        <f t="shared" si="16"/>
        <v>65201</v>
      </c>
      <c r="M58" s="17">
        <f t="shared" si="10"/>
        <v>4.4654296768339562E-2</v>
      </c>
      <c r="N58" s="14">
        <f t="shared" si="17"/>
        <v>1.0913025997565542</v>
      </c>
      <c r="O58" s="14">
        <f t="shared" si="20"/>
        <v>18100</v>
      </c>
    </row>
    <row r="59" spans="1:15" ht="16.5" x14ac:dyDescent="0.2">
      <c r="A59" s="13">
        <v>18</v>
      </c>
      <c r="B59" s="13">
        <v>125</v>
      </c>
      <c r="C59" s="13">
        <v>130</v>
      </c>
      <c r="D59" s="14">
        <f t="shared" si="11"/>
        <v>697.6</v>
      </c>
      <c r="E59" s="14">
        <f t="shared" si="12"/>
        <v>348.8</v>
      </c>
      <c r="F59" s="14">
        <f t="shared" si="13"/>
        <v>3139</v>
      </c>
      <c r="G59" s="14">
        <f t="shared" si="18"/>
        <v>664</v>
      </c>
      <c r="H59" s="14">
        <f t="shared" si="19"/>
        <v>332</v>
      </c>
      <c r="I59" s="14">
        <f t="shared" si="14"/>
        <v>5976</v>
      </c>
      <c r="J59" s="14">
        <f t="shared" si="15"/>
        <v>15224.05</v>
      </c>
      <c r="K59" s="14">
        <f>K58+E58*($B59-$B58)+H59</f>
        <v>7660.0249999999996</v>
      </c>
      <c r="L59" s="14">
        <f>L58+F58*($B59-$B58)+I59</f>
        <v>83132</v>
      </c>
      <c r="M59" s="17">
        <f t="shared" si="10"/>
        <v>4.5822235213363073E-2</v>
      </c>
      <c r="N59" s="14">
        <f t="shared" si="17"/>
        <v>1.0937441476666749</v>
      </c>
      <c r="O59" s="14">
        <f t="shared" si="20"/>
        <v>23100</v>
      </c>
    </row>
    <row r="60" spans="1:15" ht="16.5" x14ac:dyDescent="0.2">
      <c r="A60" s="13">
        <v>19</v>
      </c>
      <c r="B60" s="13">
        <v>130</v>
      </c>
      <c r="C60" s="13">
        <v>135</v>
      </c>
      <c r="D60" s="14">
        <f t="shared" si="11"/>
        <v>915.6</v>
      </c>
      <c r="E60" s="14">
        <f t="shared" si="12"/>
        <v>457.8</v>
      </c>
      <c r="F60" s="14">
        <f t="shared" si="13"/>
        <v>4120</v>
      </c>
      <c r="G60" s="14">
        <f t="shared" si="18"/>
        <v>872</v>
      </c>
      <c r="H60" s="14">
        <f t="shared" si="19"/>
        <v>436</v>
      </c>
      <c r="I60" s="14">
        <f t="shared" si="14"/>
        <v>7848</v>
      </c>
      <c r="J60" s="14">
        <f t="shared" ref="J60:L63" si="21">J59+D59*($B60-$B59)+G60</f>
        <v>19584.05</v>
      </c>
      <c r="K60" s="14">
        <f t="shared" si="21"/>
        <v>9840.0249999999996</v>
      </c>
      <c r="L60" s="14">
        <f t="shared" si="21"/>
        <v>106675</v>
      </c>
      <c r="M60" s="17">
        <f t="shared" si="10"/>
        <v>4.675233161680041E-2</v>
      </c>
      <c r="N60" s="14">
        <f t="shared" si="17"/>
        <v>1.095690443745208</v>
      </c>
      <c r="O60" s="14">
        <f t="shared" si="20"/>
        <v>29600</v>
      </c>
    </row>
    <row r="61" spans="1:15" ht="16.5" x14ac:dyDescent="0.2">
      <c r="A61" s="13">
        <v>20</v>
      </c>
      <c r="B61" s="13">
        <v>135</v>
      </c>
      <c r="C61" s="13">
        <v>140</v>
      </c>
      <c r="D61" s="14">
        <f t="shared" si="11"/>
        <v>1201.73</v>
      </c>
      <c r="E61" s="14">
        <f t="shared" si="12"/>
        <v>600.86500000000001</v>
      </c>
      <c r="F61" s="14">
        <f t="shared" si="13"/>
        <v>5407</v>
      </c>
      <c r="G61" s="14">
        <f t="shared" si="18"/>
        <v>1145</v>
      </c>
      <c r="H61" s="14">
        <f t="shared" si="19"/>
        <v>572</v>
      </c>
      <c r="I61" s="14">
        <f t="shared" si="14"/>
        <v>10305</v>
      </c>
      <c r="J61" s="14">
        <f t="shared" si="21"/>
        <v>25307.05</v>
      </c>
      <c r="K61" s="14">
        <f t="shared" si="21"/>
        <v>12701.025</v>
      </c>
      <c r="L61" s="14">
        <f t="shared" si="21"/>
        <v>137580</v>
      </c>
      <c r="M61" s="17">
        <f t="shared" si="10"/>
        <v>4.7485977227689519E-2</v>
      </c>
      <c r="N61" s="14">
        <f t="shared" si="17"/>
        <v>1.0972268724886476</v>
      </c>
      <c r="O61" s="14">
        <f t="shared" si="20"/>
        <v>38200</v>
      </c>
    </row>
    <row r="62" spans="1:15" ht="16.5" x14ac:dyDescent="0.2">
      <c r="A62" s="13">
        <v>21</v>
      </c>
      <c r="B62" s="13">
        <v>140</v>
      </c>
      <c r="C62" s="13">
        <v>150</v>
      </c>
      <c r="D62" s="14">
        <f t="shared" si="11"/>
        <v>1577.26</v>
      </c>
      <c r="E62" s="14">
        <f t="shared" si="12"/>
        <v>788.63</v>
      </c>
      <c r="F62" s="14">
        <f t="shared" si="13"/>
        <v>7097</v>
      </c>
      <c r="G62" s="14">
        <f t="shared" si="18"/>
        <v>1502</v>
      </c>
      <c r="H62" s="14">
        <f t="shared" si="19"/>
        <v>751</v>
      </c>
      <c r="I62" s="14">
        <f t="shared" si="14"/>
        <v>13518</v>
      </c>
      <c r="J62" s="14">
        <f t="shared" si="21"/>
        <v>32817.699999999997</v>
      </c>
      <c r="K62" s="14">
        <f t="shared" si="21"/>
        <v>16456.349999999999</v>
      </c>
      <c r="L62" s="14">
        <f t="shared" si="21"/>
        <v>178133</v>
      </c>
      <c r="M62" s="17">
        <f t="shared" si="10"/>
        <v>4.8061259625141316E-2</v>
      </c>
      <c r="N62" s="14">
        <f t="shared" si="17"/>
        <v>1.0984324039270379</v>
      </c>
      <c r="O62" s="14">
        <f t="shared" si="20"/>
        <v>49450</v>
      </c>
    </row>
    <row r="63" spans="1:15" ht="16.5" x14ac:dyDescent="0.2">
      <c r="A63" s="13"/>
      <c r="B63" s="13">
        <v>150</v>
      </c>
      <c r="C63" s="13"/>
      <c r="D63" s="13"/>
      <c r="E63" s="13"/>
      <c r="F63" s="13"/>
      <c r="G63" s="13"/>
      <c r="H63" s="13"/>
      <c r="I63" s="13"/>
      <c r="J63" s="14">
        <f t="shared" si="21"/>
        <v>48590.299999999996</v>
      </c>
      <c r="K63" s="14">
        <f t="shared" si="21"/>
        <v>24342.649999999998</v>
      </c>
      <c r="L63" s="14">
        <f t="shared" si="21"/>
        <v>249103</v>
      </c>
      <c r="M63" s="13"/>
      <c r="N63" s="13"/>
      <c r="O63" s="14">
        <f t="shared" si="20"/>
        <v>73150</v>
      </c>
    </row>
    <row r="64" spans="1:15" ht="17.25" customHeight="1" x14ac:dyDescent="0.2"/>
    <row r="65" spans="1:22" ht="17.25" customHeight="1" x14ac:dyDescent="0.2"/>
    <row r="66" spans="1:22" ht="20.25" x14ac:dyDescent="0.2">
      <c r="A66" s="65" t="s">
        <v>117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21" customHeight="1" x14ac:dyDescent="0.2">
      <c r="A67" s="41"/>
      <c r="B67" s="65" t="s">
        <v>95</v>
      </c>
      <c r="C67" s="65"/>
      <c r="D67" s="65"/>
      <c r="E67" s="65"/>
      <c r="F67" s="65"/>
      <c r="G67" s="65"/>
      <c r="H67" s="65"/>
      <c r="I67" s="65"/>
      <c r="J67" s="65"/>
      <c r="L67" s="16"/>
      <c r="M67" s="16"/>
      <c r="N67" s="65" t="s">
        <v>120</v>
      </c>
      <c r="O67" s="65"/>
      <c r="P67" s="65"/>
      <c r="Q67" s="65"/>
      <c r="R67" s="65"/>
      <c r="S67" s="65"/>
      <c r="T67" s="65"/>
      <c r="U67" s="65"/>
      <c r="V67" s="65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177441</v>
      </c>
      <c r="C69" s="14">
        <f>INT(K35*$Q$10*$L$9)</f>
        <v>88679</v>
      </c>
      <c r="D69" s="14">
        <f>INT(L35*$Q$10*$L$9)</f>
        <v>532437</v>
      </c>
      <c r="E69" s="26">
        <v>1</v>
      </c>
      <c r="F69" s="26">
        <v>1</v>
      </c>
      <c r="G69" s="26">
        <v>1</v>
      </c>
      <c r="H69" s="14">
        <f>INT(B69/$Q$10)</f>
        <v>118294</v>
      </c>
      <c r="I69" s="14">
        <f>INT(C69/$Q$10)</f>
        <v>59119</v>
      </c>
      <c r="J69" s="14">
        <f>INT(D69/$Q$10)</f>
        <v>354958</v>
      </c>
      <c r="M69" s="15" t="s">
        <v>121</v>
      </c>
      <c r="N69" s="14">
        <f>INT(J63*$Q$10*$L$10)</f>
        <v>145770</v>
      </c>
      <c r="O69" s="14">
        <f>INT(K63*$Q$10*$L$10)</f>
        <v>73027</v>
      </c>
      <c r="P69" s="14">
        <f>INT(L63*$Q$10*$L$10)</f>
        <v>747309</v>
      </c>
      <c r="Q69" s="14"/>
      <c r="R69" s="14"/>
      <c r="S69" s="14"/>
      <c r="T69" s="14">
        <f>(N69)</f>
        <v>145770</v>
      </c>
      <c r="U69" s="14">
        <f>(O69)</f>
        <v>73027</v>
      </c>
      <c r="V69" s="14">
        <f>(P69)</f>
        <v>747309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1</v>
      </c>
      <c r="U73" s="26">
        <v>1</v>
      </c>
      <c r="V73" s="26">
        <v>1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5" t="s">
        <v>129</v>
      </c>
      <c r="B77" s="65"/>
      <c r="C77" s="65"/>
      <c r="D77" s="65"/>
      <c r="E77" s="65"/>
      <c r="F77" s="65"/>
      <c r="G77" s="65"/>
      <c r="H77" s="65"/>
      <c r="I77" s="65"/>
      <c r="J77" s="65"/>
      <c r="M77" s="65" t="s">
        <v>129</v>
      </c>
      <c r="N77" s="65"/>
      <c r="O77" s="65"/>
      <c r="P77" s="65"/>
      <c r="Q77" s="65"/>
      <c r="R77" s="65"/>
      <c r="S77" s="65"/>
      <c r="T77" s="65"/>
      <c r="U77" s="65"/>
      <c r="V77" s="65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62104</v>
      </c>
      <c r="C79" s="14">
        <f>INT(C69*C72)</f>
        <v>31037</v>
      </c>
      <c r="D79" s="14">
        <f>INT(D69*D72)</f>
        <v>186352</v>
      </c>
      <c r="E79" s="17">
        <f t="shared" ref="E79:G81" si="22">E$69*E72</f>
        <v>0</v>
      </c>
      <c r="F79" s="17">
        <f t="shared" si="22"/>
        <v>0</v>
      </c>
      <c r="G79" s="17">
        <f t="shared" si="22"/>
        <v>0</v>
      </c>
      <c r="H79" s="13"/>
      <c r="I79" s="13"/>
      <c r="J79" s="13"/>
      <c r="M79" s="15" t="s">
        <v>122</v>
      </c>
      <c r="N79" s="14">
        <f>INT(N69*N72)</f>
        <v>51019</v>
      </c>
      <c r="O79" s="14">
        <f>INT(O69*O72)</f>
        <v>25559</v>
      </c>
      <c r="P79" s="14">
        <f>INT(P69*P72)</f>
        <v>261558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 t="shared" ref="E80:J81" si="23">INT(E$69*E73)</f>
        <v>0</v>
      </c>
      <c r="F80" s="27">
        <f t="shared" si="23"/>
        <v>0</v>
      </c>
      <c r="G80" s="27">
        <f t="shared" si="23"/>
        <v>0</v>
      </c>
      <c r="H80" s="27">
        <f t="shared" si="23"/>
        <v>0</v>
      </c>
      <c r="I80" s="27">
        <f t="shared" si="23"/>
        <v>0</v>
      </c>
      <c r="J80" s="27">
        <f t="shared" si="23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72885</v>
      </c>
      <c r="U80" s="14">
        <f>U69*U73/$L$10</f>
        <v>36513.5</v>
      </c>
      <c r="V80" s="14">
        <f>V69*V73/$L$10</f>
        <v>373654.5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22"/>
        <v>0.5</v>
      </c>
      <c r="F81" s="17">
        <f t="shared" si="22"/>
        <v>0.5</v>
      </c>
      <c r="G81" s="17">
        <f t="shared" si="22"/>
        <v>0.5</v>
      </c>
      <c r="H81" s="27">
        <f t="shared" si="23"/>
        <v>118294</v>
      </c>
      <c r="I81" s="27">
        <f t="shared" si="23"/>
        <v>59119</v>
      </c>
      <c r="J81" s="27">
        <f t="shared" si="23"/>
        <v>354958</v>
      </c>
      <c r="M81" s="15" t="s">
        <v>130</v>
      </c>
      <c r="N81" s="14">
        <f>INT(B69*T10)</f>
        <v>70976</v>
      </c>
      <c r="O81" s="14">
        <f>INT(C69*U10)</f>
        <v>35471</v>
      </c>
      <c r="P81" s="14">
        <f>INT(D69*V10)</f>
        <v>212974</v>
      </c>
      <c r="Q81" s="14"/>
      <c r="R81" s="14"/>
      <c r="S81" s="14"/>
      <c r="T81" s="14"/>
      <c r="U81" s="14"/>
      <c r="V81" s="14"/>
    </row>
  </sheetData>
  <mergeCells count="9">
    <mergeCell ref="A77:J77"/>
    <mergeCell ref="M77:V77"/>
    <mergeCell ref="K4:L4"/>
    <mergeCell ref="P4:V4"/>
    <mergeCell ref="A12:O12"/>
    <mergeCell ref="A40:N40"/>
    <mergeCell ref="A66:V66"/>
    <mergeCell ref="B67:J67"/>
    <mergeCell ref="N67:V6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0" customWidth="1"/>
    <col min="7" max="7" width="25.375" style="20" customWidth="1"/>
    <col min="8" max="8" width="9.125" style="20" customWidth="1"/>
    <col min="9" max="10" width="9" style="20" customWidth="1"/>
    <col min="11" max="11" width="55.875" customWidth="1"/>
    <col min="12" max="12" width="64.75" customWidth="1"/>
  </cols>
  <sheetData>
    <row r="3" spans="1:12" ht="17.25" x14ac:dyDescent="0.2">
      <c r="A3" s="12" t="s">
        <v>13</v>
      </c>
      <c r="B3" s="12" t="s">
        <v>171</v>
      </c>
      <c r="C3" s="12" t="s">
        <v>172</v>
      </c>
      <c r="D3" s="12" t="s">
        <v>173</v>
      </c>
      <c r="E3" s="12" t="s">
        <v>174</v>
      </c>
      <c r="F3" s="12" t="s">
        <v>268</v>
      </c>
      <c r="G3" s="12" t="s">
        <v>261</v>
      </c>
      <c r="H3" s="12" t="s">
        <v>69</v>
      </c>
      <c r="I3" s="12" t="s">
        <v>119</v>
      </c>
      <c r="J3" s="12" t="s">
        <v>75</v>
      </c>
      <c r="K3" s="12" t="s">
        <v>208</v>
      </c>
      <c r="L3" s="12" t="s">
        <v>209</v>
      </c>
    </row>
    <row r="4" spans="1:12" ht="82.5" x14ac:dyDescent="0.2">
      <c r="A4" s="13">
        <v>1101001</v>
      </c>
      <c r="B4" s="13" t="s">
        <v>135</v>
      </c>
      <c r="C4" s="13">
        <v>1</v>
      </c>
      <c r="D4" s="13">
        <v>3</v>
      </c>
      <c r="E4" s="13">
        <f>INDEX(新属性投放!$L$6:$L$10,卡牌属性!D5)</f>
        <v>1.1499999999999999</v>
      </c>
      <c r="F4" s="13"/>
      <c r="G4" s="13"/>
      <c r="H4" s="13"/>
      <c r="I4" s="13"/>
      <c r="J4" s="13"/>
      <c r="K4" s="13" t="s">
        <v>212</v>
      </c>
      <c r="L4" s="13"/>
    </row>
    <row r="5" spans="1:12" ht="66.75" customHeight="1" x14ac:dyDescent="0.2">
      <c r="A5" s="13">
        <v>1101002</v>
      </c>
      <c r="B5" s="13" t="s">
        <v>136</v>
      </c>
      <c r="C5" s="13">
        <v>1</v>
      </c>
      <c r="D5" s="13">
        <v>2</v>
      </c>
      <c r="E5" s="13">
        <f>INDEX(新属性投放!$L$6:$L$10,卡牌属性!D6)</f>
        <v>1</v>
      </c>
      <c r="F5" s="13"/>
      <c r="G5" s="13"/>
      <c r="H5" s="13"/>
      <c r="I5" s="13"/>
      <c r="J5" s="13"/>
      <c r="K5" s="13" t="s">
        <v>213</v>
      </c>
      <c r="L5" s="13"/>
    </row>
    <row r="6" spans="1:12" ht="50.25" customHeight="1" x14ac:dyDescent="0.2">
      <c r="A6" s="13">
        <v>1101003</v>
      </c>
      <c r="B6" s="13" t="s">
        <v>137</v>
      </c>
      <c r="C6" s="13">
        <v>1</v>
      </c>
      <c r="D6" s="13">
        <v>3</v>
      </c>
      <c r="E6" s="13">
        <f>INDEX(新属性投放!$L$6:$L$10,卡牌属性!D7)</f>
        <v>1.1499999999999999</v>
      </c>
      <c r="F6" s="13"/>
      <c r="G6" s="13"/>
      <c r="H6" s="13"/>
      <c r="I6" s="13"/>
      <c r="J6" s="13"/>
      <c r="K6" s="13" t="s">
        <v>216</v>
      </c>
      <c r="L6" s="13"/>
    </row>
    <row r="7" spans="1:12" ht="56.25" customHeight="1" x14ac:dyDescent="0.2">
      <c r="A7" s="13">
        <v>1101004</v>
      </c>
      <c r="B7" s="13" t="s">
        <v>138</v>
      </c>
      <c r="C7" s="13">
        <v>1</v>
      </c>
      <c r="D7" s="13">
        <v>4</v>
      </c>
      <c r="E7" s="13">
        <f>INDEX(新属性投放!$L$6:$L$10,卡牌属性!D8)</f>
        <v>1.3</v>
      </c>
      <c r="F7" s="13"/>
      <c r="G7" s="13"/>
      <c r="H7" s="13"/>
      <c r="I7" s="13"/>
      <c r="J7" s="13"/>
      <c r="K7" s="13" t="s">
        <v>225</v>
      </c>
      <c r="L7" s="13"/>
    </row>
    <row r="8" spans="1:12" ht="54" customHeight="1" x14ac:dyDescent="0.2">
      <c r="A8" s="13">
        <v>1101005</v>
      </c>
      <c r="B8" s="13" t="s">
        <v>139</v>
      </c>
      <c r="C8" s="13">
        <v>1</v>
      </c>
      <c r="D8" s="13">
        <v>4</v>
      </c>
      <c r="E8" s="13">
        <f>INDEX(新属性投放!$L$6:$L$10,卡牌属性!D9)</f>
        <v>1.3</v>
      </c>
      <c r="F8" s="13"/>
      <c r="G8" s="13"/>
      <c r="H8" s="13"/>
      <c r="I8" s="13"/>
      <c r="J8" s="13"/>
      <c r="K8" s="13" t="s">
        <v>233</v>
      </c>
      <c r="L8" s="13"/>
    </row>
    <row r="9" spans="1:12" ht="54.75" customHeight="1" x14ac:dyDescent="0.2">
      <c r="A9" s="13">
        <v>1101006</v>
      </c>
      <c r="B9" s="13" t="s">
        <v>140</v>
      </c>
      <c r="C9" s="13">
        <v>1</v>
      </c>
      <c r="D9" s="13">
        <v>3</v>
      </c>
      <c r="E9" s="13">
        <f>INDEX(新属性投放!$L$6:$L$10,卡牌属性!D10)</f>
        <v>1.3</v>
      </c>
      <c r="F9" s="13"/>
      <c r="G9" s="13"/>
      <c r="H9" s="13"/>
      <c r="I9" s="13"/>
      <c r="J9" s="13"/>
      <c r="K9" s="13" t="s">
        <v>228</v>
      </c>
      <c r="L9" s="13"/>
    </row>
    <row r="10" spans="1:12" ht="69" customHeight="1" x14ac:dyDescent="0.2">
      <c r="A10" s="13">
        <v>1101007</v>
      </c>
      <c r="B10" s="13" t="s">
        <v>141</v>
      </c>
      <c r="C10" s="13">
        <v>1</v>
      </c>
      <c r="D10" s="13">
        <v>4</v>
      </c>
      <c r="E10" s="13">
        <f>INDEX(新属性投放!$L$6:$L$10,卡牌属性!D11)</f>
        <v>1.3</v>
      </c>
      <c r="F10" s="13"/>
      <c r="G10" s="13"/>
      <c r="H10" s="13"/>
      <c r="I10" s="13"/>
      <c r="J10" s="13"/>
      <c r="K10" s="13" t="s">
        <v>222</v>
      </c>
      <c r="L10" s="13"/>
    </row>
    <row r="11" spans="1:12" ht="69.75" customHeight="1" x14ac:dyDescent="0.2">
      <c r="A11" s="13">
        <v>1101008</v>
      </c>
      <c r="B11" s="13" t="s">
        <v>142</v>
      </c>
      <c r="C11" s="13">
        <v>1</v>
      </c>
      <c r="D11" s="13">
        <v>2</v>
      </c>
      <c r="E11" s="13">
        <f>INDEX(新属性投放!$L$6:$L$10,卡牌属性!D12)</f>
        <v>1</v>
      </c>
      <c r="F11" s="13"/>
      <c r="G11" s="13"/>
      <c r="H11" s="13"/>
      <c r="I11" s="13"/>
      <c r="J11" s="13"/>
      <c r="K11" s="13" t="s">
        <v>258</v>
      </c>
      <c r="L11" s="13"/>
    </row>
    <row r="12" spans="1:12" ht="52.5" customHeight="1" x14ac:dyDescent="0.2">
      <c r="A12" s="13">
        <v>1101009</v>
      </c>
      <c r="B12" s="13" t="s">
        <v>143</v>
      </c>
      <c r="C12" s="13">
        <v>1</v>
      </c>
      <c r="D12" s="13">
        <v>3</v>
      </c>
      <c r="E12" s="13">
        <f>INDEX(新属性投放!$L$6:$L$10,卡牌属性!D13)</f>
        <v>1.1499999999999999</v>
      </c>
      <c r="F12" s="13"/>
      <c r="G12" s="13"/>
      <c r="H12" s="13"/>
      <c r="I12" s="13"/>
      <c r="J12" s="13"/>
      <c r="K12" s="13" t="s">
        <v>240</v>
      </c>
      <c r="L12" s="13"/>
    </row>
    <row r="13" spans="1:12" ht="74.25" customHeight="1" x14ac:dyDescent="0.2">
      <c r="A13" s="13">
        <v>1101010</v>
      </c>
      <c r="B13" s="13" t="s">
        <v>144</v>
      </c>
      <c r="C13" s="13">
        <v>1</v>
      </c>
      <c r="D13" s="13">
        <v>4</v>
      </c>
      <c r="E13" s="13">
        <f>INDEX(新属性投放!$L$6:$L$10,卡牌属性!D14)</f>
        <v>1.3</v>
      </c>
      <c r="F13" s="13"/>
      <c r="G13" s="13"/>
      <c r="H13" s="13"/>
      <c r="I13" s="13"/>
      <c r="J13" s="13"/>
      <c r="K13" s="13" t="s">
        <v>241</v>
      </c>
      <c r="L13" s="13"/>
    </row>
    <row r="14" spans="1:12" ht="38.25" customHeight="1" x14ac:dyDescent="0.2">
      <c r="A14" s="13">
        <v>1101011</v>
      </c>
      <c r="B14" s="13" t="s">
        <v>145</v>
      </c>
      <c r="C14" s="13">
        <v>1</v>
      </c>
      <c r="D14" s="13">
        <v>3</v>
      </c>
      <c r="E14" s="13">
        <f>INDEX(新属性投放!$L$6:$L$10,卡牌属性!D15)</f>
        <v>1.1499999999999999</v>
      </c>
      <c r="F14" s="13"/>
      <c r="G14" s="13"/>
      <c r="H14" s="13"/>
      <c r="I14" s="13"/>
      <c r="J14" s="13"/>
      <c r="K14" s="13" t="s">
        <v>220</v>
      </c>
      <c r="L14" s="13"/>
    </row>
    <row r="15" spans="1:12" ht="51" customHeight="1" x14ac:dyDescent="0.2">
      <c r="A15" s="13">
        <v>1101012</v>
      </c>
      <c r="B15" s="13" t="s">
        <v>146</v>
      </c>
      <c r="C15" s="13">
        <v>1</v>
      </c>
      <c r="D15" s="13">
        <v>2</v>
      </c>
      <c r="E15" s="13">
        <f>INDEX(新属性投放!$L$6:$L$10,卡牌属性!D16)</f>
        <v>1</v>
      </c>
      <c r="F15" s="13"/>
      <c r="G15" s="13"/>
      <c r="H15" s="13"/>
      <c r="I15" s="13"/>
      <c r="J15" s="13"/>
      <c r="K15" s="13" t="s">
        <v>255</v>
      </c>
      <c r="L15" s="13"/>
    </row>
    <row r="16" spans="1:12" ht="56.25" customHeight="1" x14ac:dyDescent="0.2">
      <c r="A16" s="13">
        <v>1101013</v>
      </c>
      <c r="B16" s="13" t="s">
        <v>147</v>
      </c>
      <c r="C16" s="13">
        <v>1</v>
      </c>
      <c r="D16" s="13">
        <v>2</v>
      </c>
      <c r="E16" s="13">
        <f>INDEX(新属性投放!$L$6:$L$10,卡牌属性!D17)</f>
        <v>1</v>
      </c>
      <c r="F16" s="13"/>
      <c r="G16" s="13"/>
      <c r="H16" s="13"/>
      <c r="I16" s="13"/>
      <c r="J16" s="13"/>
      <c r="K16" s="13" t="s">
        <v>256</v>
      </c>
      <c r="L16" s="13"/>
    </row>
    <row r="17" spans="1:12" ht="52.5" customHeight="1" x14ac:dyDescent="0.2">
      <c r="A17" s="13">
        <v>1101014</v>
      </c>
      <c r="B17" s="13" t="s">
        <v>148</v>
      </c>
      <c r="C17" s="13">
        <v>1</v>
      </c>
      <c r="D17" s="13">
        <v>3</v>
      </c>
      <c r="E17" s="13">
        <f>INDEX(新属性投放!$L$6:$L$10,卡牌属性!D18)</f>
        <v>1.1499999999999999</v>
      </c>
      <c r="F17" s="13"/>
      <c r="G17" s="13"/>
      <c r="H17" s="13"/>
      <c r="I17" s="13"/>
      <c r="J17" s="13"/>
      <c r="K17" s="13" t="s">
        <v>257</v>
      </c>
      <c r="L17" s="13"/>
    </row>
    <row r="18" spans="1:12" ht="62.25" customHeight="1" x14ac:dyDescent="0.2">
      <c r="A18" s="13">
        <v>1101015</v>
      </c>
      <c r="B18" s="13" t="s">
        <v>149</v>
      </c>
      <c r="C18" s="13">
        <v>1</v>
      </c>
      <c r="D18" s="13">
        <v>2</v>
      </c>
      <c r="E18" s="13">
        <f>INDEX(新属性投放!$L$6:$L$10,卡牌属性!D19)</f>
        <v>1.1499999999999999</v>
      </c>
      <c r="F18" s="13"/>
      <c r="G18" s="13"/>
      <c r="H18" s="13"/>
      <c r="I18" s="13"/>
      <c r="J18" s="13"/>
      <c r="K18" s="13" t="s">
        <v>251</v>
      </c>
      <c r="L18" s="13"/>
    </row>
    <row r="19" spans="1:12" ht="43.5" customHeight="1" x14ac:dyDescent="0.2">
      <c r="A19" s="13">
        <v>1102001</v>
      </c>
      <c r="B19" s="13" t="s">
        <v>150</v>
      </c>
      <c r="C19" s="13">
        <v>2</v>
      </c>
      <c r="D19" s="13">
        <v>5</v>
      </c>
      <c r="E19" s="13">
        <f>INDEX(新属性投放!$L$6:$L$10,卡牌属性!D20)</f>
        <v>1</v>
      </c>
      <c r="F19" s="13" t="s">
        <v>275</v>
      </c>
      <c r="G19" s="13" t="s">
        <v>322</v>
      </c>
      <c r="H19" s="13">
        <v>1.5</v>
      </c>
      <c r="I19" s="13">
        <v>0.75</v>
      </c>
      <c r="J19" s="13">
        <v>0.75</v>
      </c>
      <c r="K19" s="13" t="s">
        <v>234</v>
      </c>
      <c r="L19" s="13" t="s">
        <v>235</v>
      </c>
    </row>
    <row r="20" spans="1:12" ht="35.25" customHeight="1" x14ac:dyDescent="0.2">
      <c r="A20" s="13">
        <v>1102002</v>
      </c>
      <c r="B20" s="13" t="s">
        <v>151</v>
      </c>
      <c r="C20" s="13">
        <v>2</v>
      </c>
      <c r="D20" s="13">
        <v>3</v>
      </c>
      <c r="E20" s="13">
        <f>INDEX(新属性投放!$L$6:$L$10,卡牌属性!D21)</f>
        <v>1.5</v>
      </c>
      <c r="F20" s="13" t="s">
        <v>280</v>
      </c>
      <c r="G20" s="13" t="s">
        <v>284</v>
      </c>
      <c r="H20" s="13">
        <v>0.5</v>
      </c>
      <c r="I20" s="13">
        <v>1.25</v>
      </c>
      <c r="J20" s="13">
        <v>1.25</v>
      </c>
      <c r="K20" s="13" t="s">
        <v>214</v>
      </c>
      <c r="L20" s="13" t="s">
        <v>252</v>
      </c>
    </row>
    <row r="21" spans="1:12" ht="37.5" customHeight="1" x14ac:dyDescent="0.2">
      <c r="A21" s="13">
        <v>1102003</v>
      </c>
      <c r="B21" s="13" t="s">
        <v>152</v>
      </c>
      <c r="C21" s="13">
        <v>2</v>
      </c>
      <c r="D21" s="13">
        <v>4</v>
      </c>
      <c r="E21" s="13">
        <f>INDEX(新属性投放!$L$6:$L$10,卡牌属性!D22)</f>
        <v>1.1499999999999999</v>
      </c>
      <c r="F21" s="13" t="s">
        <v>272</v>
      </c>
      <c r="G21" s="13" t="s">
        <v>285</v>
      </c>
      <c r="H21" s="13">
        <v>1.8</v>
      </c>
      <c r="I21" s="13">
        <v>0.7</v>
      </c>
      <c r="J21" s="13">
        <v>0.5</v>
      </c>
      <c r="K21" s="13" t="s">
        <v>253</v>
      </c>
      <c r="L21" s="13" t="s">
        <v>254</v>
      </c>
    </row>
    <row r="22" spans="1:12" ht="33" x14ac:dyDescent="0.2">
      <c r="A22" s="13">
        <v>1102004</v>
      </c>
      <c r="B22" s="13" t="s">
        <v>153</v>
      </c>
      <c r="C22" s="13">
        <v>2</v>
      </c>
      <c r="D22" s="13">
        <v>2</v>
      </c>
      <c r="E22" s="13">
        <f>INDEX(新属性投放!$L$6:$L$10,卡牌属性!D23)</f>
        <v>1.1499999999999999</v>
      </c>
      <c r="F22" s="13" t="s">
        <v>270</v>
      </c>
      <c r="G22" s="13" t="s">
        <v>286</v>
      </c>
      <c r="H22" s="13">
        <v>2.2000000000000002</v>
      </c>
      <c r="I22" s="13">
        <v>0.3</v>
      </c>
      <c r="J22" s="13">
        <v>0.5</v>
      </c>
      <c r="K22" s="13" t="s">
        <v>214</v>
      </c>
      <c r="L22" s="13" t="s">
        <v>215</v>
      </c>
    </row>
    <row r="23" spans="1:12" ht="33" x14ac:dyDescent="0.2">
      <c r="A23" s="13">
        <v>1102005</v>
      </c>
      <c r="B23" s="13" t="s">
        <v>154</v>
      </c>
      <c r="C23" s="13">
        <v>2</v>
      </c>
      <c r="D23" s="13">
        <v>3</v>
      </c>
      <c r="E23" s="13">
        <f>INDEX(新属性投放!$L$6:$L$10,卡牌属性!D24)</f>
        <v>1</v>
      </c>
      <c r="F23" s="13" t="s">
        <v>271</v>
      </c>
      <c r="G23" s="13" t="s">
        <v>287</v>
      </c>
      <c r="H23" s="13">
        <v>0.5</v>
      </c>
      <c r="I23" s="13">
        <v>1</v>
      </c>
      <c r="J23" s="13">
        <v>1.5</v>
      </c>
      <c r="K23" s="13" t="s">
        <v>218</v>
      </c>
      <c r="L23" s="13" t="s">
        <v>217</v>
      </c>
    </row>
    <row r="24" spans="1:12" ht="33" x14ac:dyDescent="0.2">
      <c r="A24" s="13">
        <v>1102006</v>
      </c>
      <c r="B24" s="13" t="s">
        <v>155</v>
      </c>
      <c r="C24" s="13">
        <v>2</v>
      </c>
      <c r="D24" s="13">
        <v>5</v>
      </c>
      <c r="E24" s="13">
        <f>INDEX(新属性投放!$L$6:$L$10,卡牌属性!D25)</f>
        <v>1.1499999999999999</v>
      </c>
      <c r="F24" s="13" t="s">
        <v>274</v>
      </c>
      <c r="G24" s="13" t="s">
        <v>303</v>
      </c>
      <c r="H24" s="13">
        <v>1.5</v>
      </c>
      <c r="I24" s="13">
        <v>1</v>
      </c>
      <c r="J24" s="13">
        <v>0.5</v>
      </c>
      <c r="K24" s="13" t="s">
        <v>226</v>
      </c>
      <c r="L24" s="13" t="s">
        <v>227</v>
      </c>
    </row>
    <row r="25" spans="1:12" ht="70.5" customHeight="1" x14ac:dyDescent="0.2">
      <c r="A25" s="13">
        <v>1102007</v>
      </c>
      <c r="B25" s="13" t="s">
        <v>156</v>
      </c>
      <c r="C25" s="13">
        <v>2</v>
      </c>
      <c r="D25" s="13">
        <v>4</v>
      </c>
      <c r="E25" s="13">
        <f>INDEX(新属性投放!$L$6:$L$10,卡牌属性!D26)</f>
        <v>1.5</v>
      </c>
      <c r="F25" s="13" t="s">
        <v>276</v>
      </c>
      <c r="G25" s="13" t="s">
        <v>288</v>
      </c>
      <c r="H25" s="13">
        <v>1.4</v>
      </c>
      <c r="I25" s="13">
        <v>0.8</v>
      </c>
      <c r="J25" s="13">
        <v>0.8</v>
      </c>
      <c r="K25" s="13" t="s">
        <v>289</v>
      </c>
      <c r="L25" s="13" t="s">
        <v>290</v>
      </c>
    </row>
    <row r="26" spans="1:12" ht="49.5" x14ac:dyDescent="0.2">
      <c r="A26" s="13">
        <v>1102008</v>
      </c>
      <c r="B26" s="13" t="s">
        <v>157</v>
      </c>
      <c r="C26" s="13">
        <v>2</v>
      </c>
      <c r="D26" s="13">
        <v>4</v>
      </c>
      <c r="E26" s="13">
        <f>INDEX(新属性投放!$L$6:$L$10,卡牌属性!D27)</f>
        <v>1.3</v>
      </c>
      <c r="F26" s="13" t="s">
        <v>276</v>
      </c>
      <c r="G26" s="13" t="s">
        <v>291</v>
      </c>
      <c r="H26" s="13">
        <v>2</v>
      </c>
      <c r="I26" s="13">
        <v>0.5</v>
      </c>
      <c r="J26" s="13">
        <v>0.5</v>
      </c>
      <c r="K26" s="13" t="s">
        <v>229</v>
      </c>
      <c r="L26" s="13" t="s">
        <v>230</v>
      </c>
    </row>
    <row r="27" spans="1:12" ht="37.5" customHeight="1" x14ac:dyDescent="0.2">
      <c r="A27" s="13">
        <v>1102009</v>
      </c>
      <c r="B27" s="13" t="s">
        <v>158</v>
      </c>
      <c r="C27" s="13">
        <v>2</v>
      </c>
      <c r="D27" s="13">
        <v>4</v>
      </c>
      <c r="E27" s="13">
        <f>INDEX(新属性投放!$L$6:$L$10,卡牌属性!D28)</f>
        <v>1.3</v>
      </c>
      <c r="F27" s="13" t="s">
        <v>277</v>
      </c>
      <c r="G27" s="13" t="s">
        <v>292</v>
      </c>
      <c r="H27" s="13">
        <v>0.5</v>
      </c>
      <c r="I27" s="13">
        <v>1.5</v>
      </c>
      <c r="J27" s="13">
        <v>1</v>
      </c>
      <c r="K27" s="13" t="s">
        <v>231</v>
      </c>
      <c r="L27" s="13" t="s">
        <v>232</v>
      </c>
    </row>
    <row r="28" spans="1:12" ht="40.5" customHeight="1" x14ac:dyDescent="0.2">
      <c r="A28" s="13">
        <v>1102010</v>
      </c>
      <c r="B28" s="13" t="s">
        <v>159</v>
      </c>
      <c r="C28" s="13">
        <v>2</v>
      </c>
      <c r="D28" s="13">
        <v>4</v>
      </c>
      <c r="E28" s="13">
        <f>INDEX(新属性投放!$L$6:$L$10,卡牌属性!D29)</f>
        <v>1.3</v>
      </c>
      <c r="F28" s="13" t="s">
        <v>276</v>
      </c>
      <c r="G28" s="13" t="s">
        <v>295</v>
      </c>
      <c r="H28" s="13">
        <v>1.5</v>
      </c>
      <c r="I28" s="13">
        <v>0.75</v>
      </c>
      <c r="J28" s="13">
        <v>0.75</v>
      </c>
      <c r="K28" s="13" t="s">
        <v>293</v>
      </c>
      <c r="L28" s="13" t="s">
        <v>294</v>
      </c>
    </row>
    <row r="29" spans="1:12" ht="38.25" customHeight="1" x14ac:dyDescent="0.2">
      <c r="A29" s="13">
        <v>1102011</v>
      </c>
      <c r="B29" s="13" t="s">
        <v>160</v>
      </c>
      <c r="C29" s="13">
        <v>2</v>
      </c>
      <c r="D29" s="13">
        <v>4</v>
      </c>
      <c r="E29" s="13">
        <f>INDEX(新属性投放!$L$6:$L$10,卡牌属性!D30)</f>
        <v>1.5</v>
      </c>
      <c r="F29" s="13" t="s">
        <v>278</v>
      </c>
      <c r="G29" s="13" t="s">
        <v>296</v>
      </c>
      <c r="H29" s="13">
        <v>0.8</v>
      </c>
      <c r="I29" s="13">
        <v>0.5</v>
      </c>
      <c r="J29" s="13">
        <v>1.7</v>
      </c>
      <c r="K29" s="13" t="s">
        <v>236</v>
      </c>
      <c r="L29" s="13" t="s">
        <v>237</v>
      </c>
    </row>
    <row r="30" spans="1:12" ht="33" x14ac:dyDescent="0.2">
      <c r="A30" s="13">
        <v>1102012</v>
      </c>
      <c r="B30" s="13" t="s">
        <v>161</v>
      </c>
      <c r="C30" s="13">
        <v>2</v>
      </c>
      <c r="D30" s="13">
        <v>5</v>
      </c>
      <c r="E30" s="13">
        <f>INDEX(新属性投放!$L$6:$L$10,卡牌属性!D31)</f>
        <v>1.5</v>
      </c>
      <c r="F30" s="13" t="s">
        <v>273</v>
      </c>
      <c r="G30" s="13" t="s">
        <v>297</v>
      </c>
      <c r="H30" s="13">
        <v>1</v>
      </c>
      <c r="I30" s="13">
        <v>1</v>
      </c>
      <c r="J30" s="13">
        <v>1</v>
      </c>
      <c r="K30" s="13" t="s">
        <v>223</v>
      </c>
      <c r="L30" s="13" t="s">
        <v>224</v>
      </c>
    </row>
    <row r="31" spans="1:12" ht="39.950000000000003" customHeight="1" x14ac:dyDescent="0.2">
      <c r="A31" s="13">
        <v>1102013</v>
      </c>
      <c r="B31" s="13" t="s">
        <v>162</v>
      </c>
      <c r="C31" s="13">
        <v>2</v>
      </c>
      <c r="D31" s="13">
        <v>2</v>
      </c>
      <c r="E31" s="13">
        <f>INDEX(新属性投放!$L$6:$L$10,卡牌属性!D32)</f>
        <v>1.5</v>
      </c>
      <c r="F31" s="13" t="s">
        <v>281</v>
      </c>
      <c r="G31" s="13" t="s">
        <v>298</v>
      </c>
      <c r="H31" s="13">
        <v>2</v>
      </c>
      <c r="I31" s="13">
        <v>0.5</v>
      </c>
      <c r="J31" s="13">
        <v>0.5</v>
      </c>
      <c r="K31" s="13" t="s">
        <v>259</v>
      </c>
      <c r="L31" s="13" t="s">
        <v>260</v>
      </c>
    </row>
    <row r="32" spans="1:12" ht="39.950000000000003" customHeight="1" x14ac:dyDescent="0.2">
      <c r="A32" s="13">
        <v>1102014</v>
      </c>
      <c r="B32" s="13" t="s">
        <v>163</v>
      </c>
      <c r="C32" s="13">
        <v>2</v>
      </c>
      <c r="D32" s="13">
        <v>3</v>
      </c>
      <c r="E32" s="13">
        <f>INDEX(新属性投放!$L$6:$L$10,卡牌属性!D33)</f>
        <v>1</v>
      </c>
      <c r="F32" s="13" t="s">
        <v>282</v>
      </c>
      <c r="G32" s="13" t="s">
        <v>300</v>
      </c>
      <c r="H32" s="13">
        <v>1.5</v>
      </c>
      <c r="I32" s="13">
        <v>1</v>
      </c>
      <c r="J32" s="13">
        <v>0.5</v>
      </c>
      <c r="K32" s="13" t="s">
        <v>239</v>
      </c>
      <c r="L32" s="13" t="s">
        <v>299</v>
      </c>
    </row>
    <row r="33" spans="1:12" ht="39.950000000000003" customHeight="1" x14ac:dyDescent="0.2">
      <c r="A33" s="13">
        <v>1102015</v>
      </c>
      <c r="B33" s="13" t="s">
        <v>164</v>
      </c>
      <c r="C33" s="13">
        <v>2</v>
      </c>
      <c r="D33" s="13">
        <v>2</v>
      </c>
      <c r="E33" s="13">
        <f>INDEX(新属性投放!$L$6:$L$10,卡牌属性!D34)</f>
        <v>1.3</v>
      </c>
      <c r="F33" s="13" t="s">
        <v>269</v>
      </c>
      <c r="G33" s="13" t="s">
        <v>301</v>
      </c>
      <c r="H33" s="13">
        <v>1</v>
      </c>
      <c r="I33" s="13">
        <v>1</v>
      </c>
      <c r="J33" s="13">
        <v>1</v>
      </c>
      <c r="K33" s="13" t="s">
        <v>210</v>
      </c>
      <c r="L33" s="13" t="s">
        <v>211</v>
      </c>
    </row>
    <row r="34" spans="1:12" ht="39.950000000000003" customHeight="1" x14ac:dyDescent="0.2">
      <c r="A34" s="13">
        <v>1102016</v>
      </c>
      <c r="B34" s="13" t="s">
        <v>165</v>
      </c>
      <c r="C34" s="13">
        <v>2</v>
      </c>
      <c r="D34" s="13">
        <v>4</v>
      </c>
      <c r="E34" s="13">
        <f>INDEX(新属性投放!$L$6:$L$10,卡牌属性!D35)</f>
        <v>1</v>
      </c>
      <c r="F34" s="13" t="s">
        <v>320</v>
      </c>
      <c r="G34" s="13" t="s">
        <v>321</v>
      </c>
      <c r="H34" s="13">
        <v>0.5</v>
      </c>
      <c r="I34" s="13">
        <v>1.5</v>
      </c>
      <c r="J34" s="13">
        <v>1</v>
      </c>
      <c r="K34" s="13" t="s">
        <v>242</v>
      </c>
      <c r="L34" s="13" t="s">
        <v>243</v>
      </c>
    </row>
    <row r="35" spans="1:12" ht="39.950000000000003" customHeight="1" x14ac:dyDescent="0.2">
      <c r="A35" s="13">
        <v>1102017</v>
      </c>
      <c r="B35" s="13" t="s">
        <v>166</v>
      </c>
      <c r="C35" s="13">
        <v>2</v>
      </c>
      <c r="D35" s="13">
        <v>3</v>
      </c>
      <c r="E35" s="13">
        <f>INDEX(新属性投放!$L$6:$L$10,卡牌属性!D36)</f>
        <v>1.5</v>
      </c>
      <c r="F35" s="13" t="s">
        <v>272</v>
      </c>
      <c r="G35" s="13" t="s">
        <v>302</v>
      </c>
      <c r="H35" s="13">
        <v>2</v>
      </c>
      <c r="I35" s="13">
        <v>0.5</v>
      </c>
      <c r="J35" s="13">
        <v>0.5</v>
      </c>
      <c r="K35" s="13" t="s">
        <v>219</v>
      </c>
      <c r="L35" s="13" t="s">
        <v>221</v>
      </c>
    </row>
    <row r="36" spans="1:12" ht="39.950000000000003" customHeight="1" x14ac:dyDescent="0.2">
      <c r="A36" s="13">
        <v>1102018</v>
      </c>
      <c r="B36" s="13" t="s">
        <v>167</v>
      </c>
      <c r="C36" s="13">
        <v>2</v>
      </c>
      <c r="D36" s="13">
        <v>3</v>
      </c>
      <c r="E36" s="13">
        <f>INDEX(新属性投放!$L$6:$L$10,卡牌属性!D37)</f>
        <v>1.3</v>
      </c>
      <c r="F36" s="13" t="s">
        <v>283</v>
      </c>
      <c r="G36" s="13" t="s">
        <v>304</v>
      </c>
      <c r="H36" s="13">
        <v>2</v>
      </c>
      <c r="I36" s="13">
        <v>0.5</v>
      </c>
      <c r="J36" s="13">
        <v>0.5</v>
      </c>
      <c r="K36" s="13" t="s">
        <v>244</v>
      </c>
      <c r="L36" s="13" t="s">
        <v>245</v>
      </c>
    </row>
    <row r="37" spans="1:12" ht="39.950000000000003" customHeight="1" x14ac:dyDescent="0.2">
      <c r="A37" s="13">
        <v>1102019</v>
      </c>
      <c r="B37" s="13" t="s">
        <v>168</v>
      </c>
      <c r="C37" s="13">
        <v>2</v>
      </c>
      <c r="D37" s="13">
        <v>2</v>
      </c>
      <c r="E37" s="13">
        <f>INDEX(新属性投放!$L$6:$L$10,卡牌属性!D38)</f>
        <v>1</v>
      </c>
      <c r="F37" s="13" t="s">
        <v>271</v>
      </c>
      <c r="G37" s="13" t="s">
        <v>305</v>
      </c>
      <c r="H37" s="13">
        <v>0.8</v>
      </c>
      <c r="I37" s="13">
        <v>1.2</v>
      </c>
      <c r="J37" s="13">
        <v>1</v>
      </c>
      <c r="K37" s="13" t="s">
        <v>246</v>
      </c>
      <c r="L37" s="13" t="s">
        <v>247</v>
      </c>
    </row>
    <row r="38" spans="1:12" ht="54" customHeight="1" x14ac:dyDescent="0.2">
      <c r="A38" s="13">
        <v>1102020</v>
      </c>
      <c r="B38" s="13" t="s">
        <v>169</v>
      </c>
      <c r="C38" s="13">
        <v>2</v>
      </c>
      <c r="D38" s="13">
        <v>3</v>
      </c>
      <c r="E38" s="13">
        <f>INDEX(新属性投放!$L$6:$L$10,卡牌属性!D39)</f>
        <v>1</v>
      </c>
      <c r="F38" s="13" t="s">
        <v>279</v>
      </c>
      <c r="G38" s="13" t="s">
        <v>306</v>
      </c>
      <c r="H38" s="13">
        <v>2</v>
      </c>
      <c r="I38" s="13">
        <v>0.5</v>
      </c>
      <c r="J38" s="13">
        <v>0.5</v>
      </c>
      <c r="K38" s="13" t="s">
        <v>238</v>
      </c>
      <c r="L38" s="13" t="s">
        <v>248</v>
      </c>
    </row>
    <row r="39" spans="1:12" ht="54" customHeight="1" x14ac:dyDescent="0.2">
      <c r="A39" s="13">
        <v>1102021</v>
      </c>
      <c r="B39" s="13" t="s">
        <v>170</v>
      </c>
      <c r="C39" s="13">
        <v>2</v>
      </c>
      <c r="D39" s="13">
        <v>3</v>
      </c>
      <c r="E39" s="13">
        <f>INDEX(新属性投放!$L$6:$L$10,卡牌属性!D40)</f>
        <v>1.1499999999999999</v>
      </c>
      <c r="F39" s="13" t="s">
        <v>269</v>
      </c>
      <c r="G39" s="13" t="s">
        <v>307</v>
      </c>
      <c r="H39" s="13">
        <v>1.5</v>
      </c>
      <c r="I39" s="13">
        <v>0.75</v>
      </c>
      <c r="J39" s="13">
        <v>0.75</v>
      </c>
      <c r="K39" s="13" t="s">
        <v>249</v>
      </c>
      <c r="L39" s="13" t="s">
        <v>250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02"/>
  <sheetViews>
    <sheetView workbookViewId="0">
      <selection activeCell="O2" sqref="O2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0" customWidth="1"/>
    <col min="7" max="7" width="8" customWidth="1"/>
    <col min="8" max="8" width="9.75" customWidth="1"/>
    <col min="9" max="9" width="9.75" style="20" customWidth="1"/>
    <col min="10" max="10" width="11.375" customWidth="1"/>
    <col min="11" max="13" width="6.25" style="20" customWidth="1"/>
    <col min="14" max="14" width="10.625" customWidth="1"/>
    <col min="15" max="15" width="16.5" style="20" customWidth="1"/>
    <col min="16" max="17" width="10.625" style="20" customWidth="1"/>
    <col min="18" max="18" width="9.375" customWidth="1"/>
    <col min="19" max="19" width="9" style="20"/>
    <col min="20" max="20" width="10" customWidth="1"/>
    <col min="21" max="21" width="10" style="20" customWidth="1"/>
    <col min="22" max="22" width="9.75" customWidth="1"/>
    <col min="23" max="23" width="9.75" style="20" customWidth="1"/>
    <col min="24" max="24" width="10.25" customWidth="1"/>
    <col min="25" max="25" width="9.375" style="20" customWidth="1"/>
    <col min="26" max="26" width="10.125" customWidth="1"/>
    <col min="27" max="27" width="10.125" style="20" customWidth="1"/>
    <col min="29" max="29" width="9" style="20"/>
    <col min="32" max="39" width="9" style="20"/>
    <col min="40" max="40" width="12.625" customWidth="1"/>
    <col min="41" max="47" width="9" style="20"/>
    <col min="48" max="48" width="12.75" customWidth="1"/>
    <col min="49" max="49" width="12.125" customWidth="1"/>
    <col min="50" max="50" width="12.25" customWidth="1"/>
    <col min="51" max="51" width="11.375" customWidth="1"/>
    <col min="52" max="52" width="12" customWidth="1"/>
    <col min="53" max="54" width="12.125" customWidth="1"/>
  </cols>
  <sheetData>
    <row r="2" spans="1:53" ht="20.25" x14ac:dyDescent="0.2">
      <c r="T2">
        <f>IF(Q4=1,INDEX(新属性投放!R$20:R$22,卡牌属性!M4-1),INDEX(新属性投放!R$25:R$27,卡牌属性!M4-1))</f>
        <v>100</v>
      </c>
      <c r="AF2" s="20">
        <v>1</v>
      </c>
      <c r="AG2" s="20">
        <v>1</v>
      </c>
      <c r="AH2" s="20">
        <v>1</v>
      </c>
      <c r="AV2" s="65" t="s">
        <v>317</v>
      </c>
      <c r="AW2" s="65"/>
      <c r="AX2" s="65"/>
      <c r="AY2" s="65"/>
      <c r="AZ2" s="65"/>
      <c r="BA2" s="65"/>
    </row>
    <row r="3" spans="1:53" s="20" customFormat="1" ht="17.25" x14ac:dyDescent="0.2">
      <c r="A3" s="12" t="s">
        <v>134</v>
      </c>
      <c r="B3" s="12" t="s">
        <v>171</v>
      </c>
      <c r="C3" s="12" t="s">
        <v>172</v>
      </c>
      <c r="D3" s="12" t="s">
        <v>173</v>
      </c>
      <c r="E3" s="12" t="s">
        <v>417</v>
      </c>
      <c r="F3" s="12" t="s">
        <v>418</v>
      </c>
      <c r="G3" s="12" t="s">
        <v>174</v>
      </c>
      <c r="H3" s="12" t="s">
        <v>318</v>
      </c>
      <c r="I3" s="12" t="s">
        <v>319</v>
      </c>
      <c r="K3" s="12" t="s">
        <v>176</v>
      </c>
      <c r="L3" s="12" t="s">
        <v>419</v>
      </c>
      <c r="M3" s="12" t="s">
        <v>539</v>
      </c>
      <c r="N3" s="12" t="s">
        <v>134</v>
      </c>
      <c r="O3" s="12" t="s">
        <v>535</v>
      </c>
      <c r="P3" s="12" t="s">
        <v>340</v>
      </c>
      <c r="Q3" s="12" t="s">
        <v>334</v>
      </c>
      <c r="R3" s="12" t="s">
        <v>175</v>
      </c>
      <c r="S3" s="12"/>
      <c r="T3" s="12" t="s">
        <v>323</v>
      </c>
      <c r="U3" s="12"/>
      <c r="V3" s="12" t="s">
        <v>324</v>
      </c>
      <c r="W3" s="12"/>
      <c r="X3" s="12" t="s">
        <v>325</v>
      </c>
      <c r="Y3" s="12"/>
      <c r="Z3" s="12" t="s">
        <v>326</v>
      </c>
      <c r="AA3" s="12"/>
      <c r="AB3" s="12" t="s">
        <v>327</v>
      </c>
      <c r="AC3" s="12"/>
      <c r="AD3" s="12" t="s">
        <v>328</v>
      </c>
      <c r="AF3" s="12" t="s">
        <v>335</v>
      </c>
      <c r="AG3" s="30" t="s">
        <v>336</v>
      </c>
      <c r="AH3" s="30" t="s">
        <v>337</v>
      </c>
      <c r="AN3" s="12" t="s">
        <v>330</v>
      </c>
      <c r="AO3" s="30" t="s">
        <v>329</v>
      </c>
      <c r="AP3" s="30" t="s">
        <v>331</v>
      </c>
      <c r="AQ3" s="30" t="s">
        <v>332</v>
      </c>
      <c r="AR3" s="30" t="s">
        <v>333</v>
      </c>
      <c r="AV3" s="12" t="s">
        <v>311</v>
      </c>
      <c r="AW3" s="12" t="s">
        <v>312</v>
      </c>
      <c r="AX3" s="12" t="s">
        <v>313</v>
      </c>
      <c r="AY3" s="12" t="s">
        <v>314</v>
      </c>
      <c r="AZ3" s="12" t="s">
        <v>315</v>
      </c>
      <c r="BA3" s="12" t="s">
        <v>316</v>
      </c>
    </row>
    <row r="4" spans="1:53" ht="16.5" x14ac:dyDescent="0.2">
      <c r="A4" s="13">
        <v>1101000</v>
      </c>
      <c r="B4" s="13" t="s">
        <v>420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K4" s="13">
        <v>1</v>
      </c>
      <c r="L4" s="13">
        <f>MATCH(K4-1,$F$4:$F$42,1)</f>
        <v>1</v>
      </c>
      <c r="M4" s="13">
        <f>INDEX($D$5:$D$42,L4)</f>
        <v>3</v>
      </c>
      <c r="N4" s="14">
        <f>INDEX($A$4:$A$42,L4+1)</f>
        <v>1101001</v>
      </c>
      <c r="O4" s="14" t="str">
        <f>INDEX($B$4:$B$42,MATCH(N4,$A$4:$A$42,0))&amp;R4&amp;"突"</f>
        <v>常服曹焱兵1突</v>
      </c>
      <c r="P4" s="29" t="s">
        <v>341</v>
      </c>
      <c r="Q4" s="14">
        <f>INDEX($C$4:$C$42,L4+1)</f>
        <v>1</v>
      </c>
      <c r="R4" s="14">
        <f>K4-INDEX($F$4:$F$42,L4)</f>
        <v>1</v>
      </c>
      <c r="S4" s="14" t="s">
        <v>39</v>
      </c>
      <c r="T4" s="14">
        <f>ROUND(((IF(Q4=1,INDEX(新属性投放!$J$14:$J$34,卡牌属性!R4),INDEX(新属性投放!$J$42:$J$62,卡牌属性!R4)))*INDEX($G$5:$G$42,L4)+IF(Q4=1,INDEX(新属性投放!R$20:R$23,卡牌属性!M4-1),INDEX(新属性投放!R$25:R$28,卡牌属性!M4-1)))/SQRT(INDEX($I$5:$I$42,L4)),2)</f>
        <v>157.5</v>
      </c>
      <c r="U4" s="29" t="s">
        <v>178</v>
      </c>
      <c r="V4" s="14">
        <f>ROUND((IF(Q4=1,INDEX(新属性投放!$K$14:$K$34,卡牌属性!R4),INDEX(新属性投放!$K$42:$K$62,卡牌属性!R4))+IF(Q4=1,INDEX(新属性投放!S$20:S$23,卡牌属性!M4-1),INDEX(新属性投放!S$25:S$28,卡牌属性!M4-1)))*INDEX($G$5:$G$42,L4),2)</f>
        <v>0</v>
      </c>
      <c r="W4" s="29" t="s">
        <v>179</v>
      </c>
      <c r="X4" s="14">
        <f>ROUND((IF(Q4=1,INDEX(新属性投放!$L$14:$L$34,卡牌属性!R4),INDEX(新属性投放!$L$42:$L$62,卡牌属性!R4))*INDEX($G$5:$G$42,L4)+IF(Q4=1,INDEX(新属性投放!T$20:T$23,卡牌属性!M4-1),INDEX(新属性投放!T$25:T$28,卡牌属性!M4-1)))*SQRT(INDEX($I$5:$I$42,L4)),2)</f>
        <v>1037.5</v>
      </c>
      <c r="Y4" s="29" t="s">
        <v>177</v>
      </c>
      <c r="Z4" s="14">
        <f>ROUND(IF(Q4=1,INDEX(新属性投放!$D$14:$D$34,卡牌属性!R4),INDEX(新属性投放!$D$42:$D$62,卡牌属性!R4))*INDEX($G$5:$G$42,L4)/SQRT(INDEX($I$5:$I$42,L4)),2)</f>
        <v>11.5</v>
      </c>
      <c r="AA4" s="29" t="s">
        <v>178</v>
      </c>
      <c r="AB4" s="14">
        <f>ROUND(IF(Q4=1,INDEX(新属性投放!$E$14:$E$34,卡牌属性!R4),INDEX(新属性投放!$E$42:$E$62,卡牌属性!R4))*INDEX($G$5:$G$42,L4),2)</f>
        <v>5.75</v>
      </c>
      <c r="AC4" s="29" t="s">
        <v>179</v>
      </c>
      <c r="AD4" s="14">
        <f>ROUND(IF(Q4=1,INDEX(新属性投放!$F$14:$F$34,卡牌属性!R4),INDEX(新属性投放!$F$42:$F$62,卡牌属性!R4))*INDEX($G$5:$G$42,L4)*SQRT(INDEX($I$5:$I$42,L4)),2)</f>
        <v>34.5</v>
      </c>
      <c r="AF4" s="14">
        <f>INT(Z4*AF$2*10)</f>
        <v>115</v>
      </c>
      <c r="AG4" s="14">
        <f>INT(AB4*AF$2*10)</f>
        <v>57</v>
      </c>
      <c r="AH4" s="14">
        <f>INT(AD4*AF$2*10)</f>
        <v>345</v>
      </c>
      <c r="AJ4" s="14">
        <f>AF4</f>
        <v>115</v>
      </c>
      <c r="AK4" s="14">
        <f>AG4</f>
        <v>57</v>
      </c>
      <c r="AL4" s="14">
        <f>AH4</f>
        <v>345</v>
      </c>
      <c r="AN4" t="s">
        <v>135</v>
      </c>
      <c r="AO4" s="20">
        <v>2</v>
      </c>
    </row>
    <row r="5" spans="1:53" ht="16.5" x14ac:dyDescent="0.2">
      <c r="A5" s="13">
        <v>1101001</v>
      </c>
      <c r="B5" s="13" t="s">
        <v>135</v>
      </c>
      <c r="C5" s="13">
        <v>1</v>
      </c>
      <c r="D5" s="13">
        <v>3</v>
      </c>
      <c r="E5" s="13">
        <f>INDEX(新属性投放!$E$7:$E$8,卡牌属性!C5)</f>
        <v>21</v>
      </c>
      <c r="F5" s="13">
        <f>SUM(E$5:E5)</f>
        <v>21</v>
      </c>
      <c r="G5" s="14">
        <f>INDEX(新属性投放!$L$6:$L$10,卡牌属性!D5)</f>
        <v>1.1499999999999999</v>
      </c>
      <c r="H5" s="13">
        <v>1</v>
      </c>
      <c r="I5" s="13">
        <v>1</v>
      </c>
      <c r="K5" s="13">
        <v>2</v>
      </c>
      <c r="L5" s="13">
        <f t="shared" ref="L5:L68" si="0">MATCH(K5-1,$F$4:$F$41,1)</f>
        <v>1</v>
      </c>
      <c r="M5" s="13">
        <f t="shared" ref="M5:M68" si="1">INDEX($D$5:$D$42,L5)</f>
        <v>3</v>
      </c>
      <c r="N5" s="14">
        <f t="shared" ref="N5:N68" si="2">INDEX($A$4:$A$42,L5+1)</f>
        <v>1101001</v>
      </c>
      <c r="O5" s="14" t="str">
        <f t="shared" ref="O5:O68" si="3">INDEX($B$4:$B$42,MATCH(N5,$A$4:$A$42,0))&amp;R5&amp;"突"</f>
        <v>常服曹焱兵2突</v>
      </c>
      <c r="P5" s="29" t="s">
        <v>341</v>
      </c>
      <c r="Q5" s="14">
        <f t="shared" ref="Q5:Q68" si="4">INDEX($C$4:$C$42,L5+1)</f>
        <v>1</v>
      </c>
      <c r="R5" s="14">
        <f t="shared" ref="R5:R68" si="5">K5-INDEX($F$4:$F$42,L5)</f>
        <v>2</v>
      </c>
      <c r="S5" s="14" t="s">
        <v>39</v>
      </c>
      <c r="T5" s="14">
        <f>ROUND(((IF(Q5=1,INDEX(新属性投放!$J$14:$J$34,卡牌属性!R5),INDEX(新属性投放!$J$42:$J$62,卡牌属性!R5)))*INDEX($G$5:$G$42,L5)+IF(Q5=1,INDEX(新属性投放!R$20:R$23,卡牌属性!M5-1),INDEX(新属性投放!R$25:R$28,卡牌属性!M5-1)))/SQRT(INDEX($I$5:$I$42,L5)),2)</f>
        <v>272.5</v>
      </c>
      <c r="U5" s="29" t="s">
        <v>178</v>
      </c>
      <c r="V5" s="14">
        <f>ROUND((IF(Q5=1,INDEX(新属性投放!$K$14:$K$34,卡牌属性!R5),INDEX(新属性投放!$K$42:$K$62,卡牌属性!R5))+IF(Q5=1,INDEX(新属性投放!S$20:S$23,卡牌属性!M5-1),INDEX(新属性投放!S$25:S$28,卡牌属性!M5-1)))*INDEX($G$5:$G$42,L5),2)</f>
        <v>64.400000000000006</v>
      </c>
      <c r="W5" s="29" t="s">
        <v>179</v>
      </c>
      <c r="X5" s="14">
        <f>ROUND((IF(Q5=1,INDEX(新属性投放!$L$14:$L$34,卡牌属性!R5),INDEX(新属性投放!$L$42:$L$62,卡牌属性!R5))*INDEX($G$5:$G$42,L5)+IF(Q5=1,INDEX(新属性投放!T$20:T$23,卡牌属性!M5-1),INDEX(新属性投放!T$25:T$28,卡牌属性!M5-1)))*SQRT(INDEX($I$5:$I$42,L5)),2)</f>
        <v>1382.5</v>
      </c>
      <c r="Y5" s="29" t="s">
        <v>177</v>
      </c>
      <c r="Z5" s="14">
        <f>ROUND(IF(Q5=1,INDEX(新属性投放!$D$14:$D$34,卡牌属性!R5),INDEX(新属性投放!$D$42:$D$62,卡牌属性!R5))*INDEX($G$5:$G$42,L5)/SQRT(INDEX($I$5:$I$42,L5)),2)</f>
        <v>11.5</v>
      </c>
      <c r="AA5" s="29" t="s">
        <v>178</v>
      </c>
      <c r="AB5" s="14">
        <f>ROUND(IF(Q5=1,INDEX(新属性投放!$E$14:$E$34,卡牌属性!R5),INDEX(新属性投放!$E$42:$E$62,卡牌属性!R5))*INDEX($G$5:$G$42,L5),2)</f>
        <v>5.75</v>
      </c>
      <c r="AC5" s="29" t="s">
        <v>179</v>
      </c>
      <c r="AD5" s="14">
        <f>ROUND(IF(Q5=1,INDEX(新属性投放!$F$14:$F$34,卡牌属性!R5),INDEX(新属性投放!$F$42:$F$62,卡牌属性!R5))*INDEX($G$5:$G$42,L5)*SQRT(INDEX($I$5:$I$42,L5)),2)</f>
        <v>34.5</v>
      </c>
      <c r="AF5" s="14">
        <f t="shared" ref="AF5:AF68" si="6">INT(Z5*AF$2*10)</f>
        <v>115</v>
      </c>
      <c r="AG5" s="14">
        <f t="shared" ref="AG5:AG68" si="7">INT(AB5*AF$2*10)</f>
        <v>57</v>
      </c>
      <c r="AH5" s="14">
        <f t="shared" ref="AH5:AH68" si="8">INT(AD5*AF$2*10)</f>
        <v>345</v>
      </c>
      <c r="AJ5" s="14">
        <f>AJ4+AF5</f>
        <v>230</v>
      </c>
      <c r="AK5" s="14">
        <f>AK4+AG5</f>
        <v>114</v>
      </c>
      <c r="AL5" s="14">
        <f>AL4+AH5</f>
        <v>690</v>
      </c>
      <c r="AN5" t="s">
        <v>136</v>
      </c>
      <c r="AO5" s="20">
        <v>2</v>
      </c>
    </row>
    <row r="6" spans="1:53" ht="16.5" x14ac:dyDescent="0.2">
      <c r="A6" s="13">
        <v>1101002</v>
      </c>
      <c r="B6" s="13" t="s">
        <v>136</v>
      </c>
      <c r="C6" s="13">
        <v>1</v>
      </c>
      <c r="D6" s="13">
        <v>2</v>
      </c>
      <c r="E6" s="13">
        <f>INDEX(新属性投放!$E$7:$E$8,卡牌属性!C6)</f>
        <v>21</v>
      </c>
      <c r="F6" s="13">
        <f>SUM(E$5:E6)</f>
        <v>42</v>
      </c>
      <c r="G6" s="14">
        <f>INDEX(新属性投放!$L$6:$L$10,卡牌属性!D6)</f>
        <v>1</v>
      </c>
      <c r="H6" s="13">
        <v>1</v>
      </c>
      <c r="I6" s="13">
        <v>1</v>
      </c>
      <c r="K6" s="13">
        <v>3</v>
      </c>
      <c r="L6" s="13">
        <f t="shared" si="0"/>
        <v>1</v>
      </c>
      <c r="M6" s="13">
        <f t="shared" si="1"/>
        <v>3</v>
      </c>
      <c r="N6" s="14">
        <f t="shared" si="2"/>
        <v>1101001</v>
      </c>
      <c r="O6" s="14" t="str">
        <f t="shared" si="3"/>
        <v>常服曹焱兵3突</v>
      </c>
      <c r="P6" s="29" t="s">
        <v>341</v>
      </c>
      <c r="Q6" s="14">
        <f t="shared" si="4"/>
        <v>1</v>
      </c>
      <c r="R6" s="14">
        <f t="shared" si="5"/>
        <v>3</v>
      </c>
      <c r="S6" s="14" t="s">
        <v>39</v>
      </c>
      <c r="T6" s="14">
        <f>ROUND(((IF(Q6=1,INDEX(新属性投放!$J$14:$J$34,卡牌属性!R6),INDEX(新属性投放!$J$42:$J$62,卡牌属性!R6)))*INDEX($G$5:$G$42,L6)+IF(Q6=1,INDEX(新属性投放!R$20:R$23,卡牌属性!M6-1),INDEX(新属性投放!R$25:R$28,卡牌属性!M6-1)))/SQRT(INDEX($I$5:$I$42,L6)),2)</f>
        <v>416.25</v>
      </c>
      <c r="U6" s="29" t="s">
        <v>178</v>
      </c>
      <c r="V6" s="14">
        <f>ROUND((IF(Q6=1,INDEX(新属性投放!$K$14:$K$34,卡牌属性!R6),INDEX(新属性投放!$K$42:$K$62,卡牌属性!R6))+IF(Q6=1,INDEX(新属性投放!S$20:S$23,卡牌属性!M6-1),INDEX(新属性投放!S$25:S$28,卡牌属性!M6-1)))*INDEX($G$5:$G$42,L6),2)</f>
        <v>136.85</v>
      </c>
      <c r="W6" s="29" t="s">
        <v>179</v>
      </c>
      <c r="X6" s="14">
        <f>ROUND((IF(Q6=1,INDEX(新属性投放!$L$14:$L$34,卡牌属性!R6),INDEX(新属性投放!$L$42:$L$62,卡牌属性!R6))*INDEX($G$5:$G$42,L6)+IF(Q6=1,INDEX(新属性投放!T$20:T$23,卡牌属性!M6-1),INDEX(新属性投放!T$25:T$28,卡牌属性!M6-1)))*SQRT(INDEX($I$5:$I$42,L6)),2)</f>
        <v>1813.75</v>
      </c>
      <c r="Y6" s="29" t="s">
        <v>177</v>
      </c>
      <c r="Z6" s="14">
        <f>ROUND(IF(Q6=1,INDEX(新属性投放!$D$14:$D$34,卡牌属性!R6),INDEX(新属性投放!$D$42:$D$62,卡牌属性!R6))*INDEX($G$5:$G$42,L6)/SQRT(INDEX($I$5:$I$42,L6)),2)</f>
        <v>17.25</v>
      </c>
      <c r="AA6" s="29" t="s">
        <v>178</v>
      </c>
      <c r="AB6" s="14">
        <f>ROUND(IF(Q6=1,INDEX(新属性投放!$E$14:$E$34,卡牌属性!R6),INDEX(新属性投放!$E$42:$E$62,卡牌属性!R6))*INDEX($G$5:$G$42,L6),2)</f>
        <v>8.6300000000000008</v>
      </c>
      <c r="AC6" s="29" t="s">
        <v>179</v>
      </c>
      <c r="AD6" s="14">
        <f>ROUND(IF(Q6=1,INDEX(新属性投放!$F$14:$F$34,卡牌属性!R6),INDEX(新属性投放!$F$42:$F$62,卡牌属性!R6))*INDEX($G$5:$G$42,L6)*SQRT(INDEX($I$5:$I$42,L6)),2)</f>
        <v>51.75</v>
      </c>
      <c r="AF6" s="14">
        <f t="shared" si="6"/>
        <v>172</v>
      </c>
      <c r="AG6" s="14">
        <f t="shared" si="7"/>
        <v>86</v>
      </c>
      <c r="AH6" s="14">
        <f t="shared" si="8"/>
        <v>517</v>
      </c>
      <c r="AJ6" s="14">
        <f t="shared" ref="AJ6:AJ23" si="9">AJ5+AF6</f>
        <v>402</v>
      </c>
      <c r="AK6" s="14">
        <f t="shared" ref="AK6:AK23" si="10">AK5+AG6</f>
        <v>200</v>
      </c>
      <c r="AL6" s="14">
        <f t="shared" ref="AL6:AL23" si="11">AL5+AH6</f>
        <v>1207</v>
      </c>
      <c r="AN6" t="s">
        <v>151</v>
      </c>
      <c r="AO6" s="20">
        <v>2</v>
      </c>
    </row>
    <row r="7" spans="1:53" ht="16.5" x14ac:dyDescent="0.2">
      <c r="A7" s="13">
        <v>1101003</v>
      </c>
      <c r="B7" s="13" t="s">
        <v>523</v>
      </c>
      <c r="C7" s="13">
        <v>1</v>
      </c>
      <c r="D7" s="13">
        <v>3</v>
      </c>
      <c r="E7" s="13">
        <f>INDEX(新属性投放!$E$7:$E$8,卡牌属性!C7)</f>
        <v>21</v>
      </c>
      <c r="F7" s="13">
        <f>SUM(E$5:E7)</f>
        <v>63</v>
      </c>
      <c r="G7" s="14">
        <f>INDEX(新属性投放!$L$6:$L$10,卡牌属性!D7)</f>
        <v>1.1499999999999999</v>
      </c>
      <c r="H7" s="13">
        <v>1</v>
      </c>
      <c r="I7" s="13">
        <v>1</v>
      </c>
      <c r="K7" s="13">
        <v>4</v>
      </c>
      <c r="L7" s="13">
        <f t="shared" si="0"/>
        <v>1</v>
      </c>
      <c r="M7" s="13">
        <f t="shared" si="1"/>
        <v>3</v>
      </c>
      <c r="N7" s="14">
        <f t="shared" si="2"/>
        <v>1101001</v>
      </c>
      <c r="O7" s="14" t="str">
        <f t="shared" si="3"/>
        <v>常服曹焱兵4突</v>
      </c>
      <c r="P7" s="29" t="s">
        <v>341</v>
      </c>
      <c r="Q7" s="14">
        <f t="shared" si="4"/>
        <v>1</v>
      </c>
      <c r="R7" s="14">
        <f t="shared" si="5"/>
        <v>4</v>
      </c>
      <c r="S7" s="14" t="s">
        <v>39</v>
      </c>
      <c r="T7" s="14">
        <f>ROUND(((IF(Q7=1,INDEX(新属性投放!$J$14:$J$34,卡牌属性!R7),INDEX(新属性投放!$J$42:$J$62,卡牌属性!R7)))*INDEX($G$5:$G$42,L7)+IF(Q7=1,INDEX(新属性投放!R$20:R$23,卡牌属性!M7-1),INDEX(新属性投放!R$25:R$28,卡牌属性!M7-1)))/SQRT(INDEX($I$5:$I$42,L7)),2)</f>
        <v>632.45000000000005</v>
      </c>
      <c r="U7" s="29" t="s">
        <v>178</v>
      </c>
      <c r="V7" s="14">
        <f>ROUND((IF(Q7=1,INDEX(新属性投放!$K$14:$K$34,卡牌属性!R7),INDEX(新属性投放!$K$42:$K$62,卡牌属性!R7))+IF(Q7=1,INDEX(新属性投放!S$20:S$23,卡牌属性!M7-1),INDEX(新属性投放!S$25:S$28,卡牌属性!M7-1)))*INDEX($G$5:$G$42,L7),2)</f>
        <v>244.95</v>
      </c>
      <c r="W7" s="29" t="s">
        <v>179</v>
      </c>
      <c r="X7" s="14">
        <f>ROUND((IF(Q7=1,INDEX(新属性投放!$L$14:$L$34,卡牌属性!R7),INDEX(新属性投放!$L$42:$L$62,卡牌属性!R7))*INDEX($G$5:$G$42,L7)+IF(Q7=1,INDEX(新属性投放!T$20:T$23,卡牌属性!M7-1),INDEX(新属性投放!T$25:T$28,卡牌属性!M7-1)))*SQRT(INDEX($I$5:$I$42,L7)),2)</f>
        <v>2462.35</v>
      </c>
      <c r="Y7" s="29" t="s">
        <v>177</v>
      </c>
      <c r="Z7" s="14">
        <f>ROUND(IF(Q7=1,INDEX(新属性投放!$D$14:$D$34,卡牌属性!R7),INDEX(新属性投放!$D$42:$D$62,卡牌属性!R7))*INDEX($G$5:$G$42,L7)/SQRT(INDEX($I$5:$I$42,L7)),2)</f>
        <v>23</v>
      </c>
      <c r="AA7" s="29" t="s">
        <v>178</v>
      </c>
      <c r="AB7" s="14">
        <f>ROUND(IF(Q7=1,INDEX(新属性投放!$E$14:$E$34,卡牌属性!R7),INDEX(新属性投放!$E$42:$E$62,卡牌属性!R7))*INDEX($G$5:$G$42,L7),2)</f>
        <v>11.5</v>
      </c>
      <c r="AC7" s="29" t="s">
        <v>179</v>
      </c>
      <c r="AD7" s="14">
        <f>ROUND(IF(Q7=1,INDEX(新属性投放!$F$14:$F$34,卡牌属性!R7),INDEX(新属性投放!$F$42:$F$62,卡牌属性!R7))*INDEX($G$5:$G$42,L7)*SQRT(INDEX($I$5:$I$42,L7)),2)</f>
        <v>69</v>
      </c>
      <c r="AF7" s="14">
        <f t="shared" si="6"/>
        <v>230</v>
      </c>
      <c r="AG7" s="14">
        <f t="shared" si="7"/>
        <v>115</v>
      </c>
      <c r="AH7" s="14">
        <f t="shared" si="8"/>
        <v>690</v>
      </c>
      <c r="AJ7" s="14">
        <f t="shared" si="9"/>
        <v>632</v>
      </c>
      <c r="AK7" s="14">
        <f t="shared" si="10"/>
        <v>315</v>
      </c>
      <c r="AL7" s="14">
        <f t="shared" si="11"/>
        <v>1897</v>
      </c>
      <c r="AN7" t="s">
        <v>153</v>
      </c>
      <c r="AO7" s="20">
        <v>2</v>
      </c>
    </row>
    <row r="8" spans="1:53" ht="16.5" x14ac:dyDescent="0.2">
      <c r="A8" s="13">
        <v>1101004</v>
      </c>
      <c r="B8" s="13" t="s">
        <v>138</v>
      </c>
      <c r="C8" s="13">
        <v>1</v>
      </c>
      <c r="D8" s="13">
        <v>4</v>
      </c>
      <c r="E8" s="13">
        <f>INDEX(新属性投放!$E$7:$E$8,卡牌属性!C8)</f>
        <v>21</v>
      </c>
      <c r="F8" s="13">
        <f>SUM(E$5:E8)</f>
        <v>84</v>
      </c>
      <c r="G8" s="14">
        <f>INDEX(新属性投放!$L$6:$L$10,卡牌属性!D8)</f>
        <v>1.3</v>
      </c>
      <c r="H8" s="13">
        <v>1</v>
      </c>
      <c r="I8" s="13">
        <v>1</v>
      </c>
      <c r="K8" s="13">
        <v>5</v>
      </c>
      <c r="L8" s="13">
        <f t="shared" si="0"/>
        <v>1</v>
      </c>
      <c r="M8" s="13">
        <f t="shared" si="1"/>
        <v>3</v>
      </c>
      <c r="N8" s="14">
        <f t="shared" si="2"/>
        <v>1101001</v>
      </c>
      <c r="O8" s="14" t="str">
        <f t="shared" si="3"/>
        <v>常服曹焱兵5突</v>
      </c>
      <c r="P8" s="29" t="s">
        <v>341</v>
      </c>
      <c r="Q8" s="14">
        <f t="shared" si="4"/>
        <v>1</v>
      </c>
      <c r="R8" s="14">
        <f t="shared" si="5"/>
        <v>5</v>
      </c>
      <c r="S8" s="14" t="s">
        <v>39</v>
      </c>
      <c r="T8" s="14">
        <f>ROUND(((IF(Q8=1,INDEX(新属性投放!$J$14:$J$34,卡牌属性!R8),INDEX(新属性投放!$J$42:$J$62,卡牌属性!R8)))*INDEX($G$5:$G$42,L8)+IF(Q8=1,INDEX(新属性投放!R$20:R$23,卡牌属性!M8-1),INDEX(新属性投放!R$25:R$28,卡牌属性!M8-1)))/SQRT(INDEX($I$5:$I$42,L8)),2)</f>
        <v>919.95</v>
      </c>
      <c r="U8" s="29" t="s">
        <v>178</v>
      </c>
      <c r="V8" s="14">
        <f>ROUND((IF(Q8=1,INDEX(新属性投放!$K$14:$K$34,卡牌属性!R8),INDEX(新属性投放!$K$42:$K$62,卡牌属性!R8))+IF(Q8=1,INDEX(新属性投放!S$20:S$23,卡牌属性!M8-1),INDEX(新属性投放!S$25:S$28,卡牌属性!M8-1)))*INDEX($G$5:$G$42,L8),2)</f>
        <v>388.7</v>
      </c>
      <c r="W8" s="29" t="s">
        <v>179</v>
      </c>
      <c r="X8" s="14">
        <f>ROUND((IF(Q8=1,INDEX(新属性投放!$L$14:$L$34,卡牌属性!R8),INDEX(新属性投放!$L$42:$L$62,卡牌属性!R8))*INDEX($G$5:$G$42,L8)+IF(Q8=1,INDEX(新属性投放!T$20:T$23,卡牌属性!M8-1),INDEX(新属性投放!T$25:T$28,卡牌属性!M8-1)))*SQRT(INDEX($I$5:$I$42,L8)),2)</f>
        <v>3324.85</v>
      </c>
      <c r="Y8" s="29" t="s">
        <v>177</v>
      </c>
      <c r="Z8" s="14">
        <f>ROUND(IF(Q8=1,INDEX(新属性投放!$D$14:$D$34,卡牌属性!R8),INDEX(新属性投放!$D$42:$D$62,卡牌属性!R8))*INDEX($G$5:$G$42,L8)/SQRT(INDEX($I$5:$I$42,L8)),2)</f>
        <v>28.75</v>
      </c>
      <c r="AA8" s="29" t="s">
        <v>178</v>
      </c>
      <c r="AB8" s="14">
        <f>ROUND(IF(Q8=1,INDEX(新属性投放!$E$14:$E$34,卡牌属性!R8),INDEX(新属性投放!$E$42:$E$62,卡牌属性!R8))*INDEX($G$5:$G$42,L8),2)</f>
        <v>14.38</v>
      </c>
      <c r="AC8" s="29" t="s">
        <v>179</v>
      </c>
      <c r="AD8" s="14">
        <f>ROUND(IF(Q8=1,INDEX(新属性投放!$F$14:$F$34,卡牌属性!R8),INDEX(新属性投放!$F$42:$F$62,卡牌属性!R8))*INDEX($G$5:$G$42,L8)*SQRT(INDEX($I$5:$I$42,L8)),2)</f>
        <v>86.25</v>
      </c>
      <c r="AF8" s="14">
        <f t="shared" si="6"/>
        <v>287</v>
      </c>
      <c r="AG8" s="14">
        <f t="shared" si="7"/>
        <v>143</v>
      </c>
      <c r="AH8" s="14">
        <f t="shared" si="8"/>
        <v>862</v>
      </c>
      <c r="AJ8" s="14">
        <f t="shared" si="9"/>
        <v>919</v>
      </c>
      <c r="AK8" s="14">
        <f t="shared" si="10"/>
        <v>458</v>
      </c>
      <c r="AL8" s="14">
        <f t="shared" si="11"/>
        <v>2759</v>
      </c>
      <c r="AN8" t="s">
        <v>142</v>
      </c>
      <c r="AO8" s="20">
        <v>2</v>
      </c>
    </row>
    <row r="9" spans="1:53" ht="16.5" x14ac:dyDescent="0.2">
      <c r="A9" s="13">
        <v>1101005</v>
      </c>
      <c r="B9" s="13" t="s">
        <v>139</v>
      </c>
      <c r="C9" s="13">
        <v>1</v>
      </c>
      <c r="D9" s="13">
        <v>4</v>
      </c>
      <c r="E9" s="13">
        <f>INDEX(新属性投放!$E$7:$E$8,卡牌属性!C9)</f>
        <v>21</v>
      </c>
      <c r="F9" s="13">
        <f>SUM(E$5:E9)</f>
        <v>105</v>
      </c>
      <c r="G9" s="14">
        <f>INDEX(新属性投放!$L$6:$L$10,卡牌属性!D9)</f>
        <v>1.3</v>
      </c>
      <c r="H9" s="13">
        <v>1</v>
      </c>
      <c r="I9" s="13">
        <v>1</v>
      </c>
      <c r="K9" s="13">
        <v>6</v>
      </c>
      <c r="L9" s="13">
        <f t="shared" si="0"/>
        <v>1</v>
      </c>
      <c r="M9" s="13">
        <f t="shared" si="1"/>
        <v>3</v>
      </c>
      <c r="N9" s="14">
        <f t="shared" si="2"/>
        <v>1101001</v>
      </c>
      <c r="O9" s="14" t="str">
        <f t="shared" si="3"/>
        <v>常服曹焱兵6突</v>
      </c>
      <c r="P9" s="29" t="s">
        <v>341</v>
      </c>
      <c r="Q9" s="14">
        <f t="shared" si="4"/>
        <v>1</v>
      </c>
      <c r="R9" s="14">
        <f t="shared" si="5"/>
        <v>6</v>
      </c>
      <c r="S9" s="14" t="s">
        <v>39</v>
      </c>
      <c r="T9" s="14">
        <f>ROUND(((IF(Q9=1,INDEX(新属性投放!$J$14:$J$34,卡牌属性!R9),INDEX(新属性投放!$J$42:$J$62,卡牌属性!R9)))*INDEX($G$5:$G$42,L9)+IF(Q9=1,INDEX(新属性投放!R$20:R$23,卡牌属性!M9-1),INDEX(新属性投放!R$25:R$28,卡牌属性!M9-1)))/SQRT(INDEX($I$5:$I$42,L9)),2)</f>
        <v>1279.9000000000001</v>
      </c>
      <c r="U9" s="29" t="s">
        <v>178</v>
      </c>
      <c r="V9" s="14">
        <f>ROUND((IF(Q9=1,INDEX(新属性投放!$K$14:$K$34,卡牌属性!R9),INDEX(新属性投放!$K$42:$K$62,卡牌属性!R9))+IF(Q9=1,INDEX(新属性投放!S$20:S$23,卡牌属性!M9-1),INDEX(新属性投放!S$25:S$28,卡牌属性!M9-1)))*INDEX($G$5:$G$42,L9),2)</f>
        <v>568.1</v>
      </c>
      <c r="W9" s="29" t="s">
        <v>179</v>
      </c>
      <c r="X9" s="14">
        <f>ROUND((IF(Q9=1,INDEX(新属性投放!$L$14:$L$34,卡牌属性!R9),INDEX(新属性投放!$L$42:$L$62,卡牌属性!R9))*INDEX($G$5:$G$42,L9)+IF(Q9=1,INDEX(新属性投放!T$20:T$23,卡牌属性!M9-1),INDEX(新属性投放!T$25:T$28,卡牌属性!M9-1)))*SQRT(INDEX($I$5:$I$42,L9)),2)</f>
        <v>4404.7</v>
      </c>
      <c r="Y9" s="29" t="s">
        <v>177</v>
      </c>
      <c r="Z9" s="14">
        <f>ROUND(IF(Q9=1,INDEX(新属性投放!$D$14:$D$34,卡牌属性!R9),INDEX(新属性投放!$D$42:$D$62,卡牌属性!R9))*INDEX($G$5:$G$42,L9)/SQRT(INDEX($I$5:$I$42,L9)),2)</f>
        <v>34.5</v>
      </c>
      <c r="AA9" s="29" t="s">
        <v>178</v>
      </c>
      <c r="AB9" s="14">
        <f>ROUND(IF(Q9=1,INDEX(新属性投放!$E$14:$E$34,卡牌属性!R9),INDEX(新属性投放!$E$42:$E$62,卡牌属性!R9))*INDEX($G$5:$G$42,L9),2)</f>
        <v>17.25</v>
      </c>
      <c r="AC9" s="29" t="s">
        <v>179</v>
      </c>
      <c r="AD9" s="14">
        <f>ROUND(IF(Q9=1,INDEX(新属性投放!$F$14:$F$34,卡牌属性!R9),INDEX(新属性投放!$F$42:$F$62,卡牌属性!R9))*INDEX($G$5:$G$42,L9)*SQRT(INDEX($I$5:$I$42,L9)),2)</f>
        <v>103.5</v>
      </c>
      <c r="AF9" s="14">
        <f t="shared" si="6"/>
        <v>345</v>
      </c>
      <c r="AG9" s="14">
        <f t="shared" si="7"/>
        <v>172</v>
      </c>
      <c r="AH9" s="14">
        <f t="shared" si="8"/>
        <v>1035</v>
      </c>
      <c r="AJ9" s="14">
        <f t="shared" si="9"/>
        <v>1264</v>
      </c>
      <c r="AK9" s="14">
        <f t="shared" si="10"/>
        <v>630</v>
      </c>
      <c r="AL9" s="14">
        <f t="shared" si="11"/>
        <v>3794</v>
      </c>
      <c r="AN9" t="s">
        <v>146</v>
      </c>
      <c r="AO9" s="20">
        <v>2</v>
      </c>
    </row>
    <row r="10" spans="1:53" ht="16.5" x14ac:dyDescent="0.2">
      <c r="A10" s="13">
        <v>1101006</v>
      </c>
      <c r="B10" s="13" t="s">
        <v>140</v>
      </c>
      <c r="C10" s="13">
        <v>1</v>
      </c>
      <c r="D10" s="13">
        <v>4</v>
      </c>
      <c r="E10" s="13">
        <f>INDEX(新属性投放!$E$7:$E$8,卡牌属性!C10)</f>
        <v>21</v>
      </c>
      <c r="F10" s="13">
        <f>SUM(E$5:E10)</f>
        <v>126</v>
      </c>
      <c r="G10" s="14">
        <f>INDEX(新属性投放!$L$6:$L$10,卡牌属性!D10)</f>
        <v>1.3</v>
      </c>
      <c r="H10" s="13">
        <v>1</v>
      </c>
      <c r="I10" s="13">
        <v>1</v>
      </c>
      <c r="K10" s="13">
        <v>7</v>
      </c>
      <c r="L10" s="13">
        <f t="shared" si="0"/>
        <v>1</v>
      </c>
      <c r="M10" s="13">
        <f t="shared" si="1"/>
        <v>3</v>
      </c>
      <c r="N10" s="14">
        <f t="shared" si="2"/>
        <v>1101001</v>
      </c>
      <c r="O10" s="14" t="str">
        <f t="shared" si="3"/>
        <v>常服曹焱兵7突</v>
      </c>
      <c r="P10" s="29" t="s">
        <v>341</v>
      </c>
      <c r="Q10" s="14">
        <f t="shared" si="4"/>
        <v>1</v>
      </c>
      <c r="R10" s="14">
        <f t="shared" si="5"/>
        <v>7</v>
      </c>
      <c r="S10" s="14" t="s">
        <v>39</v>
      </c>
      <c r="T10" s="14">
        <f>ROUND(((IF(Q10=1,INDEX(新属性投放!$J$14:$J$34,卡牌属性!R10),INDEX(新属性投放!$J$42:$J$62,卡牌属性!R10)))*INDEX($G$5:$G$42,L10)+IF(Q10=1,INDEX(新属性投放!R$20:R$23,卡牌属性!M10-1),INDEX(新属性投放!R$25:R$28,卡牌属性!M10-1)))/SQRT(INDEX($I$5:$I$42,L10)),2)</f>
        <v>1711.15</v>
      </c>
      <c r="U10" s="29" t="s">
        <v>178</v>
      </c>
      <c r="V10" s="14">
        <f>ROUND((IF(Q10=1,INDEX(新属性投放!$K$14:$K$34,卡牌属性!R10),INDEX(新属性投放!$K$42:$K$62,卡牌属性!R10))+IF(Q10=1,INDEX(新属性投放!S$20:S$23,卡牌属性!M10-1),INDEX(新属性投放!S$25:S$28,卡牌属性!M10-1)))*INDEX($G$5:$G$42,L10),2)</f>
        <v>784.3</v>
      </c>
      <c r="W10" s="29" t="s">
        <v>179</v>
      </c>
      <c r="X10" s="14">
        <f>ROUND((IF(Q10=1,INDEX(新属性投放!$L$14:$L$34,卡牌属性!R10),INDEX(新属性投放!$L$42:$L$62,卡牌属性!R10))*INDEX($G$5:$G$42,L10)+IF(Q10=1,INDEX(新属性投放!T$20:T$23,卡牌属性!M10-1),INDEX(新属性投放!T$25:T$28,卡牌属性!M10-1)))*SQRT(INDEX($I$5:$I$42,L10)),2)</f>
        <v>5698.45</v>
      </c>
      <c r="Y10" s="29" t="s">
        <v>177</v>
      </c>
      <c r="Z10" s="14">
        <f>ROUND(IF(Q10=1,INDEX(新属性投放!$D$14:$D$34,卡牌属性!R10),INDEX(新属性投放!$D$42:$D$62,卡牌属性!R10))*INDEX($G$5:$G$42,L10)/SQRT(INDEX($I$5:$I$42,L10)),2)</f>
        <v>40.25</v>
      </c>
      <c r="AA10" s="29" t="s">
        <v>178</v>
      </c>
      <c r="AB10" s="14">
        <f>ROUND(IF(Q10=1,INDEX(新属性投放!$E$14:$E$34,卡牌属性!R10),INDEX(新属性投放!$E$42:$E$62,卡牌属性!R10))*INDEX($G$5:$G$42,L10),2)</f>
        <v>20.13</v>
      </c>
      <c r="AC10" s="29" t="s">
        <v>179</v>
      </c>
      <c r="AD10" s="14">
        <f>ROUND(IF(Q10=1,INDEX(新属性投放!$F$14:$F$34,卡牌属性!R10),INDEX(新属性投放!$F$42:$F$62,卡牌属性!R10))*INDEX($G$5:$G$42,L10)*SQRT(INDEX($I$5:$I$42,L10)),2)</f>
        <v>120.75</v>
      </c>
      <c r="AF10" s="14">
        <f t="shared" si="6"/>
        <v>402</v>
      </c>
      <c r="AG10" s="14">
        <f t="shared" si="7"/>
        <v>201</v>
      </c>
      <c r="AH10" s="14">
        <f t="shared" si="8"/>
        <v>1207</v>
      </c>
      <c r="AJ10" s="14">
        <f t="shared" si="9"/>
        <v>1666</v>
      </c>
      <c r="AK10" s="14">
        <f t="shared" si="10"/>
        <v>831</v>
      </c>
      <c r="AL10" s="14">
        <f t="shared" si="11"/>
        <v>5001</v>
      </c>
      <c r="AN10" t="s">
        <v>162</v>
      </c>
      <c r="AO10" s="20">
        <v>2</v>
      </c>
    </row>
    <row r="11" spans="1:53" ht="16.5" x14ac:dyDescent="0.2">
      <c r="A11" s="13">
        <v>1101007</v>
      </c>
      <c r="B11" s="13" t="s">
        <v>141</v>
      </c>
      <c r="C11" s="13">
        <v>1</v>
      </c>
      <c r="D11" s="13">
        <v>4</v>
      </c>
      <c r="E11" s="13">
        <f>INDEX(新属性投放!$E$7:$E$8,卡牌属性!C11)</f>
        <v>21</v>
      </c>
      <c r="F11" s="13">
        <f>SUM(E$5:E11)</f>
        <v>147</v>
      </c>
      <c r="G11" s="14">
        <f>INDEX(新属性投放!$L$6:$L$10,卡牌属性!D11)</f>
        <v>1.3</v>
      </c>
      <c r="H11" s="13">
        <v>1</v>
      </c>
      <c r="I11" s="13">
        <v>1</v>
      </c>
      <c r="K11" s="13">
        <v>8</v>
      </c>
      <c r="L11" s="13">
        <f t="shared" si="0"/>
        <v>1</v>
      </c>
      <c r="M11" s="13">
        <f t="shared" si="1"/>
        <v>3</v>
      </c>
      <c r="N11" s="14">
        <f t="shared" si="2"/>
        <v>1101001</v>
      </c>
      <c r="O11" s="14" t="str">
        <f t="shared" si="3"/>
        <v>常服曹焱兵8突</v>
      </c>
      <c r="P11" s="29" t="s">
        <v>341</v>
      </c>
      <c r="Q11" s="14">
        <f t="shared" si="4"/>
        <v>1</v>
      </c>
      <c r="R11" s="14">
        <f t="shared" si="5"/>
        <v>8</v>
      </c>
      <c r="S11" s="14" t="s">
        <v>39</v>
      </c>
      <c r="T11" s="14">
        <f>ROUND(((IF(Q11=1,INDEX(新属性投放!$J$14:$J$34,卡牌属性!R11),INDEX(新属性投放!$J$42:$J$62,卡牌属性!R11)))*INDEX($G$5:$G$42,L11)+IF(Q11=1,INDEX(新属性投放!R$20:R$23,卡牌属性!M11-1),INDEX(新属性投放!R$25:R$28,卡牌属性!M11-1)))/SQRT(INDEX($I$5:$I$42,L11)),2)</f>
        <v>2214.85</v>
      </c>
      <c r="U11" s="29" t="s">
        <v>178</v>
      </c>
      <c r="V11" s="14">
        <f>ROUND((IF(Q11=1,INDEX(新属性投放!$K$14:$K$34,卡牌属性!R11),INDEX(新属性投放!$K$42:$K$62,卡牌属性!R11))+IF(Q11=1,INDEX(新属性投放!S$20:S$23,卡牌属性!M11-1),INDEX(新属性投放!S$25:S$28,卡牌属性!M11-1)))*INDEX($G$5:$G$42,L11),2)</f>
        <v>1036.1500000000001</v>
      </c>
      <c r="W11" s="29" t="s">
        <v>179</v>
      </c>
      <c r="X11" s="14">
        <f>ROUND((IF(Q11=1,INDEX(新属性投放!$L$14:$L$34,卡牌属性!R11),INDEX(新属性投放!$L$42:$L$62,卡牌属性!R11))*INDEX($G$5:$G$42,L11)+IF(Q11=1,INDEX(新属性投放!T$20:T$23,卡牌属性!M11-1),INDEX(新属性投放!T$25:T$28,卡牌属性!M11-1)))*SQRT(INDEX($I$5:$I$42,L11)),2)</f>
        <v>7209.55</v>
      </c>
      <c r="Y11" s="29" t="s">
        <v>177</v>
      </c>
      <c r="Z11" s="14">
        <f>ROUND(IF(Q11=1,INDEX(新属性投放!$D$14:$D$34,卡牌属性!R11),INDEX(新属性投放!$D$42:$D$62,卡牌属性!R11))*INDEX($G$5:$G$42,L11)/SQRT(INDEX($I$5:$I$42,L11)),2)</f>
        <v>51.75</v>
      </c>
      <c r="AA11" s="29" t="s">
        <v>178</v>
      </c>
      <c r="AB11" s="14">
        <f>ROUND(IF(Q11=1,INDEX(新属性投放!$E$14:$E$34,卡牌属性!R11),INDEX(新属性投放!$E$42:$E$62,卡牌属性!R11))*INDEX($G$5:$G$42,L11),2)</f>
        <v>25.88</v>
      </c>
      <c r="AC11" s="29" t="s">
        <v>179</v>
      </c>
      <c r="AD11" s="14">
        <f>ROUND(IF(Q11=1,INDEX(新属性投放!$F$14:$F$34,卡牌属性!R11),INDEX(新属性投放!$F$42:$F$62,卡牌属性!R11))*INDEX($G$5:$G$42,L11)*SQRT(INDEX($I$5:$I$42,L11)),2)</f>
        <v>155.25</v>
      </c>
      <c r="AF11" s="14">
        <f t="shared" si="6"/>
        <v>517</v>
      </c>
      <c r="AG11" s="14">
        <f t="shared" si="7"/>
        <v>258</v>
      </c>
      <c r="AH11" s="14">
        <f t="shared" si="8"/>
        <v>1552</v>
      </c>
      <c r="AJ11" s="14">
        <f t="shared" si="9"/>
        <v>2183</v>
      </c>
      <c r="AK11" s="14">
        <f t="shared" si="10"/>
        <v>1089</v>
      </c>
      <c r="AL11" s="14">
        <f t="shared" si="11"/>
        <v>6553</v>
      </c>
      <c r="AN11" t="s">
        <v>167</v>
      </c>
      <c r="AO11" s="20">
        <v>2</v>
      </c>
    </row>
    <row r="12" spans="1:53" ht="16.5" x14ac:dyDescent="0.2">
      <c r="A12" s="13">
        <v>1101008</v>
      </c>
      <c r="B12" s="13" t="s">
        <v>142</v>
      </c>
      <c r="C12" s="13">
        <v>1</v>
      </c>
      <c r="D12" s="13">
        <v>2</v>
      </c>
      <c r="E12" s="13">
        <f>INDEX(新属性投放!$E$7:$E$8,卡牌属性!C12)</f>
        <v>21</v>
      </c>
      <c r="F12" s="13">
        <f>SUM(E$5:E12)</f>
        <v>168</v>
      </c>
      <c r="G12" s="14">
        <f>INDEX(新属性投放!$L$6:$L$10,卡牌属性!D12)</f>
        <v>1</v>
      </c>
      <c r="H12" s="13">
        <v>1</v>
      </c>
      <c r="I12" s="13">
        <v>1</v>
      </c>
      <c r="K12" s="13">
        <v>9</v>
      </c>
      <c r="L12" s="13">
        <f t="shared" si="0"/>
        <v>1</v>
      </c>
      <c r="M12" s="13">
        <f t="shared" si="1"/>
        <v>3</v>
      </c>
      <c r="N12" s="14">
        <f t="shared" si="2"/>
        <v>1101001</v>
      </c>
      <c r="O12" s="14" t="str">
        <f t="shared" si="3"/>
        <v>常服曹焱兵9突</v>
      </c>
      <c r="P12" s="29" t="s">
        <v>341</v>
      </c>
      <c r="Q12" s="14">
        <f t="shared" si="4"/>
        <v>1</v>
      </c>
      <c r="R12" s="14">
        <f t="shared" si="5"/>
        <v>9</v>
      </c>
      <c r="S12" s="14" t="s">
        <v>39</v>
      </c>
      <c r="T12" s="14">
        <f>ROUND(((IF(Q12=1,INDEX(新属性投放!$J$14:$J$34,卡牌属性!R12),INDEX(新属性投放!$J$42:$J$62,卡牌属性!R12)))*INDEX($G$5:$G$42,L12)+IF(Q12=1,INDEX(新属性投放!R$20:R$23,卡牌属性!M12-1),INDEX(新属性投放!R$25:R$28,卡牌属性!M12-1)))/SQRT(INDEX($I$5:$I$42,L12)),2)</f>
        <v>2862.3</v>
      </c>
      <c r="U12" s="29" t="s">
        <v>178</v>
      </c>
      <c r="V12" s="14">
        <f>ROUND((IF(Q12=1,INDEX(新属性投放!$K$14:$K$34,卡牌属性!R12),INDEX(新属性投放!$K$42:$K$62,卡牌属性!R12))+IF(Q12=1,INDEX(新属性投放!S$20:S$23,卡牌属性!M12-1),INDEX(新属性投放!S$25:S$28,卡牌属性!M12-1)))*INDEX($G$5:$G$42,L12),2)</f>
        <v>1359.3</v>
      </c>
      <c r="W12" s="29" t="s">
        <v>179</v>
      </c>
      <c r="X12" s="14">
        <f>ROUND((IF(Q12=1,INDEX(新属性投放!$L$14:$L$34,卡牌属性!R12),INDEX(新属性投放!$L$42:$L$62,卡牌属性!R12))*INDEX($G$5:$G$42,L12)+IF(Q12=1,INDEX(新属性投放!T$20:T$23,卡牌属性!M12-1),INDEX(新属性投放!T$25:T$28,卡牌属性!M12-1)))*SQRT(INDEX($I$5:$I$42,L12)),2)</f>
        <v>9151.9</v>
      </c>
      <c r="Y12" s="29" t="s">
        <v>177</v>
      </c>
      <c r="Z12" s="14">
        <f>ROUND(IF(Q12=1,INDEX(新属性投放!$D$14:$D$34,卡牌属性!R12),INDEX(新属性投放!$D$42:$D$62,卡牌属性!R12))*INDEX($G$5:$G$42,L12)/SQRT(INDEX($I$5:$I$42,L12)),2)</f>
        <v>69.06</v>
      </c>
      <c r="AA12" s="29" t="s">
        <v>178</v>
      </c>
      <c r="AB12" s="14">
        <f>ROUND(IF(Q12=1,INDEX(新属性投放!$E$14:$E$34,卡牌属性!R12),INDEX(新属性投放!$E$42:$E$62,卡牌属性!R12))*INDEX($G$5:$G$42,L12),2)</f>
        <v>34.53</v>
      </c>
      <c r="AC12" s="29" t="s">
        <v>179</v>
      </c>
      <c r="AD12" s="14">
        <f>ROUND(IF(Q12=1,INDEX(新属性投放!$F$14:$F$34,卡牌属性!R12),INDEX(新属性投放!$F$42:$F$62,卡牌属性!R12))*INDEX($G$5:$G$42,L12)*SQRT(INDEX($I$5:$I$42,L12)),2)</f>
        <v>207.17</v>
      </c>
      <c r="AF12" s="14">
        <f t="shared" si="6"/>
        <v>690</v>
      </c>
      <c r="AG12" s="14">
        <f t="shared" si="7"/>
        <v>345</v>
      </c>
      <c r="AH12" s="14">
        <f t="shared" si="8"/>
        <v>2071</v>
      </c>
      <c r="AJ12" s="14">
        <f t="shared" si="9"/>
        <v>2873</v>
      </c>
      <c r="AK12" s="14">
        <f t="shared" si="10"/>
        <v>1434</v>
      </c>
      <c r="AL12" s="14">
        <f t="shared" si="11"/>
        <v>8624</v>
      </c>
      <c r="AN12" t="s">
        <v>141</v>
      </c>
      <c r="AO12" s="20">
        <v>4</v>
      </c>
    </row>
    <row r="13" spans="1:53" ht="16.5" x14ac:dyDescent="0.2">
      <c r="A13" s="13">
        <v>1101009</v>
      </c>
      <c r="B13" s="13" t="s">
        <v>143</v>
      </c>
      <c r="C13" s="13">
        <v>1</v>
      </c>
      <c r="D13" s="13">
        <v>3</v>
      </c>
      <c r="E13" s="13">
        <f>INDEX(新属性投放!$E$7:$E$8,卡牌属性!C13)</f>
        <v>21</v>
      </c>
      <c r="F13" s="13">
        <f>SUM(E$5:E13)</f>
        <v>189</v>
      </c>
      <c r="G13" s="14">
        <f>INDEX(新属性投放!$L$6:$L$10,卡牌属性!D13)</f>
        <v>1.1499999999999999</v>
      </c>
      <c r="H13" s="13">
        <v>1</v>
      </c>
      <c r="I13" s="13">
        <v>1</v>
      </c>
      <c r="K13" s="13">
        <v>10</v>
      </c>
      <c r="L13" s="13">
        <f t="shared" si="0"/>
        <v>1</v>
      </c>
      <c r="M13" s="13">
        <f t="shared" si="1"/>
        <v>3</v>
      </c>
      <c r="N13" s="14">
        <f t="shared" si="2"/>
        <v>1101001</v>
      </c>
      <c r="O13" s="14" t="str">
        <f t="shared" si="3"/>
        <v>常服曹焱兵10突</v>
      </c>
      <c r="P13" s="29" t="s">
        <v>341</v>
      </c>
      <c r="Q13" s="14">
        <f t="shared" si="4"/>
        <v>1</v>
      </c>
      <c r="R13" s="14">
        <f t="shared" si="5"/>
        <v>10</v>
      </c>
      <c r="S13" s="14" t="s">
        <v>39</v>
      </c>
      <c r="T13" s="14">
        <f>ROUND(((IF(Q13=1,INDEX(新属性投放!$J$14:$J$34,卡牌属性!R13),INDEX(新属性投放!$J$42:$J$62,卡牌属性!R13)))*INDEX($G$5:$G$42,L13)+IF(Q13=1,INDEX(新属性投放!R$20:R$23,卡牌属性!M13-1),INDEX(新属性投放!R$25:R$28,卡牌属性!M13-1)))/SQRT(INDEX($I$5:$I$42,L13)),2)</f>
        <v>3725.38</v>
      </c>
      <c r="U13" s="29" t="s">
        <v>178</v>
      </c>
      <c r="V13" s="14">
        <f>ROUND((IF(Q13=1,INDEX(新属性投放!$K$14:$K$34,卡牌属性!R13),INDEX(新属性投放!$K$42:$K$62,卡牌属性!R13))+IF(Q13=1,INDEX(新属性投放!S$20:S$23,卡牌属性!M13-1),INDEX(新属性投放!S$25:S$28,卡牌属性!M13-1)))*INDEX($G$5:$G$42,L13),2)</f>
        <v>1790.84</v>
      </c>
      <c r="W13" s="29" t="s">
        <v>179</v>
      </c>
      <c r="X13" s="14">
        <f>ROUND((IF(Q13=1,INDEX(新属性投放!$L$14:$L$34,卡牌属性!R13),INDEX(新属性投放!$L$42:$L$62,卡牌属性!R13))*INDEX($G$5:$G$42,L13)+IF(Q13=1,INDEX(新属性投放!T$20:T$23,卡牌属性!M13-1),INDEX(新属性投放!T$25:T$28,卡牌属性!M13-1)))*SQRT(INDEX($I$5:$I$42,L13)),2)</f>
        <v>11741.13</v>
      </c>
      <c r="Y13" s="29" t="s">
        <v>177</v>
      </c>
      <c r="Z13" s="14">
        <f>ROUND(IF(Q13=1,INDEX(新属性投放!$D$14:$D$34,卡牌属性!R13),INDEX(新属性投放!$D$42:$D$62,卡牌属性!R13))*INDEX($G$5:$G$42,L13)/SQRT(INDEX($I$5:$I$42,L13)),2)</f>
        <v>90.28</v>
      </c>
      <c r="AA13" s="29" t="s">
        <v>178</v>
      </c>
      <c r="AB13" s="14">
        <f>ROUND(IF(Q13=1,INDEX(新属性投放!$E$14:$E$34,卡牌属性!R13),INDEX(新属性投放!$E$42:$E$62,卡牌属性!R13))*INDEX($G$5:$G$42,L13),2)</f>
        <v>45.14</v>
      </c>
      <c r="AC13" s="29" t="s">
        <v>179</v>
      </c>
      <c r="AD13" s="14">
        <f>ROUND(IF(Q13=1,INDEX(新属性投放!$F$14:$F$34,卡牌属性!R13),INDEX(新属性投放!$F$42:$F$62,卡牌属性!R13))*INDEX($G$5:$G$42,L13)*SQRT(INDEX($I$5:$I$42,L13)),2)</f>
        <v>270.83</v>
      </c>
      <c r="AF13" s="14">
        <f t="shared" si="6"/>
        <v>902</v>
      </c>
      <c r="AG13" s="14">
        <f t="shared" si="7"/>
        <v>451</v>
      </c>
      <c r="AH13" s="14">
        <f t="shared" si="8"/>
        <v>2708</v>
      </c>
      <c r="AJ13" s="14">
        <f t="shared" si="9"/>
        <v>3775</v>
      </c>
      <c r="AK13" s="14">
        <f t="shared" si="10"/>
        <v>1885</v>
      </c>
      <c r="AL13" s="14">
        <f t="shared" si="11"/>
        <v>11332</v>
      </c>
      <c r="AN13" t="s">
        <v>139</v>
      </c>
      <c r="AO13" s="20">
        <v>4</v>
      </c>
    </row>
    <row r="14" spans="1:53" ht="16.5" x14ac:dyDescent="0.2">
      <c r="A14" s="13">
        <v>1101010</v>
      </c>
      <c r="B14" s="13" t="s">
        <v>144</v>
      </c>
      <c r="C14" s="13">
        <v>1</v>
      </c>
      <c r="D14" s="13">
        <v>4</v>
      </c>
      <c r="E14" s="13">
        <f>INDEX(新属性投放!$E$7:$E$8,卡牌属性!C14)</f>
        <v>21</v>
      </c>
      <c r="F14" s="13">
        <f>SUM(E$5:E14)</f>
        <v>210</v>
      </c>
      <c r="G14" s="14">
        <f>INDEX(新属性投放!$L$6:$L$10,卡牌属性!D14)</f>
        <v>1.3</v>
      </c>
      <c r="H14" s="13">
        <v>1</v>
      </c>
      <c r="I14" s="13">
        <v>1</v>
      </c>
      <c r="K14" s="13">
        <v>11</v>
      </c>
      <c r="L14" s="13">
        <f t="shared" si="0"/>
        <v>1</v>
      </c>
      <c r="M14" s="13">
        <f t="shared" si="1"/>
        <v>3</v>
      </c>
      <c r="N14" s="14">
        <f t="shared" si="2"/>
        <v>1101001</v>
      </c>
      <c r="O14" s="14" t="str">
        <f t="shared" si="3"/>
        <v>常服曹焱兵11突</v>
      </c>
      <c r="P14" s="29" t="s">
        <v>341</v>
      </c>
      <c r="Q14" s="14">
        <f t="shared" si="4"/>
        <v>1</v>
      </c>
      <c r="R14" s="14">
        <f t="shared" si="5"/>
        <v>11</v>
      </c>
      <c r="S14" s="14" t="s">
        <v>39</v>
      </c>
      <c r="T14" s="14">
        <f>ROUND(((IF(Q14=1,INDEX(新属性投放!$J$14:$J$34,卡牌属性!R14),INDEX(新属性投放!$J$42:$J$62,卡牌属性!R14)))*INDEX($G$5:$G$42,L14)+IF(Q14=1,INDEX(新属性投放!R$20:R$23,卡牌属性!M14-1),INDEX(新属性投放!R$25:R$28,卡牌属性!M14-1)))/SQRT(INDEX($I$5:$I$42,L14)),2)</f>
        <v>4853.53</v>
      </c>
      <c r="U14" s="29" t="s">
        <v>178</v>
      </c>
      <c r="V14" s="14">
        <f>ROUND((IF(Q14=1,INDEX(新属性投放!$K$14:$K$34,卡牌属性!R14),INDEX(新属性投放!$K$42:$K$62,卡牌属性!R14))+IF(Q14=1,INDEX(新属性投放!S$20:S$23,卡牌属性!M14-1),INDEX(新属性投放!S$25:S$28,卡牌属性!M14-1)))*INDEX($G$5:$G$42,L14),2)</f>
        <v>2354.91</v>
      </c>
      <c r="W14" s="29" t="s">
        <v>179</v>
      </c>
      <c r="X14" s="14">
        <f>ROUND((IF(Q14=1,INDEX(新属性投放!$L$14:$L$34,卡牌属性!R14),INDEX(新属性投放!$L$42:$L$62,卡牌属性!R14))*INDEX($G$5:$G$42,L14)+IF(Q14=1,INDEX(新属性投放!T$20:T$23,卡牌属性!M14-1),INDEX(新属性投放!T$25:T$28,卡牌属性!M14-1)))*SQRT(INDEX($I$5:$I$42,L14)),2)</f>
        <v>15125.58</v>
      </c>
      <c r="Y14" s="29" t="s">
        <v>177</v>
      </c>
      <c r="Z14" s="14">
        <f>ROUND(IF(Q14=1,INDEX(新属性投放!$D$14:$D$34,卡牌属性!R14),INDEX(新属性投放!$D$42:$D$62,卡牌属性!R14))*INDEX($G$5:$G$42,L14)/SQRT(INDEX($I$5:$I$42,L14)),2)</f>
        <v>118.84</v>
      </c>
      <c r="AA14" s="29" t="s">
        <v>178</v>
      </c>
      <c r="AB14" s="14">
        <f>ROUND(IF(Q14=1,INDEX(新属性投放!$E$14:$E$34,卡牌属性!R14),INDEX(新属性投放!$E$42:$E$62,卡牌属性!R14))*INDEX($G$5:$G$42,L14),2)</f>
        <v>59.42</v>
      </c>
      <c r="AC14" s="29" t="s">
        <v>179</v>
      </c>
      <c r="AD14" s="14">
        <f>ROUND(IF(Q14=1,INDEX(新属性投放!$F$14:$F$34,卡牌属性!R14),INDEX(新属性投放!$F$42:$F$62,卡牌属性!R14))*INDEX($G$5:$G$42,L14)*SQRT(INDEX($I$5:$I$42,L14)),2)</f>
        <v>356.52</v>
      </c>
      <c r="AF14" s="14">
        <f t="shared" si="6"/>
        <v>1188</v>
      </c>
      <c r="AG14" s="14">
        <f t="shared" si="7"/>
        <v>594</v>
      </c>
      <c r="AH14" s="14">
        <f t="shared" si="8"/>
        <v>3565</v>
      </c>
      <c r="AJ14" s="14">
        <f t="shared" si="9"/>
        <v>4963</v>
      </c>
      <c r="AK14" s="14">
        <f t="shared" si="10"/>
        <v>2479</v>
      </c>
      <c r="AL14" s="14">
        <f t="shared" si="11"/>
        <v>14897</v>
      </c>
      <c r="AN14" t="s">
        <v>137</v>
      </c>
      <c r="AO14" s="20">
        <v>4</v>
      </c>
    </row>
    <row r="15" spans="1:53" ht="16.5" x14ac:dyDescent="0.2">
      <c r="A15" s="13">
        <v>1101011</v>
      </c>
      <c r="B15" s="13" t="s">
        <v>145</v>
      </c>
      <c r="C15" s="13">
        <v>1</v>
      </c>
      <c r="D15" s="13">
        <v>3</v>
      </c>
      <c r="E15" s="13">
        <f>INDEX(新属性投放!$E$7:$E$8,卡牌属性!C15)</f>
        <v>21</v>
      </c>
      <c r="F15" s="13">
        <f>SUM(E$5:E15)</f>
        <v>231</v>
      </c>
      <c r="G15" s="14">
        <f>INDEX(新属性投放!$L$6:$L$10,卡牌属性!D15)</f>
        <v>1.1499999999999999</v>
      </c>
      <c r="H15" s="13">
        <v>1</v>
      </c>
      <c r="I15" s="13">
        <v>1</v>
      </c>
      <c r="K15" s="13">
        <v>12</v>
      </c>
      <c r="L15" s="13">
        <f t="shared" si="0"/>
        <v>1</v>
      </c>
      <c r="M15" s="13">
        <f t="shared" si="1"/>
        <v>3</v>
      </c>
      <c r="N15" s="14">
        <f t="shared" si="2"/>
        <v>1101001</v>
      </c>
      <c r="O15" s="14" t="str">
        <f t="shared" si="3"/>
        <v>常服曹焱兵12突</v>
      </c>
      <c r="P15" s="29" t="s">
        <v>341</v>
      </c>
      <c r="Q15" s="14">
        <f t="shared" si="4"/>
        <v>1</v>
      </c>
      <c r="R15" s="14">
        <f t="shared" si="5"/>
        <v>12</v>
      </c>
      <c r="S15" s="14" t="s">
        <v>39</v>
      </c>
      <c r="T15" s="14">
        <f>ROUND(((IF(Q15=1,INDEX(新属性投放!$J$14:$J$34,卡牌属性!R15),INDEX(新属性投放!$J$42:$J$62,卡牌属性!R15)))*INDEX($G$5:$G$42,L15)+IF(Q15=1,INDEX(新属性投放!R$20:R$23,卡牌属性!M15-1),INDEX(新属性投放!R$25:R$28,卡牌属性!M15-1)))/SQRT(INDEX($I$5:$I$42,L15)),2)</f>
        <v>6338.64</v>
      </c>
      <c r="U15" s="29" t="s">
        <v>178</v>
      </c>
      <c r="V15" s="14">
        <f>ROUND((IF(Q15=1,INDEX(新属性投放!$K$14:$K$34,卡牌属性!R15),INDEX(新属性投放!$K$42:$K$62,卡牌属性!R15))+IF(Q15=1,INDEX(新属性投放!S$20:S$23,卡牌属性!M15-1),INDEX(新属性投放!S$25:S$28,卡牌属性!M15-1)))*INDEX($G$5:$G$42,L15),2)</f>
        <v>3097.47</v>
      </c>
      <c r="W15" s="29" t="s">
        <v>179</v>
      </c>
      <c r="X15" s="14">
        <f>ROUND((IF(Q15=1,INDEX(新属性投放!$L$14:$L$34,卡牌属性!R15),INDEX(新属性投放!$L$42:$L$62,卡牌属性!R15))*INDEX($G$5:$G$42,L15)+IF(Q15=1,INDEX(新属性投放!T$20:T$23,卡牌属性!M15-1),INDEX(新属性投放!T$25:T$28,卡牌属性!M15-1)))*SQRT(INDEX($I$5:$I$42,L15)),2)</f>
        <v>19580.91</v>
      </c>
      <c r="Y15" s="29" t="s">
        <v>177</v>
      </c>
      <c r="Z15" s="14">
        <f>ROUND(IF(Q15=1,INDEX(新属性投放!$D$14:$D$34,卡牌属性!R15),INDEX(新属性投放!$D$42:$D$62,卡牌属性!R15))*INDEX($G$5:$G$42,L15)/SQRT(INDEX($I$5:$I$42,L15)),2)</f>
        <v>155.96</v>
      </c>
      <c r="AA15" s="29" t="s">
        <v>178</v>
      </c>
      <c r="AB15" s="14">
        <f>ROUND(IF(Q15=1,INDEX(新属性投放!$E$14:$E$34,卡牌属性!R15),INDEX(新属性投放!$E$42:$E$62,卡牌属性!R15))*INDEX($G$5:$G$42,L15),2)</f>
        <v>77.98</v>
      </c>
      <c r="AC15" s="29" t="s">
        <v>179</v>
      </c>
      <c r="AD15" s="14">
        <f>ROUND(IF(Q15=1,INDEX(新属性投放!$F$14:$F$34,卡牌属性!R15),INDEX(新属性投放!$F$42:$F$62,卡牌属性!R15))*INDEX($G$5:$G$42,L15)*SQRT(INDEX($I$5:$I$42,L15)),2)</f>
        <v>467.89</v>
      </c>
      <c r="AF15" s="14">
        <f t="shared" si="6"/>
        <v>1559</v>
      </c>
      <c r="AG15" s="14">
        <f t="shared" si="7"/>
        <v>779</v>
      </c>
      <c r="AH15" s="14">
        <f t="shared" si="8"/>
        <v>4678</v>
      </c>
      <c r="AJ15" s="14">
        <f t="shared" si="9"/>
        <v>6522</v>
      </c>
      <c r="AK15" s="14">
        <f t="shared" si="10"/>
        <v>3258</v>
      </c>
      <c r="AL15" s="14">
        <f t="shared" si="11"/>
        <v>19575</v>
      </c>
      <c r="AN15" t="s">
        <v>161</v>
      </c>
      <c r="AO15" s="20">
        <v>4</v>
      </c>
    </row>
    <row r="16" spans="1:53" ht="16.5" x14ac:dyDescent="0.2">
      <c r="A16" s="13">
        <v>1101012</v>
      </c>
      <c r="B16" s="13" t="s">
        <v>146</v>
      </c>
      <c r="C16" s="13">
        <v>1</v>
      </c>
      <c r="D16" s="13">
        <v>2</v>
      </c>
      <c r="E16" s="13">
        <f>INDEX(新属性投放!$E$7:$E$8,卡牌属性!C16)</f>
        <v>21</v>
      </c>
      <c r="F16" s="13">
        <f>SUM(E$5:E16)</f>
        <v>252</v>
      </c>
      <c r="G16" s="14">
        <f>INDEX(新属性投放!$L$6:$L$10,卡牌属性!D16)</f>
        <v>1</v>
      </c>
      <c r="H16" s="13">
        <v>1</v>
      </c>
      <c r="I16" s="13">
        <v>1</v>
      </c>
      <c r="K16" s="13">
        <v>13</v>
      </c>
      <c r="L16" s="13">
        <f t="shared" si="0"/>
        <v>1</v>
      </c>
      <c r="M16" s="13">
        <f t="shared" si="1"/>
        <v>3</v>
      </c>
      <c r="N16" s="14">
        <f t="shared" si="2"/>
        <v>1101001</v>
      </c>
      <c r="O16" s="14" t="str">
        <f t="shared" si="3"/>
        <v>常服曹焱兵13突</v>
      </c>
      <c r="P16" s="29" t="s">
        <v>341</v>
      </c>
      <c r="Q16" s="14">
        <f t="shared" si="4"/>
        <v>1</v>
      </c>
      <c r="R16" s="14">
        <f t="shared" si="5"/>
        <v>13</v>
      </c>
      <c r="S16" s="14" t="s">
        <v>39</v>
      </c>
      <c r="T16" s="14">
        <f>ROUND(((IF(Q16=1,INDEX(新属性投放!$J$14:$J$34,卡牌属性!R16),INDEX(新属性投放!$J$42:$J$62,卡牌属性!R16)))*INDEX($G$5:$G$42,L16)+IF(Q16=1,INDEX(新属性投放!R$20:R$23,卡牌属性!M16-1),INDEX(新属性投放!R$25:R$28,卡牌属性!M16-1)))/SQRT(INDEX($I$5:$I$42,L16)),2)</f>
        <v>8288.1200000000008</v>
      </c>
      <c r="U16" s="29" t="s">
        <v>178</v>
      </c>
      <c r="V16" s="14">
        <f>ROUND((IF(Q16=1,INDEX(新属性投放!$K$14:$K$34,卡牌属性!R16),INDEX(新属性投放!$K$42:$K$62,卡牌属性!R16))+IF(Q16=1,INDEX(新属性投放!S$20:S$23,卡牌属性!M16-1),INDEX(新属性投放!S$25:S$28,卡牌属性!M16-1)))*INDEX($G$5:$G$42,L16),2)</f>
        <v>4072.78</v>
      </c>
      <c r="W16" s="29" t="s">
        <v>179</v>
      </c>
      <c r="X16" s="14">
        <f>ROUND((IF(Q16=1,INDEX(新属性投放!$L$14:$L$34,卡牌属性!R16),INDEX(新属性投放!$L$42:$L$62,卡牌属性!R16))*INDEX($G$5:$G$42,L16)+IF(Q16=1,INDEX(新属性投放!T$20:T$23,卡牌属性!M16-1),INDEX(新属性投放!T$25:T$28,卡牌属性!M16-1)))*SQRT(INDEX($I$5:$I$42,L16)),2)</f>
        <v>25429.35</v>
      </c>
      <c r="Y16" s="29" t="s">
        <v>177</v>
      </c>
      <c r="Z16" s="14">
        <f>ROUND(IF(Q16=1,INDEX(新属性投放!$D$14:$D$34,卡牌属性!R16),INDEX(新属性投放!$D$42:$D$62,卡牌属性!R16))*INDEX($G$5:$G$42,L16)/SQRT(INDEX($I$5:$I$42,L16)),2)</f>
        <v>204.7</v>
      </c>
      <c r="AA16" s="29" t="s">
        <v>178</v>
      </c>
      <c r="AB16" s="14">
        <f>ROUND(IF(Q16=1,INDEX(新属性投放!$E$14:$E$34,卡牌属性!R16),INDEX(新属性投放!$E$42:$E$62,卡牌属性!R16))*INDEX($G$5:$G$42,L16),2)</f>
        <v>102.35</v>
      </c>
      <c r="AC16" s="29" t="s">
        <v>179</v>
      </c>
      <c r="AD16" s="14">
        <f>ROUND(IF(Q16=1,INDEX(新属性投放!$F$14:$F$34,卡牌属性!R16),INDEX(新属性投放!$F$42:$F$62,卡牌属性!R16))*INDEX($G$5:$G$42,L16)*SQRT(INDEX($I$5:$I$42,L16)),2)</f>
        <v>614.1</v>
      </c>
      <c r="AF16" s="14">
        <f t="shared" si="6"/>
        <v>2047</v>
      </c>
      <c r="AG16" s="14">
        <f t="shared" si="7"/>
        <v>1023</v>
      </c>
      <c r="AH16" s="14">
        <f t="shared" si="8"/>
        <v>6141</v>
      </c>
      <c r="AJ16" s="14">
        <f t="shared" si="9"/>
        <v>8569</v>
      </c>
      <c r="AK16" s="14">
        <f t="shared" si="10"/>
        <v>4281</v>
      </c>
      <c r="AL16" s="14">
        <f t="shared" si="11"/>
        <v>25716</v>
      </c>
      <c r="AN16" t="s">
        <v>150</v>
      </c>
      <c r="AO16" s="20">
        <v>4</v>
      </c>
    </row>
    <row r="17" spans="1:41" ht="16.5" x14ac:dyDescent="0.2">
      <c r="A17" s="13">
        <v>1101013</v>
      </c>
      <c r="B17" s="13" t="s">
        <v>147</v>
      </c>
      <c r="C17" s="13">
        <v>1</v>
      </c>
      <c r="D17" s="13">
        <v>2</v>
      </c>
      <c r="E17" s="13">
        <f>INDEX(新属性投放!$E$7:$E$8,卡牌属性!C17)</f>
        <v>21</v>
      </c>
      <c r="F17" s="13">
        <f>SUM(E$5:E17)</f>
        <v>273</v>
      </c>
      <c r="G17" s="14">
        <f>INDEX(新属性投放!$L$6:$L$10,卡牌属性!D17)</f>
        <v>1</v>
      </c>
      <c r="H17" s="13">
        <v>1</v>
      </c>
      <c r="I17" s="13">
        <v>1</v>
      </c>
      <c r="K17" s="13">
        <v>14</v>
      </c>
      <c r="L17" s="13">
        <f t="shared" si="0"/>
        <v>1</v>
      </c>
      <c r="M17" s="13">
        <f t="shared" si="1"/>
        <v>3</v>
      </c>
      <c r="N17" s="14">
        <f t="shared" si="2"/>
        <v>1101001</v>
      </c>
      <c r="O17" s="14" t="str">
        <f t="shared" si="3"/>
        <v>常服曹焱兵14突</v>
      </c>
      <c r="P17" s="29" t="s">
        <v>341</v>
      </c>
      <c r="Q17" s="14">
        <f t="shared" si="4"/>
        <v>1</v>
      </c>
      <c r="R17" s="14">
        <f t="shared" si="5"/>
        <v>14</v>
      </c>
      <c r="S17" s="14" t="s">
        <v>39</v>
      </c>
      <c r="T17" s="14">
        <f>ROUND(((IF(Q17=1,INDEX(新属性投放!$J$14:$J$34,卡牌属性!R17),INDEX(新属性投放!$J$42:$J$62,卡牌属性!R17)))*INDEX($G$5:$G$42,L17)+IF(Q17=1,INDEX(新属性投放!R$20:R$23,卡牌属性!M17-1),INDEX(新属性投放!R$25:R$28,卡牌属性!M17-1)))/SQRT(INDEX($I$5:$I$42,L17)),2)</f>
        <v>10846.87</v>
      </c>
      <c r="U17" s="29" t="s">
        <v>178</v>
      </c>
      <c r="V17" s="14">
        <f>ROUND((IF(Q17=1,INDEX(新属性投放!$K$14:$K$34,卡牌属性!R17),INDEX(新属性投放!$K$42:$K$62,卡牌属性!R17))+IF(Q17=1,INDEX(新属性投放!S$20:S$23,卡牌属性!M17-1),INDEX(新属性投放!S$25:S$28,卡牌属性!M17-1)))*INDEX($G$5:$G$42,L17),2)</f>
        <v>5352.73</v>
      </c>
      <c r="W17" s="29" t="s">
        <v>179</v>
      </c>
      <c r="X17" s="14">
        <f>ROUND((IF(Q17=1,INDEX(新属性投放!$L$14:$L$34,卡牌属性!R17),INDEX(新属性投放!$L$42:$L$62,卡牌属性!R17))*INDEX($G$5:$G$42,L17)+IF(Q17=1,INDEX(新属性投放!T$20:T$23,卡牌属性!M17-1),INDEX(新属性投放!T$25:T$28,卡牌属性!M17-1)))*SQRT(INDEX($I$5:$I$42,L17)),2)</f>
        <v>33105.599999999999</v>
      </c>
      <c r="Y17" s="29" t="s">
        <v>177</v>
      </c>
      <c r="Z17" s="14">
        <f>ROUND(IF(Q17=1,INDEX(新属性投放!$D$14:$D$34,卡牌属性!R17),INDEX(新属性投放!$D$42:$D$62,卡牌属性!R17))*INDEX($G$5:$G$42,L17)/SQRT(INDEX($I$5:$I$42,L17)),2)</f>
        <v>268.67</v>
      </c>
      <c r="AA17" s="29" t="s">
        <v>178</v>
      </c>
      <c r="AB17" s="14">
        <f>ROUND(IF(Q17=1,INDEX(新属性投放!$E$14:$E$34,卡牌属性!R17),INDEX(新属性投放!$E$42:$E$62,卡牌属性!R17))*INDEX($G$5:$G$42,L17),2)</f>
        <v>134.34</v>
      </c>
      <c r="AC17" s="29" t="s">
        <v>179</v>
      </c>
      <c r="AD17" s="14">
        <f>ROUND(IF(Q17=1,INDEX(新属性投放!$F$14:$F$34,卡牌属性!R17),INDEX(新属性投放!$F$42:$F$62,卡牌属性!R17))*INDEX($G$5:$G$42,L17)*SQRT(INDEX($I$5:$I$42,L17)),2)</f>
        <v>806.02</v>
      </c>
      <c r="AF17" s="14">
        <f t="shared" si="6"/>
        <v>2686</v>
      </c>
      <c r="AG17" s="14">
        <f t="shared" si="7"/>
        <v>1343</v>
      </c>
      <c r="AH17" s="14">
        <f t="shared" si="8"/>
        <v>8060</v>
      </c>
      <c r="AJ17" s="14">
        <f t="shared" si="9"/>
        <v>11255</v>
      </c>
      <c r="AK17" s="14">
        <f t="shared" si="10"/>
        <v>5624</v>
      </c>
      <c r="AL17" s="14">
        <f t="shared" si="11"/>
        <v>33776</v>
      </c>
      <c r="AN17" t="s">
        <v>154</v>
      </c>
      <c r="AO17" s="20">
        <v>4</v>
      </c>
    </row>
    <row r="18" spans="1:41" ht="16.5" x14ac:dyDescent="0.2">
      <c r="A18" s="13">
        <v>1101014</v>
      </c>
      <c r="B18" s="13" t="s">
        <v>148</v>
      </c>
      <c r="C18" s="13">
        <v>1</v>
      </c>
      <c r="D18" s="13">
        <v>3</v>
      </c>
      <c r="E18" s="13">
        <f>INDEX(新属性投放!$E$7:$E$8,卡牌属性!C18)</f>
        <v>21</v>
      </c>
      <c r="F18" s="13">
        <f>SUM(E$5:E18)</f>
        <v>294</v>
      </c>
      <c r="G18" s="14">
        <f>INDEX(新属性投放!$L$6:$L$10,卡牌属性!D18)</f>
        <v>1.1499999999999999</v>
      </c>
      <c r="H18" s="13">
        <v>1</v>
      </c>
      <c r="I18" s="13">
        <v>1</v>
      </c>
      <c r="K18" s="13">
        <v>15</v>
      </c>
      <c r="L18" s="13">
        <f t="shared" si="0"/>
        <v>1</v>
      </c>
      <c r="M18" s="13">
        <f t="shared" si="1"/>
        <v>3</v>
      </c>
      <c r="N18" s="14">
        <f t="shared" si="2"/>
        <v>1101001</v>
      </c>
      <c r="O18" s="14" t="str">
        <f t="shared" si="3"/>
        <v>常服曹焱兵15突</v>
      </c>
      <c r="P18" s="29" t="s">
        <v>341</v>
      </c>
      <c r="Q18" s="14">
        <f t="shared" si="4"/>
        <v>1</v>
      </c>
      <c r="R18" s="14">
        <f t="shared" si="5"/>
        <v>15</v>
      </c>
      <c r="S18" s="14" t="s">
        <v>39</v>
      </c>
      <c r="T18" s="14">
        <f>ROUND(((IF(Q18=1,INDEX(新属性投放!$J$14:$J$34,卡牌属性!R18),INDEX(新属性投放!$J$42:$J$62,卡牌属性!R18)))*INDEX($G$5:$G$42,L18)+IF(Q18=1,INDEX(新属性投放!R$20:R$23,卡牌属性!M18-1),INDEX(新属性投放!R$25:R$28,卡牌属性!M18-1)))/SQRT(INDEX($I$5:$I$42,L18)),2)</f>
        <v>14205.21</v>
      </c>
      <c r="U18" s="29" t="s">
        <v>178</v>
      </c>
      <c r="V18" s="14">
        <f>ROUND((IF(Q18=1,INDEX(新属性投放!$K$14:$K$34,卡牌属性!R18),INDEX(新属性投放!$K$42:$K$62,卡牌属性!R18))+IF(Q18=1,INDEX(新属性投放!S$20:S$23,卡牌属性!M18-1),INDEX(新属性投放!S$25:S$28,卡牌属性!M18-1)))*INDEX($G$5:$G$42,L18),2)</f>
        <v>7031.91</v>
      </c>
      <c r="W18" s="29" t="s">
        <v>179</v>
      </c>
      <c r="X18" s="14">
        <f>ROUND((IF(Q18=1,INDEX(新属性投放!$L$14:$L$34,卡牌属性!R18),INDEX(新属性投放!$L$42:$L$62,卡牌属性!R18))*INDEX($G$5:$G$42,L18)+IF(Q18=1,INDEX(新属性投放!T$20:T$23,卡牌属性!M18-1),INDEX(新属性投放!T$25:T$28,卡牌属性!M18-1)))*SQRT(INDEX($I$5:$I$42,L18)),2)</f>
        <v>43180.63</v>
      </c>
      <c r="Y18" s="29" t="s">
        <v>177</v>
      </c>
      <c r="Z18" s="14">
        <f>ROUND(IF(Q18=1,INDEX(新属性投放!$D$14:$D$34,卡牌属性!R18),INDEX(新属性投放!$D$42:$D$62,卡牌属性!R18))*INDEX($G$5:$G$42,L18)/SQRT(INDEX($I$5:$I$42,L18)),2)</f>
        <v>352.64</v>
      </c>
      <c r="AA18" s="29" t="s">
        <v>178</v>
      </c>
      <c r="AB18" s="14">
        <f>ROUND(IF(Q18=1,INDEX(新属性投放!$E$14:$E$34,卡牌属性!R18),INDEX(新属性投放!$E$42:$E$62,卡牌属性!R18))*INDEX($G$5:$G$42,L18),2)</f>
        <v>176.32</v>
      </c>
      <c r="AC18" s="29" t="s">
        <v>179</v>
      </c>
      <c r="AD18" s="14">
        <f>ROUND(IF(Q18=1,INDEX(新属性投放!$F$14:$F$34,卡牌属性!R18),INDEX(新属性投放!$F$42:$F$62,卡牌属性!R18))*INDEX($G$5:$G$42,L18)*SQRT(INDEX($I$5:$I$42,L18)),2)</f>
        <v>1057.9100000000001</v>
      </c>
      <c r="AF18" s="14">
        <f t="shared" si="6"/>
        <v>3526</v>
      </c>
      <c r="AG18" s="14">
        <f t="shared" si="7"/>
        <v>1763</v>
      </c>
      <c r="AH18" s="14">
        <f t="shared" si="8"/>
        <v>10579</v>
      </c>
      <c r="AJ18" s="14">
        <f t="shared" si="9"/>
        <v>14781</v>
      </c>
      <c r="AK18" s="14">
        <f t="shared" si="10"/>
        <v>7387</v>
      </c>
      <c r="AL18" s="14">
        <f t="shared" si="11"/>
        <v>44355</v>
      </c>
      <c r="AN18" t="s">
        <v>143</v>
      </c>
      <c r="AO18" s="20">
        <v>4</v>
      </c>
    </row>
    <row r="19" spans="1:41" ht="16.5" x14ac:dyDescent="0.2">
      <c r="A19" s="13">
        <v>1101015</v>
      </c>
      <c r="B19" s="13" t="s">
        <v>149</v>
      </c>
      <c r="C19" s="13">
        <v>1</v>
      </c>
      <c r="D19" s="13">
        <v>3</v>
      </c>
      <c r="E19" s="13">
        <f>INDEX(新属性投放!$E$7:$E$8,卡牌属性!C19)</f>
        <v>21</v>
      </c>
      <c r="F19" s="13">
        <f>SUM(E$5:E19)</f>
        <v>315</v>
      </c>
      <c r="G19" s="14">
        <f>INDEX(新属性投放!$L$6:$L$10,卡牌属性!D19)</f>
        <v>1.1499999999999999</v>
      </c>
      <c r="H19" s="13">
        <v>1</v>
      </c>
      <c r="I19" s="13">
        <v>1</v>
      </c>
      <c r="K19" s="13">
        <v>16</v>
      </c>
      <c r="L19" s="13">
        <f t="shared" si="0"/>
        <v>1</v>
      </c>
      <c r="M19" s="13">
        <f t="shared" si="1"/>
        <v>3</v>
      </c>
      <c r="N19" s="14">
        <f t="shared" si="2"/>
        <v>1101001</v>
      </c>
      <c r="O19" s="14" t="str">
        <f t="shared" si="3"/>
        <v>常服曹焱兵16突</v>
      </c>
      <c r="P19" s="29" t="s">
        <v>341</v>
      </c>
      <c r="Q19" s="14">
        <f t="shared" si="4"/>
        <v>1</v>
      </c>
      <c r="R19" s="14">
        <f t="shared" si="5"/>
        <v>16</v>
      </c>
      <c r="S19" s="14" t="s">
        <v>39</v>
      </c>
      <c r="T19" s="14">
        <f>ROUND(((IF(Q19=1,INDEX(新属性投放!$J$14:$J$34,卡牌属性!R19),INDEX(新属性投放!$J$42:$J$62,卡牌属性!R19)))*INDEX($G$5:$G$42,L19)+IF(Q19=1,INDEX(新属性投放!R$20:R$23,卡牌属性!M19-1),INDEX(新属性投放!R$25:R$28,卡牌属性!M19-1)))/SQRT(INDEX($I$5:$I$42,L19)),2)</f>
        <v>18613.62</v>
      </c>
      <c r="U19" s="29" t="s">
        <v>178</v>
      </c>
      <c r="V19" s="14">
        <f>ROUND((IF(Q19=1,INDEX(新属性投放!$K$14:$K$34,卡牌属性!R19),INDEX(新属性投放!$K$42:$K$62,卡牌属性!R19))+IF(Q19=1,INDEX(新属性投放!S$20:S$23,卡牌属性!M19-1),INDEX(新属性投放!S$25:S$28,卡牌属性!M19-1)))*INDEX($G$5:$G$42,L19),2)</f>
        <v>9235.5400000000009</v>
      </c>
      <c r="W19" s="29" t="s">
        <v>179</v>
      </c>
      <c r="X19" s="14">
        <f>ROUND((IF(Q19=1,INDEX(新属性投放!$L$14:$L$34,卡牌属性!R19),INDEX(新属性投放!$L$42:$L$62,卡牌属性!R19))*INDEX($G$5:$G$42,L19)+IF(Q19=1,INDEX(新属性投放!T$20:T$23,卡牌属性!M19-1),INDEX(新属性投放!T$25:T$28,卡牌属性!M19-1)))*SQRT(INDEX($I$5:$I$42,L19)),2)</f>
        <v>56405.86</v>
      </c>
      <c r="Y19" s="29" t="s">
        <v>177</v>
      </c>
      <c r="Z19" s="14">
        <f>ROUND(IF(Q19=1,INDEX(新属性投放!$D$14:$D$34,卡牌属性!R19),INDEX(新属性投放!$D$42:$D$62,卡牌属性!R19))*INDEX($G$5:$G$42,L19)/SQRT(INDEX($I$5:$I$42,L19)),2)</f>
        <v>462.84</v>
      </c>
      <c r="AA19" s="29" t="s">
        <v>178</v>
      </c>
      <c r="AB19" s="14">
        <f>ROUND(IF(Q19=1,INDEX(新属性投放!$E$14:$E$34,卡牌属性!R19),INDEX(新属性投放!$E$42:$E$62,卡牌属性!R19))*INDEX($G$5:$G$42,L19),2)</f>
        <v>231.42</v>
      </c>
      <c r="AC19" s="29" t="s">
        <v>179</v>
      </c>
      <c r="AD19" s="14">
        <f>ROUND(IF(Q19=1,INDEX(新属性投放!$F$14:$F$34,卡牌属性!R19),INDEX(新属性投放!$F$42:$F$62,卡牌属性!R19))*INDEX($G$5:$G$42,L19)*SQRT(INDEX($I$5:$I$42,L19)),2)</f>
        <v>1388.52</v>
      </c>
      <c r="AF19" s="14">
        <f t="shared" si="6"/>
        <v>4628</v>
      </c>
      <c r="AG19" s="14">
        <f t="shared" si="7"/>
        <v>2314</v>
      </c>
      <c r="AH19" s="14">
        <f t="shared" si="8"/>
        <v>13885</v>
      </c>
      <c r="AJ19" s="14">
        <f t="shared" si="9"/>
        <v>19409</v>
      </c>
      <c r="AK19" s="14">
        <f t="shared" si="10"/>
        <v>9701</v>
      </c>
      <c r="AL19" s="14">
        <f t="shared" si="11"/>
        <v>58240</v>
      </c>
      <c r="AN19" t="s">
        <v>138</v>
      </c>
      <c r="AO19" s="20">
        <v>4</v>
      </c>
    </row>
    <row r="20" spans="1:41" ht="16.5" x14ac:dyDescent="0.2">
      <c r="A20" s="13">
        <v>1101041</v>
      </c>
      <c r="B20" s="13" t="s">
        <v>524</v>
      </c>
      <c r="C20" s="13">
        <v>1</v>
      </c>
      <c r="D20" s="13">
        <v>2</v>
      </c>
      <c r="E20" s="13">
        <f>INDEX(新属性投放!$E$7:$E$8,卡牌属性!C20)</f>
        <v>21</v>
      </c>
      <c r="F20" s="13">
        <f>SUM(E$5:E20)</f>
        <v>336</v>
      </c>
      <c r="G20" s="14">
        <f>INDEX(新属性投放!$L$6:$L$10,卡牌属性!D20)</f>
        <v>1</v>
      </c>
      <c r="H20" s="13">
        <v>1</v>
      </c>
      <c r="I20" s="13">
        <v>1</v>
      </c>
      <c r="K20" s="13">
        <v>17</v>
      </c>
      <c r="L20" s="13">
        <f t="shared" si="0"/>
        <v>1</v>
      </c>
      <c r="M20" s="13">
        <f t="shared" si="1"/>
        <v>3</v>
      </c>
      <c r="N20" s="14">
        <f t="shared" si="2"/>
        <v>1101001</v>
      </c>
      <c r="O20" s="14" t="str">
        <f t="shared" si="3"/>
        <v>常服曹焱兵17突</v>
      </c>
      <c r="P20" s="29" t="s">
        <v>341</v>
      </c>
      <c r="Q20" s="14">
        <f t="shared" si="4"/>
        <v>1</v>
      </c>
      <c r="R20" s="14">
        <f t="shared" si="5"/>
        <v>17</v>
      </c>
      <c r="S20" s="14" t="s">
        <v>39</v>
      </c>
      <c r="T20" s="14">
        <f>ROUND(((IF(Q20=1,INDEX(新属性投放!$J$14:$J$34,卡牌属性!R20),INDEX(新属性投放!$J$42:$J$62,卡牌属性!R20)))*INDEX($G$5:$G$42,L20)+IF(Q20=1,INDEX(新属性投放!R$20:R$23,卡牌属性!M20-1),INDEX(新属性投放!R$25:R$28,卡牌属性!M20-1)))/SQRT(INDEX($I$5:$I$42,L20)),2)</f>
        <v>24398.93</v>
      </c>
      <c r="U20" s="29" t="s">
        <v>178</v>
      </c>
      <c r="V20" s="14">
        <f>ROUND((IF(Q20=1,INDEX(新属性投放!$K$14:$K$34,卡牌属性!R20),INDEX(新属性投放!$K$42:$K$62,卡牌属性!R20))+IF(Q20=1,INDEX(新属性投放!S$20:S$23,卡牌属性!M20-1),INDEX(新属性投放!S$25:S$28,卡牌属性!M20-1)))*INDEX($G$5:$G$42,L20),2)</f>
        <v>12128.19</v>
      </c>
      <c r="W20" s="29" t="s">
        <v>179</v>
      </c>
      <c r="X20" s="14">
        <f>ROUND((IF(Q20=1,INDEX(新属性投放!$L$14:$L$34,卡牌属性!R20),INDEX(新属性投放!$L$42:$L$62,卡牌属性!R20))*INDEX($G$5:$G$42,L20)+IF(Q20=1,INDEX(新属性投放!T$20:T$23,卡牌属性!M20-1),INDEX(新属性投放!T$25:T$28,卡牌属性!M20-1)))*SQRT(INDEX($I$5:$I$42,L20)),2)</f>
        <v>73761.78</v>
      </c>
      <c r="Y20" s="29" t="s">
        <v>177</v>
      </c>
      <c r="Z20" s="14">
        <f>ROUND(IF(Q20=1,INDEX(新属性投放!$D$14:$D$34,卡牌属性!R20),INDEX(新属性投放!$D$42:$D$62,卡牌属性!R20))*INDEX($G$5:$G$42,L20)/SQRT(INDEX($I$5:$I$42,L20)),2)</f>
        <v>607.48</v>
      </c>
      <c r="AA20" s="29" t="s">
        <v>178</v>
      </c>
      <c r="AB20" s="14">
        <f>ROUND(IF(Q20=1,INDEX(新属性投放!$E$14:$E$34,卡牌属性!R20),INDEX(新属性投放!$E$42:$E$62,卡牌属性!R20))*INDEX($G$5:$G$42,L20),2)</f>
        <v>303.74</v>
      </c>
      <c r="AC20" s="29" t="s">
        <v>179</v>
      </c>
      <c r="AD20" s="14">
        <f>ROUND(IF(Q20=1,INDEX(新属性投放!$F$14:$F$34,卡牌属性!R20),INDEX(新属性投放!$F$42:$F$62,卡牌属性!R20))*INDEX($G$5:$G$42,L20)*SQRT(INDEX($I$5:$I$42,L20)),2)</f>
        <v>1822.43</v>
      </c>
      <c r="AF20" s="14">
        <f t="shared" si="6"/>
        <v>6074</v>
      </c>
      <c r="AG20" s="14">
        <f t="shared" si="7"/>
        <v>3037</v>
      </c>
      <c r="AH20" s="14">
        <f t="shared" si="8"/>
        <v>18224</v>
      </c>
      <c r="AJ20" s="14">
        <f t="shared" si="9"/>
        <v>25483</v>
      </c>
      <c r="AK20" s="14">
        <f t="shared" si="10"/>
        <v>12738</v>
      </c>
      <c r="AL20" s="14">
        <f t="shared" si="11"/>
        <v>76464</v>
      </c>
      <c r="AN20" t="s">
        <v>140</v>
      </c>
      <c r="AO20" s="20">
        <v>4</v>
      </c>
    </row>
    <row r="21" spans="1:41" ht="16.5" x14ac:dyDescent="0.2">
      <c r="A21" s="13">
        <v>1102001</v>
      </c>
      <c r="B21" s="13" t="s">
        <v>150</v>
      </c>
      <c r="C21" s="13">
        <v>2</v>
      </c>
      <c r="D21" s="13">
        <v>5</v>
      </c>
      <c r="E21" s="13">
        <f>INDEX(新属性投放!$E$7:$E$8,卡牌属性!C21)</f>
        <v>21</v>
      </c>
      <c r="F21" s="13">
        <f>SUM(E$5:E21)</f>
        <v>357</v>
      </c>
      <c r="G21" s="14">
        <f>INDEX(新属性投放!$L$6:$L$10,卡牌属性!D21)</f>
        <v>1.5</v>
      </c>
      <c r="H21" s="13">
        <v>1</v>
      </c>
      <c r="I21" s="13">
        <v>1</v>
      </c>
      <c r="K21" s="13">
        <v>18</v>
      </c>
      <c r="L21" s="13">
        <f t="shared" si="0"/>
        <v>1</v>
      </c>
      <c r="M21" s="13">
        <f t="shared" si="1"/>
        <v>3</v>
      </c>
      <c r="N21" s="14">
        <f t="shared" si="2"/>
        <v>1101001</v>
      </c>
      <c r="O21" s="14" t="str">
        <f t="shared" si="3"/>
        <v>常服曹焱兵18突</v>
      </c>
      <c r="P21" s="29" t="s">
        <v>341</v>
      </c>
      <c r="Q21" s="14">
        <f t="shared" si="4"/>
        <v>1</v>
      </c>
      <c r="R21" s="14">
        <f t="shared" si="5"/>
        <v>18</v>
      </c>
      <c r="S21" s="14" t="s">
        <v>39</v>
      </c>
      <c r="T21" s="14">
        <f>ROUND(((IF(Q21=1,INDEX(新属性投放!$J$14:$J$34,卡牌属性!R21),INDEX(新属性投放!$J$42:$J$62,卡牌属性!R21)))*INDEX($G$5:$G$42,L21)+IF(Q21=1,INDEX(新属性投放!R$20:R$23,卡牌属性!M21-1),INDEX(新属性投放!R$25:R$28,卡牌属性!M21-1)))/SQRT(INDEX($I$5:$I$42,L21)),2)</f>
        <v>31992.84</v>
      </c>
      <c r="U21" s="29" t="s">
        <v>178</v>
      </c>
      <c r="V21" s="14">
        <f>ROUND((IF(Q21=1,INDEX(新属性投放!$K$14:$K$34,卡牌属性!R21),INDEX(新属性投放!$K$42:$K$62,卡牌属性!R21))+IF(Q21=1,INDEX(新属性投放!S$20:S$23,卡牌属性!M21-1),INDEX(新属性投放!S$25:S$28,卡牌属性!M21-1)))*INDEX($G$5:$G$42,L21),2)</f>
        <v>15924.57</v>
      </c>
      <c r="W21" s="29" t="s">
        <v>179</v>
      </c>
      <c r="X21" s="14">
        <f>ROUND((IF(Q21=1,INDEX(新属性投放!$L$14:$L$34,卡牌属性!R21),INDEX(新属性投放!$L$42:$L$62,卡牌属性!R21))*INDEX($G$5:$G$42,L21)+IF(Q21=1,INDEX(新属性投放!T$20:T$23,卡牌属性!M21-1),INDEX(新属性投放!T$25:T$28,卡牌属性!M21-1)))*SQRT(INDEX($I$5:$I$42,L21)),2)</f>
        <v>96543.51</v>
      </c>
      <c r="Y21" s="29" t="s">
        <v>177</v>
      </c>
      <c r="Z21" s="14">
        <f>ROUND(IF(Q21=1,INDEX(新属性投放!$D$14:$D$34,卡牌属性!R21),INDEX(新属性投放!$D$42:$D$62,卡牌属性!R21))*INDEX($G$5:$G$42,L21)/SQRT(INDEX($I$5:$I$42,L21)),2)</f>
        <v>797.32</v>
      </c>
      <c r="AA21" s="29" t="s">
        <v>178</v>
      </c>
      <c r="AB21" s="14">
        <f>ROUND(IF(Q21=1,INDEX(新属性投放!$E$14:$E$34,卡牌属性!R21),INDEX(新属性投放!$E$42:$E$62,卡牌属性!R21))*INDEX($G$5:$G$42,L21),2)</f>
        <v>398.66</v>
      </c>
      <c r="AC21" s="29" t="s">
        <v>179</v>
      </c>
      <c r="AD21" s="14">
        <f>ROUND(IF(Q21=1,INDEX(新属性投放!$F$14:$F$34,卡牌属性!R21),INDEX(新属性投放!$F$42:$F$62,卡牌属性!R21))*INDEX($G$5:$G$42,L21)*SQRT(INDEX($I$5:$I$42,L21)),2)</f>
        <v>2391.9499999999998</v>
      </c>
      <c r="AF21" s="14">
        <f t="shared" si="6"/>
        <v>7973</v>
      </c>
      <c r="AG21" s="14">
        <f t="shared" si="7"/>
        <v>3986</v>
      </c>
      <c r="AH21" s="14">
        <f t="shared" si="8"/>
        <v>23919</v>
      </c>
      <c r="AJ21" s="14">
        <f t="shared" si="9"/>
        <v>33456</v>
      </c>
      <c r="AK21" s="14">
        <f t="shared" si="10"/>
        <v>16724</v>
      </c>
      <c r="AL21" s="14">
        <f t="shared" si="11"/>
        <v>100383</v>
      </c>
      <c r="AN21" t="s">
        <v>163</v>
      </c>
      <c r="AO21" s="20">
        <v>4</v>
      </c>
    </row>
    <row r="22" spans="1:41" ht="16.5" x14ac:dyDescent="0.2">
      <c r="A22" s="13">
        <v>1102002</v>
      </c>
      <c r="B22" s="13" t="s">
        <v>151</v>
      </c>
      <c r="C22" s="13">
        <v>2</v>
      </c>
      <c r="D22" s="13">
        <v>3</v>
      </c>
      <c r="E22" s="13">
        <f>INDEX(新属性投放!$E$7:$E$8,卡牌属性!C22)</f>
        <v>21</v>
      </c>
      <c r="F22" s="13">
        <f>SUM(E$5:E22)</f>
        <v>378</v>
      </c>
      <c r="G22" s="14">
        <f>INDEX(新属性投放!$L$6:$L$10,卡牌属性!D22)</f>
        <v>1.1499999999999999</v>
      </c>
      <c r="H22" s="13">
        <v>1</v>
      </c>
      <c r="I22" s="13">
        <v>1</v>
      </c>
      <c r="K22" s="13">
        <v>19</v>
      </c>
      <c r="L22" s="13">
        <f t="shared" si="0"/>
        <v>1</v>
      </c>
      <c r="M22" s="13">
        <f t="shared" si="1"/>
        <v>3</v>
      </c>
      <c r="N22" s="14">
        <f t="shared" si="2"/>
        <v>1101001</v>
      </c>
      <c r="O22" s="14" t="str">
        <f t="shared" si="3"/>
        <v>常服曹焱兵19突</v>
      </c>
      <c r="P22" s="29" t="s">
        <v>341</v>
      </c>
      <c r="Q22" s="14">
        <f t="shared" si="4"/>
        <v>1</v>
      </c>
      <c r="R22" s="14">
        <f t="shared" si="5"/>
        <v>19</v>
      </c>
      <c r="S22" s="14" t="s">
        <v>39</v>
      </c>
      <c r="T22" s="14">
        <f>ROUND(((IF(Q22=1,INDEX(新属性投放!$J$14:$J$34,卡牌属性!R22),INDEX(新属性投放!$J$42:$J$62,卡牌属性!R22)))*INDEX($G$5:$G$42,L22)+IF(Q22=1,INDEX(新属性投放!R$20:R$23,卡牌属性!M22-1),INDEX(新属性投放!R$25:R$28,卡牌属性!M22-1)))/SQRT(INDEX($I$5:$I$42,L22)),2)</f>
        <v>41958.97</v>
      </c>
      <c r="U22" s="29" t="s">
        <v>178</v>
      </c>
      <c r="V22" s="14">
        <f>ROUND((IF(Q22=1,INDEX(新属性投放!$K$14:$K$34,卡牌属性!R22),INDEX(新属性投放!$K$42:$K$62,卡牌属性!R22))+IF(Q22=1,INDEX(新属性投放!S$20:S$23,卡牌属性!M22-1),INDEX(新属性投放!S$25:S$28,卡牌属性!M22-1)))*INDEX($G$5:$G$42,L22),2)</f>
        <v>20908.21</v>
      </c>
      <c r="W22" s="29" t="s">
        <v>179</v>
      </c>
      <c r="X22" s="14">
        <f>ROUND((IF(Q22=1,INDEX(新属性投放!$L$14:$L$34,卡牌属性!R22),INDEX(新属性投放!$L$42:$L$62,卡牌属性!R22))*INDEX($G$5:$G$42,L22)+IF(Q22=1,INDEX(新属性投放!T$20:T$23,卡牌属性!M22-1),INDEX(新属性投放!T$25:T$28,卡牌属性!M22-1)))*SQRT(INDEX($I$5:$I$42,L22)),2)</f>
        <v>126441.9</v>
      </c>
      <c r="Y22" s="29" t="s">
        <v>177</v>
      </c>
      <c r="Z22" s="14">
        <f>ROUND(IF(Q22=1,INDEX(新属性投放!$D$14:$D$34,卡牌属性!R22),INDEX(新属性投放!$D$42:$D$62,卡牌属性!R22))*INDEX($G$5:$G$42,L22)/SQRT(INDEX($I$5:$I$42,L22)),2)</f>
        <v>1046.48</v>
      </c>
      <c r="AA22" s="29" t="s">
        <v>178</v>
      </c>
      <c r="AB22" s="14">
        <f>ROUND(IF(Q22=1,INDEX(新属性投放!$E$14:$E$34,卡牌属性!R22),INDEX(新属性投放!$E$42:$E$62,卡牌属性!R22))*INDEX($G$5:$G$42,L22),2)</f>
        <v>523.24</v>
      </c>
      <c r="AC22" s="29" t="s">
        <v>179</v>
      </c>
      <c r="AD22" s="14">
        <f>ROUND(IF(Q22=1,INDEX(新属性投放!$F$14:$F$34,卡牌属性!R22),INDEX(新属性投放!$F$42:$F$62,卡牌属性!R22))*INDEX($G$5:$G$42,L22)*SQRT(INDEX($I$5:$I$42,L22)),2)</f>
        <v>3139.43</v>
      </c>
      <c r="AF22" s="14">
        <f t="shared" si="6"/>
        <v>10464</v>
      </c>
      <c r="AG22" s="14">
        <f t="shared" si="7"/>
        <v>5232</v>
      </c>
      <c r="AH22" s="14">
        <f t="shared" si="8"/>
        <v>31394</v>
      </c>
      <c r="AJ22" s="14">
        <f t="shared" si="9"/>
        <v>43920</v>
      </c>
      <c r="AK22" s="14">
        <f t="shared" si="10"/>
        <v>21956</v>
      </c>
      <c r="AL22" s="14">
        <f t="shared" si="11"/>
        <v>131777</v>
      </c>
      <c r="AN22" t="s">
        <v>155</v>
      </c>
      <c r="AO22" s="20">
        <v>4</v>
      </c>
    </row>
    <row r="23" spans="1:41" ht="16.5" x14ac:dyDescent="0.2">
      <c r="A23" s="13">
        <v>1102003</v>
      </c>
      <c r="B23" s="13" t="s">
        <v>152</v>
      </c>
      <c r="C23" s="13">
        <v>2</v>
      </c>
      <c r="D23" s="13">
        <v>3</v>
      </c>
      <c r="E23" s="13">
        <f>INDEX(新属性投放!$E$7:$E$8,卡牌属性!C23)</f>
        <v>21</v>
      </c>
      <c r="F23" s="13">
        <f>SUM(E$5:E23)</f>
        <v>399</v>
      </c>
      <c r="G23" s="14">
        <f>INDEX(新属性投放!$L$6:$L$10,卡牌属性!D23)</f>
        <v>1.1499999999999999</v>
      </c>
      <c r="H23" s="13">
        <v>1</v>
      </c>
      <c r="I23" s="13">
        <v>1</v>
      </c>
      <c r="K23" s="13">
        <v>20</v>
      </c>
      <c r="L23" s="13">
        <f t="shared" si="0"/>
        <v>1</v>
      </c>
      <c r="M23" s="13">
        <f t="shared" si="1"/>
        <v>3</v>
      </c>
      <c r="N23" s="14">
        <f t="shared" si="2"/>
        <v>1101001</v>
      </c>
      <c r="O23" s="14" t="str">
        <f t="shared" si="3"/>
        <v>常服曹焱兵20突</v>
      </c>
      <c r="P23" s="29" t="s">
        <v>341</v>
      </c>
      <c r="Q23" s="14">
        <f t="shared" si="4"/>
        <v>1</v>
      </c>
      <c r="R23" s="14">
        <f t="shared" si="5"/>
        <v>20</v>
      </c>
      <c r="S23" s="14" t="s">
        <v>39</v>
      </c>
      <c r="T23" s="14">
        <f>ROUND(((IF(Q23=1,INDEX(新属性投放!$J$14:$J$34,卡牌属性!R23),INDEX(新属性投放!$J$42:$J$62,卡牌属性!R23)))*INDEX($G$5:$G$42,L23)+IF(Q23=1,INDEX(新属性投放!R$20:R$23,卡牌属性!M23-1),INDEX(新属性投放!R$25:R$28,卡牌属性!M23-1)))/SQRT(INDEX($I$5:$I$42,L23)),2)</f>
        <v>55039.99</v>
      </c>
      <c r="U23" s="29" t="s">
        <v>178</v>
      </c>
      <c r="V23" s="14">
        <f>ROUND((IF(Q23=1,INDEX(新属性投放!$K$14:$K$34,卡牌属性!R23),INDEX(新属性投放!$K$42:$K$62,卡牌属性!R23))+IF(Q23=1,INDEX(新属性投放!S$20:S$23,卡牌属性!M23-1),INDEX(新属性投放!S$25:S$28,卡牌属性!M23-1)))*INDEX($G$5:$G$42,L23),2)</f>
        <v>27448.14</v>
      </c>
      <c r="W23" s="29" t="s">
        <v>179</v>
      </c>
      <c r="X23" s="14">
        <f>ROUND((IF(Q23=1,INDEX(新属性投放!$L$14:$L$34,卡牌属性!R23),INDEX(新属性投放!$L$42:$L$62,卡牌属性!R23))*INDEX($G$5:$G$42,L23)+IF(Q23=1,INDEX(新属性投放!T$20:T$23,卡牌属性!M23-1),INDEX(新属性投放!T$25:T$28,卡牌属性!M23-1)))*SQRT(INDEX($I$5:$I$42,L23)),2)</f>
        <v>165684.96</v>
      </c>
      <c r="Y23" s="29" t="s">
        <v>177</v>
      </c>
      <c r="Z23" s="14">
        <f>ROUND(IF(Q23=1,INDEX(新属性投放!$D$14:$D$34,卡牌属性!R23),INDEX(新属性投放!$D$42:$D$62,卡牌属性!R23))*INDEX($G$5:$G$42,L23)/SQRT(INDEX($I$5:$I$42,L23)),2)</f>
        <v>1373.5</v>
      </c>
      <c r="AA23" s="29" t="s">
        <v>178</v>
      </c>
      <c r="AB23" s="14">
        <f>ROUND(IF(Q23=1,INDEX(新属性投放!$E$14:$E$34,卡牌属性!R23),INDEX(新属性投放!$E$42:$E$62,卡牌属性!R23))*INDEX($G$5:$G$42,L23),2)</f>
        <v>686.75</v>
      </c>
      <c r="AC23" s="29" t="s">
        <v>179</v>
      </c>
      <c r="AD23" s="14">
        <f>ROUND(IF(Q23=1,INDEX(新属性投放!$F$14:$F$34,卡牌属性!R23),INDEX(新属性投放!$F$42:$F$62,卡牌属性!R23))*INDEX($G$5:$G$42,L23)*SQRT(INDEX($I$5:$I$42,L23)),2)</f>
        <v>4120.51</v>
      </c>
      <c r="AF23" s="14">
        <f t="shared" si="6"/>
        <v>13735</v>
      </c>
      <c r="AG23" s="14">
        <f t="shared" si="7"/>
        <v>6867</v>
      </c>
      <c r="AH23" s="14">
        <f t="shared" si="8"/>
        <v>41205</v>
      </c>
      <c r="AJ23" s="14">
        <f t="shared" si="9"/>
        <v>57655</v>
      </c>
      <c r="AK23" s="14">
        <f t="shared" si="10"/>
        <v>28823</v>
      </c>
      <c r="AL23" s="14">
        <f t="shared" si="11"/>
        <v>172982</v>
      </c>
      <c r="AN23" t="s">
        <v>156</v>
      </c>
      <c r="AO23" s="20">
        <v>4</v>
      </c>
    </row>
    <row r="24" spans="1:41" ht="16.5" x14ac:dyDescent="0.2">
      <c r="A24" s="13">
        <v>1102004</v>
      </c>
      <c r="B24" s="13" t="s">
        <v>153</v>
      </c>
      <c r="C24" s="13">
        <v>2</v>
      </c>
      <c r="D24" s="13">
        <v>2</v>
      </c>
      <c r="E24" s="13">
        <f>INDEX(新属性投放!$E$7:$E$8,卡牌属性!C24)</f>
        <v>21</v>
      </c>
      <c r="F24" s="13">
        <f>SUM(E$5:E24)</f>
        <v>420</v>
      </c>
      <c r="G24" s="14">
        <f>INDEX(新属性投放!$L$6:$L$10,卡牌属性!D24)</f>
        <v>1</v>
      </c>
      <c r="H24" s="13">
        <v>1</v>
      </c>
      <c r="I24" s="13">
        <v>1</v>
      </c>
      <c r="K24" s="13">
        <v>21</v>
      </c>
      <c r="L24" s="13">
        <f t="shared" si="0"/>
        <v>1</v>
      </c>
      <c r="M24" s="13">
        <f t="shared" si="1"/>
        <v>3</v>
      </c>
      <c r="N24" s="14">
        <f t="shared" si="2"/>
        <v>1101001</v>
      </c>
      <c r="O24" s="14" t="str">
        <f t="shared" si="3"/>
        <v>常服曹焱兵21突</v>
      </c>
      <c r="P24" s="29" t="s">
        <v>341</v>
      </c>
      <c r="Q24" s="14">
        <f t="shared" si="4"/>
        <v>1</v>
      </c>
      <c r="R24" s="14">
        <f t="shared" si="5"/>
        <v>21</v>
      </c>
      <c r="S24" s="14" t="s">
        <v>39</v>
      </c>
      <c r="T24" s="14">
        <f>ROUND(((IF(Q24=1,INDEX(新属性投放!$J$14:$J$34,卡牌属性!R24),INDEX(新属性投放!$J$42:$J$62,卡牌属性!R24)))*INDEX($G$5:$G$42,L24)+IF(Q24=1,INDEX(新属性投放!R$20:R$23,卡牌属性!M24-1),INDEX(新属性投放!R$25:R$28,卡牌属性!M24-1)))/SQRT(INDEX($I$5:$I$42,L24)),2)</f>
        <v>72208.91</v>
      </c>
      <c r="U24" s="29" t="s">
        <v>178</v>
      </c>
      <c r="V24" s="14">
        <f>ROUND((IF(Q24=1,INDEX(新属性投放!$K$14:$K$34,卡牌属性!R24),INDEX(新属性投放!$K$42:$K$62,卡牌属性!R24))+IF(Q24=1,INDEX(新属性投放!S$20:S$23,卡牌属性!M24-1),INDEX(新属性投放!S$25:S$28,卡牌属性!M24-1)))*INDEX($G$5:$G$42,L24),2)</f>
        <v>36032.61</v>
      </c>
      <c r="W24" s="29" t="s">
        <v>179</v>
      </c>
      <c r="X24" s="14">
        <f>ROUND((IF(Q24=1,INDEX(新属性投放!$L$14:$L$34,卡牌属性!R24),INDEX(新属性投放!$L$42:$L$62,卡牌属性!R24))*INDEX($G$5:$G$42,L24)+IF(Q24=1,INDEX(新属性投放!T$20:T$23,卡牌属性!M24-1),INDEX(新属性投放!T$25:T$28,卡牌属性!M24-1)))*SQRT(INDEX($I$5:$I$42,L24)),2)</f>
        <v>217191.73</v>
      </c>
      <c r="Y24" s="29" t="s">
        <v>177</v>
      </c>
      <c r="Z24" s="14">
        <f>ROUND(IF(Q24=1,INDEX(新属性投放!$D$14:$D$34,卡牌属性!R24),INDEX(新属性投放!$D$42:$D$62,卡牌属性!R24))*INDEX($G$5:$G$42,L24)/SQRT(INDEX($I$5:$I$42,L24)),2)</f>
        <v>1802.73</v>
      </c>
      <c r="AA24" s="29" t="s">
        <v>178</v>
      </c>
      <c r="AB24" s="14">
        <f>ROUND(IF(Q24=1,INDEX(新属性投放!$E$14:$E$34,卡牌属性!R24),INDEX(新属性投放!$E$42:$E$62,卡牌属性!R24))*INDEX($G$5:$G$42,L24),2)</f>
        <v>901.36</v>
      </c>
      <c r="AC24" s="29" t="s">
        <v>179</v>
      </c>
      <c r="AD24" s="14">
        <f>ROUND(IF(Q24=1,INDEX(新属性投放!$F$14:$F$34,卡牌属性!R24),INDEX(新属性投放!$F$42:$F$62,卡牌属性!R24))*INDEX($G$5:$G$42,L24)*SQRT(INDEX($I$5:$I$42,L24)),2)</f>
        <v>5408.19</v>
      </c>
      <c r="AF24" s="14">
        <f t="shared" si="6"/>
        <v>18027</v>
      </c>
      <c r="AG24" s="14">
        <f t="shared" si="7"/>
        <v>9013</v>
      </c>
      <c r="AH24" s="14">
        <f t="shared" si="8"/>
        <v>54081</v>
      </c>
      <c r="AJ24" s="14">
        <f>AJ23+AF24</f>
        <v>75682</v>
      </c>
      <c r="AK24" s="14">
        <f>AK23+AG24</f>
        <v>37836</v>
      </c>
      <c r="AL24" s="14">
        <f>AL23+AH24</f>
        <v>227063</v>
      </c>
    </row>
    <row r="25" spans="1:41" ht="16.5" x14ac:dyDescent="0.2">
      <c r="A25" s="13">
        <v>1102005</v>
      </c>
      <c r="B25" s="13" t="s">
        <v>154</v>
      </c>
      <c r="C25" s="13">
        <v>2</v>
      </c>
      <c r="D25" s="13">
        <v>3</v>
      </c>
      <c r="E25" s="13">
        <f>INDEX(新属性投放!$E$7:$E$8,卡牌属性!C25)</f>
        <v>21</v>
      </c>
      <c r="F25" s="13">
        <f>SUM(E$5:E25)</f>
        <v>441</v>
      </c>
      <c r="G25" s="14">
        <f>INDEX(新属性投放!$L$6:$L$10,卡牌属性!D25)</f>
        <v>1.1499999999999999</v>
      </c>
      <c r="H25" s="13">
        <v>1</v>
      </c>
      <c r="I25" s="13">
        <v>1</v>
      </c>
      <c r="K25" s="13">
        <v>22</v>
      </c>
      <c r="L25" s="13">
        <f t="shared" si="0"/>
        <v>2</v>
      </c>
      <c r="M25" s="13">
        <f t="shared" si="1"/>
        <v>2</v>
      </c>
      <c r="N25" s="14">
        <f t="shared" si="2"/>
        <v>1101002</v>
      </c>
      <c r="O25" s="14" t="str">
        <f t="shared" si="3"/>
        <v>曹玄亮1突</v>
      </c>
      <c r="P25" s="29" t="s">
        <v>341</v>
      </c>
      <c r="Q25" s="14">
        <f t="shared" si="4"/>
        <v>1</v>
      </c>
      <c r="R25" s="14">
        <f t="shared" si="5"/>
        <v>1</v>
      </c>
      <c r="S25" s="14" t="s">
        <v>39</v>
      </c>
      <c r="T25" s="14">
        <f>ROUND(((IF(Q25=1,INDEX(新属性投放!$J$14:$J$34,卡牌属性!R25),INDEX(新属性投放!$J$42:$J$62,卡牌属性!R25)))*INDEX($G$5:$G$42,L25)+IF(Q25=1,INDEX(新属性投放!R$20:R$23,卡牌属性!M25-1),INDEX(新属性投放!R$25:R$28,卡牌属性!M25-1)))/SQRT(INDEX($I$5:$I$42,L25)),2)</f>
        <v>100</v>
      </c>
      <c r="U25" s="29" t="s">
        <v>178</v>
      </c>
      <c r="V25" s="14">
        <f>ROUND((IF(Q25=1,INDEX(新属性投放!$K$14:$K$34,卡牌属性!R25),INDEX(新属性投放!$K$42:$K$62,卡牌属性!R25))+IF(Q25=1,INDEX(新属性投放!S$20:S$23,卡牌属性!M25-1),INDEX(新属性投放!S$25:S$28,卡牌属性!M25-1)))*INDEX($G$5:$G$42,L25),2)</f>
        <v>0</v>
      </c>
      <c r="W25" s="29" t="s">
        <v>179</v>
      </c>
      <c r="X25" s="14">
        <f>ROUND((IF(Q25=1,INDEX(新属性投放!$L$14:$L$34,卡牌属性!R25),INDEX(新属性投放!$L$42:$L$62,卡牌属性!R25))*INDEX($G$5:$G$42,L25)+IF(Q25=1,INDEX(新属性投放!T$20:T$23,卡牌属性!M25-1),INDEX(新属性投放!T$25:T$28,卡牌属性!M25-1)))*SQRT(INDEX($I$5:$I$42,L25)),2)</f>
        <v>500</v>
      </c>
      <c r="Y25" s="29" t="s">
        <v>177</v>
      </c>
      <c r="Z25" s="14">
        <f>ROUND(IF(Q25=1,INDEX(新属性投放!$D$14:$D$34,卡牌属性!R25),INDEX(新属性投放!$D$42:$D$62,卡牌属性!R25))*INDEX($G$5:$G$42,L25)/SQRT(INDEX($I$5:$I$42,L25)),2)</f>
        <v>10</v>
      </c>
      <c r="AA25" s="29" t="s">
        <v>178</v>
      </c>
      <c r="AB25" s="14">
        <f>ROUND(IF(Q25=1,INDEX(新属性投放!$E$14:$E$34,卡牌属性!R25),INDEX(新属性投放!$E$42:$E$62,卡牌属性!R25))*INDEX($G$5:$G$42,L25),2)</f>
        <v>5</v>
      </c>
      <c r="AC25" s="29" t="s">
        <v>179</v>
      </c>
      <c r="AD25" s="14">
        <f>ROUND(IF(Q25=1,INDEX(新属性投放!$F$14:$F$34,卡牌属性!R25),INDEX(新属性投放!$F$42:$F$62,卡牌属性!R25))*INDEX($G$5:$G$42,L25)*SQRT(INDEX($I$5:$I$42,L25)),2)</f>
        <v>30</v>
      </c>
      <c r="AF25" s="14">
        <f t="shared" si="6"/>
        <v>100</v>
      </c>
      <c r="AG25" s="14">
        <f t="shared" si="7"/>
        <v>50</v>
      </c>
      <c r="AH25" s="14">
        <f t="shared" si="8"/>
        <v>300</v>
      </c>
      <c r="AJ25" s="14">
        <f>AF25</f>
        <v>100</v>
      </c>
      <c r="AK25" s="14">
        <f>AG25</f>
        <v>50</v>
      </c>
      <c r="AL25" s="14">
        <f>AH25</f>
        <v>300</v>
      </c>
    </row>
    <row r="26" spans="1:41" ht="16.5" x14ac:dyDescent="0.2">
      <c r="A26" s="13">
        <v>1102006</v>
      </c>
      <c r="B26" s="13" t="s">
        <v>155</v>
      </c>
      <c r="C26" s="13">
        <v>2</v>
      </c>
      <c r="D26" s="13">
        <v>5</v>
      </c>
      <c r="E26" s="13">
        <f>INDEX(新属性投放!$E$7:$E$8,卡牌属性!C26)</f>
        <v>21</v>
      </c>
      <c r="F26" s="13">
        <f>SUM(E$5:E26)</f>
        <v>462</v>
      </c>
      <c r="G26" s="14">
        <f>INDEX(新属性投放!$L$6:$L$10,卡牌属性!D26)</f>
        <v>1.5</v>
      </c>
      <c r="H26" s="13">
        <v>1</v>
      </c>
      <c r="I26" s="13">
        <v>1</v>
      </c>
      <c r="K26" s="13">
        <v>23</v>
      </c>
      <c r="L26" s="13">
        <f t="shared" si="0"/>
        <v>2</v>
      </c>
      <c r="M26" s="13">
        <f t="shared" si="1"/>
        <v>2</v>
      </c>
      <c r="N26" s="14">
        <f t="shared" si="2"/>
        <v>1101002</v>
      </c>
      <c r="O26" s="14" t="str">
        <f t="shared" si="3"/>
        <v>曹玄亮2突</v>
      </c>
      <c r="P26" s="29" t="s">
        <v>341</v>
      </c>
      <c r="Q26" s="14">
        <f t="shared" si="4"/>
        <v>1</v>
      </c>
      <c r="R26" s="14">
        <f t="shared" si="5"/>
        <v>2</v>
      </c>
      <c r="S26" s="14" t="s">
        <v>39</v>
      </c>
      <c r="T26" s="14">
        <f>ROUND(((IF(Q26=1,INDEX(新属性投放!$J$14:$J$34,卡牌属性!R26),INDEX(新属性投放!$J$42:$J$62,卡牌属性!R26)))*INDEX($G$5:$G$42,L26)+IF(Q26=1,INDEX(新属性投放!R$20:R$23,卡牌属性!M26-1),INDEX(新属性投放!R$25:R$28,卡牌属性!M26-1)))/SQRT(INDEX($I$5:$I$42,L26)),2)</f>
        <v>200</v>
      </c>
      <c r="U26" s="29" t="s">
        <v>178</v>
      </c>
      <c r="V26" s="14">
        <f>ROUND((IF(Q26=1,INDEX(新属性投放!$K$14:$K$34,卡牌属性!R26),INDEX(新属性投放!$K$42:$K$62,卡牌属性!R26))+IF(Q26=1,INDEX(新属性投放!S$20:S$23,卡牌属性!M26-1),INDEX(新属性投放!S$25:S$28,卡牌属性!M26-1)))*INDEX($G$5:$G$42,L26),2)</f>
        <v>56</v>
      </c>
      <c r="W26" s="29" t="s">
        <v>179</v>
      </c>
      <c r="X26" s="14">
        <f>ROUND((IF(Q26=1,INDEX(新属性投放!$L$14:$L$34,卡牌属性!R26),INDEX(新属性投放!$L$42:$L$62,卡牌属性!R26))*INDEX($G$5:$G$42,L26)+IF(Q26=1,INDEX(新属性投放!T$20:T$23,卡牌属性!M26-1),INDEX(新属性投放!T$25:T$28,卡牌属性!M26-1)))*SQRT(INDEX($I$5:$I$42,L26)),2)</f>
        <v>800</v>
      </c>
      <c r="Y26" s="29" t="s">
        <v>177</v>
      </c>
      <c r="Z26" s="14">
        <f>ROUND(IF(Q26=1,INDEX(新属性投放!$D$14:$D$34,卡牌属性!R26),INDEX(新属性投放!$D$42:$D$62,卡牌属性!R26))*INDEX($G$5:$G$42,L26)/SQRT(INDEX($I$5:$I$42,L26)),2)</f>
        <v>10</v>
      </c>
      <c r="AA26" s="29" t="s">
        <v>178</v>
      </c>
      <c r="AB26" s="14">
        <f>ROUND(IF(Q26=1,INDEX(新属性投放!$E$14:$E$34,卡牌属性!R26),INDEX(新属性投放!$E$42:$E$62,卡牌属性!R26))*INDEX($G$5:$G$42,L26),2)</f>
        <v>5</v>
      </c>
      <c r="AC26" s="29" t="s">
        <v>179</v>
      </c>
      <c r="AD26" s="14">
        <f>ROUND(IF(Q26=1,INDEX(新属性投放!$F$14:$F$34,卡牌属性!R26),INDEX(新属性投放!$F$42:$F$62,卡牌属性!R26))*INDEX($G$5:$G$42,L26)*SQRT(INDEX($I$5:$I$42,L26)),2)</f>
        <v>30</v>
      </c>
      <c r="AF26" s="14">
        <f t="shared" si="6"/>
        <v>100</v>
      </c>
      <c r="AG26" s="14">
        <f t="shared" si="7"/>
        <v>50</v>
      </c>
      <c r="AH26" s="14">
        <f t="shared" si="8"/>
        <v>300</v>
      </c>
      <c r="AJ26" s="14">
        <f t="shared" ref="AJ26:AJ45" si="12">AJ25+AF26</f>
        <v>200</v>
      </c>
      <c r="AK26" s="14">
        <f t="shared" ref="AK26:AK45" si="13">AK25+AG26</f>
        <v>100</v>
      </c>
      <c r="AL26" s="14">
        <f t="shared" ref="AL26:AL45" si="14">AL25+AH26</f>
        <v>600</v>
      </c>
    </row>
    <row r="27" spans="1:41" ht="16.5" x14ac:dyDescent="0.2">
      <c r="A27" s="13">
        <v>1102007</v>
      </c>
      <c r="B27" s="13" t="s">
        <v>156</v>
      </c>
      <c r="C27" s="13">
        <v>2</v>
      </c>
      <c r="D27" s="13">
        <v>4</v>
      </c>
      <c r="E27" s="13">
        <f>INDEX(新属性投放!$E$7:$E$8,卡牌属性!C27)</f>
        <v>21</v>
      </c>
      <c r="F27" s="13">
        <f>SUM(E$5:E27)</f>
        <v>483</v>
      </c>
      <c r="G27" s="14">
        <f>INDEX(新属性投放!$L$6:$L$10,卡牌属性!D27)</f>
        <v>1.3</v>
      </c>
      <c r="H27" s="13">
        <v>1</v>
      </c>
      <c r="I27" s="13">
        <v>1</v>
      </c>
      <c r="K27" s="13">
        <v>24</v>
      </c>
      <c r="L27" s="13">
        <f t="shared" si="0"/>
        <v>2</v>
      </c>
      <c r="M27" s="13">
        <f t="shared" si="1"/>
        <v>2</v>
      </c>
      <c r="N27" s="14">
        <f t="shared" si="2"/>
        <v>1101002</v>
      </c>
      <c r="O27" s="14" t="str">
        <f t="shared" si="3"/>
        <v>曹玄亮3突</v>
      </c>
      <c r="P27" s="29" t="s">
        <v>341</v>
      </c>
      <c r="Q27" s="14">
        <f t="shared" si="4"/>
        <v>1</v>
      </c>
      <c r="R27" s="14">
        <f t="shared" si="5"/>
        <v>3</v>
      </c>
      <c r="S27" s="14" t="s">
        <v>39</v>
      </c>
      <c r="T27" s="14">
        <f>ROUND(((IF(Q27=1,INDEX(新属性投放!$J$14:$J$34,卡牌属性!R27),INDEX(新属性投放!$J$42:$J$62,卡牌属性!R27)))*INDEX($G$5:$G$42,L27)+IF(Q27=1,INDEX(新属性投放!R$20:R$23,卡牌属性!M27-1),INDEX(新属性投放!R$25:R$28,卡牌属性!M27-1)))/SQRT(INDEX($I$5:$I$42,L27)),2)</f>
        <v>325</v>
      </c>
      <c r="U27" s="29" t="s">
        <v>178</v>
      </c>
      <c r="V27" s="14">
        <f>ROUND((IF(Q27=1,INDEX(新属性投放!$K$14:$K$34,卡牌属性!R27),INDEX(新属性投放!$K$42:$K$62,卡牌属性!R27))+IF(Q27=1,INDEX(新属性投放!S$20:S$23,卡牌属性!M27-1),INDEX(新属性投放!S$25:S$28,卡牌属性!M27-1)))*INDEX($G$5:$G$42,L27),2)</f>
        <v>119</v>
      </c>
      <c r="W27" s="29" t="s">
        <v>179</v>
      </c>
      <c r="X27" s="14">
        <f>ROUND((IF(Q27=1,INDEX(新属性投放!$L$14:$L$34,卡牌属性!R27),INDEX(新属性投放!$L$42:$L$62,卡牌属性!R27))*INDEX($G$5:$G$42,L27)+IF(Q27=1,INDEX(新属性投放!T$20:T$23,卡牌属性!M27-1),INDEX(新属性投放!T$25:T$28,卡牌属性!M27-1)))*SQRT(INDEX($I$5:$I$42,L27)),2)</f>
        <v>1175</v>
      </c>
      <c r="Y27" s="29" t="s">
        <v>177</v>
      </c>
      <c r="Z27" s="14">
        <f>ROUND(IF(Q27=1,INDEX(新属性投放!$D$14:$D$34,卡牌属性!R27),INDEX(新属性投放!$D$42:$D$62,卡牌属性!R27))*INDEX($G$5:$G$42,L27)/SQRT(INDEX($I$5:$I$42,L27)),2)</f>
        <v>15</v>
      </c>
      <c r="AA27" s="29" t="s">
        <v>178</v>
      </c>
      <c r="AB27" s="14">
        <f>ROUND(IF(Q27=1,INDEX(新属性投放!$E$14:$E$34,卡牌属性!R27),INDEX(新属性投放!$E$42:$E$62,卡牌属性!R27))*INDEX($G$5:$G$42,L27),2)</f>
        <v>7.5</v>
      </c>
      <c r="AC27" s="29" t="s">
        <v>179</v>
      </c>
      <c r="AD27" s="14">
        <f>ROUND(IF(Q27=1,INDEX(新属性投放!$F$14:$F$34,卡牌属性!R27),INDEX(新属性投放!$F$42:$F$62,卡牌属性!R27))*INDEX($G$5:$G$42,L27)*SQRT(INDEX($I$5:$I$42,L27)),2)</f>
        <v>45</v>
      </c>
      <c r="AF27" s="14">
        <f t="shared" si="6"/>
        <v>150</v>
      </c>
      <c r="AG27" s="14">
        <f t="shared" si="7"/>
        <v>75</v>
      </c>
      <c r="AH27" s="14">
        <f t="shared" si="8"/>
        <v>450</v>
      </c>
      <c r="AJ27" s="14">
        <f t="shared" si="12"/>
        <v>350</v>
      </c>
      <c r="AK27" s="14">
        <f t="shared" si="13"/>
        <v>175</v>
      </c>
      <c r="AL27" s="14">
        <f t="shared" si="14"/>
        <v>1050</v>
      </c>
    </row>
    <row r="28" spans="1:41" ht="16.5" x14ac:dyDescent="0.2">
      <c r="A28" s="13">
        <v>1102008</v>
      </c>
      <c r="B28" s="13" t="s">
        <v>157</v>
      </c>
      <c r="C28" s="13">
        <v>2</v>
      </c>
      <c r="D28" s="13">
        <v>4</v>
      </c>
      <c r="E28" s="13">
        <f>INDEX(新属性投放!$E$7:$E$8,卡牌属性!C28)</f>
        <v>21</v>
      </c>
      <c r="F28" s="13">
        <f>SUM(E$5:E28)</f>
        <v>504</v>
      </c>
      <c r="G28" s="14">
        <f>INDEX(新属性投放!$L$6:$L$10,卡牌属性!D28)</f>
        <v>1.3</v>
      </c>
      <c r="H28" s="13">
        <v>1</v>
      </c>
      <c r="I28" s="13">
        <v>1</v>
      </c>
      <c r="K28" s="13">
        <v>25</v>
      </c>
      <c r="L28" s="13">
        <f t="shared" si="0"/>
        <v>2</v>
      </c>
      <c r="M28" s="13">
        <f t="shared" si="1"/>
        <v>2</v>
      </c>
      <c r="N28" s="14">
        <f t="shared" si="2"/>
        <v>1101002</v>
      </c>
      <c r="O28" s="14" t="str">
        <f t="shared" si="3"/>
        <v>曹玄亮4突</v>
      </c>
      <c r="P28" s="29" t="s">
        <v>341</v>
      </c>
      <c r="Q28" s="14">
        <f t="shared" si="4"/>
        <v>1</v>
      </c>
      <c r="R28" s="14">
        <f t="shared" si="5"/>
        <v>4</v>
      </c>
      <c r="S28" s="14" t="s">
        <v>39</v>
      </c>
      <c r="T28" s="14">
        <f>ROUND(((IF(Q28=1,INDEX(新属性投放!$J$14:$J$34,卡牌属性!R28),INDEX(新属性投放!$J$42:$J$62,卡牌属性!R28)))*INDEX($G$5:$G$42,L28)+IF(Q28=1,INDEX(新属性投放!R$20:R$23,卡牌属性!M28-1),INDEX(新属性投放!R$25:R$28,卡牌属性!M28-1)))/SQRT(INDEX($I$5:$I$42,L28)),2)</f>
        <v>513</v>
      </c>
      <c r="U28" s="29" t="s">
        <v>178</v>
      </c>
      <c r="V28" s="14">
        <f>ROUND((IF(Q28=1,INDEX(新属性投放!$K$14:$K$34,卡牌属性!R28),INDEX(新属性投放!$K$42:$K$62,卡牌属性!R28))+IF(Q28=1,INDEX(新属性投放!S$20:S$23,卡牌属性!M28-1),INDEX(新属性投放!S$25:S$28,卡牌属性!M28-1)))*INDEX($G$5:$G$42,L28),2)</f>
        <v>213</v>
      </c>
      <c r="W28" s="29" t="s">
        <v>179</v>
      </c>
      <c r="X28" s="14">
        <f>ROUND((IF(Q28=1,INDEX(新属性投放!$L$14:$L$34,卡牌属性!R28),INDEX(新属性投放!$L$42:$L$62,卡牌属性!R28))*INDEX($G$5:$G$42,L28)+IF(Q28=1,INDEX(新属性投放!T$20:T$23,卡牌属性!M28-1),INDEX(新属性投放!T$25:T$28,卡牌属性!M28-1)))*SQRT(INDEX($I$5:$I$42,L28)),2)</f>
        <v>1739</v>
      </c>
      <c r="Y28" s="29" t="s">
        <v>177</v>
      </c>
      <c r="Z28" s="14">
        <f>ROUND(IF(Q28=1,INDEX(新属性投放!$D$14:$D$34,卡牌属性!R28),INDEX(新属性投放!$D$42:$D$62,卡牌属性!R28))*INDEX($G$5:$G$42,L28)/SQRT(INDEX($I$5:$I$42,L28)),2)</f>
        <v>20</v>
      </c>
      <c r="AA28" s="29" t="s">
        <v>178</v>
      </c>
      <c r="AB28" s="14">
        <f>ROUND(IF(Q28=1,INDEX(新属性投放!$E$14:$E$34,卡牌属性!R28),INDEX(新属性投放!$E$42:$E$62,卡牌属性!R28))*INDEX($G$5:$G$42,L28),2)</f>
        <v>10</v>
      </c>
      <c r="AC28" s="29" t="s">
        <v>179</v>
      </c>
      <c r="AD28" s="14">
        <f>ROUND(IF(Q28=1,INDEX(新属性投放!$F$14:$F$34,卡牌属性!R28),INDEX(新属性投放!$F$42:$F$62,卡牌属性!R28))*INDEX($G$5:$G$42,L28)*SQRT(INDEX($I$5:$I$42,L28)),2)</f>
        <v>60</v>
      </c>
      <c r="AF28" s="14">
        <f t="shared" si="6"/>
        <v>200</v>
      </c>
      <c r="AG28" s="14">
        <f t="shared" si="7"/>
        <v>100</v>
      </c>
      <c r="AH28" s="14">
        <f t="shared" si="8"/>
        <v>600</v>
      </c>
      <c r="AJ28" s="14">
        <f t="shared" si="12"/>
        <v>550</v>
      </c>
      <c r="AK28" s="14">
        <f t="shared" si="13"/>
        <v>275</v>
      </c>
      <c r="AL28" s="14">
        <f t="shared" si="14"/>
        <v>1650</v>
      </c>
    </row>
    <row r="29" spans="1:41" ht="16.5" x14ac:dyDescent="0.2">
      <c r="A29" s="13">
        <v>1102009</v>
      </c>
      <c r="B29" s="13" t="s">
        <v>158</v>
      </c>
      <c r="C29" s="13">
        <v>2</v>
      </c>
      <c r="D29" s="13">
        <v>4</v>
      </c>
      <c r="E29" s="13">
        <f>INDEX(新属性投放!$E$7:$E$8,卡牌属性!C29)</f>
        <v>21</v>
      </c>
      <c r="F29" s="13">
        <f>SUM(E$5:E29)</f>
        <v>525</v>
      </c>
      <c r="G29" s="14">
        <f>INDEX(新属性投放!$L$6:$L$10,卡牌属性!D29)</f>
        <v>1.3</v>
      </c>
      <c r="H29" s="13">
        <v>1</v>
      </c>
      <c r="I29" s="13">
        <v>1</v>
      </c>
      <c r="K29" s="13">
        <v>26</v>
      </c>
      <c r="L29" s="13">
        <f t="shared" si="0"/>
        <v>2</v>
      </c>
      <c r="M29" s="13">
        <f t="shared" si="1"/>
        <v>2</v>
      </c>
      <c r="N29" s="14">
        <f t="shared" si="2"/>
        <v>1101002</v>
      </c>
      <c r="O29" s="14" t="str">
        <f t="shared" si="3"/>
        <v>曹玄亮5突</v>
      </c>
      <c r="P29" s="29" t="s">
        <v>341</v>
      </c>
      <c r="Q29" s="14">
        <f t="shared" si="4"/>
        <v>1</v>
      </c>
      <c r="R29" s="14">
        <f t="shared" si="5"/>
        <v>5</v>
      </c>
      <c r="S29" s="14" t="s">
        <v>39</v>
      </c>
      <c r="T29" s="14">
        <f>ROUND(((IF(Q29=1,INDEX(新属性投放!$J$14:$J$34,卡牌属性!R29),INDEX(新属性投放!$J$42:$J$62,卡牌属性!R29)))*INDEX($G$5:$G$42,L29)+IF(Q29=1,INDEX(新属性投放!R$20:R$23,卡牌属性!M29-1),INDEX(新属性投放!R$25:R$28,卡牌属性!M29-1)))/SQRT(INDEX($I$5:$I$42,L29)),2)</f>
        <v>763</v>
      </c>
      <c r="U29" s="29" t="s">
        <v>178</v>
      </c>
      <c r="V29" s="14">
        <f>ROUND((IF(Q29=1,INDEX(新属性投放!$K$14:$K$34,卡牌属性!R29),INDEX(新属性投放!$K$42:$K$62,卡牌属性!R29))+IF(Q29=1,INDEX(新属性投放!S$20:S$23,卡牌属性!M29-1),INDEX(新属性投放!S$25:S$28,卡牌属性!M29-1)))*INDEX($G$5:$G$42,L29),2)</f>
        <v>338</v>
      </c>
      <c r="W29" s="29" t="s">
        <v>179</v>
      </c>
      <c r="X29" s="14">
        <f>ROUND((IF(Q29=1,INDEX(新属性投放!$L$14:$L$34,卡牌属性!R29),INDEX(新属性投放!$L$42:$L$62,卡牌属性!R29))*INDEX($G$5:$G$42,L29)+IF(Q29=1,INDEX(新属性投放!T$20:T$23,卡牌属性!M29-1),INDEX(新属性投放!T$25:T$28,卡牌属性!M29-1)))*SQRT(INDEX($I$5:$I$42,L29)),2)</f>
        <v>2489</v>
      </c>
      <c r="Y29" s="29" t="s">
        <v>177</v>
      </c>
      <c r="Z29" s="14">
        <f>ROUND(IF(Q29=1,INDEX(新属性投放!$D$14:$D$34,卡牌属性!R29),INDEX(新属性投放!$D$42:$D$62,卡牌属性!R29))*INDEX($G$5:$G$42,L29)/SQRT(INDEX($I$5:$I$42,L29)),2)</f>
        <v>25</v>
      </c>
      <c r="AA29" s="29" t="s">
        <v>178</v>
      </c>
      <c r="AB29" s="14">
        <f>ROUND(IF(Q29=1,INDEX(新属性投放!$E$14:$E$34,卡牌属性!R29),INDEX(新属性投放!$E$42:$E$62,卡牌属性!R29))*INDEX($G$5:$G$42,L29),2)</f>
        <v>12.5</v>
      </c>
      <c r="AC29" s="29" t="s">
        <v>179</v>
      </c>
      <c r="AD29" s="14">
        <f>ROUND(IF(Q29=1,INDEX(新属性投放!$F$14:$F$34,卡牌属性!R29),INDEX(新属性投放!$F$42:$F$62,卡牌属性!R29))*INDEX($G$5:$G$42,L29)*SQRT(INDEX($I$5:$I$42,L29)),2)</f>
        <v>75</v>
      </c>
      <c r="AF29" s="14">
        <f t="shared" si="6"/>
        <v>250</v>
      </c>
      <c r="AG29" s="14">
        <f t="shared" si="7"/>
        <v>125</v>
      </c>
      <c r="AH29" s="14">
        <f t="shared" si="8"/>
        <v>750</v>
      </c>
      <c r="AJ29" s="14">
        <f t="shared" si="12"/>
        <v>800</v>
      </c>
      <c r="AK29" s="14">
        <f t="shared" si="13"/>
        <v>400</v>
      </c>
      <c r="AL29" s="14">
        <f t="shared" si="14"/>
        <v>2400</v>
      </c>
    </row>
    <row r="30" spans="1:41" ht="16.5" x14ac:dyDescent="0.2">
      <c r="A30" s="13">
        <v>1102010</v>
      </c>
      <c r="B30" s="13" t="s">
        <v>159</v>
      </c>
      <c r="C30" s="13">
        <v>2</v>
      </c>
      <c r="D30" s="13">
        <v>5</v>
      </c>
      <c r="E30" s="13">
        <f>INDEX(新属性投放!$E$7:$E$8,卡牌属性!C30)</f>
        <v>21</v>
      </c>
      <c r="F30" s="13">
        <f>SUM(E$5:E30)</f>
        <v>546</v>
      </c>
      <c r="G30" s="14">
        <f>INDEX(新属性投放!$L$6:$L$10,卡牌属性!D30)</f>
        <v>1.5</v>
      </c>
      <c r="H30" s="13">
        <v>1</v>
      </c>
      <c r="I30" s="13">
        <v>1</v>
      </c>
      <c r="K30" s="13">
        <v>27</v>
      </c>
      <c r="L30" s="13">
        <f t="shared" si="0"/>
        <v>2</v>
      </c>
      <c r="M30" s="13">
        <f t="shared" si="1"/>
        <v>2</v>
      </c>
      <c r="N30" s="14">
        <f t="shared" si="2"/>
        <v>1101002</v>
      </c>
      <c r="O30" s="14" t="str">
        <f t="shared" si="3"/>
        <v>曹玄亮6突</v>
      </c>
      <c r="P30" s="29" t="s">
        <v>341</v>
      </c>
      <c r="Q30" s="14">
        <f t="shared" si="4"/>
        <v>1</v>
      </c>
      <c r="R30" s="14">
        <f t="shared" si="5"/>
        <v>6</v>
      </c>
      <c r="S30" s="14" t="s">
        <v>39</v>
      </c>
      <c r="T30" s="14">
        <f>ROUND(((IF(Q30=1,INDEX(新属性投放!$J$14:$J$34,卡牌属性!R30),INDEX(新属性投放!$J$42:$J$62,卡牌属性!R30)))*INDEX($G$5:$G$42,L30)+IF(Q30=1,INDEX(新属性投放!R$20:R$23,卡牌属性!M30-1),INDEX(新属性投放!R$25:R$28,卡牌属性!M30-1)))/SQRT(INDEX($I$5:$I$42,L30)),2)</f>
        <v>1076</v>
      </c>
      <c r="U30" s="29" t="s">
        <v>178</v>
      </c>
      <c r="V30" s="14">
        <f>ROUND((IF(Q30=1,INDEX(新属性投放!$K$14:$K$34,卡牌属性!R30),INDEX(新属性投放!$K$42:$K$62,卡牌属性!R30))+IF(Q30=1,INDEX(新属性投放!S$20:S$23,卡牌属性!M30-1),INDEX(新属性投放!S$25:S$28,卡牌属性!M30-1)))*INDEX($G$5:$G$42,L30),2)</f>
        <v>494</v>
      </c>
      <c r="W30" s="29" t="s">
        <v>179</v>
      </c>
      <c r="X30" s="14">
        <f>ROUND((IF(Q30=1,INDEX(新属性投放!$L$14:$L$34,卡牌属性!R30),INDEX(新属性投放!$L$42:$L$62,卡牌属性!R30))*INDEX($G$5:$G$42,L30)+IF(Q30=1,INDEX(新属性投放!T$20:T$23,卡牌属性!M30-1),INDEX(新属性投放!T$25:T$28,卡牌属性!M30-1)))*SQRT(INDEX($I$5:$I$42,L30)),2)</f>
        <v>3428</v>
      </c>
      <c r="Y30" s="29" t="s">
        <v>177</v>
      </c>
      <c r="Z30" s="14">
        <f>ROUND(IF(Q30=1,INDEX(新属性投放!$D$14:$D$34,卡牌属性!R30),INDEX(新属性投放!$D$42:$D$62,卡牌属性!R30))*INDEX($G$5:$G$42,L30)/SQRT(INDEX($I$5:$I$42,L30)),2)</f>
        <v>30</v>
      </c>
      <c r="AA30" s="29" t="s">
        <v>178</v>
      </c>
      <c r="AB30" s="14">
        <f>ROUND(IF(Q30=1,INDEX(新属性投放!$E$14:$E$34,卡牌属性!R30),INDEX(新属性投放!$E$42:$E$62,卡牌属性!R30))*INDEX($G$5:$G$42,L30),2)</f>
        <v>15</v>
      </c>
      <c r="AC30" s="29" t="s">
        <v>179</v>
      </c>
      <c r="AD30" s="14">
        <f>ROUND(IF(Q30=1,INDEX(新属性投放!$F$14:$F$34,卡牌属性!R30),INDEX(新属性投放!$F$42:$F$62,卡牌属性!R30))*INDEX($G$5:$G$42,L30)*SQRT(INDEX($I$5:$I$42,L30)),2)</f>
        <v>90</v>
      </c>
      <c r="AF30" s="14">
        <f t="shared" si="6"/>
        <v>300</v>
      </c>
      <c r="AG30" s="14">
        <f t="shared" si="7"/>
        <v>150</v>
      </c>
      <c r="AH30" s="14">
        <f t="shared" si="8"/>
        <v>900</v>
      </c>
      <c r="AJ30" s="14">
        <f t="shared" si="12"/>
        <v>1100</v>
      </c>
      <c r="AK30" s="14">
        <f t="shared" si="13"/>
        <v>550</v>
      </c>
      <c r="AL30" s="14">
        <f t="shared" si="14"/>
        <v>3300</v>
      </c>
    </row>
    <row r="31" spans="1:41" ht="16.5" x14ac:dyDescent="0.2">
      <c r="A31" s="13">
        <v>1102011</v>
      </c>
      <c r="B31" s="13" t="s">
        <v>160</v>
      </c>
      <c r="C31" s="13">
        <v>2</v>
      </c>
      <c r="D31" s="13">
        <v>5</v>
      </c>
      <c r="E31" s="13">
        <f>INDEX(新属性投放!$E$7:$E$8,卡牌属性!C31)</f>
        <v>21</v>
      </c>
      <c r="F31" s="13">
        <f>SUM(E$5:E31)</f>
        <v>567</v>
      </c>
      <c r="G31" s="14">
        <f>INDEX(新属性投放!$L$6:$L$10,卡牌属性!D31)</f>
        <v>1.5</v>
      </c>
      <c r="H31" s="13">
        <v>1</v>
      </c>
      <c r="I31" s="13">
        <v>1</v>
      </c>
      <c r="K31" s="13">
        <v>28</v>
      </c>
      <c r="L31" s="13">
        <f t="shared" si="0"/>
        <v>2</v>
      </c>
      <c r="M31" s="13">
        <f t="shared" si="1"/>
        <v>2</v>
      </c>
      <c r="N31" s="14">
        <f t="shared" si="2"/>
        <v>1101002</v>
      </c>
      <c r="O31" s="14" t="str">
        <f t="shared" si="3"/>
        <v>曹玄亮7突</v>
      </c>
      <c r="P31" s="29" t="s">
        <v>341</v>
      </c>
      <c r="Q31" s="14">
        <f t="shared" si="4"/>
        <v>1</v>
      </c>
      <c r="R31" s="14">
        <f t="shared" si="5"/>
        <v>7</v>
      </c>
      <c r="S31" s="14" t="s">
        <v>39</v>
      </c>
      <c r="T31" s="14">
        <f>ROUND(((IF(Q31=1,INDEX(新属性投放!$J$14:$J$34,卡牌属性!R31),INDEX(新属性投放!$J$42:$J$62,卡牌属性!R31)))*INDEX($G$5:$G$42,L31)+IF(Q31=1,INDEX(新属性投放!R$20:R$23,卡牌属性!M31-1),INDEX(新属性投放!R$25:R$28,卡牌属性!M31-1)))/SQRT(INDEX($I$5:$I$42,L31)),2)</f>
        <v>1451</v>
      </c>
      <c r="U31" s="29" t="s">
        <v>178</v>
      </c>
      <c r="V31" s="14">
        <f>ROUND((IF(Q31=1,INDEX(新属性投放!$K$14:$K$34,卡牌属性!R31),INDEX(新属性投放!$K$42:$K$62,卡牌属性!R31))+IF(Q31=1,INDEX(新属性投放!S$20:S$23,卡牌属性!M31-1),INDEX(新属性投放!S$25:S$28,卡牌属性!M31-1)))*INDEX($G$5:$G$42,L31),2)</f>
        <v>682</v>
      </c>
      <c r="W31" s="29" t="s">
        <v>179</v>
      </c>
      <c r="X31" s="14">
        <f>ROUND((IF(Q31=1,INDEX(新属性投放!$L$14:$L$34,卡牌属性!R31),INDEX(新属性投放!$L$42:$L$62,卡牌属性!R31))*INDEX($G$5:$G$42,L31)+IF(Q31=1,INDEX(新属性投放!T$20:T$23,卡牌属性!M31-1),INDEX(新属性投放!T$25:T$28,卡牌属性!M31-1)))*SQRT(INDEX($I$5:$I$42,L31)),2)</f>
        <v>4553</v>
      </c>
      <c r="Y31" s="29" t="s">
        <v>177</v>
      </c>
      <c r="Z31" s="14">
        <f>ROUND(IF(Q31=1,INDEX(新属性投放!$D$14:$D$34,卡牌属性!R31),INDEX(新属性投放!$D$42:$D$62,卡牌属性!R31))*INDEX($G$5:$G$42,L31)/SQRT(INDEX($I$5:$I$42,L31)),2)</f>
        <v>35</v>
      </c>
      <c r="AA31" s="29" t="s">
        <v>178</v>
      </c>
      <c r="AB31" s="14">
        <f>ROUND(IF(Q31=1,INDEX(新属性投放!$E$14:$E$34,卡牌属性!R31),INDEX(新属性投放!$E$42:$E$62,卡牌属性!R31))*INDEX($G$5:$G$42,L31),2)</f>
        <v>17.5</v>
      </c>
      <c r="AC31" s="29" t="s">
        <v>179</v>
      </c>
      <c r="AD31" s="14">
        <f>ROUND(IF(Q31=1,INDEX(新属性投放!$F$14:$F$34,卡牌属性!R31),INDEX(新属性投放!$F$42:$F$62,卡牌属性!R31))*INDEX($G$5:$G$42,L31)*SQRT(INDEX($I$5:$I$42,L31)),2)</f>
        <v>105</v>
      </c>
      <c r="AF31" s="14">
        <f t="shared" si="6"/>
        <v>350</v>
      </c>
      <c r="AG31" s="14">
        <f t="shared" si="7"/>
        <v>175</v>
      </c>
      <c r="AH31" s="14">
        <f t="shared" si="8"/>
        <v>1050</v>
      </c>
      <c r="AJ31" s="14">
        <f t="shared" si="12"/>
        <v>1450</v>
      </c>
      <c r="AK31" s="14">
        <f t="shared" si="13"/>
        <v>725</v>
      </c>
      <c r="AL31" s="14">
        <f t="shared" si="14"/>
        <v>4350</v>
      </c>
    </row>
    <row r="32" spans="1:41" ht="16.5" x14ac:dyDescent="0.2">
      <c r="A32" s="13">
        <v>1102012</v>
      </c>
      <c r="B32" s="13" t="s">
        <v>161</v>
      </c>
      <c r="C32" s="13">
        <v>2</v>
      </c>
      <c r="D32" s="13">
        <v>5</v>
      </c>
      <c r="E32" s="13">
        <f>INDEX(新属性投放!$E$7:$E$8,卡牌属性!C32)</f>
        <v>21</v>
      </c>
      <c r="F32" s="13">
        <f>SUM(E$5:E32)</f>
        <v>588</v>
      </c>
      <c r="G32" s="14">
        <f>INDEX(新属性投放!$L$6:$L$10,卡牌属性!D32)</f>
        <v>1.5</v>
      </c>
      <c r="H32" s="13">
        <v>1</v>
      </c>
      <c r="I32" s="13">
        <v>1</v>
      </c>
      <c r="K32" s="13">
        <v>29</v>
      </c>
      <c r="L32" s="13">
        <f t="shared" si="0"/>
        <v>2</v>
      </c>
      <c r="M32" s="13">
        <f t="shared" si="1"/>
        <v>2</v>
      </c>
      <c r="N32" s="14">
        <f t="shared" si="2"/>
        <v>1101002</v>
      </c>
      <c r="O32" s="14" t="str">
        <f t="shared" si="3"/>
        <v>曹玄亮8突</v>
      </c>
      <c r="P32" s="29" t="s">
        <v>341</v>
      </c>
      <c r="Q32" s="14">
        <f t="shared" si="4"/>
        <v>1</v>
      </c>
      <c r="R32" s="14">
        <f t="shared" si="5"/>
        <v>8</v>
      </c>
      <c r="S32" s="14" t="s">
        <v>39</v>
      </c>
      <c r="T32" s="14">
        <f>ROUND(((IF(Q32=1,INDEX(新属性投放!$J$14:$J$34,卡牌属性!R32),INDEX(新属性投放!$J$42:$J$62,卡牌属性!R32)))*INDEX($G$5:$G$42,L32)+IF(Q32=1,INDEX(新属性投放!R$20:R$23,卡牌属性!M32-1),INDEX(新属性投放!R$25:R$28,卡牌属性!M32-1)))/SQRT(INDEX($I$5:$I$42,L32)),2)</f>
        <v>1889</v>
      </c>
      <c r="U32" s="29" t="s">
        <v>178</v>
      </c>
      <c r="V32" s="14">
        <f>ROUND((IF(Q32=1,INDEX(新属性投放!$K$14:$K$34,卡牌属性!R32),INDEX(新属性投放!$K$42:$K$62,卡牌属性!R32))+IF(Q32=1,INDEX(新属性投放!S$20:S$23,卡牌属性!M32-1),INDEX(新属性投放!S$25:S$28,卡牌属性!M32-1)))*INDEX($G$5:$G$42,L32),2)</f>
        <v>901</v>
      </c>
      <c r="W32" s="29" t="s">
        <v>179</v>
      </c>
      <c r="X32" s="14">
        <f>ROUND((IF(Q32=1,INDEX(新属性投放!$L$14:$L$34,卡牌属性!R32),INDEX(新属性投放!$L$42:$L$62,卡牌属性!R32))*INDEX($G$5:$G$42,L32)+IF(Q32=1,INDEX(新属性投放!T$20:T$23,卡牌属性!M32-1),INDEX(新属性投放!T$25:T$28,卡牌属性!M32-1)))*SQRT(INDEX($I$5:$I$42,L32)),2)</f>
        <v>5867</v>
      </c>
      <c r="Y32" s="29" t="s">
        <v>177</v>
      </c>
      <c r="Z32" s="14">
        <f>ROUND(IF(Q32=1,INDEX(新属性投放!$D$14:$D$34,卡牌属性!R32),INDEX(新属性投放!$D$42:$D$62,卡牌属性!R32))*INDEX($G$5:$G$42,L32)/SQRT(INDEX($I$5:$I$42,L32)),2)</f>
        <v>45</v>
      </c>
      <c r="AA32" s="29" t="s">
        <v>178</v>
      </c>
      <c r="AB32" s="14">
        <f>ROUND(IF(Q32=1,INDEX(新属性投放!$E$14:$E$34,卡牌属性!R32),INDEX(新属性投放!$E$42:$E$62,卡牌属性!R32))*INDEX($G$5:$G$42,L32),2)</f>
        <v>22.5</v>
      </c>
      <c r="AC32" s="29" t="s">
        <v>179</v>
      </c>
      <c r="AD32" s="14">
        <f>ROUND(IF(Q32=1,INDEX(新属性投放!$F$14:$F$34,卡牌属性!R32),INDEX(新属性投放!$F$42:$F$62,卡牌属性!R32))*INDEX($G$5:$G$42,L32)*SQRT(INDEX($I$5:$I$42,L32)),2)</f>
        <v>135</v>
      </c>
      <c r="AF32" s="14">
        <f t="shared" si="6"/>
        <v>450</v>
      </c>
      <c r="AG32" s="14">
        <f t="shared" si="7"/>
        <v>225</v>
      </c>
      <c r="AH32" s="14">
        <f t="shared" si="8"/>
        <v>1350</v>
      </c>
      <c r="AJ32" s="14">
        <f t="shared" si="12"/>
        <v>1900</v>
      </c>
      <c r="AK32" s="14">
        <f t="shared" si="13"/>
        <v>950</v>
      </c>
      <c r="AL32" s="14">
        <f t="shared" si="14"/>
        <v>5700</v>
      </c>
    </row>
    <row r="33" spans="1:38" ht="16.5" x14ac:dyDescent="0.2">
      <c r="A33" s="13">
        <v>1102013</v>
      </c>
      <c r="B33" s="13" t="s">
        <v>162</v>
      </c>
      <c r="C33" s="13">
        <v>2</v>
      </c>
      <c r="D33" s="13">
        <v>2</v>
      </c>
      <c r="E33" s="13">
        <f>INDEX(新属性投放!$E$7:$E$8,卡牌属性!C33)</f>
        <v>21</v>
      </c>
      <c r="F33" s="13">
        <f>SUM(E$5:E33)</f>
        <v>609</v>
      </c>
      <c r="G33" s="14">
        <f>INDEX(新属性投放!$L$6:$L$10,卡牌属性!D33)</f>
        <v>1</v>
      </c>
      <c r="H33" s="13">
        <v>1</v>
      </c>
      <c r="I33" s="13">
        <v>1</v>
      </c>
      <c r="K33" s="13">
        <v>30</v>
      </c>
      <c r="L33" s="13">
        <f t="shared" si="0"/>
        <v>2</v>
      </c>
      <c r="M33" s="13">
        <f t="shared" si="1"/>
        <v>2</v>
      </c>
      <c r="N33" s="14">
        <f t="shared" si="2"/>
        <v>1101002</v>
      </c>
      <c r="O33" s="14" t="str">
        <f t="shared" si="3"/>
        <v>曹玄亮9突</v>
      </c>
      <c r="P33" s="29" t="s">
        <v>341</v>
      </c>
      <c r="Q33" s="14">
        <f t="shared" si="4"/>
        <v>1</v>
      </c>
      <c r="R33" s="14">
        <f t="shared" si="5"/>
        <v>9</v>
      </c>
      <c r="S33" s="14" t="s">
        <v>39</v>
      </c>
      <c r="T33" s="14">
        <f>ROUND(((IF(Q33=1,INDEX(新属性投放!$J$14:$J$34,卡牌属性!R33),INDEX(新属性投放!$J$42:$J$62,卡牌属性!R33)))*INDEX($G$5:$G$42,L33)+IF(Q33=1,INDEX(新属性投放!R$20:R$23,卡牌属性!M33-1),INDEX(新属性投放!R$25:R$28,卡牌属性!M33-1)))/SQRT(INDEX($I$5:$I$42,L33)),2)</f>
        <v>2452</v>
      </c>
      <c r="U33" s="29" t="s">
        <v>178</v>
      </c>
      <c r="V33" s="14">
        <f>ROUND((IF(Q33=1,INDEX(新属性投放!$K$14:$K$34,卡牌属性!R33),INDEX(新属性投放!$K$42:$K$62,卡牌属性!R33))+IF(Q33=1,INDEX(新属性投放!S$20:S$23,卡牌属性!M33-1),INDEX(新属性投放!S$25:S$28,卡牌属性!M33-1)))*INDEX($G$5:$G$42,L33),2)</f>
        <v>1182</v>
      </c>
      <c r="W33" s="29" t="s">
        <v>179</v>
      </c>
      <c r="X33" s="14">
        <f>ROUND((IF(Q33=1,INDEX(新属性投放!$L$14:$L$34,卡牌属性!R33),INDEX(新属性投放!$L$42:$L$62,卡牌属性!R33))*INDEX($G$5:$G$42,L33)+IF(Q33=1,INDEX(新属性投放!T$20:T$23,卡牌属性!M33-1),INDEX(新属性投放!T$25:T$28,卡牌属性!M33-1)))*SQRT(INDEX($I$5:$I$42,L33)),2)</f>
        <v>7556</v>
      </c>
      <c r="Y33" s="29" t="s">
        <v>177</v>
      </c>
      <c r="Z33" s="14">
        <f>ROUND(IF(Q33=1,INDEX(新属性投放!$D$14:$D$34,卡牌属性!R33),INDEX(新属性投放!$D$42:$D$62,卡牌属性!R33))*INDEX($G$5:$G$42,L33)/SQRT(INDEX($I$5:$I$42,L33)),2)</f>
        <v>60.05</v>
      </c>
      <c r="AA33" s="29" t="s">
        <v>178</v>
      </c>
      <c r="AB33" s="14">
        <f>ROUND(IF(Q33=1,INDEX(新属性投放!$E$14:$E$34,卡牌属性!R33),INDEX(新属性投放!$E$42:$E$62,卡牌属性!R33))*INDEX($G$5:$G$42,L33),2)</f>
        <v>30.03</v>
      </c>
      <c r="AC33" s="29" t="s">
        <v>179</v>
      </c>
      <c r="AD33" s="14">
        <f>ROUND(IF(Q33=1,INDEX(新属性投放!$F$14:$F$34,卡牌属性!R33),INDEX(新属性投放!$F$42:$F$62,卡牌属性!R33))*INDEX($G$5:$G$42,L33)*SQRT(INDEX($I$5:$I$42,L33)),2)</f>
        <v>180.15</v>
      </c>
      <c r="AF33" s="14">
        <f t="shared" si="6"/>
        <v>600</v>
      </c>
      <c r="AG33" s="14">
        <f t="shared" si="7"/>
        <v>300</v>
      </c>
      <c r="AH33" s="14">
        <f t="shared" si="8"/>
        <v>1801</v>
      </c>
      <c r="AJ33" s="14">
        <f t="shared" si="12"/>
        <v>2500</v>
      </c>
      <c r="AK33" s="14">
        <f t="shared" si="13"/>
        <v>1250</v>
      </c>
      <c r="AL33" s="14">
        <f t="shared" si="14"/>
        <v>7501</v>
      </c>
    </row>
    <row r="34" spans="1:38" ht="16.5" x14ac:dyDescent="0.2">
      <c r="A34" s="13">
        <v>1102014</v>
      </c>
      <c r="B34" s="13" t="s">
        <v>163</v>
      </c>
      <c r="C34" s="13">
        <v>2</v>
      </c>
      <c r="D34" s="13">
        <v>4</v>
      </c>
      <c r="E34" s="13">
        <f>INDEX(新属性投放!$E$7:$E$8,卡牌属性!C34)</f>
        <v>21</v>
      </c>
      <c r="F34" s="13">
        <f>SUM(E$5:E34)</f>
        <v>630</v>
      </c>
      <c r="G34" s="14">
        <f>INDEX(新属性投放!$L$6:$L$10,卡牌属性!D34)</f>
        <v>1.3</v>
      </c>
      <c r="H34" s="13">
        <v>1</v>
      </c>
      <c r="I34" s="13">
        <v>1</v>
      </c>
      <c r="K34" s="13">
        <v>31</v>
      </c>
      <c r="L34" s="13">
        <f t="shared" si="0"/>
        <v>2</v>
      </c>
      <c r="M34" s="13">
        <f t="shared" si="1"/>
        <v>2</v>
      </c>
      <c r="N34" s="14">
        <f t="shared" si="2"/>
        <v>1101002</v>
      </c>
      <c r="O34" s="14" t="str">
        <f t="shared" si="3"/>
        <v>曹玄亮10突</v>
      </c>
      <c r="P34" s="29" t="s">
        <v>341</v>
      </c>
      <c r="Q34" s="14">
        <f t="shared" si="4"/>
        <v>1</v>
      </c>
      <c r="R34" s="14">
        <f t="shared" si="5"/>
        <v>10</v>
      </c>
      <c r="S34" s="14" t="s">
        <v>39</v>
      </c>
      <c r="T34" s="14">
        <f>ROUND(((IF(Q34=1,INDEX(新属性投放!$J$14:$J$34,卡牌属性!R34),INDEX(新属性投放!$J$42:$J$62,卡牌属性!R34)))*INDEX($G$5:$G$42,L34)+IF(Q34=1,INDEX(新属性投放!R$20:R$23,卡牌属性!M34-1),INDEX(新属性投放!R$25:R$28,卡牌属性!M34-1)))/SQRT(INDEX($I$5:$I$42,L34)),2)</f>
        <v>3202.5</v>
      </c>
      <c r="U34" s="29" t="s">
        <v>178</v>
      </c>
      <c r="V34" s="14">
        <f>ROUND((IF(Q34=1,INDEX(新属性投放!$K$14:$K$34,卡牌属性!R34),INDEX(新属性投放!$K$42:$K$62,卡牌属性!R34))+IF(Q34=1,INDEX(新属性投放!S$20:S$23,卡牌属性!M34-1),INDEX(新属性投放!S$25:S$28,卡牌属性!M34-1)))*INDEX($G$5:$G$42,L34),2)</f>
        <v>1557.25</v>
      </c>
      <c r="W34" s="29" t="s">
        <v>179</v>
      </c>
      <c r="X34" s="14">
        <f>ROUND((IF(Q34=1,INDEX(新属性投放!$L$14:$L$34,卡牌属性!R34),INDEX(新属性投放!$L$42:$L$62,卡牌属性!R34))*INDEX($G$5:$G$42,L34)+IF(Q34=1,INDEX(新属性投放!T$20:T$23,卡牌属性!M34-1),INDEX(新属性投放!T$25:T$28,卡牌属性!M34-1)))*SQRT(INDEX($I$5:$I$42,L34)),2)</f>
        <v>9807.5</v>
      </c>
      <c r="Y34" s="29" t="s">
        <v>177</v>
      </c>
      <c r="Z34" s="14">
        <f>ROUND(IF(Q34=1,INDEX(新属性投放!$D$14:$D$34,卡牌属性!R34),INDEX(新属性投放!$D$42:$D$62,卡牌属性!R34))*INDEX($G$5:$G$42,L34)/SQRT(INDEX($I$5:$I$42,L34)),2)</f>
        <v>78.5</v>
      </c>
      <c r="AA34" s="29" t="s">
        <v>178</v>
      </c>
      <c r="AB34" s="14">
        <f>ROUND(IF(Q34=1,INDEX(新属性投放!$E$14:$E$34,卡牌属性!R34),INDEX(新属性投放!$E$42:$E$62,卡牌属性!R34))*INDEX($G$5:$G$42,L34),2)</f>
        <v>39.25</v>
      </c>
      <c r="AC34" s="29" t="s">
        <v>179</v>
      </c>
      <c r="AD34" s="14">
        <f>ROUND(IF(Q34=1,INDEX(新属性投放!$F$14:$F$34,卡牌属性!R34),INDEX(新属性投放!$F$42:$F$62,卡牌属性!R34))*INDEX($G$5:$G$42,L34)*SQRT(INDEX($I$5:$I$42,L34)),2)</f>
        <v>235.5</v>
      </c>
      <c r="AF34" s="14">
        <f t="shared" si="6"/>
        <v>785</v>
      </c>
      <c r="AG34" s="14">
        <f t="shared" si="7"/>
        <v>392</v>
      </c>
      <c r="AH34" s="14">
        <f t="shared" si="8"/>
        <v>2355</v>
      </c>
      <c r="AJ34" s="14">
        <f t="shared" si="12"/>
        <v>3285</v>
      </c>
      <c r="AK34" s="14">
        <f t="shared" si="13"/>
        <v>1642</v>
      </c>
      <c r="AL34" s="14">
        <f t="shared" si="14"/>
        <v>9856</v>
      </c>
    </row>
    <row r="35" spans="1:38" ht="16.5" x14ac:dyDescent="0.2">
      <c r="A35" s="13">
        <v>1102015</v>
      </c>
      <c r="B35" s="13" t="s">
        <v>164</v>
      </c>
      <c r="C35" s="13">
        <v>2</v>
      </c>
      <c r="D35" s="13">
        <v>2</v>
      </c>
      <c r="E35" s="13">
        <f>INDEX(新属性投放!$E$7:$E$8,卡牌属性!C35)</f>
        <v>21</v>
      </c>
      <c r="F35" s="13">
        <f>SUM(E$5:E35)</f>
        <v>651</v>
      </c>
      <c r="G35" s="14">
        <f>INDEX(新属性投放!$L$6:$L$10,卡牌属性!D35)</f>
        <v>1</v>
      </c>
      <c r="H35" s="13">
        <v>1</v>
      </c>
      <c r="I35" s="13">
        <v>1</v>
      </c>
      <c r="K35" s="13">
        <v>32</v>
      </c>
      <c r="L35" s="13">
        <f t="shared" si="0"/>
        <v>2</v>
      </c>
      <c r="M35" s="13">
        <f t="shared" si="1"/>
        <v>2</v>
      </c>
      <c r="N35" s="14">
        <f t="shared" si="2"/>
        <v>1101002</v>
      </c>
      <c r="O35" s="14" t="str">
        <f t="shared" si="3"/>
        <v>曹玄亮11突</v>
      </c>
      <c r="P35" s="29" t="s">
        <v>341</v>
      </c>
      <c r="Q35" s="14">
        <f t="shared" si="4"/>
        <v>1</v>
      </c>
      <c r="R35" s="14">
        <f t="shared" si="5"/>
        <v>11</v>
      </c>
      <c r="S35" s="14" t="s">
        <v>39</v>
      </c>
      <c r="T35" s="14">
        <f>ROUND(((IF(Q35=1,INDEX(新属性投放!$J$14:$J$34,卡牌属性!R35),INDEX(新属性投放!$J$42:$J$62,卡牌属性!R35)))*INDEX($G$5:$G$42,L35)+IF(Q35=1,INDEX(新属性投放!R$20:R$23,卡牌属性!M35-1),INDEX(新属性投放!R$25:R$28,卡牌属性!M35-1)))/SQRT(INDEX($I$5:$I$42,L35)),2)</f>
        <v>4183.5</v>
      </c>
      <c r="U35" s="29" t="s">
        <v>178</v>
      </c>
      <c r="V35" s="14">
        <f>ROUND((IF(Q35=1,INDEX(新属性投放!$K$14:$K$34,卡牌属性!R35),INDEX(新属性投放!$K$42:$K$62,卡牌属性!R35))+IF(Q35=1,INDEX(新属性投放!S$20:S$23,卡牌属性!M35-1),INDEX(新属性投放!S$25:S$28,卡牌属性!M35-1)))*INDEX($G$5:$G$42,L35),2)</f>
        <v>2047.75</v>
      </c>
      <c r="W35" s="29" t="s">
        <v>179</v>
      </c>
      <c r="X35" s="14">
        <f>ROUND((IF(Q35=1,INDEX(新属性投放!$L$14:$L$34,卡牌属性!R35),INDEX(新属性投放!$L$42:$L$62,卡牌属性!R35))*INDEX($G$5:$G$42,L35)+IF(Q35=1,INDEX(新属性投放!T$20:T$23,卡牌属性!M35-1),INDEX(新属性投放!T$25:T$28,卡牌属性!M35-1)))*SQRT(INDEX($I$5:$I$42,L35)),2)</f>
        <v>12750.5</v>
      </c>
      <c r="Y35" s="29" t="s">
        <v>177</v>
      </c>
      <c r="Z35" s="14">
        <f>ROUND(IF(Q35=1,INDEX(新属性投放!$D$14:$D$34,卡牌属性!R35),INDEX(新属性投放!$D$42:$D$62,卡牌属性!R35))*INDEX($G$5:$G$42,L35)/SQRT(INDEX($I$5:$I$42,L35)),2)</f>
        <v>103.34</v>
      </c>
      <c r="AA35" s="29" t="s">
        <v>178</v>
      </c>
      <c r="AB35" s="14">
        <f>ROUND(IF(Q35=1,INDEX(新属性投放!$E$14:$E$34,卡牌属性!R35),INDEX(新属性投放!$E$42:$E$62,卡牌属性!R35))*INDEX($G$5:$G$42,L35),2)</f>
        <v>51.67</v>
      </c>
      <c r="AC35" s="29" t="s">
        <v>179</v>
      </c>
      <c r="AD35" s="14">
        <f>ROUND(IF(Q35=1,INDEX(新属性投放!$F$14:$F$34,卡牌属性!R35),INDEX(新属性投放!$F$42:$F$62,卡牌属性!R35))*INDEX($G$5:$G$42,L35)*SQRT(INDEX($I$5:$I$42,L35)),2)</f>
        <v>310.02</v>
      </c>
      <c r="AF35" s="14">
        <f t="shared" si="6"/>
        <v>1033</v>
      </c>
      <c r="AG35" s="14">
        <f t="shared" si="7"/>
        <v>516</v>
      </c>
      <c r="AH35" s="14">
        <f t="shared" si="8"/>
        <v>3100</v>
      </c>
      <c r="AJ35" s="14">
        <f t="shared" si="12"/>
        <v>4318</v>
      </c>
      <c r="AK35" s="14">
        <f t="shared" si="13"/>
        <v>2158</v>
      </c>
      <c r="AL35" s="14">
        <f t="shared" si="14"/>
        <v>12956</v>
      </c>
    </row>
    <row r="36" spans="1:38" ht="16.5" x14ac:dyDescent="0.2">
      <c r="A36" s="13">
        <v>1102016</v>
      </c>
      <c r="B36" s="13" t="s">
        <v>165</v>
      </c>
      <c r="C36" s="13">
        <v>2</v>
      </c>
      <c r="D36" s="13">
        <v>5</v>
      </c>
      <c r="E36" s="13">
        <f>INDEX(新属性投放!$E$7:$E$8,卡牌属性!C36)</f>
        <v>21</v>
      </c>
      <c r="F36" s="13">
        <f>SUM(E$5:E36)</f>
        <v>672</v>
      </c>
      <c r="G36" s="14">
        <f>INDEX(新属性投放!$L$6:$L$10,卡牌属性!D36)</f>
        <v>1.5</v>
      </c>
      <c r="H36" s="13">
        <v>1</v>
      </c>
      <c r="I36" s="13">
        <v>1</v>
      </c>
      <c r="K36" s="13">
        <v>33</v>
      </c>
      <c r="L36" s="13">
        <f t="shared" si="0"/>
        <v>2</v>
      </c>
      <c r="M36" s="13">
        <f t="shared" si="1"/>
        <v>2</v>
      </c>
      <c r="N36" s="14">
        <f t="shared" si="2"/>
        <v>1101002</v>
      </c>
      <c r="O36" s="14" t="str">
        <f t="shared" si="3"/>
        <v>曹玄亮12突</v>
      </c>
      <c r="P36" s="29" t="s">
        <v>341</v>
      </c>
      <c r="Q36" s="14">
        <f t="shared" si="4"/>
        <v>1</v>
      </c>
      <c r="R36" s="14">
        <f t="shared" si="5"/>
        <v>12</v>
      </c>
      <c r="S36" s="14" t="s">
        <v>39</v>
      </c>
      <c r="T36" s="14">
        <f>ROUND(((IF(Q36=1,INDEX(新属性投放!$J$14:$J$34,卡牌属性!R36),INDEX(新属性投放!$J$42:$J$62,卡牌属性!R36)))*INDEX($G$5:$G$42,L36)+IF(Q36=1,INDEX(新属性投放!R$20:R$23,卡牌属性!M36-1),INDEX(新属性投放!R$25:R$28,卡牌属性!M36-1)))/SQRT(INDEX($I$5:$I$42,L36)),2)</f>
        <v>5474.9</v>
      </c>
      <c r="U36" s="29" t="s">
        <v>178</v>
      </c>
      <c r="V36" s="14">
        <f>ROUND((IF(Q36=1,INDEX(新属性投放!$K$14:$K$34,卡牌属性!R36),INDEX(新属性投放!$K$42:$K$62,卡牌属性!R36))+IF(Q36=1,INDEX(新属性投放!S$20:S$23,卡牌属性!M36-1),INDEX(新属性投放!S$25:S$28,卡牌属性!M36-1)))*INDEX($G$5:$G$42,L36),2)</f>
        <v>2693.45</v>
      </c>
      <c r="W36" s="29" t="s">
        <v>179</v>
      </c>
      <c r="X36" s="14">
        <f>ROUND((IF(Q36=1,INDEX(新属性投放!$L$14:$L$34,卡牌属性!R36),INDEX(新属性投放!$L$42:$L$62,卡牌属性!R36))*INDEX($G$5:$G$42,L36)+IF(Q36=1,INDEX(新属性投放!T$20:T$23,卡牌属性!M36-1),INDEX(新属性投放!T$25:T$28,卡牌属性!M36-1)))*SQRT(INDEX($I$5:$I$42,L36)),2)</f>
        <v>16624.7</v>
      </c>
      <c r="Y36" s="29" t="s">
        <v>177</v>
      </c>
      <c r="Z36" s="14">
        <f>ROUND(IF(Q36=1,INDEX(新属性投放!$D$14:$D$34,卡牌属性!R36),INDEX(新属性投放!$D$42:$D$62,卡牌属性!R36))*INDEX($G$5:$G$42,L36)/SQRT(INDEX($I$5:$I$42,L36)),2)</f>
        <v>135.62</v>
      </c>
      <c r="AA36" s="29" t="s">
        <v>178</v>
      </c>
      <c r="AB36" s="14">
        <f>ROUND(IF(Q36=1,INDEX(新属性投放!$E$14:$E$34,卡牌属性!R36),INDEX(新属性投放!$E$42:$E$62,卡牌属性!R36))*INDEX($G$5:$G$42,L36),2)</f>
        <v>67.81</v>
      </c>
      <c r="AC36" s="29" t="s">
        <v>179</v>
      </c>
      <c r="AD36" s="14">
        <f>ROUND(IF(Q36=1,INDEX(新属性投放!$F$14:$F$34,卡牌属性!R36),INDEX(新属性投放!$F$42:$F$62,卡牌属性!R36))*INDEX($G$5:$G$42,L36)*SQRT(INDEX($I$5:$I$42,L36)),2)</f>
        <v>406.86</v>
      </c>
      <c r="AF36" s="14">
        <f t="shared" si="6"/>
        <v>1356</v>
      </c>
      <c r="AG36" s="14">
        <f t="shared" si="7"/>
        <v>678</v>
      </c>
      <c r="AH36" s="14">
        <f t="shared" si="8"/>
        <v>4068</v>
      </c>
      <c r="AJ36" s="14">
        <f t="shared" si="12"/>
        <v>5674</v>
      </c>
      <c r="AK36" s="14">
        <f t="shared" si="13"/>
        <v>2836</v>
      </c>
      <c r="AL36" s="14">
        <f t="shared" si="14"/>
        <v>17024</v>
      </c>
    </row>
    <row r="37" spans="1:38" ht="16.5" x14ac:dyDescent="0.2">
      <c r="A37" s="13">
        <v>1102017</v>
      </c>
      <c r="B37" s="13" t="s">
        <v>166</v>
      </c>
      <c r="C37" s="13">
        <v>2</v>
      </c>
      <c r="D37" s="13">
        <v>4</v>
      </c>
      <c r="E37" s="13">
        <f>INDEX(新属性投放!$E$7:$E$8,卡牌属性!C37)</f>
        <v>21</v>
      </c>
      <c r="F37" s="13">
        <f>SUM(E$5:E37)</f>
        <v>693</v>
      </c>
      <c r="G37" s="14">
        <f>INDEX(新属性投放!$L$6:$L$10,卡牌属性!D37)</f>
        <v>1.3</v>
      </c>
      <c r="H37" s="13">
        <v>1</v>
      </c>
      <c r="I37" s="13">
        <v>1</v>
      </c>
      <c r="K37" s="13">
        <v>34</v>
      </c>
      <c r="L37" s="13">
        <f t="shared" si="0"/>
        <v>2</v>
      </c>
      <c r="M37" s="13">
        <f t="shared" si="1"/>
        <v>2</v>
      </c>
      <c r="N37" s="14">
        <f t="shared" si="2"/>
        <v>1101002</v>
      </c>
      <c r="O37" s="14" t="str">
        <f t="shared" si="3"/>
        <v>曹玄亮13突</v>
      </c>
      <c r="P37" s="29" t="s">
        <v>341</v>
      </c>
      <c r="Q37" s="14">
        <f t="shared" si="4"/>
        <v>1</v>
      </c>
      <c r="R37" s="14">
        <f t="shared" si="5"/>
        <v>13</v>
      </c>
      <c r="S37" s="14" t="s">
        <v>39</v>
      </c>
      <c r="T37" s="14">
        <f>ROUND(((IF(Q37=1,INDEX(新属性投放!$J$14:$J$34,卡牌属性!R37),INDEX(新属性投放!$J$42:$J$62,卡牌属性!R37)))*INDEX($G$5:$G$42,L37)+IF(Q37=1,INDEX(新属性投放!R$20:R$23,卡牌属性!M37-1),INDEX(新属性投放!R$25:R$28,卡牌属性!M37-1)))/SQRT(INDEX($I$5:$I$42,L37)),2)</f>
        <v>7170.1</v>
      </c>
      <c r="U37" s="29" t="s">
        <v>178</v>
      </c>
      <c r="V37" s="14">
        <f>ROUND((IF(Q37=1,INDEX(新属性投放!$K$14:$K$34,卡牌属性!R37),INDEX(新属性投放!$K$42:$K$62,卡牌属性!R37))+IF(Q37=1,INDEX(新属性投放!S$20:S$23,卡牌属性!M37-1),INDEX(新属性投放!S$25:S$28,卡牌属性!M37-1)))*INDEX($G$5:$G$42,L37),2)</f>
        <v>3541.55</v>
      </c>
      <c r="W37" s="29" t="s">
        <v>179</v>
      </c>
      <c r="X37" s="14">
        <f>ROUND((IF(Q37=1,INDEX(新属性投放!$L$14:$L$34,卡牌属性!R37),INDEX(新属性投放!$L$42:$L$62,卡牌属性!R37))*INDEX($G$5:$G$42,L37)+IF(Q37=1,INDEX(新属性投放!T$20:T$23,卡牌属性!M37-1),INDEX(新属性投放!T$25:T$28,卡牌属性!M37-1)))*SQRT(INDEX($I$5:$I$42,L37)),2)</f>
        <v>21710.3</v>
      </c>
      <c r="Y37" s="29" t="s">
        <v>177</v>
      </c>
      <c r="Z37" s="14">
        <f>ROUND(IF(Q37=1,INDEX(新属性投放!$D$14:$D$34,卡牌属性!R37),INDEX(新属性投放!$D$42:$D$62,卡牌属性!R37))*INDEX($G$5:$G$42,L37)/SQRT(INDEX($I$5:$I$42,L37)),2)</f>
        <v>178</v>
      </c>
      <c r="AA37" s="29" t="s">
        <v>178</v>
      </c>
      <c r="AB37" s="14">
        <f>ROUND(IF(Q37=1,INDEX(新属性投放!$E$14:$E$34,卡牌属性!R37),INDEX(新属性投放!$E$42:$E$62,卡牌属性!R37))*INDEX($G$5:$G$42,L37),2)</f>
        <v>89</v>
      </c>
      <c r="AC37" s="29" t="s">
        <v>179</v>
      </c>
      <c r="AD37" s="14">
        <f>ROUND(IF(Q37=1,INDEX(新属性投放!$F$14:$F$34,卡牌属性!R37),INDEX(新属性投放!$F$42:$F$62,卡牌属性!R37))*INDEX($G$5:$G$42,L37)*SQRT(INDEX($I$5:$I$42,L37)),2)</f>
        <v>534</v>
      </c>
      <c r="AF37" s="14">
        <f t="shared" si="6"/>
        <v>1780</v>
      </c>
      <c r="AG37" s="14">
        <f t="shared" si="7"/>
        <v>890</v>
      </c>
      <c r="AH37" s="14">
        <f t="shared" si="8"/>
        <v>5340</v>
      </c>
      <c r="AJ37" s="14">
        <f t="shared" si="12"/>
        <v>7454</v>
      </c>
      <c r="AK37" s="14">
        <f t="shared" si="13"/>
        <v>3726</v>
      </c>
      <c r="AL37" s="14">
        <f t="shared" si="14"/>
        <v>22364</v>
      </c>
    </row>
    <row r="38" spans="1:38" ht="16.5" x14ac:dyDescent="0.2">
      <c r="A38" s="13">
        <v>1102018</v>
      </c>
      <c r="B38" s="13" t="s">
        <v>167</v>
      </c>
      <c r="C38" s="13">
        <v>2</v>
      </c>
      <c r="D38" s="13">
        <v>2</v>
      </c>
      <c r="E38" s="13">
        <f>INDEX(新属性投放!$E$7:$E$8,卡牌属性!C38)</f>
        <v>21</v>
      </c>
      <c r="F38" s="13">
        <f>SUM(E$5:E38)</f>
        <v>714</v>
      </c>
      <c r="G38" s="14">
        <f>INDEX(新属性投放!$L$6:$L$10,卡牌属性!D38)</f>
        <v>1</v>
      </c>
      <c r="H38" s="13">
        <v>1</v>
      </c>
      <c r="I38" s="13">
        <v>1</v>
      </c>
      <c r="K38" s="13">
        <v>35</v>
      </c>
      <c r="L38" s="13">
        <f t="shared" si="0"/>
        <v>2</v>
      </c>
      <c r="M38" s="13">
        <f t="shared" si="1"/>
        <v>2</v>
      </c>
      <c r="N38" s="14">
        <f t="shared" si="2"/>
        <v>1101002</v>
      </c>
      <c r="O38" s="14" t="str">
        <f t="shared" si="3"/>
        <v>曹玄亮14突</v>
      </c>
      <c r="P38" s="29" t="s">
        <v>341</v>
      </c>
      <c r="Q38" s="14">
        <f t="shared" si="4"/>
        <v>1</v>
      </c>
      <c r="R38" s="14">
        <f t="shared" si="5"/>
        <v>14</v>
      </c>
      <c r="S38" s="14" t="s">
        <v>39</v>
      </c>
      <c r="T38" s="14">
        <f>ROUND(((IF(Q38=1,INDEX(新属性投放!$J$14:$J$34,卡牌属性!R38),INDEX(新属性投放!$J$42:$J$62,卡牌属性!R38)))*INDEX($G$5:$G$42,L38)+IF(Q38=1,INDEX(新属性投放!R$20:R$23,卡牌属性!M38-1),INDEX(新属性投放!R$25:R$28,卡牌属性!M38-1)))/SQRT(INDEX($I$5:$I$42,L38)),2)</f>
        <v>9395.1</v>
      </c>
      <c r="U38" s="29" t="s">
        <v>178</v>
      </c>
      <c r="V38" s="14">
        <f>ROUND((IF(Q38=1,INDEX(新属性投放!$K$14:$K$34,卡牌属性!R38),INDEX(新属性投放!$K$42:$K$62,卡牌属性!R38))+IF(Q38=1,INDEX(新属性投放!S$20:S$23,卡牌属性!M38-1),INDEX(新属性投放!S$25:S$28,卡牌属性!M38-1)))*INDEX($G$5:$G$42,L38),2)</f>
        <v>4654.55</v>
      </c>
      <c r="W38" s="29" t="s">
        <v>179</v>
      </c>
      <c r="X38" s="14">
        <f>ROUND((IF(Q38=1,INDEX(新属性投放!$L$14:$L$34,卡牌属性!R38),INDEX(新属性投放!$L$42:$L$62,卡牌属性!R38))*INDEX($G$5:$G$42,L38)+IF(Q38=1,INDEX(新属性投放!T$20:T$23,卡牌属性!M38-1),INDEX(新属性投放!T$25:T$28,卡牌属性!M38-1)))*SQRT(INDEX($I$5:$I$42,L38)),2)</f>
        <v>28385.3</v>
      </c>
      <c r="Y38" s="29" t="s">
        <v>177</v>
      </c>
      <c r="Z38" s="14">
        <f>ROUND(IF(Q38=1,INDEX(新属性投放!$D$14:$D$34,卡牌属性!R38),INDEX(新属性投放!$D$42:$D$62,卡牌属性!R38))*INDEX($G$5:$G$42,L38)/SQRT(INDEX($I$5:$I$42,L38)),2)</f>
        <v>233.63</v>
      </c>
      <c r="AA38" s="29" t="s">
        <v>178</v>
      </c>
      <c r="AB38" s="14">
        <f>ROUND(IF(Q38=1,INDEX(新属性投放!$E$14:$E$34,卡牌属性!R38),INDEX(新属性投放!$E$42:$E$62,卡牌属性!R38))*INDEX($G$5:$G$42,L38),2)</f>
        <v>116.82</v>
      </c>
      <c r="AC38" s="29" t="s">
        <v>179</v>
      </c>
      <c r="AD38" s="14">
        <f>ROUND(IF(Q38=1,INDEX(新属性投放!$F$14:$F$34,卡牌属性!R38),INDEX(新属性投放!$F$42:$F$62,卡牌属性!R38))*INDEX($G$5:$G$42,L38)*SQRT(INDEX($I$5:$I$42,L38)),2)</f>
        <v>700.89</v>
      </c>
      <c r="AF38" s="14">
        <f t="shared" si="6"/>
        <v>2336</v>
      </c>
      <c r="AG38" s="14">
        <f t="shared" si="7"/>
        <v>1168</v>
      </c>
      <c r="AH38" s="14">
        <f t="shared" si="8"/>
        <v>7008</v>
      </c>
      <c r="AJ38" s="14">
        <f t="shared" si="12"/>
        <v>9790</v>
      </c>
      <c r="AK38" s="14">
        <f t="shared" si="13"/>
        <v>4894</v>
      </c>
      <c r="AL38" s="14">
        <f t="shared" si="14"/>
        <v>29372</v>
      </c>
    </row>
    <row r="39" spans="1:38" ht="16.5" x14ac:dyDescent="0.2">
      <c r="A39" s="13">
        <v>1102019</v>
      </c>
      <c r="B39" s="13" t="s">
        <v>168</v>
      </c>
      <c r="C39" s="13">
        <v>2</v>
      </c>
      <c r="D39" s="13">
        <v>2</v>
      </c>
      <c r="E39" s="13">
        <f>INDEX(新属性投放!$E$7:$E$8,卡牌属性!C39)</f>
        <v>21</v>
      </c>
      <c r="F39" s="13">
        <f>SUM(E$5:E39)</f>
        <v>735</v>
      </c>
      <c r="G39" s="14">
        <f>INDEX(新属性投放!$L$6:$L$10,卡牌属性!D39)</f>
        <v>1</v>
      </c>
      <c r="H39" s="13">
        <v>1</v>
      </c>
      <c r="I39" s="13">
        <v>1</v>
      </c>
      <c r="K39" s="13">
        <v>36</v>
      </c>
      <c r="L39" s="13">
        <f t="shared" si="0"/>
        <v>2</v>
      </c>
      <c r="M39" s="13">
        <f t="shared" si="1"/>
        <v>2</v>
      </c>
      <c r="N39" s="14">
        <f t="shared" si="2"/>
        <v>1101002</v>
      </c>
      <c r="O39" s="14" t="str">
        <f t="shared" si="3"/>
        <v>曹玄亮15突</v>
      </c>
      <c r="P39" s="29" t="s">
        <v>341</v>
      </c>
      <c r="Q39" s="14">
        <f t="shared" si="4"/>
        <v>1</v>
      </c>
      <c r="R39" s="14">
        <f t="shared" si="5"/>
        <v>15</v>
      </c>
      <c r="S39" s="14" t="s">
        <v>39</v>
      </c>
      <c r="T39" s="14">
        <f>ROUND(((IF(Q39=1,INDEX(新属性投放!$J$14:$J$34,卡牌属性!R39),INDEX(新属性投放!$J$42:$J$62,卡牌属性!R39)))*INDEX($G$5:$G$42,L39)+IF(Q39=1,INDEX(新属性投放!R$20:R$23,卡牌属性!M39-1),INDEX(新属性投放!R$25:R$28,卡牌属性!M39-1)))/SQRT(INDEX($I$5:$I$42,L39)),2)</f>
        <v>12315.4</v>
      </c>
      <c r="U39" s="29" t="s">
        <v>178</v>
      </c>
      <c r="V39" s="14">
        <f>ROUND((IF(Q39=1,INDEX(新属性投放!$K$14:$K$34,卡牌属性!R39),INDEX(新属性投放!$K$42:$K$62,卡牌属性!R39))+IF(Q39=1,INDEX(新属性投放!S$20:S$23,卡牌属性!M39-1),INDEX(新属性投放!S$25:S$28,卡牌属性!M39-1)))*INDEX($G$5:$G$42,L39),2)</f>
        <v>6114.7</v>
      </c>
      <c r="W39" s="29" t="s">
        <v>179</v>
      </c>
      <c r="X39" s="14">
        <f>ROUND((IF(Q39=1,INDEX(新属性投放!$L$14:$L$34,卡牌属性!R39),INDEX(新属性投放!$L$42:$L$62,卡牌属性!R39))*INDEX($G$5:$G$42,L39)+IF(Q39=1,INDEX(新属性投放!T$20:T$23,卡牌属性!M39-1),INDEX(新属性投放!T$25:T$28,卡牌属性!M39-1)))*SQRT(INDEX($I$5:$I$42,L39)),2)</f>
        <v>37146.199999999997</v>
      </c>
      <c r="Y39" s="29" t="s">
        <v>177</v>
      </c>
      <c r="Z39" s="14">
        <f>ROUND(IF(Q39=1,INDEX(新属性投放!$D$14:$D$34,卡牌属性!R39),INDEX(新属性投放!$D$42:$D$62,卡牌属性!R39))*INDEX($G$5:$G$42,L39)/SQRT(INDEX($I$5:$I$42,L39)),2)</f>
        <v>306.64</v>
      </c>
      <c r="AA39" s="29" t="s">
        <v>178</v>
      </c>
      <c r="AB39" s="14">
        <f>ROUND(IF(Q39=1,INDEX(新属性投放!$E$14:$E$34,卡牌属性!R39),INDEX(新属性投放!$E$42:$E$62,卡牌属性!R39))*INDEX($G$5:$G$42,L39),2)</f>
        <v>153.32</v>
      </c>
      <c r="AC39" s="29" t="s">
        <v>179</v>
      </c>
      <c r="AD39" s="14">
        <f>ROUND(IF(Q39=1,INDEX(新属性投放!$F$14:$F$34,卡牌属性!R39),INDEX(新属性投放!$F$42:$F$62,卡牌属性!R39))*INDEX($G$5:$G$42,L39)*SQRT(INDEX($I$5:$I$42,L39)),2)</f>
        <v>919.92</v>
      </c>
      <c r="AF39" s="14">
        <f t="shared" si="6"/>
        <v>3066</v>
      </c>
      <c r="AG39" s="14">
        <f t="shared" si="7"/>
        <v>1533</v>
      </c>
      <c r="AH39" s="14">
        <f t="shared" si="8"/>
        <v>9199</v>
      </c>
      <c r="AJ39" s="14">
        <f t="shared" si="12"/>
        <v>12856</v>
      </c>
      <c r="AK39" s="14">
        <f t="shared" si="13"/>
        <v>6427</v>
      </c>
      <c r="AL39" s="14">
        <f t="shared" si="14"/>
        <v>38571</v>
      </c>
    </row>
    <row r="40" spans="1:38" ht="16.5" x14ac:dyDescent="0.2">
      <c r="A40" s="13">
        <v>1102020</v>
      </c>
      <c r="B40" s="13" t="s">
        <v>169</v>
      </c>
      <c r="C40" s="13">
        <v>2</v>
      </c>
      <c r="D40" s="13">
        <v>3</v>
      </c>
      <c r="E40" s="13">
        <f>INDEX(新属性投放!$E$7:$E$8,卡牌属性!C40)</f>
        <v>21</v>
      </c>
      <c r="F40" s="13">
        <f>SUM(E$5:E40)</f>
        <v>756</v>
      </c>
      <c r="G40" s="14">
        <f>INDEX(新属性投放!$L$6:$L$10,卡牌属性!D40)</f>
        <v>1.1499999999999999</v>
      </c>
      <c r="H40" s="13">
        <v>1</v>
      </c>
      <c r="I40" s="13">
        <v>1</v>
      </c>
      <c r="K40" s="13">
        <v>37</v>
      </c>
      <c r="L40" s="13">
        <f t="shared" si="0"/>
        <v>2</v>
      </c>
      <c r="M40" s="13">
        <f t="shared" si="1"/>
        <v>2</v>
      </c>
      <c r="N40" s="14">
        <f t="shared" si="2"/>
        <v>1101002</v>
      </c>
      <c r="O40" s="14" t="str">
        <f t="shared" si="3"/>
        <v>曹玄亮16突</v>
      </c>
      <c r="P40" s="29" t="s">
        <v>341</v>
      </c>
      <c r="Q40" s="14">
        <f t="shared" si="4"/>
        <v>1</v>
      </c>
      <c r="R40" s="14">
        <f t="shared" si="5"/>
        <v>16</v>
      </c>
      <c r="S40" s="14" t="s">
        <v>39</v>
      </c>
      <c r="T40" s="14">
        <f>ROUND(((IF(Q40=1,INDEX(新属性投放!$J$14:$J$34,卡牌属性!R40),INDEX(新属性投放!$J$42:$J$62,卡牌属性!R40)))*INDEX($G$5:$G$42,L40)+IF(Q40=1,INDEX(新属性投放!R$20:R$23,卡牌属性!M40-1),INDEX(新属性投放!R$25:R$28,卡牌属性!M40-1)))/SQRT(INDEX($I$5:$I$42,L40)),2)</f>
        <v>16148.8</v>
      </c>
      <c r="U40" s="29" t="s">
        <v>178</v>
      </c>
      <c r="V40" s="14">
        <f>ROUND((IF(Q40=1,INDEX(新属性投放!$K$14:$K$34,卡牌属性!R40),INDEX(新属性投放!$K$42:$K$62,卡牌属性!R40))+IF(Q40=1,INDEX(新属性投放!S$20:S$23,卡牌属性!M40-1),INDEX(新属性投放!S$25:S$28,卡牌属性!M40-1)))*INDEX($G$5:$G$42,L40),2)</f>
        <v>8030.9</v>
      </c>
      <c r="W40" s="29" t="s">
        <v>179</v>
      </c>
      <c r="X40" s="14">
        <f>ROUND((IF(Q40=1,INDEX(新属性投放!$L$14:$L$34,卡牌属性!R40),INDEX(新属性投放!$L$42:$L$62,卡牌属性!R40))*INDEX($G$5:$G$42,L40)+IF(Q40=1,INDEX(新属性投放!T$20:T$23,卡牌属性!M40-1),INDEX(新属性投放!T$25:T$28,卡牌属性!M40-1)))*SQRT(INDEX($I$5:$I$42,L40)),2)</f>
        <v>48646.400000000001</v>
      </c>
      <c r="Y40" s="29" t="s">
        <v>177</v>
      </c>
      <c r="Z40" s="14">
        <f>ROUND(IF(Q40=1,INDEX(新属性投放!$D$14:$D$34,卡牌属性!R40),INDEX(新属性投放!$D$42:$D$62,卡牌属性!R40))*INDEX($G$5:$G$42,L40)/SQRT(INDEX($I$5:$I$42,L40)),2)</f>
        <v>402.47</v>
      </c>
      <c r="AA40" s="29" t="s">
        <v>178</v>
      </c>
      <c r="AB40" s="14">
        <f>ROUND(IF(Q40=1,INDEX(新属性投放!$E$14:$E$34,卡牌属性!R40),INDEX(新属性投放!$E$42:$E$62,卡牌属性!R40))*INDEX($G$5:$G$42,L40),2)</f>
        <v>201.24</v>
      </c>
      <c r="AC40" s="29" t="s">
        <v>179</v>
      </c>
      <c r="AD40" s="14">
        <f>ROUND(IF(Q40=1,INDEX(新属性投放!$F$14:$F$34,卡牌属性!R40),INDEX(新属性投放!$F$42:$F$62,卡牌属性!R40))*INDEX($G$5:$G$42,L40)*SQRT(INDEX($I$5:$I$42,L40)),2)</f>
        <v>1207.4100000000001</v>
      </c>
      <c r="AF40" s="14">
        <f t="shared" si="6"/>
        <v>4024</v>
      </c>
      <c r="AG40" s="14">
        <f t="shared" si="7"/>
        <v>2012</v>
      </c>
      <c r="AH40" s="14">
        <f t="shared" si="8"/>
        <v>12074</v>
      </c>
      <c r="AJ40" s="14">
        <f t="shared" si="12"/>
        <v>16880</v>
      </c>
      <c r="AK40" s="14">
        <f t="shared" si="13"/>
        <v>8439</v>
      </c>
      <c r="AL40" s="14">
        <f t="shared" si="14"/>
        <v>50645</v>
      </c>
    </row>
    <row r="41" spans="1:38" ht="16.5" x14ac:dyDescent="0.2">
      <c r="A41" s="13">
        <v>1102021</v>
      </c>
      <c r="B41" s="13" t="s">
        <v>170</v>
      </c>
      <c r="C41" s="13">
        <v>2</v>
      </c>
      <c r="D41" s="13">
        <v>3</v>
      </c>
      <c r="E41" s="13">
        <f>INDEX(新属性投放!$E$7:$E$8,卡牌属性!C41)</f>
        <v>21</v>
      </c>
      <c r="F41" s="13">
        <f>SUM(E$5:E41)</f>
        <v>777</v>
      </c>
      <c r="G41" s="14">
        <f>INDEX(新属性投放!$L$6:$L$10,卡牌属性!D41)</f>
        <v>1.1499999999999999</v>
      </c>
      <c r="H41" s="13">
        <v>1</v>
      </c>
      <c r="I41" s="13">
        <v>1</v>
      </c>
      <c r="K41" s="13">
        <v>38</v>
      </c>
      <c r="L41" s="13">
        <f t="shared" si="0"/>
        <v>2</v>
      </c>
      <c r="M41" s="13">
        <f t="shared" si="1"/>
        <v>2</v>
      </c>
      <c r="N41" s="14">
        <f t="shared" si="2"/>
        <v>1101002</v>
      </c>
      <c r="O41" s="14" t="str">
        <f t="shared" si="3"/>
        <v>曹玄亮17突</v>
      </c>
      <c r="P41" s="29" t="s">
        <v>341</v>
      </c>
      <c r="Q41" s="14">
        <f t="shared" si="4"/>
        <v>1</v>
      </c>
      <c r="R41" s="14">
        <f t="shared" si="5"/>
        <v>17</v>
      </c>
      <c r="S41" s="14" t="s">
        <v>39</v>
      </c>
      <c r="T41" s="14">
        <f>ROUND(((IF(Q41=1,INDEX(新属性投放!$J$14:$J$34,卡牌属性!R41),INDEX(新属性投放!$J$42:$J$62,卡牌属性!R41)))*INDEX($G$5:$G$42,L41)+IF(Q41=1,INDEX(新属性投放!R$20:R$23,卡牌属性!M41-1),INDEX(新属性投放!R$25:R$28,卡牌属性!M41-1)))/SQRT(INDEX($I$5:$I$42,L41)),2)</f>
        <v>21179.5</v>
      </c>
      <c r="U41" s="29" t="s">
        <v>178</v>
      </c>
      <c r="V41" s="14">
        <f>ROUND((IF(Q41=1,INDEX(新属性投放!$K$14:$K$34,卡牌属性!R41),INDEX(新属性投放!$K$42:$K$62,卡牌属性!R41))+IF(Q41=1,INDEX(新属性投放!S$20:S$23,卡牌属性!M41-1),INDEX(新属性投放!S$25:S$28,卡牌属性!M41-1)))*INDEX($G$5:$G$42,L41),2)</f>
        <v>10546.25</v>
      </c>
      <c r="W41" s="29" t="s">
        <v>179</v>
      </c>
      <c r="X41" s="14">
        <f>ROUND((IF(Q41=1,INDEX(新属性投放!$L$14:$L$34,卡牌属性!R41),INDEX(新属性投放!$L$42:$L$62,卡牌属性!R41))*INDEX($G$5:$G$42,L41)+IF(Q41=1,INDEX(新属性投放!T$20:T$23,卡牌属性!M41-1),INDEX(新属性投放!T$25:T$28,卡牌属性!M41-1)))*SQRT(INDEX($I$5:$I$42,L41)),2)</f>
        <v>63738.5</v>
      </c>
      <c r="Y41" s="29" t="s">
        <v>177</v>
      </c>
      <c r="Z41" s="14">
        <f>ROUND(IF(Q41=1,INDEX(新属性投放!$D$14:$D$34,卡牌属性!R41),INDEX(新属性投放!$D$42:$D$62,卡牌属性!R41))*INDEX($G$5:$G$42,L41)/SQRT(INDEX($I$5:$I$42,L41)),2)</f>
        <v>528.24</v>
      </c>
      <c r="AA41" s="29" t="s">
        <v>178</v>
      </c>
      <c r="AB41" s="14">
        <f>ROUND(IF(Q41=1,INDEX(新属性投放!$E$14:$E$34,卡牌属性!R41),INDEX(新属性投放!$E$42:$E$62,卡牌属性!R41))*INDEX($G$5:$G$42,L41),2)</f>
        <v>264.12</v>
      </c>
      <c r="AC41" s="29" t="s">
        <v>179</v>
      </c>
      <c r="AD41" s="14">
        <f>ROUND(IF(Q41=1,INDEX(新属性投放!$F$14:$F$34,卡牌属性!R41),INDEX(新属性投放!$F$42:$F$62,卡牌属性!R41))*INDEX($G$5:$G$42,L41)*SQRT(INDEX($I$5:$I$42,L41)),2)</f>
        <v>1584.72</v>
      </c>
      <c r="AF41" s="14">
        <f t="shared" si="6"/>
        <v>5282</v>
      </c>
      <c r="AG41" s="14">
        <f t="shared" si="7"/>
        <v>2641</v>
      </c>
      <c r="AH41" s="14">
        <f t="shared" si="8"/>
        <v>15847</v>
      </c>
      <c r="AJ41" s="14">
        <f t="shared" si="12"/>
        <v>22162</v>
      </c>
      <c r="AK41" s="14">
        <f t="shared" si="13"/>
        <v>11080</v>
      </c>
      <c r="AL41" s="14">
        <f t="shared" si="14"/>
        <v>66492</v>
      </c>
    </row>
    <row r="42" spans="1:38" ht="16.5" x14ac:dyDescent="0.2">
      <c r="A42" s="13">
        <v>1102050</v>
      </c>
      <c r="B42" s="13" t="s">
        <v>522</v>
      </c>
      <c r="C42" s="13">
        <v>2</v>
      </c>
      <c r="D42" s="13">
        <v>2</v>
      </c>
      <c r="E42" s="13">
        <f>INDEX(新属性投放!$E$7:$E$8,卡牌属性!C42)</f>
        <v>21</v>
      </c>
      <c r="F42" s="13">
        <f>SUM(E$5:E42)</f>
        <v>798</v>
      </c>
      <c r="G42" s="14">
        <f>INDEX(新属性投放!$L$6:$L$10,卡牌属性!D42)</f>
        <v>1</v>
      </c>
      <c r="H42" s="13">
        <v>1</v>
      </c>
      <c r="I42" s="13">
        <v>1</v>
      </c>
      <c r="K42" s="13">
        <v>39</v>
      </c>
      <c r="L42" s="13">
        <f t="shared" si="0"/>
        <v>2</v>
      </c>
      <c r="M42" s="13">
        <f t="shared" si="1"/>
        <v>2</v>
      </c>
      <c r="N42" s="14">
        <f t="shared" si="2"/>
        <v>1101002</v>
      </c>
      <c r="O42" s="14" t="str">
        <f t="shared" si="3"/>
        <v>曹玄亮18突</v>
      </c>
      <c r="P42" s="29" t="s">
        <v>341</v>
      </c>
      <c r="Q42" s="14">
        <f t="shared" si="4"/>
        <v>1</v>
      </c>
      <c r="R42" s="14">
        <f t="shared" si="5"/>
        <v>18</v>
      </c>
      <c r="S42" s="14" t="s">
        <v>39</v>
      </c>
      <c r="T42" s="14">
        <f>ROUND(((IF(Q42=1,INDEX(新属性投放!$J$14:$J$34,卡牌属性!R42),INDEX(新属性投放!$J$42:$J$62,卡牌属性!R42)))*INDEX($G$5:$G$42,L42)+IF(Q42=1,INDEX(新属性投放!R$20:R$23,卡牌属性!M42-1),INDEX(新属性投放!R$25:R$28,卡牌属性!M42-1)))/SQRT(INDEX($I$5:$I$42,L42)),2)</f>
        <v>27782.9</v>
      </c>
      <c r="U42" s="29" t="s">
        <v>178</v>
      </c>
      <c r="V42" s="14">
        <f>ROUND((IF(Q42=1,INDEX(新属性投放!$K$14:$K$34,卡牌属性!R42),INDEX(新属性投放!$K$42:$K$62,卡牌属性!R42))+IF(Q42=1,INDEX(新属性投放!S$20:S$23,卡牌属性!M42-1),INDEX(新属性投放!S$25:S$28,卡牌属性!M42-1)))*INDEX($G$5:$G$42,L42),2)</f>
        <v>13847.45</v>
      </c>
      <c r="W42" s="29" t="s">
        <v>179</v>
      </c>
      <c r="X42" s="14">
        <f>ROUND((IF(Q42=1,INDEX(新属性投放!$L$14:$L$34,卡牌属性!R42),INDEX(新属性投放!$L$42:$L$62,卡牌属性!R42))*INDEX($G$5:$G$42,L42)+IF(Q42=1,INDEX(新属性投放!T$20:T$23,卡牌属性!M42-1),INDEX(新属性投放!T$25:T$28,卡牌属性!M42-1)))*SQRT(INDEX($I$5:$I$42,L42)),2)</f>
        <v>83548.7</v>
      </c>
      <c r="Y42" s="29" t="s">
        <v>177</v>
      </c>
      <c r="Z42" s="14">
        <f>ROUND(IF(Q42=1,INDEX(新属性投放!$D$14:$D$34,卡牌属性!R42),INDEX(新属性投放!$D$42:$D$62,卡牌属性!R42))*INDEX($G$5:$G$42,L42)/SQRT(INDEX($I$5:$I$42,L42)),2)</f>
        <v>693.32</v>
      </c>
      <c r="AA42" s="29" t="s">
        <v>178</v>
      </c>
      <c r="AB42" s="14">
        <f>ROUND(IF(Q42=1,INDEX(新属性投放!$E$14:$E$34,卡牌属性!R42),INDEX(新属性投放!$E$42:$E$62,卡牌属性!R42))*INDEX($G$5:$G$42,L42),2)</f>
        <v>346.66</v>
      </c>
      <c r="AC42" s="29" t="s">
        <v>179</v>
      </c>
      <c r="AD42" s="14">
        <f>ROUND(IF(Q42=1,INDEX(新属性投放!$F$14:$F$34,卡牌属性!R42),INDEX(新属性投放!$F$42:$F$62,卡牌属性!R42))*INDEX($G$5:$G$42,L42)*SQRT(INDEX($I$5:$I$42,L42)),2)</f>
        <v>2079.96</v>
      </c>
      <c r="AF42" s="14">
        <f t="shared" si="6"/>
        <v>6933</v>
      </c>
      <c r="AG42" s="14">
        <f t="shared" si="7"/>
        <v>3466</v>
      </c>
      <c r="AH42" s="14">
        <f t="shared" si="8"/>
        <v>20799</v>
      </c>
      <c r="AJ42" s="14">
        <f t="shared" si="12"/>
        <v>29095</v>
      </c>
      <c r="AK42" s="14">
        <f t="shared" si="13"/>
        <v>14546</v>
      </c>
      <c r="AL42" s="14">
        <f t="shared" si="14"/>
        <v>87291</v>
      </c>
    </row>
    <row r="43" spans="1:38" ht="16.5" x14ac:dyDescent="0.2">
      <c r="K43" s="13">
        <v>40</v>
      </c>
      <c r="L43" s="13">
        <f t="shared" si="0"/>
        <v>2</v>
      </c>
      <c r="M43" s="13">
        <f t="shared" si="1"/>
        <v>2</v>
      </c>
      <c r="N43" s="14">
        <f t="shared" si="2"/>
        <v>1101002</v>
      </c>
      <c r="O43" s="14" t="str">
        <f t="shared" si="3"/>
        <v>曹玄亮19突</v>
      </c>
      <c r="P43" s="29" t="s">
        <v>341</v>
      </c>
      <c r="Q43" s="14">
        <f t="shared" si="4"/>
        <v>1</v>
      </c>
      <c r="R43" s="14">
        <f t="shared" si="5"/>
        <v>19</v>
      </c>
      <c r="S43" s="14" t="s">
        <v>39</v>
      </c>
      <c r="T43" s="14">
        <f>ROUND(((IF(Q43=1,INDEX(新属性投放!$J$14:$J$34,卡牌属性!R43),INDEX(新属性投放!$J$42:$J$62,卡牌属性!R43)))*INDEX($G$5:$G$42,L43)+IF(Q43=1,INDEX(新属性投放!R$20:R$23,卡牌属性!M43-1),INDEX(新属性投放!R$25:R$28,卡牌属性!M43-1)))/SQRT(INDEX($I$5:$I$42,L43)),2)</f>
        <v>36449.1</v>
      </c>
      <c r="U43" s="29" t="s">
        <v>178</v>
      </c>
      <c r="V43" s="14">
        <f>ROUND((IF(Q43=1,INDEX(新属性投放!$K$14:$K$34,卡牌属性!R43),INDEX(新属性投放!$K$42:$K$62,卡牌属性!R43))+IF(Q43=1,INDEX(新属性投放!S$20:S$23,卡牌属性!M43-1),INDEX(新属性投放!S$25:S$28,卡牌属性!M43-1)))*INDEX($G$5:$G$42,L43),2)</f>
        <v>18181.05</v>
      </c>
      <c r="W43" s="29" t="s">
        <v>179</v>
      </c>
      <c r="X43" s="14">
        <f>ROUND((IF(Q43=1,INDEX(新属性投放!$L$14:$L$34,卡牌属性!R43),INDEX(新属性投放!$L$42:$L$62,卡牌属性!R43))*INDEX($G$5:$G$42,L43)+IF(Q43=1,INDEX(新属性投放!T$20:T$23,卡牌属性!M43-1),INDEX(新属性投放!T$25:T$28,卡牌属性!M43-1)))*SQRT(INDEX($I$5:$I$42,L43)),2)</f>
        <v>109547.3</v>
      </c>
      <c r="Y43" s="29" t="s">
        <v>177</v>
      </c>
      <c r="Z43" s="14">
        <f>ROUND(IF(Q43=1,INDEX(新属性投放!$D$14:$D$34,卡牌属性!R43),INDEX(新属性投放!$D$42:$D$62,卡牌属性!R43))*INDEX($G$5:$G$42,L43)/SQRT(INDEX($I$5:$I$42,L43)),2)</f>
        <v>909.98</v>
      </c>
      <c r="AA43" s="29" t="s">
        <v>178</v>
      </c>
      <c r="AB43" s="14">
        <f>ROUND(IF(Q43=1,INDEX(新属性投放!$E$14:$E$34,卡牌属性!R43),INDEX(新属性投放!$E$42:$E$62,卡牌属性!R43))*INDEX($G$5:$G$42,L43),2)</f>
        <v>454.99</v>
      </c>
      <c r="AC43" s="29" t="s">
        <v>179</v>
      </c>
      <c r="AD43" s="14">
        <f>ROUND(IF(Q43=1,INDEX(新属性投放!$F$14:$F$34,卡牌属性!R43),INDEX(新属性投放!$F$42:$F$62,卡牌属性!R43))*INDEX($G$5:$G$42,L43)*SQRT(INDEX($I$5:$I$42,L43)),2)</f>
        <v>2729.94</v>
      </c>
      <c r="AF43" s="14">
        <f t="shared" si="6"/>
        <v>9099</v>
      </c>
      <c r="AG43" s="14">
        <f t="shared" si="7"/>
        <v>4549</v>
      </c>
      <c r="AH43" s="14">
        <f t="shared" si="8"/>
        <v>27299</v>
      </c>
      <c r="AJ43" s="14">
        <f t="shared" si="12"/>
        <v>38194</v>
      </c>
      <c r="AK43" s="14">
        <f t="shared" si="13"/>
        <v>19095</v>
      </c>
      <c r="AL43" s="14">
        <f t="shared" si="14"/>
        <v>114590</v>
      </c>
    </row>
    <row r="44" spans="1:38" ht="16.5" x14ac:dyDescent="0.2">
      <c r="K44" s="13">
        <v>41</v>
      </c>
      <c r="L44" s="13">
        <f t="shared" si="0"/>
        <v>2</v>
      </c>
      <c r="M44" s="13">
        <f t="shared" si="1"/>
        <v>2</v>
      </c>
      <c r="N44" s="14">
        <f t="shared" si="2"/>
        <v>1101002</v>
      </c>
      <c r="O44" s="14" t="str">
        <f t="shared" si="3"/>
        <v>曹玄亮20突</v>
      </c>
      <c r="P44" s="29" t="s">
        <v>341</v>
      </c>
      <c r="Q44" s="14">
        <f t="shared" si="4"/>
        <v>1</v>
      </c>
      <c r="R44" s="14">
        <f t="shared" si="5"/>
        <v>20</v>
      </c>
      <c r="S44" s="14" t="s">
        <v>39</v>
      </c>
      <c r="T44" s="14">
        <f>ROUND(((IF(Q44=1,INDEX(新属性投放!$J$14:$J$34,卡牌属性!R44),INDEX(新属性投放!$J$42:$J$62,卡牌属性!R44)))*INDEX($G$5:$G$42,L44)+IF(Q44=1,INDEX(新属性投放!R$20:R$23,卡牌属性!M44-1),INDEX(新属性投放!R$25:R$28,卡牌属性!M44-1)))/SQRT(INDEX($I$5:$I$42,L44)),2)</f>
        <v>47823.9</v>
      </c>
      <c r="U44" s="29" t="s">
        <v>178</v>
      </c>
      <c r="V44" s="14">
        <f>ROUND((IF(Q44=1,INDEX(新属性投放!$K$14:$K$34,卡牌属性!R44),INDEX(新属性投放!$K$42:$K$62,卡牌属性!R44))+IF(Q44=1,INDEX(新属性投放!S$20:S$23,卡牌属性!M44-1),INDEX(新属性投放!S$25:S$28,卡牌属性!M44-1)))*INDEX($G$5:$G$42,L44),2)</f>
        <v>23867.95</v>
      </c>
      <c r="W44" s="29" t="s">
        <v>179</v>
      </c>
      <c r="X44" s="14">
        <f>ROUND((IF(Q44=1,INDEX(新属性投放!$L$14:$L$34,卡牌属性!R44),INDEX(新属性投放!$L$42:$L$62,卡牌属性!R44))*INDEX($G$5:$G$42,L44)+IF(Q44=1,INDEX(新属性投放!T$20:T$23,卡牌属性!M44-1),INDEX(新属性投放!T$25:T$28,卡牌属性!M44-1)))*SQRT(INDEX($I$5:$I$42,L44)),2)</f>
        <v>143671.70000000001</v>
      </c>
      <c r="Y44" s="29" t="s">
        <v>177</v>
      </c>
      <c r="Z44" s="14">
        <f>ROUND(IF(Q44=1,INDEX(新属性投放!$D$14:$D$34,卡牌属性!R44),INDEX(新属性投放!$D$42:$D$62,卡牌属性!R44))*INDEX($G$5:$G$42,L44)/SQRT(INDEX($I$5:$I$42,L44)),2)</f>
        <v>1194.3499999999999</v>
      </c>
      <c r="AA44" s="29" t="s">
        <v>178</v>
      </c>
      <c r="AB44" s="14">
        <f>ROUND(IF(Q44=1,INDEX(新属性投放!$E$14:$E$34,卡牌属性!R44),INDEX(新属性投放!$E$42:$E$62,卡牌属性!R44))*INDEX($G$5:$G$42,L44),2)</f>
        <v>597.17999999999995</v>
      </c>
      <c r="AC44" s="29" t="s">
        <v>179</v>
      </c>
      <c r="AD44" s="14">
        <f>ROUND(IF(Q44=1,INDEX(新属性投放!$F$14:$F$34,卡牌属性!R44),INDEX(新属性投放!$F$42:$F$62,卡牌属性!R44))*INDEX($G$5:$G$42,L44)*SQRT(INDEX($I$5:$I$42,L44)),2)</f>
        <v>3583.05</v>
      </c>
      <c r="AF44" s="14">
        <f t="shared" si="6"/>
        <v>11943</v>
      </c>
      <c r="AG44" s="14">
        <f t="shared" si="7"/>
        <v>5971</v>
      </c>
      <c r="AH44" s="14">
        <f t="shared" si="8"/>
        <v>35830</v>
      </c>
      <c r="AJ44" s="14">
        <f t="shared" si="12"/>
        <v>50137</v>
      </c>
      <c r="AK44" s="14">
        <f t="shared" si="13"/>
        <v>25066</v>
      </c>
      <c r="AL44" s="14">
        <f t="shared" si="14"/>
        <v>150420</v>
      </c>
    </row>
    <row r="45" spans="1:38" ht="16.5" x14ac:dyDescent="0.2">
      <c r="K45" s="13">
        <v>42</v>
      </c>
      <c r="L45" s="13">
        <f t="shared" si="0"/>
        <v>2</v>
      </c>
      <c r="M45" s="13">
        <f t="shared" si="1"/>
        <v>2</v>
      </c>
      <c r="N45" s="14">
        <f t="shared" si="2"/>
        <v>1101002</v>
      </c>
      <c r="O45" s="14" t="str">
        <f t="shared" si="3"/>
        <v>曹玄亮21突</v>
      </c>
      <c r="P45" s="29" t="s">
        <v>341</v>
      </c>
      <c r="Q45" s="14">
        <f t="shared" si="4"/>
        <v>1</v>
      </c>
      <c r="R45" s="14">
        <f t="shared" si="5"/>
        <v>21</v>
      </c>
      <c r="S45" s="14" t="s">
        <v>39</v>
      </c>
      <c r="T45" s="14">
        <f>ROUND(((IF(Q45=1,INDEX(新属性投放!$J$14:$J$34,卡牌属性!R45),INDEX(新属性投放!$J$42:$J$62,卡牌属性!R45)))*INDEX($G$5:$G$42,L45)+IF(Q45=1,INDEX(新属性投放!R$20:R$23,卡牌属性!M45-1),INDEX(新属性投放!R$25:R$28,卡牌属性!M45-1)))/SQRT(INDEX($I$5:$I$42,L45)),2)</f>
        <v>62753.4</v>
      </c>
      <c r="U45" s="29" t="s">
        <v>178</v>
      </c>
      <c r="V45" s="14">
        <f>ROUND((IF(Q45=1,INDEX(新属性投放!$K$14:$K$34,卡牌属性!R45),INDEX(新属性投放!$K$42:$K$62,卡牌属性!R45))+IF(Q45=1,INDEX(新属性投放!S$20:S$23,卡牌属性!M45-1),INDEX(新属性投放!S$25:S$28,卡牌属性!M45-1)))*INDEX($G$5:$G$42,L45),2)</f>
        <v>31332.7</v>
      </c>
      <c r="W45" s="29" t="s">
        <v>179</v>
      </c>
      <c r="X45" s="14">
        <f>ROUND((IF(Q45=1,INDEX(新属性投放!$L$14:$L$34,卡牌属性!R45),INDEX(新属性投放!$L$42:$L$62,卡牌属性!R45))*INDEX($G$5:$G$42,L45)+IF(Q45=1,INDEX(新属性投放!T$20:T$23,卡牌属性!M45-1),INDEX(新属性投放!T$25:T$28,卡牌属性!M45-1)))*SQRT(INDEX($I$5:$I$42,L45)),2)</f>
        <v>188460.2</v>
      </c>
      <c r="Y45" s="29" t="s">
        <v>177</v>
      </c>
      <c r="Z45" s="14">
        <f>ROUND(IF(Q45=1,INDEX(新属性投放!$D$14:$D$34,卡牌属性!R45),INDEX(新属性投放!$D$42:$D$62,卡牌属性!R45))*INDEX($G$5:$G$42,L45)/SQRT(INDEX($I$5:$I$42,L45)),2)</f>
        <v>1567.59</v>
      </c>
      <c r="AA45" s="29" t="s">
        <v>178</v>
      </c>
      <c r="AB45" s="14">
        <f>ROUND(IF(Q45=1,INDEX(新属性投放!$E$14:$E$34,卡牌属性!R45),INDEX(新属性投放!$E$42:$E$62,卡牌属性!R45))*INDEX($G$5:$G$42,L45),2)</f>
        <v>783.8</v>
      </c>
      <c r="AC45" s="29" t="s">
        <v>179</v>
      </c>
      <c r="AD45" s="14">
        <f>ROUND(IF(Q45=1,INDEX(新属性投放!$F$14:$F$34,卡牌属性!R45),INDEX(新属性投放!$F$42:$F$62,卡牌属性!R45))*INDEX($G$5:$G$42,L45)*SQRT(INDEX($I$5:$I$42,L45)),2)</f>
        <v>4702.7700000000004</v>
      </c>
      <c r="AF45" s="14">
        <f t="shared" si="6"/>
        <v>15675</v>
      </c>
      <c r="AG45" s="14">
        <f t="shared" si="7"/>
        <v>7838</v>
      </c>
      <c r="AH45" s="14">
        <f t="shared" si="8"/>
        <v>47027</v>
      </c>
      <c r="AJ45" s="14">
        <f t="shared" si="12"/>
        <v>65812</v>
      </c>
      <c r="AK45" s="14">
        <f t="shared" si="13"/>
        <v>32904</v>
      </c>
      <c r="AL45" s="14">
        <f t="shared" si="14"/>
        <v>197447</v>
      </c>
    </row>
    <row r="46" spans="1:38" ht="16.5" x14ac:dyDescent="0.2">
      <c r="K46" s="13">
        <v>43</v>
      </c>
      <c r="L46" s="13">
        <f t="shared" si="0"/>
        <v>3</v>
      </c>
      <c r="M46" s="13">
        <f t="shared" si="1"/>
        <v>3</v>
      </c>
      <c r="N46" s="14">
        <f t="shared" si="2"/>
        <v>1101003</v>
      </c>
      <c r="O46" s="14" t="str">
        <f t="shared" si="3"/>
        <v>战斗夏玲1突</v>
      </c>
      <c r="P46" s="29" t="s">
        <v>341</v>
      </c>
      <c r="Q46" s="14">
        <f t="shared" si="4"/>
        <v>1</v>
      </c>
      <c r="R46" s="14">
        <f t="shared" si="5"/>
        <v>1</v>
      </c>
      <c r="S46" s="14" t="s">
        <v>39</v>
      </c>
      <c r="T46" s="14">
        <f>ROUND(((IF(Q46=1,INDEX(新属性投放!$J$14:$J$34,卡牌属性!R46),INDEX(新属性投放!$J$42:$J$62,卡牌属性!R46)))*INDEX($G$5:$G$42,L46)+IF(Q46=1,INDEX(新属性投放!R$20:R$23,卡牌属性!M46-1),INDEX(新属性投放!R$25:R$28,卡牌属性!M46-1)))/SQRT(INDEX($I$5:$I$42,L46)),2)</f>
        <v>157.5</v>
      </c>
      <c r="U46" s="29" t="s">
        <v>178</v>
      </c>
      <c r="V46" s="14">
        <f>ROUND((IF(Q46=1,INDEX(新属性投放!$K$14:$K$34,卡牌属性!R46),INDEX(新属性投放!$K$42:$K$62,卡牌属性!R46))+IF(Q46=1,INDEX(新属性投放!S$20:S$23,卡牌属性!M46-1),INDEX(新属性投放!S$25:S$28,卡牌属性!M46-1)))*INDEX($G$5:$G$42,L46),2)</f>
        <v>0</v>
      </c>
      <c r="W46" s="29" t="s">
        <v>179</v>
      </c>
      <c r="X46" s="14">
        <f>ROUND((IF(Q46=1,INDEX(新属性投放!$L$14:$L$34,卡牌属性!R46),INDEX(新属性投放!$L$42:$L$62,卡牌属性!R46))*INDEX($G$5:$G$42,L46)+IF(Q46=1,INDEX(新属性投放!T$20:T$23,卡牌属性!M46-1),INDEX(新属性投放!T$25:T$28,卡牌属性!M46-1)))*SQRT(INDEX($I$5:$I$42,L46)),2)</f>
        <v>1037.5</v>
      </c>
      <c r="Y46" s="29" t="s">
        <v>177</v>
      </c>
      <c r="Z46" s="14">
        <f>ROUND(IF(Q46=1,INDEX(新属性投放!$D$14:$D$34,卡牌属性!R46),INDEX(新属性投放!$D$42:$D$62,卡牌属性!R46))*INDEX($G$5:$G$42,L46)/SQRT(INDEX($I$5:$I$42,L46)),2)</f>
        <v>11.5</v>
      </c>
      <c r="AA46" s="29" t="s">
        <v>178</v>
      </c>
      <c r="AB46" s="14">
        <f>ROUND(IF(Q46=1,INDEX(新属性投放!$E$14:$E$34,卡牌属性!R46),INDEX(新属性投放!$E$42:$E$62,卡牌属性!R46))*INDEX($G$5:$G$42,L46),2)</f>
        <v>5.75</v>
      </c>
      <c r="AC46" s="29" t="s">
        <v>179</v>
      </c>
      <c r="AD46" s="14">
        <f>ROUND(IF(Q46=1,INDEX(新属性投放!$F$14:$F$34,卡牌属性!R46),INDEX(新属性投放!$F$42:$F$62,卡牌属性!R46))*INDEX($G$5:$G$42,L46)*SQRT(INDEX($I$5:$I$42,L46)),2)</f>
        <v>34.5</v>
      </c>
      <c r="AF46" s="14">
        <f t="shared" si="6"/>
        <v>115</v>
      </c>
      <c r="AG46" s="14">
        <f t="shared" si="7"/>
        <v>57</v>
      </c>
      <c r="AH46" s="14">
        <f t="shared" si="8"/>
        <v>345</v>
      </c>
      <c r="AJ46" s="14">
        <f>AF46</f>
        <v>115</v>
      </c>
      <c r="AK46" s="14">
        <f>AG46</f>
        <v>57</v>
      </c>
      <c r="AL46" s="14">
        <f>AH46</f>
        <v>345</v>
      </c>
    </row>
    <row r="47" spans="1:38" ht="16.5" x14ac:dyDescent="0.2">
      <c r="K47" s="13">
        <v>44</v>
      </c>
      <c r="L47" s="13">
        <f t="shared" si="0"/>
        <v>3</v>
      </c>
      <c r="M47" s="13">
        <f t="shared" si="1"/>
        <v>3</v>
      </c>
      <c r="N47" s="14">
        <f t="shared" si="2"/>
        <v>1101003</v>
      </c>
      <c r="O47" s="14" t="str">
        <f t="shared" si="3"/>
        <v>战斗夏玲2突</v>
      </c>
      <c r="P47" s="29" t="s">
        <v>341</v>
      </c>
      <c r="Q47" s="14">
        <f t="shared" si="4"/>
        <v>1</v>
      </c>
      <c r="R47" s="14">
        <f t="shared" si="5"/>
        <v>2</v>
      </c>
      <c r="S47" s="14" t="s">
        <v>39</v>
      </c>
      <c r="T47" s="14">
        <f>ROUND(((IF(Q47=1,INDEX(新属性投放!$J$14:$J$34,卡牌属性!R47),INDEX(新属性投放!$J$42:$J$62,卡牌属性!R47)))*INDEX($G$5:$G$42,L47)+IF(Q47=1,INDEX(新属性投放!R$20:R$23,卡牌属性!M47-1),INDEX(新属性投放!R$25:R$28,卡牌属性!M47-1)))/SQRT(INDEX($I$5:$I$42,L47)),2)</f>
        <v>272.5</v>
      </c>
      <c r="U47" s="29" t="s">
        <v>178</v>
      </c>
      <c r="V47" s="14">
        <f>ROUND((IF(Q47=1,INDEX(新属性投放!$K$14:$K$34,卡牌属性!R47),INDEX(新属性投放!$K$42:$K$62,卡牌属性!R47))+IF(Q47=1,INDEX(新属性投放!S$20:S$23,卡牌属性!M47-1),INDEX(新属性投放!S$25:S$28,卡牌属性!M47-1)))*INDEX($G$5:$G$42,L47),2)</f>
        <v>64.400000000000006</v>
      </c>
      <c r="W47" s="29" t="s">
        <v>179</v>
      </c>
      <c r="X47" s="14">
        <f>ROUND((IF(Q47=1,INDEX(新属性投放!$L$14:$L$34,卡牌属性!R47),INDEX(新属性投放!$L$42:$L$62,卡牌属性!R47))*INDEX($G$5:$G$42,L47)+IF(Q47=1,INDEX(新属性投放!T$20:T$23,卡牌属性!M47-1),INDEX(新属性投放!T$25:T$28,卡牌属性!M47-1)))*SQRT(INDEX($I$5:$I$42,L47)),2)</f>
        <v>1382.5</v>
      </c>
      <c r="Y47" s="29" t="s">
        <v>177</v>
      </c>
      <c r="Z47" s="14">
        <f>ROUND(IF(Q47=1,INDEX(新属性投放!$D$14:$D$34,卡牌属性!R47),INDEX(新属性投放!$D$42:$D$62,卡牌属性!R47))*INDEX($G$5:$G$42,L47)/SQRT(INDEX($I$5:$I$42,L47)),2)</f>
        <v>11.5</v>
      </c>
      <c r="AA47" s="29" t="s">
        <v>178</v>
      </c>
      <c r="AB47" s="14">
        <f>ROUND(IF(Q47=1,INDEX(新属性投放!$E$14:$E$34,卡牌属性!R47),INDEX(新属性投放!$E$42:$E$62,卡牌属性!R47))*INDEX($G$5:$G$42,L47),2)</f>
        <v>5.75</v>
      </c>
      <c r="AC47" s="29" t="s">
        <v>179</v>
      </c>
      <c r="AD47" s="14">
        <f>ROUND(IF(Q47=1,INDEX(新属性投放!$F$14:$F$34,卡牌属性!R47),INDEX(新属性投放!$F$42:$F$62,卡牌属性!R47))*INDEX($G$5:$G$42,L47)*SQRT(INDEX($I$5:$I$42,L47)),2)</f>
        <v>34.5</v>
      </c>
      <c r="AF47" s="14">
        <f t="shared" si="6"/>
        <v>115</v>
      </c>
      <c r="AG47" s="14">
        <f t="shared" si="7"/>
        <v>57</v>
      </c>
      <c r="AH47" s="14">
        <f t="shared" si="8"/>
        <v>345</v>
      </c>
      <c r="AJ47" s="14">
        <f t="shared" ref="AJ47:AJ66" si="15">AJ46+AF47</f>
        <v>230</v>
      </c>
      <c r="AK47" s="14">
        <f t="shared" ref="AK47:AK66" si="16">AK46+AG47</f>
        <v>114</v>
      </c>
      <c r="AL47" s="14">
        <f t="shared" ref="AL47:AL66" si="17">AL46+AH47</f>
        <v>690</v>
      </c>
    </row>
    <row r="48" spans="1:38" ht="16.5" x14ac:dyDescent="0.2">
      <c r="K48" s="13">
        <v>45</v>
      </c>
      <c r="L48" s="13">
        <f t="shared" si="0"/>
        <v>3</v>
      </c>
      <c r="M48" s="13">
        <f t="shared" si="1"/>
        <v>3</v>
      </c>
      <c r="N48" s="14">
        <f t="shared" si="2"/>
        <v>1101003</v>
      </c>
      <c r="O48" s="14" t="str">
        <f t="shared" si="3"/>
        <v>战斗夏玲3突</v>
      </c>
      <c r="P48" s="29" t="s">
        <v>341</v>
      </c>
      <c r="Q48" s="14">
        <f t="shared" si="4"/>
        <v>1</v>
      </c>
      <c r="R48" s="14">
        <f t="shared" si="5"/>
        <v>3</v>
      </c>
      <c r="S48" s="14" t="s">
        <v>39</v>
      </c>
      <c r="T48" s="14">
        <f>ROUND(((IF(Q48=1,INDEX(新属性投放!$J$14:$J$34,卡牌属性!R48),INDEX(新属性投放!$J$42:$J$62,卡牌属性!R48)))*INDEX($G$5:$G$42,L48)+IF(Q48=1,INDEX(新属性投放!R$20:R$23,卡牌属性!M48-1),INDEX(新属性投放!R$25:R$28,卡牌属性!M48-1)))/SQRT(INDEX($I$5:$I$42,L48)),2)</f>
        <v>416.25</v>
      </c>
      <c r="U48" s="29" t="s">
        <v>178</v>
      </c>
      <c r="V48" s="14">
        <f>ROUND((IF(Q48=1,INDEX(新属性投放!$K$14:$K$34,卡牌属性!R48),INDEX(新属性投放!$K$42:$K$62,卡牌属性!R48))+IF(Q48=1,INDEX(新属性投放!S$20:S$23,卡牌属性!M48-1),INDEX(新属性投放!S$25:S$28,卡牌属性!M48-1)))*INDEX($G$5:$G$42,L48),2)</f>
        <v>136.85</v>
      </c>
      <c r="W48" s="29" t="s">
        <v>179</v>
      </c>
      <c r="X48" s="14">
        <f>ROUND((IF(Q48=1,INDEX(新属性投放!$L$14:$L$34,卡牌属性!R48),INDEX(新属性投放!$L$42:$L$62,卡牌属性!R48))*INDEX($G$5:$G$42,L48)+IF(Q48=1,INDEX(新属性投放!T$20:T$23,卡牌属性!M48-1),INDEX(新属性投放!T$25:T$28,卡牌属性!M48-1)))*SQRT(INDEX($I$5:$I$42,L48)),2)</f>
        <v>1813.75</v>
      </c>
      <c r="Y48" s="29" t="s">
        <v>177</v>
      </c>
      <c r="Z48" s="14">
        <f>ROUND(IF(Q48=1,INDEX(新属性投放!$D$14:$D$34,卡牌属性!R48),INDEX(新属性投放!$D$42:$D$62,卡牌属性!R48))*INDEX($G$5:$G$42,L48)/SQRT(INDEX($I$5:$I$42,L48)),2)</f>
        <v>17.25</v>
      </c>
      <c r="AA48" s="29" t="s">
        <v>178</v>
      </c>
      <c r="AB48" s="14">
        <f>ROUND(IF(Q48=1,INDEX(新属性投放!$E$14:$E$34,卡牌属性!R48),INDEX(新属性投放!$E$42:$E$62,卡牌属性!R48))*INDEX($G$5:$G$42,L48),2)</f>
        <v>8.6300000000000008</v>
      </c>
      <c r="AC48" s="29" t="s">
        <v>179</v>
      </c>
      <c r="AD48" s="14">
        <f>ROUND(IF(Q48=1,INDEX(新属性投放!$F$14:$F$34,卡牌属性!R48),INDEX(新属性投放!$F$42:$F$62,卡牌属性!R48))*INDEX($G$5:$G$42,L48)*SQRT(INDEX($I$5:$I$42,L48)),2)</f>
        <v>51.75</v>
      </c>
      <c r="AF48" s="14">
        <f t="shared" si="6"/>
        <v>172</v>
      </c>
      <c r="AG48" s="14">
        <f t="shared" si="7"/>
        <v>86</v>
      </c>
      <c r="AH48" s="14">
        <f t="shared" si="8"/>
        <v>517</v>
      </c>
      <c r="AJ48" s="14">
        <f t="shared" si="15"/>
        <v>402</v>
      </c>
      <c r="AK48" s="14">
        <f t="shared" si="16"/>
        <v>200</v>
      </c>
      <c r="AL48" s="14">
        <f t="shared" si="17"/>
        <v>1207</v>
      </c>
    </row>
    <row r="49" spans="11:38" ht="16.5" x14ac:dyDescent="0.2">
      <c r="K49" s="13">
        <v>46</v>
      </c>
      <c r="L49" s="13">
        <f t="shared" si="0"/>
        <v>3</v>
      </c>
      <c r="M49" s="13">
        <f t="shared" si="1"/>
        <v>3</v>
      </c>
      <c r="N49" s="14">
        <f t="shared" si="2"/>
        <v>1101003</v>
      </c>
      <c r="O49" s="14" t="str">
        <f t="shared" si="3"/>
        <v>战斗夏玲4突</v>
      </c>
      <c r="P49" s="29" t="s">
        <v>341</v>
      </c>
      <c r="Q49" s="14">
        <f t="shared" si="4"/>
        <v>1</v>
      </c>
      <c r="R49" s="14">
        <f t="shared" si="5"/>
        <v>4</v>
      </c>
      <c r="S49" s="14" t="s">
        <v>39</v>
      </c>
      <c r="T49" s="14">
        <f>ROUND(((IF(Q49=1,INDEX(新属性投放!$J$14:$J$34,卡牌属性!R49),INDEX(新属性投放!$J$42:$J$62,卡牌属性!R49)))*INDEX($G$5:$G$42,L49)+IF(Q49=1,INDEX(新属性投放!R$20:R$23,卡牌属性!M49-1),INDEX(新属性投放!R$25:R$28,卡牌属性!M49-1)))/SQRT(INDEX($I$5:$I$42,L49)),2)</f>
        <v>632.45000000000005</v>
      </c>
      <c r="U49" s="29" t="s">
        <v>178</v>
      </c>
      <c r="V49" s="14">
        <f>ROUND((IF(Q49=1,INDEX(新属性投放!$K$14:$K$34,卡牌属性!R49),INDEX(新属性投放!$K$42:$K$62,卡牌属性!R49))+IF(Q49=1,INDEX(新属性投放!S$20:S$23,卡牌属性!M49-1),INDEX(新属性投放!S$25:S$28,卡牌属性!M49-1)))*INDEX($G$5:$G$42,L49),2)</f>
        <v>244.95</v>
      </c>
      <c r="W49" s="29" t="s">
        <v>179</v>
      </c>
      <c r="X49" s="14">
        <f>ROUND((IF(Q49=1,INDEX(新属性投放!$L$14:$L$34,卡牌属性!R49),INDEX(新属性投放!$L$42:$L$62,卡牌属性!R49))*INDEX($G$5:$G$42,L49)+IF(Q49=1,INDEX(新属性投放!T$20:T$23,卡牌属性!M49-1),INDEX(新属性投放!T$25:T$28,卡牌属性!M49-1)))*SQRT(INDEX($I$5:$I$42,L49)),2)</f>
        <v>2462.35</v>
      </c>
      <c r="Y49" s="29" t="s">
        <v>177</v>
      </c>
      <c r="Z49" s="14">
        <f>ROUND(IF(Q49=1,INDEX(新属性投放!$D$14:$D$34,卡牌属性!R49),INDEX(新属性投放!$D$42:$D$62,卡牌属性!R49))*INDEX($G$5:$G$42,L49)/SQRT(INDEX($I$5:$I$42,L49)),2)</f>
        <v>23</v>
      </c>
      <c r="AA49" s="29" t="s">
        <v>178</v>
      </c>
      <c r="AB49" s="14">
        <f>ROUND(IF(Q49=1,INDEX(新属性投放!$E$14:$E$34,卡牌属性!R49),INDEX(新属性投放!$E$42:$E$62,卡牌属性!R49))*INDEX($G$5:$G$42,L49),2)</f>
        <v>11.5</v>
      </c>
      <c r="AC49" s="29" t="s">
        <v>179</v>
      </c>
      <c r="AD49" s="14">
        <f>ROUND(IF(Q49=1,INDEX(新属性投放!$F$14:$F$34,卡牌属性!R49),INDEX(新属性投放!$F$42:$F$62,卡牌属性!R49))*INDEX($G$5:$G$42,L49)*SQRT(INDEX($I$5:$I$42,L49)),2)</f>
        <v>69</v>
      </c>
      <c r="AF49" s="14">
        <f t="shared" si="6"/>
        <v>230</v>
      </c>
      <c r="AG49" s="14">
        <f t="shared" si="7"/>
        <v>115</v>
      </c>
      <c r="AH49" s="14">
        <f t="shared" si="8"/>
        <v>690</v>
      </c>
      <c r="AJ49" s="14">
        <f t="shared" si="15"/>
        <v>632</v>
      </c>
      <c r="AK49" s="14">
        <f t="shared" si="16"/>
        <v>315</v>
      </c>
      <c r="AL49" s="14">
        <f t="shared" si="17"/>
        <v>1897</v>
      </c>
    </row>
    <row r="50" spans="11:38" ht="16.5" x14ac:dyDescent="0.2">
      <c r="K50" s="13">
        <v>47</v>
      </c>
      <c r="L50" s="13">
        <f t="shared" si="0"/>
        <v>3</v>
      </c>
      <c r="M50" s="13">
        <f t="shared" si="1"/>
        <v>3</v>
      </c>
      <c r="N50" s="14">
        <f t="shared" si="2"/>
        <v>1101003</v>
      </c>
      <c r="O50" s="14" t="str">
        <f t="shared" si="3"/>
        <v>战斗夏玲5突</v>
      </c>
      <c r="P50" s="29" t="s">
        <v>341</v>
      </c>
      <c r="Q50" s="14">
        <f t="shared" si="4"/>
        <v>1</v>
      </c>
      <c r="R50" s="14">
        <f t="shared" si="5"/>
        <v>5</v>
      </c>
      <c r="S50" s="14" t="s">
        <v>39</v>
      </c>
      <c r="T50" s="14">
        <f>ROUND(((IF(Q50=1,INDEX(新属性投放!$J$14:$J$34,卡牌属性!R50),INDEX(新属性投放!$J$42:$J$62,卡牌属性!R50)))*INDEX($G$5:$G$42,L50)+IF(Q50=1,INDEX(新属性投放!R$20:R$23,卡牌属性!M50-1),INDEX(新属性投放!R$25:R$28,卡牌属性!M50-1)))/SQRT(INDEX($I$5:$I$42,L50)),2)</f>
        <v>919.95</v>
      </c>
      <c r="U50" s="29" t="s">
        <v>178</v>
      </c>
      <c r="V50" s="14">
        <f>ROUND((IF(Q50=1,INDEX(新属性投放!$K$14:$K$34,卡牌属性!R50),INDEX(新属性投放!$K$42:$K$62,卡牌属性!R50))+IF(Q50=1,INDEX(新属性投放!S$20:S$23,卡牌属性!M50-1),INDEX(新属性投放!S$25:S$28,卡牌属性!M50-1)))*INDEX($G$5:$G$42,L50),2)</f>
        <v>388.7</v>
      </c>
      <c r="W50" s="29" t="s">
        <v>179</v>
      </c>
      <c r="X50" s="14">
        <f>ROUND((IF(Q50=1,INDEX(新属性投放!$L$14:$L$34,卡牌属性!R50),INDEX(新属性投放!$L$42:$L$62,卡牌属性!R50))*INDEX($G$5:$G$42,L50)+IF(Q50=1,INDEX(新属性投放!T$20:T$23,卡牌属性!M50-1),INDEX(新属性投放!T$25:T$28,卡牌属性!M50-1)))*SQRT(INDEX($I$5:$I$42,L50)),2)</f>
        <v>3324.85</v>
      </c>
      <c r="Y50" s="29" t="s">
        <v>177</v>
      </c>
      <c r="Z50" s="14">
        <f>ROUND(IF(Q50=1,INDEX(新属性投放!$D$14:$D$34,卡牌属性!R50),INDEX(新属性投放!$D$42:$D$62,卡牌属性!R50))*INDEX($G$5:$G$42,L50)/SQRT(INDEX($I$5:$I$42,L50)),2)</f>
        <v>28.75</v>
      </c>
      <c r="AA50" s="29" t="s">
        <v>178</v>
      </c>
      <c r="AB50" s="14">
        <f>ROUND(IF(Q50=1,INDEX(新属性投放!$E$14:$E$34,卡牌属性!R50),INDEX(新属性投放!$E$42:$E$62,卡牌属性!R50))*INDEX($G$5:$G$42,L50),2)</f>
        <v>14.38</v>
      </c>
      <c r="AC50" s="29" t="s">
        <v>179</v>
      </c>
      <c r="AD50" s="14">
        <f>ROUND(IF(Q50=1,INDEX(新属性投放!$F$14:$F$34,卡牌属性!R50),INDEX(新属性投放!$F$42:$F$62,卡牌属性!R50))*INDEX($G$5:$G$42,L50)*SQRT(INDEX($I$5:$I$42,L50)),2)</f>
        <v>86.25</v>
      </c>
      <c r="AF50" s="14">
        <f t="shared" si="6"/>
        <v>287</v>
      </c>
      <c r="AG50" s="14">
        <f t="shared" si="7"/>
        <v>143</v>
      </c>
      <c r="AH50" s="14">
        <f t="shared" si="8"/>
        <v>862</v>
      </c>
      <c r="AJ50" s="14">
        <f t="shared" si="15"/>
        <v>919</v>
      </c>
      <c r="AK50" s="14">
        <f t="shared" si="16"/>
        <v>458</v>
      </c>
      <c r="AL50" s="14">
        <f t="shared" si="17"/>
        <v>2759</v>
      </c>
    </row>
    <row r="51" spans="11:38" ht="16.5" x14ac:dyDescent="0.2">
      <c r="K51" s="13">
        <v>48</v>
      </c>
      <c r="L51" s="13">
        <f t="shared" si="0"/>
        <v>3</v>
      </c>
      <c r="M51" s="13">
        <f t="shared" si="1"/>
        <v>3</v>
      </c>
      <c r="N51" s="14">
        <f t="shared" si="2"/>
        <v>1101003</v>
      </c>
      <c r="O51" s="14" t="str">
        <f t="shared" si="3"/>
        <v>战斗夏玲6突</v>
      </c>
      <c r="P51" s="29" t="s">
        <v>341</v>
      </c>
      <c r="Q51" s="14">
        <f t="shared" si="4"/>
        <v>1</v>
      </c>
      <c r="R51" s="14">
        <f t="shared" si="5"/>
        <v>6</v>
      </c>
      <c r="S51" s="14" t="s">
        <v>39</v>
      </c>
      <c r="T51" s="14">
        <f>ROUND(((IF(Q51=1,INDEX(新属性投放!$J$14:$J$34,卡牌属性!R51),INDEX(新属性投放!$J$42:$J$62,卡牌属性!R51)))*INDEX($G$5:$G$42,L51)+IF(Q51=1,INDEX(新属性投放!R$20:R$23,卡牌属性!M51-1),INDEX(新属性投放!R$25:R$28,卡牌属性!M51-1)))/SQRT(INDEX($I$5:$I$42,L51)),2)</f>
        <v>1279.9000000000001</v>
      </c>
      <c r="U51" s="29" t="s">
        <v>178</v>
      </c>
      <c r="V51" s="14">
        <f>ROUND((IF(Q51=1,INDEX(新属性投放!$K$14:$K$34,卡牌属性!R51),INDEX(新属性投放!$K$42:$K$62,卡牌属性!R51))+IF(Q51=1,INDEX(新属性投放!S$20:S$23,卡牌属性!M51-1),INDEX(新属性投放!S$25:S$28,卡牌属性!M51-1)))*INDEX($G$5:$G$42,L51),2)</f>
        <v>568.1</v>
      </c>
      <c r="W51" s="29" t="s">
        <v>179</v>
      </c>
      <c r="X51" s="14">
        <f>ROUND((IF(Q51=1,INDEX(新属性投放!$L$14:$L$34,卡牌属性!R51),INDEX(新属性投放!$L$42:$L$62,卡牌属性!R51))*INDEX($G$5:$G$42,L51)+IF(Q51=1,INDEX(新属性投放!T$20:T$23,卡牌属性!M51-1),INDEX(新属性投放!T$25:T$28,卡牌属性!M51-1)))*SQRT(INDEX($I$5:$I$42,L51)),2)</f>
        <v>4404.7</v>
      </c>
      <c r="Y51" s="29" t="s">
        <v>177</v>
      </c>
      <c r="Z51" s="14">
        <f>ROUND(IF(Q51=1,INDEX(新属性投放!$D$14:$D$34,卡牌属性!R51),INDEX(新属性投放!$D$42:$D$62,卡牌属性!R51))*INDEX($G$5:$G$42,L51)/SQRT(INDEX($I$5:$I$42,L51)),2)</f>
        <v>34.5</v>
      </c>
      <c r="AA51" s="29" t="s">
        <v>178</v>
      </c>
      <c r="AB51" s="14">
        <f>ROUND(IF(Q51=1,INDEX(新属性投放!$E$14:$E$34,卡牌属性!R51),INDEX(新属性投放!$E$42:$E$62,卡牌属性!R51))*INDEX($G$5:$G$42,L51),2)</f>
        <v>17.25</v>
      </c>
      <c r="AC51" s="29" t="s">
        <v>179</v>
      </c>
      <c r="AD51" s="14">
        <f>ROUND(IF(Q51=1,INDEX(新属性投放!$F$14:$F$34,卡牌属性!R51),INDEX(新属性投放!$F$42:$F$62,卡牌属性!R51))*INDEX($G$5:$G$42,L51)*SQRT(INDEX($I$5:$I$42,L51)),2)</f>
        <v>103.5</v>
      </c>
      <c r="AF51" s="14">
        <f t="shared" si="6"/>
        <v>345</v>
      </c>
      <c r="AG51" s="14">
        <f t="shared" si="7"/>
        <v>172</v>
      </c>
      <c r="AH51" s="14">
        <f t="shared" si="8"/>
        <v>1035</v>
      </c>
      <c r="AJ51" s="14">
        <f t="shared" si="15"/>
        <v>1264</v>
      </c>
      <c r="AK51" s="14">
        <f t="shared" si="16"/>
        <v>630</v>
      </c>
      <c r="AL51" s="14">
        <f t="shared" si="17"/>
        <v>3794</v>
      </c>
    </row>
    <row r="52" spans="11:38" ht="16.5" x14ac:dyDescent="0.2">
      <c r="K52" s="13">
        <v>49</v>
      </c>
      <c r="L52" s="13">
        <f t="shared" si="0"/>
        <v>3</v>
      </c>
      <c r="M52" s="13">
        <f t="shared" si="1"/>
        <v>3</v>
      </c>
      <c r="N52" s="14">
        <f t="shared" si="2"/>
        <v>1101003</v>
      </c>
      <c r="O52" s="14" t="str">
        <f t="shared" si="3"/>
        <v>战斗夏玲7突</v>
      </c>
      <c r="P52" s="29" t="s">
        <v>341</v>
      </c>
      <c r="Q52" s="14">
        <f t="shared" si="4"/>
        <v>1</v>
      </c>
      <c r="R52" s="14">
        <f t="shared" si="5"/>
        <v>7</v>
      </c>
      <c r="S52" s="14" t="s">
        <v>39</v>
      </c>
      <c r="T52" s="14">
        <f>ROUND(((IF(Q52=1,INDEX(新属性投放!$J$14:$J$34,卡牌属性!R52),INDEX(新属性投放!$J$42:$J$62,卡牌属性!R52)))*INDEX($G$5:$G$42,L52)+IF(Q52=1,INDEX(新属性投放!R$20:R$23,卡牌属性!M52-1),INDEX(新属性投放!R$25:R$28,卡牌属性!M52-1)))/SQRT(INDEX($I$5:$I$42,L52)),2)</f>
        <v>1711.15</v>
      </c>
      <c r="U52" s="29" t="s">
        <v>178</v>
      </c>
      <c r="V52" s="14">
        <f>ROUND((IF(Q52=1,INDEX(新属性投放!$K$14:$K$34,卡牌属性!R52),INDEX(新属性投放!$K$42:$K$62,卡牌属性!R52))+IF(Q52=1,INDEX(新属性投放!S$20:S$23,卡牌属性!M52-1),INDEX(新属性投放!S$25:S$28,卡牌属性!M52-1)))*INDEX($G$5:$G$42,L52),2)</f>
        <v>784.3</v>
      </c>
      <c r="W52" s="29" t="s">
        <v>179</v>
      </c>
      <c r="X52" s="14">
        <f>ROUND((IF(Q52=1,INDEX(新属性投放!$L$14:$L$34,卡牌属性!R52),INDEX(新属性投放!$L$42:$L$62,卡牌属性!R52))*INDEX($G$5:$G$42,L52)+IF(Q52=1,INDEX(新属性投放!T$20:T$23,卡牌属性!M52-1),INDEX(新属性投放!T$25:T$28,卡牌属性!M52-1)))*SQRT(INDEX($I$5:$I$42,L52)),2)</f>
        <v>5698.45</v>
      </c>
      <c r="Y52" s="29" t="s">
        <v>177</v>
      </c>
      <c r="Z52" s="14">
        <f>ROUND(IF(Q52=1,INDEX(新属性投放!$D$14:$D$34,卡牌属性!R52),INDEX(新属性投放!$D$42:$D$62,卡牌属性!R52))*INDEX($G$5:$G$42,L52)/SQRT(INDEX($I$5:$I$42,L52)),2)</f>
        <v>40.25</v>
      </c>
      <c r="AA52" s="29" t="s">
        <v>178</v>
      </c>
      <c r="AB52" s="14">
        <f>ROUND(IF(Q52=1,INDEX(新属性投放!$E$14:$E$34,卡牌属性!R52),INDEX(新属性投放!$E$42:$E$62,卡牌属性!R52))*INDEX($G$5:$G$42,L52),2)</f>
        <v>20.13</v>
      </c>
      <c r="AC52" s="29" t="s">
        <v>179</v>
      </c>
      <c r="AD52" s="14">
        <f>ROUND(IF(Q52=1,INDEX(新属性投放!$F$14:$F$34,卡牌属性!R52),INDEX(新属性投放!$F$42:$F$62,卡牌属性!R52))*INDEX($G$5:$G$42,L52)*SQRT(INDEX($I$5:$I$42,L52)),2)</f>
        <v>120.75</v>
      </c>
      <c r="AF52" s="14">
        <f t="shared" si="6"/>
        <v>402</v>
      </c>
      <c r="AG52" s="14">
        <f t="shared" si="7"/>
        <v>201</v>
      </c>
      <c r="AH52" s="14">
        <f t="shared" si="8"/>
        <v>1207</v>
      </c>
      <c r="AJ52" s="14">
        <f t="shared" si="15"/>
        <v>1666</v>
      </c>
      <c r="AK52" s="14">
        <f t="shared" si="16"/>
        <v>831</v>
      </c>
      <c r="AL52" s="14">
        <f t="shared" si="17"/>
        <v>5001</v>
      </c>
    </row>
    <row r="53" spans="11:38" ht="16.5" x14ac:dyDescent="0.2">
      <c r="K53" s="13">
        <v>50</v>
      </c>
      <c r="L53" s="13">
        <f t="shared" si="0"/>
        <v>3</v>
      </c>
      <c r="M53" s="13">
        <f t="shared" si="1"/>
        <v>3</v>
      </c>
      <c r="N53" s="14">
        <f t="shared" si="2"/>
        <v>1101003</v>
      </c>
      <c r="O53" s="14" t="str">
        <f t="shared" si="3"/>
        <v>战斗夏玲8突</v>
      </c>
      <c r="P53" s="29" t="s">
        <v>341</v>
      </c>
      <c r="Q53" s="14">
        <f t="shared" si="4"/>
        <v>1</v>
      </c>
      <c r="R53" s="14">
        <f t="shared" si="5"/>
        <v>8</v>
      </c>
      <c r="S53" s="14" t="s">
        <v>39</v>
      </c>
      <c r="T53" s="14">
        <f>ROUND(((IF(Q53=1,INDEX(新属性投放!$J$14:$J$34,卡牌属性!R53),INDEX(新属性投放!$J$42:$J$62,卡牌属性!R53)))*INDEX($G$5:$G$42,L53)+IF(Q53=1,INDEX(新属性投放!R$20:R$23,卡牌属性!M53-1),INDEX(新属性投放!R$25:R$28,卡牌属性!M53-1)))/SQRT(INDEX($I$5:$I$42,L53)),2)</f>
        <v>2214.85</v>
      </c>
      <c r="U53" s="29" t="s">
        <v>178</v>
      </c>
      <c r="V53" s="14">
        <f>ROUND((IF(Q53=1,INDEX(新属性投放!$K$14:$K$34,卡牌属性!R53),INDEX(新属性投放!$K$42:$K$62,卡牌属性!R53))+IF(Q53=1,INDEX(新属性投放!S$20:S$23,卡牌属性!M53-1),INDEX(新属性投放!S$25:S$28,卡牌属性!M53-1)))*INDEX($G$5:$G$42,L53),2)</f>
        <v>1036.1500000000001</v>
      </c>
      <c r="W53" s="29" t="s">
        <v>179</v>
      </c>
      <c r="X53" s="14">
        <f>ROUND((IF(Q53=1,INDEX(新属性投放!$L$14:$L$34,卡牌属性!R53),INDEX(新属性投放!$L$42:$L$62,卡牌属性!R53))*INDEX($G$5:$G$42,L53)+IF(Q53=1,INDEX(新属性投放!T$20:T$23,卡牌属性!M53-1),INDEX(新属性投放!T$25:T$28,卡牌属性!M53-1)))*SQRT(INDEX($I$5:$I$42,L53)),2)</f>
        <v>7209.55</v>
      </c>
      <c r="Y53" s="29" t="s">
        <v>177</v>
      </c>
      <c r="Z53" s="14">
        <f>ROUND(IF(Q53=1,INDEX(新属性投放!$D$14:$D$34,卡牌属性!R53),INDEX(新属性投放!$D$42:$D$62,卡牌属性!R53))*INDEX($G$5:$G$42,L53)/SQRT(INDEX($I$5:$I$42,L53)),2)</f>
        <v>51.75</v>
      </c>
      <c r="AA53" s="29" t="s">
        <v>178</v>
      </c>
      <c r="AB53" s="14">
        <f>ROUND(IF(Q53=1,INDEX(新属性投放!$E$14:$E$34,卡牌属性!R53),INDEX(新属性投放!$E$42:$E$62,卡牌属性!R53))*INDEX($G$5:$G$42,L53),2)</f>
        <v>25.88</v>
      </c>
      <c r="AC53" s="29" t="s">
        <v>179</v>
      </c>
      <c r="AD53" s="14">
        <f>ROUND(IF(Q53=1,INDEX(新属性投放!$F$14:$F$34,卡牌属性!R53),INDEX(新属性投放!$F$42:$F$62,卡牌属性!R53))*INDEX($G$5:$G$42,L53)*SQRT(INDEX($I$5:$I$42,L53)),2)</f>
        <v>155.25</v>
      </c>
      <c r="AF53" s="14">
        <f t="shared" si="6"/>
        <v>517</v>
      </c>
      <c r="AG53" s="14">
        <f t="shared" si="7"/>
        <v>258</v>
      </c>
      <c r="AH53" s="14">
        <f t="shared" si="8"/>
        <v>1552</v>
      </c>
      <c r="AJ53" s="14">
        <f t="shared" si="15"/>
        <v>2183</v>
      </c>
      <c r="AK53" s="14">
        <f t="shared" si="16"/>
        <v>1089</v>
      </c>
      <c r="AL53" s="14">
        <f t="shared" si="17"/>
        <v>6553</v>
      </c>
    </row>
    <row r="54" spans="11:38" ht="16.5" x14ac:dyDescent="0.2">
      <c r="K54" s="13">
        <v>51</v>
      </c>
      <c r="L54" s="13">
        <f t="shared" si="0"/>
        <v>3</v>
      </c>
      <c r="M54" s="13">
        <f t="shared" si="1"/>
        <v>3</v>
      </c>
      <c r="N54" s="14">
        <f t="shared" si="2"/>
        <v>1101003</v>
      </c>
      <c r="O54" s="14" t="str">
        <f t="shared" si="3"/>
        <v>战斗夏玲9突</v>
      </c>
      <c r="P54" s="29" t="s">
        <v>341</v>
      </c>
      <c r="Q54" s="14">
        <f t="shared" si="4"/>
        <v>1</v>
      </c>
      <c r="R54" s="14">
        <f t="shared" si="5"/>
        <v>9</v>
      </c>
      <c r="S54" s="14" t="s">
        <v>39</v>
      </c>
      <c r="T54" s="14">
        <f>ROUND(((IF(Q54=1,INDEX(新属性投放!$J$14:$J$34,卡牌属性!R54),INDEX(新属性投放!$J$42:$J$62,卡牌属性!R54)))*INDEX($G$5:$G$42,L54)+IF(Q54=1,INDEX(新属性投放!R$20:R$23,卡牌属性!M54-1),INDEX(新属性投放!R$25:R$28,卡牌属性!M54-1)))/SQRT(INDEX($I$5:$I$42,L54)),2)</f>
        <v>2862.3</v>
      </c>
      <c r="U54" s="29" t="s">
        <v>178</v>
      </c>
      <c r="V54" s="14">
        <f>ROUND((IF(Q54=1,INDEX(新属性投放!$K$14:$K$34,卡牌属性!R54),INDEX(新属性投放!$K$42:$K$62,卡牌属性!R54))+IF(Q54=1,INDEX(新属性投放!S$20:S$23,卡牌属性!M54-1),INDEX(新属性投放!S$25:S$28,卡牌属性!M54-1)))*INDEX($G$5:$G$42,L54),2)</f>
        <v>1359.3</v>
      </c>
      <c r="W54" s="29" t="s">
        <v>179</v>
      </c>
      <c r="X54" s="14">
        <f>ROUND((IF(Q54=1,INDEX(新属性投放!$L$14:$L$34,卡牌属性!R54),INDEX(新属性投放!$L$42:$L$62,卡牌属性!R54))*INDEX($G$5:$G$42,L54)+IF(Q54=1,INDEX(新属性投放!T$20:T$23,卡牌属性!M54-1),INDEX(新属性投放!T$25:T$28,卡牌属性!M54-1)))*SQRT(INDEX($I$5:$I$42,L54)),2)</f>
        <v>9151.9</v>
      </c>
      <c r="Y54" s="29" t="s">
        <v>177</v>
      </c>
      <c r="Z54" s="14">
        <f>ROUND(IF(Q54=1,INDEX(新属性投放!$D$14:$D$34,卡牌属性!R54),INDEX(新属性投放!$D$42:$D$62,卡牌属性!R54))*INDEX($G$5:$G$42,L54)/SQRT(INDEX($I$5:$I$42,L54)),2)</f>
        <v>69.06</v>
      </c>
      <c r="AA54" s="29" t="s">
        <v>178</v>
      </c>
      <c r="AB54" s="14">
        <f>ROUND(IF(Q54=1,INDEX(新属性投放!$E$14:$E$34,卡牌属性!R54),INDEX(新属性投放!$E$42:$E$62,卡牌属性!R54))*INDEX($G$5:$G$42,L54),2)</f>
        <v>34.53</v>
      </c>
      <c r="AC54" s="29" t="s">
        <v>179</v>
      </c>
      <c r="AD54" s="14">
        <f>ROUND(IF(Q54=1,INDEX(新属性投放!$F$14:$F$34,卡牌属性!R54),INDEX(新属性投放!$F$42:$F$62,卡牌属性!R54))*INDEX($G$5:$G$42,L54)*SQRT(INDEX($I$5:$I$42,L54)),2)</f>
        <v>207.17</v>
      </c>
      <c r="AF54" s="14">
        <f t="shared" si="6"/>
        <v>690</v>
      </c>
      <c r="AG54" s="14">
        <f t="shared" si="7"/>
        <v>345</v>
      </c>
      <c r="AH54" s="14">
        <f t="shared" si="8"/>
        <v>2071</v>
      </c>
      <c r="AJ54" s="14">
        <f t="shared" si="15"/>
        <v>2873</v>
      </c>
      <c r="AK54" s="14">
        <f t="shared" si="16"/>
        <v>1434</v>
      </c>
      <c r="AL54" s="14">
        <f t="shared" si="17"/>
        <v>8624</v>
      </c>
    </row>
    <row r="55" spans="11:38" ht="16.5" x14ac:dyDescent="0.2">
      <c r="K55" s="13">
        <v>52</v>
      </c>
      <c r="L55" s="13">
        <f t="shared" si="0"/>
        <v>3</v>
      </c>
      <c r="M55" s="13">
        <f t="shared" si="1"/>
        <v>3</v>
      </c>
      <c r="N55" s="14">
        <f t="shared" si="2"/>
        <v>1101003</v>
      </c>
      <c r="O55" s="14" t="str">
        <f t="shared" si="3"/>
        <v>战斗夏玲10突</v>
      </c>
      <c r="P55" s="29" t="s">
        <v>341</v>
      </c>
      <c r="Q55" s="14">
        <f t="shared" si="4"/>
        <v>1</v>
      </c>
      <c r="R55" s="14">
        <f t="shared" si="5"/>
        <v>10</v>
      </c>
      <c r="S55" s="14" t="s">
        <v>39</v>
      </c>
      <c r="T55" s="14">
        <f>ROUND(((IF(Q55=1,INDEX(新属性投放!$J$14:$J$34,卡牌属性!R55),INDEX(新属性投放!$J$42:$J$62,卡牌属性!R55)))*INDEX($G$5:$G$42,L55)+IF(Q55=1,INDEX(新属性投放!R$20:R$23,卡牌属性!M55-1),INDEX(新属性投放!R$25:R$28,卡牌属性!M55-1)))/SQRT(INDEX($I$5:$I$42,L55)),2)</f>
        <v>3725.38</v>
      </c>
      <c r="U55" s="29" t="s">
        <v>178</v>
      </c>
      <c r="V55" s="14">
        <f>ROUND((IF(Q55=1,INDEX(新属性投放!$K$14:$K$34,卡牌属性!R55),INDEX(新属性投放!$K$42:$K$62,卡牌属性!R55))+IF(Q55=1,INDEX(新属性投放!S$20:S$23,卡牌属性!M55-1),INDEX(新属性投放!S$25:S$28,卡牌属性!M55-1)))*INDEX($G$5:$G$42,L55),2)</f>
        <v>1790.84</v>
      </c>
      <c r="W55" s="29" t="s">
        <v>179</v>
      </c>
      <c r="X55" s="14">
        <f>ROUND((IF(Q55=1,INDEX(新属性投放!$L$14:$L$34,卡牌属性!R55),INDEX(新属性投放!$L$42:$L$62,卡牌属性!R55))*INDEX($G$5:$G$42,L55)+IF(Q55=1,INDEX(新属性投放!T$20:T$23,卡牌属性!M55-1),INDEX(新属性投放!T$25:T$28,卡牌属性!M55-1)))*SQRT(INDEX($I$5:$I$42,L55)),2)</f>
        <v>11741.13</v>
      </c>
      <c r="Y55" s="29" t="s">
        <v>177</v>
      </c>
      <c r="Z55" s="14">
        <f>ROUND(IF(Q55=1,INDEX(新属性投放!$D$14:$D$34,卡牌属性!R55),INDEX(新属性投放!$D$42:$D$62,卡牌属性!R55))*INDEX($G$5:$G$42,L55)/SQRT(INDEX($I$5:$I$42,L55)),2)</f>
        <v>90.28</v>
      </c>
      <c r="AA55" s="29" t="s">
        <v>178</v>
      </c>
      <c r="AB55" s="14">
        <f>ROUND(IF(Q55=1,INDEX(新属性投放!$E$14:$E$34,卡牌属性!R55),INDEX(新属性投放!$E$42:$E$62,卡牌属性!R55))*INDEX($G$5:$G$42,L55),2)</f>
        <v>45.14</v>
      </c>
      <c r="AC55" s="29" t="s">
        <v>179</v>
      </c>
      <c r="AD55" s="14">
        <f>ROUND(IF(Q55=1,INDEX(新属性投放!$F$14:$F$34,卡牌属性!R55),INDEX(新属性投放!$F$42:$F$62,卡牌属性!R55))*INDEX($G$5:$G$42,L55)*SQRT(INDEX($I$5:$I$42,L55)),2)</f>
        <v>270.83</v>
      </c>
      <c r="AF55" s="14">
        <f t="shared" si="6"/>
        <v>902</v>
      </c>
      <c r="AG55" s="14">
        <f t="shared" si="7"/>
        <v>451</v>
      </c>
      <c r="AH55" s="14">
        <f t="shared" si="8"/>
        <v>2708</v>
      </c>
      <c r="AJ55" s="14">
        <f t="shared" si="15"/>
        <v>3775</v>
      </c>
      <c r="AK55" s="14">
        <f t="shared" si="16"/>
        <v>1885</v>
      </c>
      <c r="AL55" s="14">
        <f t="shared" si="17"/>
        <v>11332</v>
      </c>
    </row>
    <row r="56" spans="11:38" ht="16.5" x14ac:dyDescent="0.2">
      <c r="K56" s="13">
        <v>53</v>
      </c>
      <c r="L56" s="13">
        <f t="shared" si="0"/>
        <v>3</v>
      </c>
      <c r="M56" s="13">
        <f t="shared" si="1"/>
        <v>3</v>
      </c>
      <c r="N56" s="14">
        <f t="shared" si="2"/>
        <v>1101003</v>
      </c>
      <c r="O56" s="14" t="str">
        <f t="shared" si="3"/>
        <v>战斗夏玲11突</v>
      </c>
      <c r="P56" s="29" t="s">
        <v>341</v>
      </c>
      <c r="Q56" s="14">
        <f t="shared" si="4"/>
        <v>1</v>
      </c>
      <c r="R56" s="14">
        <f t="shared" si="5"/>
        <v>11</v>
      </c>
      <c r="S56" s="14" t="s">
        <v>39</v>
      </c>
      <c r="T56" s="14">
        <f>ROUND(((IF(Q56=1,INDEX(新属性投放!$J$14:$J$34,卡牌属性!R56),INDEX(新属性投放!$J$42:$J$62,卡牌属性!R56)))*INDEX($G$5:$G$42,L56)+IF(Q56=1,INDEX(新属性投放!R$20:R$23,卡牌属性!M56-1),INDEX(新属性投放!R$25:R$28,卡牌属性!M56-1)))/SQRT(INDEX($I$5:$I$42,L56)),2)</f>
        <v>4853.53</v>
      </c>
      <c r="U56" s="29" t="s">
        <v>178</v>
      </c>
      <c r="V56" s="14">
        <f>ROUND((IF(Q56=1,INDEX(新属性投放!$K$14:$K$34,卡牌属性!R56),INDEX(新属性投放!$K$42:$K$62,卡牌属性!R56))+IF(Q56=1,INDEX(新属性投放!S$20:S$23,卡牌属性!M56-1),INDEX(新属性投放!S$25:S$28,卡牌属性!M56-1)))*INDEX($G$5:$G$42,L56),2)</f>
        <v>2354.91</v>
      </c>
      <c r="W56" s="29" t="s">
        <v>179</v>
      </c>
      <c r="X56" s="14">
        <f>ROUND((IF(Q56=1,INDEX(新属性投放!$L$14:$L$34,卡牌属性!R56),INDEX(新属性投放!$L$42:$L$62,卡牌属性!R56))*INDEX($G$5:$G$42,L56)+IF(Q56=1,INDEX(新属性投放!T$20:T$23,卡牌属性!M56-1),INDEX(新属性投放!T$25:T$28,卡牌属性!M56-1)))*SQRT(INDEX($I$5:$I$42,L56)),2)</f>
        <v>15125.58</v>
      </c>
      <c r="Y56" s="29" t="s">
        <v>177</v>
      </c>
      <c r="Z56" s="14">
        <f>ROUND(IF(Q56=1,INDEX(新属性投放!$D$14:$D$34,卡牌属性!R56),INDEX(新属性投放!$D$42:$D$62,卡牌属性!R56))*INDEX($G$5:$G$42,L56)/SQRT(INDEX($I$5:$I$42,L56)),2)</f>
        <v>118.84</v>
      </c>
      <c r="AA56" s="29" t="s">
        <v>178</v>
      </c>
      <c r="AB56" s="14">
        <f>ROUND(IF(Q56=1,INDEX(新属性投放!$E$14:$E$34,卡牌属性!R56),INDEX(新属性投放!$E$42:$E$62,卡牌属性!R56))*INDEX($G$5:$G$42,L56),2)</f>
        <v>59.42</v>
      </c>
      <c r="AC56" s="29" t="s">
        <v>179</v>
      </c>
      <c r="AD56" s="14">
        <f>ROUND(IF(Q56=1,INDEX(新属性投放!$F$14:$F$34,卡牌属性!R56),INDEX(新属性投放!$F$42:$F$62,卡牌属性!R56))*INDEX($G$5:$G$42,L56)*SQRT(INDEX($I$5:$I$42,L56)),2)</f>
        <v>356.52</v>
      </c>
      <c r="AF56" s="14">
        <f t="shared" si="6"/>
        <v>1188</v>
      </c>
      <c r="AG56" s="14">
        <f t="shared" si="7"/>
        <v>594</v>
      </c>
      <c r="AH56" s="14">
        <f t="shared" si="8"/>
        <v>3565</v>
      </c>
      <c r="AJ56" s="14">
        <f t="shared" si="15"/>
        <v>4963</v>
      </c>
      <c r="AK56" s="14">
        <f t="shared" si="16"/>
        <v>2479</v>
      </c>
      <c r="AL56" s="14">
        <f t="shared" si="17"/>
        <v>14897</v>
      </c>
    </row>
    <row r="57" spans="11:38" ht="16.5" x14ac:dyDescent="0.2">
      <c r="K57" s="13">
        <v>54</v>
      </c>
      <c r="L57" s="13">
        <f t="shared" si="0"/>
        <v>3</v>
      </c>
      <c r="M57" s="13">
        <f t="shared" si="1"/>
        <v>3</v>
      </c>
      <c r="N57" s="14">
        <f t="shared" si="2"/>
        <v>1101003</v>
      </c>
      <c r="O57" s="14" t="str">
        <f t="shared" si="3"/>
        <v>战斗夏玲12突</v>
      </c>
      <c r="P57" s="29" t="s">
        <v>341</v>
      </c>
      <c r="Q57" s="14">
        <f t="shared" si="4"/>
        <v>1</v>
      </c>
      <c r="R57" s="14">
        <f t="shared" si="5"/>
        <v>12</v>
      </c>
      <c r="S57" s="14" t="s">
        <v>39</v>
      </c>
      <c r="T57" s="14">
        <f>ROUND(((IF(Q57=1,INDEX(新属性投放!$J$14:$J$34,卡牌属性!R57),INDEX(新属性投放!$J$42:$J$62,卡牌属性!R57)))*INDEX($G$5:$G$42,L57)+IF(Q57=1,INDEX(新属性投放!R$20:R$23,卡牌属性!M57-1),INDEX(新属性投放!R$25:R$28,卡牌属性!M57-1)))/SQRT(INDEX($I$5:$I$42,L57)),2)</f>
        <v>6338.64</v>
      </c>
      <c r="U57" s="29" t="s">
        <v>178</v>
      </c>
      <c r="V57" s="14">
        <f>ROUND((IF(Q57=1,INDEX(新属性投放!$K$14:$K$34,卡牌属性!R57),INDEX(新属性投放!$K$42:$K$62,卡牌属性!R57))+IF(Q57=1,INDEX(新属性投放!S$20:S$23,卡牌属性!M57-1),INDEX(新属性投放!S$25:S$28,卡牌属性!M57-1)))*INDEX($G$5:$G$42,L57),2)</f>
        <v>3097.47</v>
      </c>
      <c r="W57" s="29" t="s">
        <v>179</v>
      </c>
      <c r="X57" s="14">
        <f>ROUND((IF(Q57=1,INDEX(新属性投放!$L$14:$L$34,卡牌属性!R57),INDEX(新属性投放!$L$42:$L$62,卡牌属性!R57))*INDEX($G$5:$G$42,L57)+IF(Q57=1,INDEX(新属性投放!T$20:T$23,卡牌属性!M57-1),INDEX(新属性投放!T$25:T$28,卡牌属性!M57-1)))*SQRT(INDEX($I$5:$I$42,L57)),2)</f>
        <v>19580.91</v>
      </c>
      <c r="Y57" s="29" t="s">
        <v>177</v>
      </c>
      <c r="Z57" s="14">
        <f>ROUND(IF(Q57=1,INDEX(新属性投放!$D$14:$D$34,卡牌属性!R57),INDEX(新属性投放!$D$42:$D$62,卡牌属性!R57))*INDEX($G$5:$G$42,L57)/SQRT(INDEX($I$5:$I$42,L57)),2)</f>
        <v>155.96</v>
      </c>
      <c r="AA57" s="29" t="s">
        <v>178</v>
      </c>
      <c r="AB57" s="14">
        <f>ROUND(IF(Q57=1,INDEX(新属性投放!$E$14:$E$34,卡牌属性!R57),INDEX(新属性投放!$E$42:$E$62,卡牌属性!R57))*INDEX($G$5:$G$42,L57),2)</f>
        <v>77.98</v>
      </c>
      <c r="AC57" s="29" t="s">
        <v>179</v>
      </c>
      <c r="AD57" s="14">
        <f>ROUND(IF(Q57=1,INDEX(新属性投放!$F$14:$F$34,卡牌属性!R57),INDEX(新属性投放!$F$42:$F$62,卡牌属性!R57))*INDEX($G$5:$G$42,L57)*SQRT(INDEX($I$5:$I$42,L57)),2)</f>
        <v>467.89</v>
      </c>
      <c r="AF57" s="14">
        <f t="shared" si="6"/>
        <v>1559</v>
      </c>
      <c r="AG57" s="14">
        <f t="shared" si="7"/>
        <v>779</v>
      </c>
      <c r="AH57" s="14">
        <f t="shared" si="8"/>
        <v>4678</v>
      </c>
      <c r="AJ57" s="14">
        <f t="shared" si="15"/>
        <v>6522</v>
      </c>
      <c r="AK57" s="14">
        <f t="shared" si="16"/>
        <v>3258</v>
      </c>
      <c r="AL57" s="14">
        <f t="shared" si="17"/>
        <v>19575</v>
      </c>
    </row>
    <row r="58" spans="11:38" ht="16.5" x14ac:dyDescent="0.2">
      <c r="K58" s="13">
        <v>55</v>
      </c>
      <c r="L58" s="13">
        <f t="shared" si="0"/>
        <v>3</v>
      </c>
      <c r="M58" s="13">
        <f t="shared" si="1"/>
        <v>3</v>
      </c>
      <c r="N58" s="14">
        <f t="shared" si="2"/>
        <v>1101003</v>
      </c>
      <c r="O58" s="14" t="str">
        <f t="shared" si="3"/>
        <v>战斗夏玲13突</v>
      </c>
      <c r="P58" s="29" t="s">
        <v>341</v>
      </c>
      <c r="Q58" s="14">
        <f t="shared" si="4"/>
        <v>1</v>
      </c>
      <c r="R58" s="14">
        <f t="shared" si="5"/>
        <v>13</v>
      </c>
      <c r="S58" s="14" t="s">
        <v>39</v>
      </c>
      <c r="T58" s="14">
        <f>ROUND(((IF(Q58=1,INDEX(新属性投放!$J$14:$J$34,卡牌属性!R58),INDEX(新属性投放!$J$42:$J$62,卡牌属性!R58)))*INDEX($G$5:$G$42,L58)+IF(Q58=1,INDEX(新属性投放!R$20:R$23,卡牌属性!M58-1),INDEX(新属性投放!R$25:R$28,卡牌属性!M58-1)))/SQRT(INDEX($I$5:$I$42,L58)),2)</f>
        <v>8288.1200000000008</v>
      </c>
      <c r="U58" s="29" t="s">
        <v>178</v>
      </c>
      <c r="V58" s="14">
        <f>ROUND((IF(Q58=1,INDEX(新属性投放!$K$14:$K$34,卡牌属性!R58),INDEX(新属性投放!$K$42:$K$62,卡牌属性!R58))+IF(Q58=1,INDEX(新属性投放!S$20:S$23,卡牌属性!M58-1),INDEX(新属性投放!S$25:S$28,卡牌属性!M58-1)))*INDEX($G$5:$G$42,L58),2)</f>
        <v>4072.78</v>
      </c>
      <c r="W58" s="29" t="s">
        <v>179</v>
      </c>
      <c r="X58" s="14">
        <f>ROUND((IF(Q58=1,INDEX(新属性投放!$L$14:$L$34,卡牌属性!R58),INDEX(新属性投放!$L$42:$L$62,卡牌属性!R58))*INDEX($G$5:$G$42,L58)+IF(Q58=1,INDEX(新属性投放!T$20:T$23,卡牌属性!M58-1),INDEX(新属性投放!T$25:T$28,卡牌属性!M58-1)))*SQRT(INDEX($I$5:$I$42,L58)),2)</f>
        <v>25429.35</v>
      </c>
      <c r="Y58" s="29" t="s">
        <v>177</v>
      </c>
      <c r="Z58" s="14">
        <f>ROUND(IF(Q58=1,INDEX(新属性投放!$D$14:$D$34,卡牌属性!R58),INDEX(新属性投放!$D$42:$D$62,卡牌属性!R58))*INDEX($G$5:$G$42,L58)/SQRT(INDEX($I$5:$I$42,L58)),2)</f>
        <v>204.7</v>
      </c>
      <c r="AA58" s="29" t="s">
        <v>178</v>
      </c>
      <c r="AB58" s="14">
        <f>ROUND(IF(Q58=1,INDEX(新属性投放!$E$14:$E$34,卡牌属性!R58),INDEX(新属性投放!$E$42:$E$62,卡牌属性!R58))*INDEX($G$5:$G$42,L58),2)</f>
        <v>102.35</v>
      </c>
      <c r="AC58" s="29" t="s">
        <v>179</v>
      </c>
      <c r="AD58" s="14">
        <f>ROUND(IF(Q58=1,INDEX(新属性投放!$F$14:$F$34,卡牌属性!R58),INDEX(新属性投放!$F$42:$F$62,卡牌属性!R58))*INDEX($G$5:$G$42,L58)*SQRT(INDEX($I$5:$I$42,L58)),2)</f>
        <v>614.1</v>
      </c>
      <c r="AF58" s="14">
        <f t="shared" si="6"/>
        <v>2047</v>
      </c>
      <c r="AG58" s="14">
        <f t="shared" si="7"/>
        <v>1023</v>
      </c>
      <c r="AH58" s="14">
        <f t="shared" si="8"/>
        <v>6141</v>
      </c>
      <c r="AJ58" s="14">
        <f t="shared" si="15"/>
        <v>8569</v>
      </c>
      <c r="AK58" s="14">
        <f t="shared" si="16"/>
        <v>4281</v>
      </c>
      <c r="AL58" s="14">
        <f t="shared" si="17"/>
        <v>25716</v>
      </c>
    </row>
    <row r="59" spans="11:38" ht="16.5" x14ac:dyDescent="0.2">
      <c r="K59" s="13">
        <v>56</v>
      </c>
      <c r="L59" s="13">
        <f t="shared" si="0"/>
        <v>3</v>
      </c>
      <c r="M59" s="13">
        <f t="shared" si="1"/>
        <v>3</v>
      </c>
      <c r="N59" s="14">
        <f t="shared" si="2"/>
        <v>1101003</v>
      </c>
      <c r="O59" s="14" t="str">
        <f t="shared" si="3"/>
        <v>战斗夏玲14突</v>
      </c>
      <c r="P59" s="29" t="s">
        <v>341</v>
      </c>
      <c r="Q59" s="14">
        <f t="shared" si="4"/>
        <v>1</v>
      </c>
      <c r="R59" s="14">
        <f t="shared" si="5"/>
        <v>14</v>
      </c>
      <c r="S59" s="14" t="s">
        <v>39</v>
      </c>
      <c r="T59" s="14">
        <f>ROUND(((IF(Q59=1,INDEX(新属性投放!$J$14:$J$34,卡牌属性!R59),INDEX(新属性投放!$J$42:$J$62,卡牌属性!R59)))*INDEX($G$5:$G$42,L59)+IF(Q59=1,INDEX(新属性投放!R$20:R$23,卡牌属性!M59-1),INDEX(新属性投放!R$25:R$28,卡牌属性!M59-1)))/SQRT(INDEX($I$5:$I$42,L59)),2)</f>
        <v>10846.87</v>
      </c>
      <c r="U59" s="29" t="s">
        <v>178</v>
      </c>
      <c r="V59" s="14">
        <f>ROUND((IF(Q59=1,INDEX(新属性投放!$K$14:$K$34,卡牌属性!R59),INDEX(新属性投放!$K$42:$K$62,卡牌属性!R59))+IF(Q59=1,INDEX(新属性投放!S$20:S$23,卡牌属性!M59-1),INDEX(新属性投放!S$25:S$28,卡牌属性!M59-1)))*INDEX($G$5:$G$42,L59),2)</f>
        <v>5352.73</v>
      </c>
      <c r="W59" s="29" t="s">
        <v>179</v>
      </c>
      <c r="X59" s="14">
        <f>ROUND((IF(Q59=1,INDEX(新属性投放!$L$14:$L$34,卡牌属性!R59),INDEX(新属性投放!$L$42:$L$62,卡牌属性!R59))*INDEX($G$5:$G$42,L59)+IF(Q59=1,INDEX(新属性投放!T$20:T$23,卡牌属性!M59-1),INDEX(新属性投放!T$25:T$28,卡牌属性!M59-1)))*SQRT(INDEX($I$5:$I$42,L59)),2)</f>
        <v>33105.599999999999</v>
      </c>
      <c r="Y59" s="29" t="s">
        <v>177</v>
      </c>
      <c r="Z59" s="14">
        <f>ROUND(IF(Q59=1,INDEX(新属性投放!$D$14:$D$34,卡牌属性!R59),INDEX(新属性投放!$D$42:$D$62,卡牌属性!R59))*INDEX($G$5:$G$42,L59)/SQRT(INDEX($I$5:$I$42,L59)),2)</f>
        <v>268.67</v>
      </c>
      <c r="AA59" s="29" t="s">
        <v>178</v>
      </c>
      <c r="AB59" s="14">
        <f>ROUND(IF(Q59=1,INDEX(新属性投放!$E$14:$E$34,卡牌属性!R59),INDEX(新属性投放!$E$42:$E$62,卡牌属性!R59))*INDEX($G$5:$G$42,L59),2)</f>
        <v>134.34</v>
      </c>
      <c r="AC59" s="29" t="s">
        <v>179</v>
      </c>
      <c r="AD59" s="14">
        <f>ROUND(IF(Q59=1,INDEX(新属性投放!$F$14:$F$34,卡牌属性!R59),INDEX(新属性投放!$F$42:$F$62,卡牌属性!R59))*INDEX($G$5:$G$42,L59)*SQRT(INDEX($I$5:$I$42,L59)),2)</f>
        <v>806.02</v>
      </c>
      <c r="AF59" s="14">
        <f t="shared" si="6"/>
        <v>2686</v>
      </c>
      <c r="AG59" s="14">
        <f t="shared" si="7"/>
        <v>1343</v>
      </c>
      <c r="AH59" s="14">
        <f t="shared" si="8"/>
        <v>8060</v>
      </c>
      <c r="AJ59" s="14">
        <f t="shared" si="15"/>
        <v>11255</v>
      </c>
      <c r="AK59" s="14">
        <f t="shared" si="16"/>
        <v>5624</v>
      </c>
      <c r="AL59" s="14">
        <f t="shared" si="17"/>
        <v>33776</v>
      </c>
    </row>
    <row r="60" spans="11:38" ht="16.5" x14ac:dyDescent="0.2">
      <c r="K60" s="13">
        <v>57</v>
      </c>
      <c r="L60" s="13">
        <f t="shared" si="0"/>
        <v>3</v>
      </c>
      <c r="M60" s="13">
        <f t="shared" si="1"/>
        <v>3</v>
      </c>
      <c r="N60" s="14">
        <f t="shared" si="2"/>
        <v>1101003</v>
      </c>
      <c r="O60" s="14" t="str">
        <f t="shared" si="3"/>
        <v>战斗夏玲15突</v>
      </c>
      <c r="P60" s="29" t="s">
        <v>341</v>
      </c>
      <c r="Q60" s="14">
        <f t="shared" si="4"/>
        <v>1</v>
      </c>
      <c r="R60" s="14">
        <f t="shared" si="5"/>
        <v>15</v>
      </c>
      <c r="S60" s="14" t="s">
        <v>39</v>
      </c>
      <c r="T60" s="14">
        <f>ROUND(((IF(Q60=1,INDEX(新属性投放!$J$14:$J$34,卡牌属性!R60),INDEX(新属性投放!$J$42:$J$62,卡牌属性!R60)))*INDEX($G$5:$G$42,L60)+IF(Q60=1,INDEX(新属性投放!R$20:R$23,卡牌属性!M60-1),INDEX(新属性投放!R$25:R$28,卡牌属性!M60-1)))/SQRT(INDEX($I$5:$I$42,L60)),2)</f>
        <v>14205.21</v>
      </c>
      <c r="U60" s="29" t="s">
        <v>178</v>
      </c>
      <c r="V60" s="14">
        <f>ROUND((IF(Q60=1,INDEX(新属性投放!$K$14:$K$34,卡牌属性!R60),INDEX(新属性投放!$K$42:$K$62,卡牌属性!R60))+IF(Q60=1,INDEX(新属性投放!S$20:S$23,卡牌属性!M60-1),INDEX(新属性投放!S$25:S$28,卡牌属性!M60-1)))*INDEX($G$5:$G$42,L60),2)</f>
        <v>7031.91</v>
      </c>
      <c r="W60" s="29" t="s">
        <v>179</v>
      </c>
      <c r="X60" s="14">
        <f>ROUND((IF(Q60=1,INDEX(新属性投放!$L$14:$L$34,卡牌属性!R60),INDEX(新属性投放!$L$42:$L$62,卡牌属性!R60))*INDEX($G$5:$G$42,L60)+IF(Q60=1,INDEX(新属性投放!T$20:T$23,卡牌属性!M60-1),INDEX(新属性投放!T$25:T$28,卡牌属性!M60-1)))*SQRT(INDEX($I$5:$I$42,L60)),2)</f>
        <v>43180.63</v>
      </c>
      <c r="Y60" s="29" t="s">
        <v>177</v>
      </c>
      <c r="Z60" s="14">
        <f>ROUND(IF(Q60=1,INDEX(新属性投放!$D$14:$D$34,卡牌属性!R60),INDEX(新属性投放!$D$42:$D$62,卡牌属性!R60))*INDEX($G$5:$G$42,L60)/SQRT(INDEX($I$5:$I$42,L60)),2)</f>
        <v>352.64</v>
      </c>
      <c r="AA60" s="29" t="s">
        <v>178</v>
      </c>
      <c r="AB60" s="14">
        <f>ROUND(IF(Q60=1,INDEX(新属性投放!$E$14:$E$34,卡牌属性!R60),INDEX(新属性投放!$E$42:$E$62,卡牌属性!R60))*INDEX($G$5:$G$42,L60),2)</f>
        <v>176.32</v>
      </c>
      <c r="AC60" s="29" t="s">
        <v>179</v>
      </c>
      <c r="AD60" s="14">
        <f>ROUND(IF(Q60=1,INDEX(新属性投放!$F$14:$F$34,卡牌属性!R60),INDEX(新属性投放!$F$42:$F$62,卡牌属性!R60))*INDEX($G$5:$G$42,L60)*SQRT(INDEX($I$5:$I$42,L60)),2)</f>
        <v>1057.9100000000001</v>
      </c>
      <c r="AF60" s="14">
        <f t="shared" si="6"/>
        <v>3526</v>
      </c>
      <c r="AG60" s="14">
        <f t="shared" si="7"/>
        <v>1763</v>
      </c>
      <c r="AH60" s="14">
        <f t="shared" si="8"/>
        <v>10579</v>
      </c>
      <c r="AJ60" s="14">
        <f t="shared" si="15"/>
        <v>14781</v>
      </c>
      <c r="AK60" s="14">
        <f t="shared" si="16"/>
        <v>7387</v>
      </c>
      <c r="AL60" s="14">
        <f t="shared" si="17"/>
        <v>44355</v>
      </c>
    </row>
    <row r="61" spans="11:38" ht="16.5" x14ac:dyDescent="0.2">
      <c r="K61" s="13">
        <v>58</v>
      </c>
      <c r="L61" s="13">
        <f t="shared" si="0"/>
        <v>3</v>
      </c>
      <c r="M61" s="13">
        <f t="shared" si="1"/>
        <v>3</v>
      </c>
      <c r="N61" s="14">
        <f t="shared" si="2"/>
        <v>1101003</v>
      </c>
      <c r="O61" s="14" t="str">
        <f t="shared" si="3"/>
        <v>战斗夏玲16突</v>
      </c>
      <c r="P61" s="29" t="s">
        <v>341</v>
      </c>
      <c r="Q61" s="14">
        <f t="shared" si="4"/>
        <v>1</v>
      </c>
      <c r="R61" s="14">
        <f t="shared" si="5"/>
        <v>16</v>
      </c>
      <c r="S61" s="14" t="s">
        <v>39</v>
      </c>
      <c r="T61" s="14">
        <f>ROUND(((IF(Q61=1,INDEX(新属性投放!$J$14:$J$34,卡牌属性!R61),INDEX(新属性投放!$J$42:$J$62,卡牌属性!R61)))*INDEX($G$5:$G$42,L61)+IF(Q61=1,INDEX(新属性投放!R$20:R$23,卡牌属性!M61-1),INDEX(新属性投放!R$25:R$28,卡牌属性!M61-1)))/SQRT(INDEX($I$5:$I$42,L61)),2)</f>
        <v>18613.62</v>
      </c>
      <c r="U61" s="29" t="s">
        <v>178</v>
      </c>
      <c r="V61" s="14">
        <f>ROUND((IF(Q61=1,INDEX(新属性投放!$K$14:$K$34,卡牌属性!R61),INDEX(新属性投放!$K$42:$K$62,卡牌属性!R61))+IF(Q61=1,INDEX(新属性投放!S$20:S$23,卡牌属性!M61-1),INDEX(新属性投放!S$25:S$28,卡牌属性!M61-1)))*INDEX($G$5:$G$42,L61),2)</f>
        <v>9235.5400000000009</v>
      </c>
      <c r="W61" s="29" t="s">
        <v>179</v>
      </c>
      <c r="X61" s="14">
        <f>ROUND((IF(Q61=1,INDEX(新属性投放!$L$14:$L$34,卡牌属性!R61),INDEX(新属性投放!$L$42:$L$62,卡牌属性!R61))*INDEX($G$5:$G$42,L61)+IF(Q61=1,INDEX(新属性投放!T$20:T$23,卡牌属性!M61-1),INDEX(新属性投放!T$25:T$28,卡牌属性!M61-1)))*SQRT(INDEX($I$5:$I$42,L61)),2)</f>
        <v>56405.86</v>
      </c>
      <c r="Y61" s="29" t="s">
        <v>177</v>
      </c>
      <c r="Z61" s="14">
        <f>ROUND(IF(Q61=1,INDEX(新属性投放!$D$14:$D$34,卡牌属性!R61),INDEX(新属性投放!$D$42:$D$62,卡牌属性!R61))*INDEX($G$5:$G$42,L61)/SQRT(INDEX($I$5:$I$42,L61)),2)</f>
        <v>462.84</v>
      </c>
      <c r="AA61" s="29" t="s">
        <v>178</v>
      </c>
      <c r="AB61" s="14">
        <f>ROUND(IF(Q61=1,INDEX(新属性投放!$E$14:$E$34,卡牌属性!R61),INDEX(新属性投放!$E$42:$E$62,卡牌属性!R61))*INDEX($G$5:$G$42,L61),2)</f>
        <v>231.42</v>
      </c>
      <c r="AC61" s="29" t="s">
        <v>179</v>
      </c>
      <c r="AD61" s="14">
        <f>ROUND(IF(Q61=1,INDEX(新属性投放!$F$14:$F$34,卡牌属性!R61),INDEX(新属性投放!$F$42:$F$62,卡牌属性!R61))*INDEX($G$5:$G$42,L61)*SQRT(INDEX($I$5:$I$42,L61)),2)</f>
        <v>1388.52</v>
      </c>
      <c r="AF61" s="14">
        <f t="shared" si="6"/>
        <v>4628</v>
      </c>
      <c r="AG61" s="14">
        <f t="shared" si="7"/>
        <v>2314</v>
      </c>
      <c r="AH61" s="14">
        <f t="shared" si="8"/>
        <v>13885</v>
      </c>
      <c r="AJ61" s="14">
        <f t="shared" si="15"/>
        <v>19409</v>
      </c>
      <c r="AK61" s="14">
        <f t="shared" si="16"/>
        <v>9701</v>
      </c>
      <c r="AL61" s="14">
        <f t="shared" si="17"/>
        <v>58240</v>
      </c>
    </row>
    <row r="62" spans="11:38" ht="16.5" x14ac:dyDescent="0.2">
      <c r="K62" s="13">
        <v>59</v>
      </c>
      <c r="L62" s="13">
        <f t="shared" si="0"/>
        <v>3</v>
      </c>
      <c r="M62" s="13">
        <f t="shared" si="1"/>
        <v>3</v>
      </c>
      <c r="N62" s="14">
        <f t="shared" si="2"/>
        <v>1101003</v>
      </c>
      <c r="O62" s="14" t="str">
        <f t="shared" si="3"/>
        <v>战斗夏玲17突</v>
      </c>
      <c r="P62" s="29" t="s">
        <v>341</v>
      </c>
      <c r="Q62" s="14">
        <f t="shared" si="4"/>
        <v>1</v>
      </c>
      <c r="R62" s="14">
        <f t="shared" si="5"/>
        <v>17</v>
      </c>
      <c r="S62" s="14" t="s">
        <v>39</v>
      </c>
      <c r="T62" s="14">
        <f>ROUND(((IF(Q62=1,INDEX(新属性投放!$J$14:$J$34,卡牌属性!R62),INDEX(新属性投放!$J$42:$J$62,卡牌属性!R62)))*INDEX($G$5:$G$42,L62)+IF(Q62=1,INDEX(新属性投放!R$20:R$23,卡牌属性!M62-1),INDEX(新属性投放!R$25:R$28,卡牌属性!M62-1)))/SQRT(INDEX($I$5:$I$42,L62)),2)</f>
        <v>24398.93</v>
      </c>
      <c r="U62" s="29" t="s">
        <v>178</v>
      </c>
      <c r="V62" s="14">
        <f>ROUND((IF(Q62=1,INDEX(新属性投放!$K$14:$K$34,卡牌属性!R62),INDEX(新属性投放!$K$42:$K$62,卡牌属性!R62))+IF(Q62=1,INDEX(新属性投放!S$20:S$23,卡牌属性!M62-1),INDEX(新属性投放!S$25:S$28,卡牌属性!M62-1)))*INDEX($G$5:$G$42,L62),2)</f>
        <v>12128.19</v>
      </c>
      <c r="W62" s="29" t="s">
        <v>179</v>
      </c>
      <c r="X62" s="14">
        <f>ROUND((IF(Q62=1,INDEX(新属性投放!$L$14:$L$34,卡牌属性!R62),INDEX(新属性投放!$L$42:$L$62,卡牌属性!R62))*INDEX($G$5:$G$42,L62)+IF(Q62=1,INDEX(新属性投放!T$20:T$23,卡牌属性!M62-1),INDEX(新属性投放!T$25:T$28,卡牌属性!M62-1)))*SQRT(INDEX($I$5:$I$42,L62)),2)</f>
        <v>73761.78</v>
      </c>
      <c r="Y62" s="29" t="s">
        <v>177</v>
      </c>
      <c r="Z62" s="14">
        <f>ROUND(IF(Q62=1,INDEX(新属性投放!$D$14:$D$34,卡牌属性!R62),INDEX(新属性投放!$D$42:$D$62,卡牌属性!R62))*INDEX($G$5:$G$42,L62)/SQRT(INDEX($I$5:$I$42,L62)),2)</f>
        <v>607.48</v>
      </c>
      <c r="AA62" s="29" t="s">
        <v>178</v>
      </c>
      <c r="AB62" s="14">
        <f>ROUND(IF(Q62=1,INDEX(新属性投放!$E$14:$E$34,卡牌属性!R62),INDEX(新属性投放!$E$42:$E$62,卡牌属性!R62))*INDEX($G$5:$G$42,L62),2)</f>
        <v>303.74</v>
      </c>
      <c r="AC62" s="29" t="s">
        <v>179</v>
      </c>
      <c r="AD62" s="14">
        <f>ROUND(IF(Q62=1,INDEX(新属性投放!$F$14:$F$34,卡牌属性!R62),INDEX(新属性投放!$F$42:$F$62,卡牌属性!R62))*INDEX($G$5:$G$42,L62)*SQRT(INDEX($I$5:$I$42,L62)),2)</f>
        <v>1822.43</v>
      </c>
      <c r="AF62" s="14">
        <f t="shared" si="6"/>
        <v>6074</v>
      </c>
      <c r="AG62" s="14">
        <f t="shared" si="7"/>
        <v>3037</v>
      </c>
      <c r="AH62" s="14">
        <f t="shared" si="8"/>
        <v>18224</v>
      </c>
      <c r="AJ62" s="14">
        <f t="shared" si="15"/>
        <v>25483</v>
      </c>
      <c r="AK62" s="14">
        <f t="shared" si="16"/>
        <v>12738</v>
      </c>
      <c r="AL62" s="14">
        <f t="shared" si="17"/>
        <v>76464</v>
      </c>
    </row>
    <row r="63" spans="11:38" ht="16.5" x14ac:dyDescent="0.2">
      <c r="K63" s="13">
        <v>60</v>
      </c>
      <c r="L63" s="13">
        <f t="shared" si="0"/>
        <v>3</v>
      </c>
      <c r="M63" s="13">
        <f t="shared" si="1"/>
        <v>3</v>
      </c>
      <c r="N63" s="14">
        <f t="shared" si="2"/>
        <v>1101003</v>
      </c>
      <c r="O63" s="14" t="str">
        <f t="shared" si="3"/>
        <v>战斗夏玲18突</v>
      </c>
      <c r="P63" s="29" t="s">
        <v>341</v>
      </c>
      <c r="Q63" s="14">
        <f t="shared" si="4"/>
        <v>1</v>
      </c>
      <c r="R63" s="14">
        <f t="shared" si="5"/>
        <v>18</v>
      </c>
      <c r="S63" s="14" t="s">
        <v>39</v>
      </c>
      <c r="T63" s="14">
        <f>ROUND(((IF(Q63=1,INDEX(新属性投放!$J$14:$J$34,卡牌属性!R63),INDEX(新属性投放!$J$42:$J$62,卡牌属性!R63)))*INDEX($G$5:$G$42,L63)+IF(Q63=1,INDEX(新属性投放!R$20:R$23,卡牌属性!M63-1),INDEX(新属性投放!R$25:R$28,卡牌属性!M63-1)))/SQRT(INDEX($I$5:$I$42,L63)),2)</f>
        <v>31992.84</v>
      </c>
      <c r="U63" s="29" t="s">
        <v>178</v>
      </c>
      <c r="V63" s="14">
        <f>ROUND((IF(Q63=1,INDEX(新属性投放!$K$14:$K$34,卡牌属性!R63),INDEX(新属性投放!$K$42:$K$62,卡牌属性!R63))+IF(Q63=1,INDEX(新属性投放!S$20:S$23,卡牌属性!M63-1),INDEX(新属性投放!S$25:S$28,卡牌属性!M63-1)))*INDEX($G$5:$G$42,L63),2)</f>
        <v>15924.57</v>
      </c>
      <c r="W63" s="29" t="s">
        <v>179</v>
      </c>
      <c r="X63" s="14">
        <f>ROUND((IF(Q63=1,INDEX(新属性投放!$L$14:$L$34,卡牌属性!R63),INDEX(新属性投放!$L$42:$L$62,卡牌属性!R63))*INDEX($G$5:$G$42,L63)+IF(Q63=1,INDEX(新属性投放!T$20:T$23,卡牌属性!M63-1),INDEX(新属性投放!T$25:T$28,卡牌属性!M63-1)))*SQRT(INDEX($I$5:$I$42,L63)),2)</f>
        <v>96543.51</v>
      </c>
      <c r="Y63" s="29" t="s">
        <v>177</v>
      </c>
      <c r="Z63" s="14">
        <f>ROUND(IF(Q63=1,INDEX(新属性投放!$D$14:$D$34,卡牌属性!R63),INDEX(新属性投放!$D$42:$D$62,卡牌属性!R63))*INDEX($G$5:$G$42,L63)/SQRT(INDEX($I$5:$I$42,L63)),2)</f>
        <v>797.32</v>
      </c>
      <c r="AA63" s="29" t="s">
        <v>178</v>
      </c>
      <c r="AB63" s="14">
        <f>ROUND(IF(Q63=1,INDEX(新属性投放!$E$14:$E$34,卡牌属性!R63),INDEX(新属性投放!$E$42:$E$62,卡牌属性!R63))*INDEX($G$5:$G$42,L63),2)</f>
        <v>398.66</v>
      </c>
      <c r="AC63" s="29" t="s">
        <v>179</v>
      </c>
      <c r="AD63" s="14">
        <f>ROUND(IF(Q63=1,INDEX(新属性投放!$F$14:$F$34,卡牌属性!R63),INDEX(新属性投放!$F$42:$F$62,卡牌属性!R63))*INDEX($G$5:$G$42,L63)*SQRT(INDEX($I$5:$I$42,L63)),2)</f>
        <v>2391.9499999999998</v>
      </c>
      <c r="AF63" s="14">
        <f t="shared" si="6"/>
        <v>7973</v>
      </c>
      <c r="AG63" s="14">
        <f t="shared" si="7"/>
        <v>3986</v>
      </c>
      <c r="AH63" s="14">
        <f t="shared" si="8"/>
        <v>23919</v>
      </c>
      <c r="AJ63" s="14">
        <f t="shared" si="15"/>
        <v>33456</v>
      </c>
      <c r="AK63" s="14">
        <f t="shared" si="16"/>
        <v>16724</v>
      </c>
      <c r="AL63" s="14">
        <f t="shared" si="17"/>
        <v>100383</v>
      </c>
    </row>
    <row r="64" spans="11:38" ht="16.5" x14ac:dyDescent="0.2">
      <c r="K64" s="13">
        <v>61</v>
      </c>
      <c r="L64" s="13">
        <f t="shared" si="0"/>
        <v>3</v>
      </c>
      <c r="M64" s="13">
        <f t="shared" si="1"/>
        <v>3</v>
      </c>
      <c r="N64" s="14">
        <f t="shared" si="2"/>
        <v>1101003</v>
      </c>
      <c r="O64" s="14" t="str">
        <f t="shared" si="3"/>
        <v>战斗夏玲19突</v>
      </c>
      <c r="P64" s="29" t="s">
        <v>341</v>
      </c>
      <c r="Q64" s="14">
        <f t="shared" si="4"/>
        <v>1</v>
      </c>
      <c r="R64" s="14">
        <f t="shared" si="5"/>
        <v>19</v>
      </c>
      <c r="S64" s="14" t="s">
        <v>39</v>
      </c>
      <c r="T64" s="14">
        <f>ROUND(((IF(Q64=1,INDEX(新属性投放!$J$14:$J$34,卡牌属性!R64),INDEX(新属性投放!$J$42:$J$62,卡牌属性!R64)))*INDEX($G$5:$G$42,L64)+IF(Q64=1,INDEX(新属性投放!R$20:R$23,卡牌属性!M64-1),INDEX(新属性投放!R$25:R$28,卡牌属性!M64-1)))/SQRT(INDEX($I$5:$I$42,L64)),2)</f>
        <v>41958.97</v>
      </c>
      <c r="U64" s="29" t="s">
        <v>178</v>
      </c>
      <c r="V64" s="14">
        <f>ROUND((IF(Q64=1,INDEX(新属性投放!$K$14:$K$34,卡牌属性!R64),INDEX(新属性投放!$K$42:$K$62,卡牌属性!R64))+IF(Q64=1,INDEX(新属性投放!S$20:S$23,卡牌属性!M64-1),INDEX(新属性投放!S$25:S$28,卡牌属性!M64-1)))*INDEX($G$5:$G$42,L64),2)</f>
        <v>20908.21</v>
      </c>
      <c r="W64" s="29" t="s">
        <v>179</v>
      </c>
      <c r="X64" s="14">
        <f>ROUND((IF(Q64=1,INDEX(新属性投放!$L$14:$L$34,卡牌属性!R64),INDEX(新属性投放!$L$42:$L$62,卡牌属性!R64))*INDEX($G$5:$G$42,L64)+IF(Q64=1,INDEX(新属性投放!T$20:T$23,卡牌属性!M64-1),INDEX(新属性投放!T$25:T$28,卡牌属性!M64-1)))*SQRT(INDEX($I$5:$I$42,L64)),2)</f>
        <v>126441.9</v>
      </c>
      <c r="Y64" s="29" t="s">
        <v>177</v>
      </c>
      <c r="Z64" s="14">
        <f>ROUND(IF(Q64=1,INDEX(新属性投放!$D$14:$D$34,卡牌属性!R64),INDEX(新属性投放!$D$42:$D$62,卡牌属性!R64))*INDEX($G$5:$G$42,L64)/SQRT(INDEX($I$5:$I$42,L64)),2)</f>
        <v>1046.48</v>
      </c>
      <c r="AA64" s="29" t="s">
        <v>178</v>
      </c>
      <c r="AB64" s="14">
        <f>ROUND(IF(Q64=1,INDEX(新属性投放!$E$14:$E$34,卡牌属性!R64),INDEX(新属性投放!$E$42:$E$62,卡牌属性!R64))*INDEX($G$5:$G$42,L64),2)</f>
        <v>523.24</v>
      </c>
      <c r="AC64" s="29" t="s">
        <v>179</v>
      </c>
      <c r="AD64" s="14">
        <f>ROUND(IF(Q64=1,INDEX(新属性投放!$F$14:$F$34,卡牌属性!R64),INDEX(新属性投放!$F$42:$F$62,卡牌属性!R64))*INDEX($G$5:$G$42,L64)*SQRT(INDEX($I$5:$I$42,L64)),2)</f>
        <v>3139.43</v>
      </c>
      <c r="AF64" s="14">
        <f t="shared" si="6"/>
        <v>10464</v>
      </c>
      <c r="AG64" s="14">
        <f t="shared" si="7"/>
        <v>5232</v>
      </c>
      <c r="AH64" s="14">
        <f t="shared" si="8"/>
        <v>31394</v>
      </c>
      <c r="AJ64" s="14">
        <f t="shared" si="15"/>
        <v>43920</v>
      </c>
      <c r="AK64" s="14">
        <f t="shared" si="16"/>
        <v>21956</v>
      </c>
      <c r="AL64" s="14">
        <f t="shared" si="17"/>
        <v>131777</v>
      </c>
    </row>
    <row r="65" spans="11:38" ht="16.5" x14ac:dyDescent="0.2">
      <c r="K65" s="13">
        <v>62</v>
      </c>
      <c r="L65" s="13">
        <f t="shared" si="0"/>
        <v>3</v>
      </c>
      <c r="M65" s="13">
        <f t="shared" si="1"/>
        <v>3</v>
      </c>
      <c r="N65" s="14">
        <f t="shared" si="2"/>
        <v>1101003</v>
      </c>
      <c r="O65" s="14" t="str">
        <f t="shared" si="3"/>
        <v>战斗夏玲20突</v>
      </c>
      <c r="P65" s="29" t="s">
        <v>341</v>
      </c>
      <c r="Q65" s="14">
        <f t="shared" si="4"/>
        <v>1</v>
      </c>
      <c r="R65" s="14">
        <f t="shared" si="5"/>
        <v>20</v>
      </c>
      <c r="S65" s="14" t="s">
        <v>39</v>
      </c>
      <c r="T65" s="14">
        <f>ROUND(((IF(Q65=1,INDEX(新属性投放!$J$14:$J$34,卡牌属性!R65),INDEX(新属性投放!$J$42:$J$62,卡牌属性!R65)))*INDEX($G$5:$G$42,L65)+IF(Q65=1,INDEX(新属性投放!R$20:R$23,卡牌属性!M65-1),INDEX(新属性投放!R$25:R$28,卡牌属性!M65-1)))/SQRT(INDEX($I$5:$I$42,L65)),2)</f>
        <v>55039.99</v>
      </c>
      <c r="U65" s="29" t="s">
        <v>178</v>
      </c>
      <c r="V65" s="14">
        <f>ROUND((IF(Q65=1,INDEX(新属性投放!$K$14:$K$34,卡牌属性!R65),INDEX(新属性投放!$K$42:$K$62,卡牌属性!R65))+IF(Q65=1,INDEX(新属性投放!S$20:S$23,卡牌属性!M65-1),INDEX(新属性投放!S$25:S$28,卡牌属性!M65-1)))*INDEX($G$5:$G$42,L65),2)</f>
        <v>27448.14</v>
      </c>
      <c r="W65" s="29" t="s">
        <v>179</v>
      </c>
      <c r="X65" s="14">
        <f>ROUND((IF(Q65=1,INDEX(新属性投放!$L$14:$L$34,卡牌属性!R65),INDEX(新属性投放!$L$42:$L$62,卡牌属性!R65))*INDEX($G$5:$G$42,L65)+IF(Q65=1,INDEX(新属性投放!T$20:T$23,卡牌属性!M65-1),INDEX(新属性投放!T$25:T$28,卡牌属性!M65-1)))*SQRT(INDEX($I$5:$I$42,L65)),2)</f>
        <v>165684.96</v>
      </c>
      <c r="Y65" s="29" t="s">
        <v>177</v>
      </c>
      <c r="Z65" s="14">
        <f>ROUND(IF(Q65=1,INDEX(新属性投放!$D$14:$D$34,卡牌属性!R65),INDEX(新属性投放!$D$42:$D$62,卡牌属性!R65))*INDEX($G$5:$G$42,L65)/SQRT(INDEX($I$5:$I$42,L65)),2)</f>
        <v>1373.5</v>
      </c>
      <c r="AA65" s="29" t="s">
        <v>178</v>
      </c>
      <c r="AB65" s="14">
        <f>ROUND(IF(Q65=1,INDEX(新属性投放!$E$14:$E$34,卡牌属性!R65),INDEX(新属性投放!$E$42:$E$62,卡牌属性!R65))*INDEX($G$5:$G$42,L65),2)</f>
        <v>686.75</v>
      </c>
      <c r="AC65" s="29" t="s">
        <v>179</v>
      </c>
      <c r="AD65" s="14">
        <f>ROUND(IF(Q65=1,INDEX(新属性投放!$F$14:$F$34,卡牌属性!R65),INDEX(新属性投放!$F$42:$F$62,卡牌属性!R65))*INDEX($G$5:$G$42,L65)*SQRT(INDEX($I$5:$I$42,L65)),2)</f>
        <v>4120.51</v>
      </c>
      <c r="AF65" s="14">
        <f t="shared" si="6"/>
        <v>13735</v>
      </c>
      <c r="AG65" s="14">
        <f t="shared" si="7"/>
        <v>6867</v>
      </c>
      <c r="AH65" s="14">
        <f t="shared" si="8"/>
        <v>41205</v>
      </c>
      <c r="AJ65" s="14">
        <f t="shared" si="15"/>
        <v>57655</v>
      </c>
      <c r="AK65" s="14">
        <f t="shared" si="16"/>
        <v>28823</v>
      </c>
      <c r="AL65" s="14">
        <f t="shared" si="17"/>
        <v>172982</v>
      </c>
    </row>
    <row r="66" spans="11:38" ht="16.5" x14ac:dyDescent="0.2">
      <c r="K66" s="13">
        <v>63</v>
      </c>
      <c r="L66" s="13">
        <f t="shared" si="0"/>
        <v>3</v>
      </c>
      <c r="M66" s="13">
        <f t="shared" si="1"/>
        <v>3</v>
      </c>
      <c r="N66" s="14">
        <f t="shared" si="2"/>
        <v>1101003</v>
      </c>
      <c r="O66" s="14" t="str">
        <f t="shared" si="3"/>
        <v>战斗夏玲21突</v>
      </c>
      <c r="P66" s="29" t="s">
        <v>341</v>
      </c>
      <c r="Q66" s="14">
        <f t="shared" si="4"/>
        <v>1</v>
      </c>
      <c r="R66" s="14">
        <f t="shared" si="5"/>
        <v>21</v>
      </c>
      <c r="S66" s="14" t="s">
        <v>39</v>
      </c>
      <c r="T66" s="14">
        <f>ROUND(((IF(Q66=1,INDEX(新属性投放!$J$14:$J$34,卡牌属性!R66),INDEX(新属性投放!$J$42:$J$62,卡牌属性!R66)))*INDEX($G$5:$G$42,L66)+IF(Q66=1,INDEX(新属性投放!R$20:R$23,卡牌属性!M66-1),INDEX(新属性投放!R$25:R$28,卡牌属性!M66-1)))/SQRT(INDEX($I$5:$I$42,L66)),2)</f>
        <v>72208.91</v>
      </c>
      <c r="U66" s="29" t="s">
        <v>178</v>
      </c>
      <c r="V66" s="14">
        <f>ROUND((IF(Q66=1,INDEX(新属性投放!$K$14:$K$34,卡牌属性!R66),INDEX(新属性投放!$K$42:$K$62,卡牌属性!R66))+IF(Q66=1,INDEX(新属性投放!S$20:S$23,卡牌属性!M66-1),INDEX(新属性投放!S$25:S$28,卡牌属性!M66-1)))*INDEX($G$5:$G$42,L66),2)</f>
        <v>36032.61</v>
      </c>
      <c r="W66" s="29" t="s">
        <v>179</v>
      </c>
      <c r="X66" s="14">
        <f>ROUND((IF(Q66=1,INDEX(新属性投放!$L$14:$L$34,卡牌属性!R66),INDEX(新属性投放!$L$42:$L$62,卡牌属性!R66))*INDEX($G$5:$G$42,L66)+IF(Q66=1,INDEX(新属性投放!T$20:T$23,卡牌属性!M66-1),INDEX(新属性投放!T$25:T$28,卡牌属性!M66-1)))*SQRT(INDEX($I$5:$I$42,L66)),2)</f>
        <v>217191.73</v>
      </c>
      <c r="Y66" s="29" t="s">
        <v>177</v>
      </c>
      <c r="Z66" s="14">
        <f>ROUND(IF(Q66=1,INDEX(新属性投放!$D$14:$D$34,卡牌属性!R66),INDEX(新属性投放!$D$42:$D$62,卡牌属性!R66))*INDEX($G$5:$G$42,L66)/SQRT(INDEX($I$5:$I$42,L66)),2)</f>
        <v>1802.73</v>
      </c>
      <c r="AA66" s="29" t="s">
        <v>178</v>
      </c>
      <c r="AB66" s="14">
        <f>ROUND(IF(Q66=1,INDEX(新属性投放!$E$14:$E$34,卡牌属性!R66),INDEX(新属性投放!$E$42:$E$62,卡牌属性!R66))*INDEX($G$5:$G$42,L66),2)</f>
        <v>901.36</v>
      </c>
      <c r="AC66" s="29" t="s">
        <v>179</v>
      </c>
      <c r="AD66" s="14">
        <f>ROUND(IF(Q66=1,INDEX(新属性投放!$F$14:$F$34,卡牌属性!R66),INDEX(新属性投放!$F$42:$F$62,卡牌属性!R66))*INDEX($G$5:$G$42,L66)*SQRT(INDEX($I$5:$I$42,L66)),2)</f>
        <v>5408.19</v>
      </c>
      <c r="AF66" s="14">
        <f t="shared" si="6"/>
        <v>18027</v>
      </c>
      <c r="AG66" s="14">
        <f t="shared" si="7"/>
        <v>9013</v>
      </c>
      <c r="AH66" s="14">
        <f t="shared" si="8"/>
        <v>54081</v>
      </c>
      <c r="AJ66" s="14">
        <f t="shared" si="15"/>
        <v>75682</v>
      </c>
      <c r="AK66" s="14">
        <f t="shared" si="16"/>
        <v>37836</v>
      </c>
      <c r="AL66" s="14">
        <f t="shared" si="17"/>
        <v>227063</v>
      </c>
    </row>
    <row r="67" spans="11:38" ht="16.5" x14ac:dyDescent="0.2">
      <c r="K67" s="13">
        <v>64</v>
      </c>
      <c r="L67" s="13">
        <f t="shared" si="0"/>
        <v>4</v>
      </c>
      <c r="M67" s="13">
        <f t="shared" si="1"/>
        <v>4</v>
      </c>
      <c r="N67" s="14">
        <f t="shared" si="2"/>
        <v>1101004</v>
      </c>
      <c r="O67" s="14" t="str">
        <f t="shared" si="3"/>
        <v>项昆仑1突</v>
      </c>
      <c r="P67" s="29" t="s">
        <v>341</v>
      </c>
      <c r="Q67" s="14">
        <f t="shared" si="4"/>
        <v>1</v>
      </c>
      <c r="R67" s="14">
        <f t="shared" si="5"/>
        <v>1</v>
      </c>
      <c r="S67" s="14" t="s">
        <v>39</v>
      </c>
      <c r="T67" s="14">
        <f>ROUND(((IF(Q67=1,INDEX(新属性投放!$J$14:$J$34,卡牌属性!R67),INDEX(新属性投放!$J$42:$J$62,卡牌属性!R67)))*INDEX($G$5:$G$42,L67)+IF(Q67=1,INDEX(新属性投放!R$20:R$23,卡牌属性!M67-1),INDEX(新属性投放!R$25:R$28,卡牌属性!M67-1)))/SQRT(INDEX($I$5:$I$42,L67)),2)</f>
        <v>215</v>
      </c>
      <c r="U67" s="29" t="s">
        <v>178</v>
      </c>
      <c r="V67" s="14">
        <f>ROUND((IF(Q67=1,INDEX(新属性投放!$K$14:$K$34,卡牌属性!R67),INDEX(新属性投放!$K$42:$K$62,卡牌属性!R67))+IF(Q67=1,INDEX(新属性投放!S$20:S$23,卡牌属性!M67-1),INDEX(新属性投放!S$25:S$28,卡牌属性!M67-1)))*INDEX($G$5:$G$42,L67),2)</f>
        <v>0</v>
      </c>
      <c r="W67" s="29" t="s">
        <v>179</v>
      </c>
      <c r="X67" s="14">
        <f>ROUND((IF(Q67=1,INDEX(新属性投放!$L$14:$L$34,卡牌属性!R67),INDEX(新属性投放!$L$42:$L$62,卡牌属性!R67))*INDEX($G$5:$G$42,L67)+IF(Q67=1,INDEX(新属性投放!T$20:T$23,卡牌属性!M67-1),INDEX(新属性投放!T$25:T$28,卡牌属性!M67-1)))*SQRT(INDEX($I$5:$I$42,L67)),2)</f>
        <v>1075</v>
      </c>
      <c r="Y67" s="29" t="s">
        <v>177</v>
      </c>
      <c r="Z67" s="14">
        <f>ROUND(IF(Q67=1,INDEX(新属性投放!$D$14:$D$34,卡牌属性!R67),INDEX(新属性投放!$D$42:$D$62,卡牌属性!R67))*INDEX($G$5:$G$42,L67)/SQRT(INDEX($I$5:$I$42,L67)),2)</f>
        <v>13</v>
      </c>
      <c r="AA67" s="29" t="s">
        <v>178</v>
      </c>
      <c r="AB67" s="14">
        <f>ROUND(IF(Q67=1,INDEX(新属性投放!$E$14:$E$34,卡牌属性!R67),INDEX(新属性投放!$E$42:$E$62,卡牌属性!R67))*INDEX($G$5:$G$42,L67),2)</f>
        <v>6.5</v>
      </c>
      <c r="AC67" s="29" t="s">
        <v>179</v>
      </c>
      <c r="AD67" s="14">
        <f>ROUND(IF(Q67=1,INDEX(新属性投放!$F$14:$F$34,卡牌属性!R67),INDEX(新属性投放!$F$42:$F$62,卡牌属性!R67))*INDEX($G$5:$G$42,L67)*SQRT(INDEX($I$5:$I$42,L67)),2)</f>
        <v>39</v>
      </c>
      <c r="AF67" s="14">
        <f t="shared" si="6"/>
        <v>130</v>
      </c>
      <c r="AG67" s="14">
        <f t="shared" si="7"/>
        <v>65</v>
      </c>
      <c r="AH67" s="14">
        <f t="shared" si="8"/>
        <v>390</v>
      </c>
      <c r="AJ67" s="14">
        <f>AF67</f>
        <v>130</v>
      </c>
      <c r="AK67" s="14">
        <f>AG67</f>
        <v>65</v>
      </c>
      <c r="AL67" s="14">
        <f>AH67</f>
        <v>390</v>
      </c>
    </row>
    <row r="68" spans="11:38" ht="16.5" x14ac:dyDescent="0.2">
      <c r="K68" s="13">
        <v>65</v>
      </c>
      <c r="L68" s="13">
        <f t="shared" si="0"/>
        <v>4</v>
      </c>
      <c r="M68" s="13">
        <f t="shared" si="1"/>
        <v>4</v>
      </c>
      <c r="N68" s="14">
        <f t="shared" si="2"/>
        <v>1101004</v>
      </c>
      <c r="O68" s="14" t="str">
        <f t="shared" si="3"/>
        <v>项昆仑2突</v>
      </c>
      <c r="P68" s="29" t="s">
        <v>341</v>
      </c>
      <c r="Q68" s="14">
        <f t="shared" si="4"/>
        <v>1</v>
      </c>
      <c r="R68" s="14">
        <f t="shared" si="5"/>
        <v>2</v>
      </c>
      <c r="S68" s="14" t="s">
        <v>39</v>
      </c>
      <c r="T68" s="14">
        <f>ROUND(((IF(Q68=1,INDEX(新属性投放!$J$14:$J$34,卡牌属性!R68),INDEX(新属性投放!$J$42:$J$62,卡牌属性!R68)))*INDEX($G$5:$G$42,L68)+IF(Q68=1,INDEX(新属性投放!R$20:R$23,卡牌属性!M68-1),INDEX(新属性投放!R$25:R$28,卡牌属性!M68-1)))/SQRT(INDEX($I$5:$I$42,L68)),2)</f>
        <v>345</v>
      </c>
      <c r="U68" s="29" t="s">
        <v>178</v>
      </c>
      <c r="V68" s="14">
        <f>ROUND((IF(Q68=1,INDEX(新属性投放!$K$14:$K$34,卡牌属性!R68),INDEX(新属性投放!$K$42:$K$62,卡牌属性!R68))+IF(Q68=1,INDEX(新属性投放!S$20:S$23,卡牌属性!M68-1),INDEX(新属性投放!S$25:S$28,卡牌属性!M68-1)))*INDEX($G$5:$G$42,L68),2)</f>
        <v>72.8</v>
      </c>
      <c r="W68" s="29" t="s">
        <v>179</v>
      </c>
      <c r="X68" s="14">
        <f>ROUND((IF(Q68=1,INDEX(新属性投放!$L$14:$L$34,卡牌属性!R68),INDEX(新属性投放!$L$42:$L$62,卡牌属性!R68))*INDEX($G$5:$G$42,L68)+IF(Q68=1,INDEX(新属性投放!T$20:T$23,卡牌属性!M68-1),INDEX(新属性投放!T$25:T$28,卡牌属性!M68-1)))*SQRT(INDEX($I$5:$I$42,L68)),2)</f>
        <v>1465</v>
      </c>
      <c r="Y68" s="29" t="s">
        <v>177</v>
      </c>
      <c r="Z68" s="14">
        <f>ROUND(IF(Q68=1,INDEX(新属性投放!$D$14:$D$34,卡牌属性!R68),INDEX(新属性投放!$D$42:$D$62,卡牌属性!R68))*INDEX($G$5:$G$42,L68)/SQRT(INDEX($I$5:$I$42,L68)),2)</f>
        <v>13</v>
      </c>
      <c r="AA68" s="29" t="s">
        <v>178</v>
      </c>
      <c r="AB68" s="14">
        <f>ROUND(IF(Q68=1,INDEX(新属性投放!$E$14:$E$34,卡牌属性!R68),INDEX(新属性投放!$E$42:$E$62,卡牌属性!R68))*INDEX($G$5:$G$42,L68),2)</f>
        <v>6.5</v>
      </c>
      <c r="AC68" s="29" t="s">
        <v>179</v>
      </c>
      <c r="AD68" s="14">
        <f>ROUND(IF(Q68=1,INDEX(新属性投放!$F$14:$F$34,卡牌属性!R68),INDEX(新属性投放!$F$42:$F$62,卡牌属性!R68))*INDEX($G$5:$G$42,L68)*SQRT(INDEX($I$5:$I$42,L68)),2)</f>
        <v>39</v>
      </c>
      <c r="AF68" s="14">
        <f t="shared" si="6"/>
        <v>130</v>
      </c>
      <c r="AG68" s="14">
        <f t="shared" si="7"/>
        <v>65</v>
      </c>
      <c r="AH68" s="14">
        <f t="shared" si="8"/>
        <v>390</v>
      </c>
      <c r="AJ68" s="14">
        <f t="shared" ref="AJ68:AJ87" si="18">AJ67+AF68</f>
        <v>260</v>
      </c>
      <c r="AK68" s="14">
        <f t="shared" ref="AK68:AK87" si="19">AK67+AG68</f>
        <v>130</v>
      </c>
      <c r="AL68" s="14">
        <f t="shared" ref="AL68:AL87" si="20">AL67+AH68</f>
        <v>780</v>
      </c>
    </row>
    <row r="69" spans="11:38" ht="16.5" x14ac:dyDescent="0.2">
      <c r="K69" s="13">
        <v>66</v>
      </c>
      <c r="L69" s="13">
        <f t="shared" ref="L69:L132" si="21">MATCH(K69-1,$F$4:$F$41,1)</f>
        <v>4</v>
      </c>
      <c r="M69" s="13">
        <f t="shared" ref="M69:M132" si="22">INDEX($D$5:$D$42,L69)</f>
        <v>4</v>
      </c>
      <c r="N69" s="14">
        <f t="shared" ref="N69:N132" si="23">INDEX($A$4:$A$42,L69+1)</f>
        <v>1101004</v>
      </c>
      <c r="O69" s="14" t="str">
        <f t="shared" ref="O69:O132" si="24">INDEX($B$4:$B$42,MATCH(N69,$A$4:$A$42,0))&amp;R69&amp;"突"</f>
        <v>项昆仑3突</v>
      </c>
      <c r="P69" s="29" t="s">
        <v>341</v>
      </c>
      <c r="Q69" s="14">
        <f t="shared" ref="Q69:Q132" si="25">INDEX($C$4:$C$42,L69+1)</f>
        <v>1</v>
      </c>
      <c r="R69" s="14">
        <f t="shared" ref="R69:R132" si="26">K69-INDEX($F$4:$F$42,L69)</f>
        <v>3</v>
      </c>
      <c r="S69" s="14" t="s">
        <v>39</v>
      </c>
      <c r="T69" s="14">
        <f>ROUND(((IF(Q69=1,INDEX(新属性投放!$J$14:$J$34,卡牌属性!R69),INDEX(新属性投放!$J$42:$J$62,卡牌属性!R69)))*INDEX($G$5:$G$42,L69)+IF(Q69=1,INDEX(新属性投放!R$20:R$23,卡牌属性!M69-1),INDEX(新属性投放!R$25:R$28,卡牌属性!M69-1)))/SQRT(INDEX($I$5:$I$42,L69)),2)</f>
        <v>507.5</v>
      </c>
      <c r="U69" s="29" t="s">
        <v>178</v>
      </c>
      <c r="V69" s="14">
        <f>ROUND((IF(Q69=1,INDEX(新属性投放!$K$14:$K$34,卡牌属性!R69),INDEX(新属性投放!$K$42:$K$62,卡牌属性!R69))+IF(Q69=1,INDEX(新属性投放!S$20:S$23,卡牌属性!M69-1),INDEX(新属性投放!S$25:S$28,卡牌属性!M69-1)))*INDEX($G$5:$G$42,L69),2)</f>
        <v>154.69999999999999</v>
      </c>
      <c r="W69" s="29" t="s">
        <v>179</v>
      </c>
      <c r="X69" s="14">
        <f>ROUND((IF(Q69=1,INDEX(新属性投放!$L$14:$L$34,卡牌属性!R69),INDEX(新属性投放!$L$42:$L$62,卡牌属性!R69))*INDEX($G$5:$G$42,L69)+IF(Q69=1,INDEX(新属性投放!T$20:T$23,卡牌属性!M69-1),INDEX(新属性投放!T$25:T$28,卡牌属性!M69-1)))*SQRT(INDEX($I$5:$I$42,L69)),2)</f>
        <v>1952.5</v>
      </c>
      <c r="Y69" s="29" t="s">
        <v>177</v>
      </c>
      <c r="Z69" s="14">
        <f>ROUND(IF(Q69=1,INDEX(新属性投放!$D$14:$D$34,卡牌属性!R69),INDEX(新属性投放!$D$42:$D$62,卡牌属性!R69))*INDEX($G$5:$G$42,L69)/SQRT(INDEX($I$5:$I$42,L69)),2)</f>
        <v>19.5</v>
      </c>
      <c r="AA69" s="29" t="s">
        <v>178</v>
      </c>
      <c r="AB69" s="14">
        <f>ROUND(IF(Q69=1,INDEX(新属性投放!$E$14:$E$34,卡牌属性!R69),INDEX(新属性投放!$E$42:$E$62,卡牌属性!R69))*INDEX($G$5:$G$42,L69),2)</f>
        <v>9.75</v>
      </c>
      <c r="AC69" s="29" t="s">
        <v>179</v>
      </c>
      <c r="AD69" s="14">
        <f>ROUND(IF(Q69=1,INDEX(新属性投放!$F$14:$F$34,卡牌属性!R69),INDEX(新属性投放!$F$42:$F$62,卡牌属性!R69))*INDEX($G$5:$G$42,L69)*SQRT(INDEX($I$5:$I$42,L69)),2)</f>
        <v>58.5</v>
      </c>
      <c r="AF69" s="14">
        <f t="shared" ref="AF69:AF132" si="27">INT(Z69*AF$2*10)</f>
        <v>195</v>
      </c>
      <c r="AG69" s="14">
        <f t="shared" ref="AG69:AG132" si="28">INT(AB69*AF$2*10)</f>
        <v>97</v>
      </c>
      <c r="AH69" s="14">
        <f t="shared" ref="AH69:AH132" si="29">INT(AD69*AF$2*10)</f>
        <v>585</v>
      </c>
      <c r="AJ69" s="14">
        <f t="shared" si="18"/>
        <v>455</v>
      </c>
      <c r="AK69" s="14">
        <f t="shared" si="19"/>
        <v>227</v>
      </c>
      <c r="AL69" s="14">
        <f t="shared" si="20"/>
        <v>1365</v>
      </c>
    </row>
    <row r="70" spans="11:38" ht="16.5" x14ac:dyDescent="0.2">
      <c r="K70" s="13">
        <v>67</v>
      </c>
      <c r="L70" s="13">
        <f t="shared" si="21"/>
        <v>4</v>
      </c>
      <c r="M70" s="13">
        <f t="shared" si="22"/>
        <v>4</v>
      </c>
      <c r="N70" s="14">
        <f t="shared" si="23"/>
        <v>1101004</v>
      </c>
      <c r="O70" s="14" t="str">
        <f t="shared" si="24"/>
        <v>项昆仑4突</v>
      </c>
      <c r="P70" s="29" t="s">
        <v>341</v>
      </c>
      <c r="Q70" s="14">
        <f t="shared" si="25"/>
        <v>1</v>
      </c>
      <c r="R70" s="14">
        <f t="shared" si="26"/>
        <v>4</v>
      </c>
      <c r="S70" s="14" t="s">
        <v>39</v>
      </c>
      <c r="T70" s="14">
        <f>ROUND(((IF(Q70=1,INDEX(新属性投放!$J$14:$J$34,卡牌属性!R70),INDEX(新属性投放!$J$42:$J$62,卡牌属性!R70)))*INDEX($G$5:$G$42,L70)+IF(Q70=1,INDEX(新属性投放!R$20:R$23,卡牌属性!M70-1),INDEX(新属性投放!R$25:R$28,卡牌属性!M70-1)))/SQRT(INDEX($I$5:$I$42,L70)),2)</f>
        <v>751.9</v>
      </c>
      <c r="U70" s="29" t="s">
        <v>178</v>
      </c>
      <c r="V70" s="14">
        <f>ROUND((IF(Q70=1,INDEX(新属性投放!$K$14:$K$34,卡牌属性!R70),INDEX(新属性投放!$K$42:$K$62,卡牌属性!R70))+IF(Q70=1,INDEX(新属性投放!S$20:S$23,卡牌属性!M70-1),INDEX(新属性投放!S$25:S$28,卡牌属性!M70-1)))*INDEX($G$5:$G$42,L70),2)</f>
        <v>276.89999999999998</v>
      </c>
      <c r="W70" s="29" t="s">
        <v>179</v>
      </c>
      <c r="X70" s="14">
        <f>ROUND((IF(Q70=1,INDEX(新属性投放!$L$14:$L$34,卡牌属性!R70),INDEX(新属性投放!$L$42:$L$62,卡牌属性!R70))*INDEX($G$5:$G$42,L70)+IF(Q70=1,INDEX(新属性投放!T$20:T$23,卡牌属性!M70-1),INDEX(新属性投放!T$25:T$28,卡牌属性!M70-1)))*SQRT(INDEX($I$5:$I$42,L70)),2)</f>
        <v>2685.7</v>
      </c>
      <c r="Y70" s="29" t="s">
        <v>177</v>
      </c>
      <c r="Z70" s="14">
        <f>ROUND(IF(Q70=1,INDEX(新属性投放!$D$14:$D$34,卡牌属性!R70),INDEX(新属性投放!$D$42:$D$62,卡牌属性!R70))*INDEX($G$5:$G$42,L70)/SQRT(INDEX($I$5:$I$42,L70)),2)</f>
        <v>26</v>
      </c>
      <c r="AA70" s="29" t="s">
        <v>178</v>
      </c>
      <c r="AB70" s="14">
        <f>ROUND(IF(Q70=1,INDEX(新属性投放!$E$14:$E$34,卡牌属性!R70),INDEX(新属性投放!$E$42:$E$62,卡牌属性!R70))*INDEX($G$5:$G$42,L70),2)</f>
        <v>13</v>
      </c>
      <c r="AC70" s="29" t="s">
        <v>179</v>
      </c>
      <c r="AD70" s="14">
        <f>ROUND(IF(Q70=1,INDEX(新属性投放!$F$14:$F$34,卡牌属性!R70),INDEX(新属性投放!$F$42:$F$62,卡牌属性!R70))*INDEX($G$5:$G$42,L70)*SQRT(INDEX($I$5:$I$42,L70)),2)</f>
        <v>78</v>
      </c>
      <c r="AF70" s="14">
        <f t="shared" si="27"/>
        <v>260</v>
      </c>
      <c r="AG70" s="14">
        <f t="shared" si="28"/>
        <v>130</v>
      </c>
      <c r="AH70" s="14">
        <f t="shared" si="29"/>
        <v>780</v>
      </c>
      <c r="AJ70" s="14">
        <f t="shared" si="18"/>
        <v>715</v>
      </c>
      <c r="AK70" s="14">
        <f t="shared" si="19"/>
        <v>357</v>
      </c>
      <c r="AL70" s="14">
        <f t="shared" si="20"/>
        <v>2145</v>
      </c>
    </row>
    <row r="71" spans="11:38" ht="16.5" x14ac:dyDescent="0.2">
      <c r="K71" s="13">
        <v>68</v>
      </c>
      <c r="L71" s="13">
        <f t="shared" si="21"/>
        <v>4</v>
      </c>
      <c r="M71" s="13">
        <f t="shared" si="22"/>
        <v>4</v>
      </c>
      <c r="N71" s="14">
        <f t="shared" si="23"/>
        <v>1101004</v>
      </c>
      <c r="O71" s="14" t="str">
        <f t="shared" si="24"/>
        <v>项昆仑5突</v>
      </c>
      <c r="P71" s="29" t="s">
        <v>341</v>
      </c>
      <c r="Q71" s="14">
        <f t="shared" si="25"/>
        <v>1</v>
      </c>
      <c r="R71" s="14">
        <f t="shared" si="26"/>
        <v>5</v>
      </c>
      <c r="S71" s="14" t="s">
        <v>39</v>
      </c>
      <c r="T71" s="14">
        <f>ROUND(((IF(Q71=1,INDEX(新属性投放!$J$14:$J$34,卡牌属性!R71),INDEX(新属性投放!$J$42:$J$62,卡牌属性!R71)))*INDEX($G$5:$G$42,L71)+IF(Q71=1,INDEX(新属性投放!R$20:R$23,卡牌属性!M71-1),INDEX(新属性投放!R$25:R$28,卡牌属性!M71-1)))/SQRT(INDEX($I$5:$I$42,L71)),2)</f>
        <v>1076.9000000000001</v>
      </c>
      <c r="U71" s="29" t="s">
        <v>178</v>
      </c>
      <c r="V71" s="14">
        <f>ROUND((IF(Q71=1,INDEX(新属性投放!$K$14:$K$34,卡牌属性!R71),INDEX(新属性投放!$K$42:$K$62,卡牌属性!R71))+IF(Q71=1,INDEX(新属性投放!S$20:S$23,卡牌属性!M71-1),INDEX(新属性投放!S$25:S$28,卡牌属性!M71-1)))*INDEX($G$5:$G$42,L71),2)</f>
        <v>439.4</v>
      </c>
      <c r="W71" s="29" t="s">
        <v>179</v>
      </c>
      <c r="X71" s="14">
        <f>ROUND((IF(Q71=1,INDEX(新属性投放!$L$14:$L$34,卡牌属性!R71),INDEX(新属性投放!$L$42:$L$62,卡牌属性!R71))*INDEX($G$5:$G$42,L71)+IF(Q71=1,INDEX(新属性投放!T$20:T$23,卡牌属性!M71-1),INDEX(新属性投放!T$25:T$28,卡牌属性!M71-1)))*SQRT(INDEX($I$5:$I$42,L71)),2)</f>
        <v>3660.7</v>
      </c>
      <c r="Y71" s="29" t="s">
        <v>177</v>
      </c>
      <c r="Z71" s="14">
        <f>ROUND(IF(Q71=1,INDEX(新属性投放!$D$14:$D$34,卡牌属性!R71),INDEX(新属性投放!$D$42:$D$62,卡牌属性!R71))*INDEX($G$5:$G$42,L71)/SQRT(INDEX($I$5:$I$42,L71)),2)</f>
        <v>32.5</v>
      </c>
      <c r="AA71" s="29" t="s">
        <v>178</v>
      </c>
      <c r="AB71" s="14">
        <f>ROUND(IF(Q71=1,INDEX(新属性投放!$E$14:$E$34,卡牌属性!R71),INDEX(新属性投放!$E$42:$E$62,卡牌属性!R71))*INDEX($G$5:$G$42,L71),2)</f>
        <v>16.25</v>
      </c>
      <c r="AC71" s="29" t="s">
        <v>179</v>
      </c>
      <c r="AD71" s="14">
        <f>ROUND(IF(Q71=1,INDEX(新属性投放!$F$14:$F$34,卡牌属性!R71),INDEX(新属性投放!$F$42:$F$62,卡牌属性!R71))*INDEX($G$5:$G$42,L71)*SQRT(INDEX($I$5:$I$42,L71)),2)</f>
        <v>97.5</v>
      </c>
      <c r="AF71" s="14">
        <f t="shared" si="27"/>
        <v>325</v>
      </c>
      <c r="AG71" s="14">
        <f t="shared" si="28"/>
        <v>162</v>
      </c>
      <c r="AH71" s="14">
        <f t="shared" si="29"/>
        <v>975</v>
      </c>
      <c r="AJ71" s="14">
        <f t="shared" si="18"/>
        <v>1040</v>
      </c>
      <c r="AK71" s="14">
        <f t="shared" si="19"/>
        <v>519</v>
      </c>
      <c r="AL71" s="14">
        <f t="shared" si="20"/>
        <v>3120</v>
      </c>
    </row>
    <row r="72" spans="11:38" ht="16.5" x14ac:dyDescent="0.2">
      <c r="K72" s="13">
        <v>69</v>
      </c>
      <c r="L72" s="13">
        <f t="shared" si="21"/>
        <v>4</v>
      </c>
      <c r="M72" s="13">
        <f t="shared" si="22"/>
        <v>4</v>
      </c>
      <c r="N72" s="14">
        <f t="shared" si="23"/>
        <v>1101004</v>
      </c>
      <c r="O72" s="14" t="str">
        <f t="shared" si="24"/>
        <v>项昆仑6突</v>
      </c>
      <c r="P72" s="29" t="s">
        <v>341</v>
      </c>
      <c r="Q72" s="14">
        <f t="shared" si="25"/>
        <v>1</v>
      </c>
      <c r="R72" s="14">
        <f t="shared" si="26"/>
        <v>6</v>
      </c>
      <c r="S72" s="14" t="s">
        <v>39</v>
      </c>
      <c r="T72" s="14">
        <f>ROUND(((IF(Q72=1,INDEX(新属性投放!$J$14:$J$34,卡牌属性!R72),INDEX(新属性投放!$J$42:$J$62,卡牌属性!R72)))*INDEX($G$5:$G$42,L72)+IF(Q72=1,INDEX(新属性投放!R$20:R$23,卡牌属性!M72-1),INDEX(新属性投放!R$25:R$28,卡牌属性!M72-1)))/SQRT(INDEX($I$5:$I$42,L72)),2)</f>
        <v>1483.8</v>
      </c>
      <c r="U72" s="29" t="s">
        <v>178</v>
      </c>
      <c r="V72" s="14">
        <f>ROUND((IF(Q72=1,INDEX(新属性投放!$K$14:$K$34,卡牌属性!R72),INDEX(新属性投放!$K$42:$K$62,卡牌属性!R72))+IF(Q72=1,INDEX(新属性投放!S$20:S$23,卡牌属性!M72-1),INDEX(新属性投放!S$25:S$28,卡牌属性!M72-1)))*INDEX($G$5:$G$42,L72),2)</f>
        <v>642.20000000000005</v>
      </c>
      <c r="W72" s="29" t="s">
        <v>179</v>
      </c>
      <c r="X72" s="14">
        <f>ROUND((IF(Q72=1,INDEX(新属性投放!$L$14:$L$34,卡牌属性!R72),INDEX(新属性投放!$L$42:$L$62,卡牌属性!R72))*INDEX($G$5:$G$42,L72)+IF(Q72=1,INDEX(新属性投放!T$20:T$23,卡牌属性!M72-1),INDEX(新属性投放!T$25:T$28,卡牌属性!M72-1)))*SQRT(INDEX($I$5:$I$42,L72)),2)</f>
        <v>4881.3999999999996</v>
      </c>
      <c r="Y72" s="29" t="s">
        <v>177</v>
      </c>
      <c r="Z72" s="14">
        <f>ROUND(IF(Q72=1,INDEX(新属性投放!$D$14:$D$34,卡牌属性!R72),INDEX(新属性投放!$D$42:$D$62,卡牌属性!R72))*INDEX($G$5:$G$42,L72)/SQRT(INDEX($I$5:$I$42,L72)),2)</f>
        <v>39</v>
      </c>
      <c r="AA72" s="29" t="s">
        <v>178</v>
      </c>
      <c r="AB72" s="14">
        <f>ROUND(IF(Q72=1,INDEX(新属性投放!$E$14:$E$34,卡牌属性!R72),INDEX(新属性投放!$E$42:$E$62,卡牌属性!R72))*INDEX($G$5:$G$42,L72),2)</f>
        <v>19.5</v>
      </c>
      <c r="AC72" s="29" t="s">
        <v>179</v>
      </c>
      <c r="AD72" s="14">
        <f>ROUND(IF(Q72=1,INDEX(新属性投放!$F$14:$F$34,卡牌属性!R72),INDEX(新属性投放!$F$42:$F$62,卡牌属性!R72))*INDEX($G$5:$G$42,L72)*SQRT(INDEX($I$5:$I$42,L72)),2)</f>
        <v>117</v>
      </c>
      <c r="AF72" s="14">
        <f t="shared" si="27"/>
        <v>390</v>
      </c>
      <c r="AG72" s="14">
        <f t="shared" si="28"/>
        <v>195</v>
      </c>
      <c r="AH72" s="14">
        <f t="shared" si="29"/>
        <v>1170</v>
      </c>
      <c r="AJ72" s="14">
        <f t="shared" si="18"/>
        <v>1430</v>
      </c>
      <c r="AK72" s="14">
        <f t="shared" si="19"/>
        <v>714</v>
      </c>
      <c r="AL72" s="14">
        <f t="shared" si="20"/>
        <v>4290</v>
      </c>
    </row>
    <row r="73" spans="11:38" ht="16.5" x14ac:dyDescent="0.2">
      <c r="K73" s="13">
        <v>70</v>
      </c>
      <c r="L73" s="13">
        <f t="shared" si="21"/>
        <v>4</v>
      </c>
      <c r="M73" s="13">
        <f t="shared" si="22"/>
        <v>4</v>
      </c>
      <c r="N73" s="14">
        <f t="shared" si="23"/>
        <v>1101004</v>
      </c>
      <c r="O73" s="14" t="str">
        <f t="shared" si="24"/>
        <v>项昆仑7突</v>
      </c>
      <c r="P73" s="29" t="s">
        <v>341</v>
      </c>
      <c r="Q73" s="14">
        <f t="shared" si="25"/>
        <v>1</v>
      </c>
      <c r="R73" s="14">
        <f t="shared" si="26"/>
        <v>7</v>
      </c>
      <c r="S73" s="14" t="s">
        <v>39</v>
      </c>
      <c r="T73" s="14">
        <f>ROUND(((IF(Q73=1,INDEX(新属性投放!$J$14:$J$34,卡牌属性!R73),INDEX(新属性投放!$J$42:$J$62,卡牌属性!R73)))*INDEX($G$5:$G$42,L73)+IF(Q73=1,INDEX(新属性投放!R$20:R$23,卡牌属性!M73-1),INDEX(新属性投放!R$25:R$28,卡牌属性!M73-1)))/SQRT(INDEX($I$5:$I$42,L73)),2)</f>
        <v>1971.3</v>
      </c>
      <c r="U73" s="29" t="s">
        <v>178</v>
      </c>
      <c r="V73" s="14">
        <f>ROUND((IF(Q73=1,INDEX(新属性投放!$K$14:$K$34,卡牌属性!R73),INDEX(新属性投放!$K$42:$K$62,卡牌属性!R73))+IF(Q73=1,INDEX(新属性投放!S$20:S$23,卡牌属性!M73-1),INDEX(新属性投放!S$25:S$28,卡牌属性!M73-1)))*INDEX($G$5:$G$42,L73),2)</f>
        <v>886.6</v>
      </c>
      <c r="W73" s="29" t="s">
        <v>179</v>
      </c>
      <c r="X73" s="14">
        <f>ROUND((IF(Q73=1,INDEX(新属性投放!$L$14:$L$34,卡牌属性!R73),INDEX(新属性投放!$L$42:$L$62,卡牌属性!R73))*INDEX($G$5:$G$42,L73)+IF(Q73=1,INDEX(新属性投放!T$20:T$23,卡牌属性!M73-1),INDEX(新属性投放!T$25:T$28,卡牌属性!M73-1)))*SQRT(INDEX($I$5:$I$42,L73)),2)</f>
        <v>6343.9</v>
      </c>
      <c r="Y73" s="29" t="s">
        <v>177</v>
      </c>
      <c r="Z73" s="14">
        <f>ROUND(IF(Q73=1,INDEX(新属性投放!$D$14:$D$34,卡牌属性!R73),INDEX(新属性投放!$D$42:$D$62,卡牌属性!R73))*INDEX($G$5:$G$42,L73)/SQRT(INDEX($I$5:$I$42,L73)),2)</f>
        <v>45.5</v>
      </c>
      <c r="AA73" s="29" t="s">
        <v>178</v>
      </c>
      <c r="AB73" s="14">
        <f>ROUND(IF(Q73=1,INDEX(新属性投放!$E$14:$E$34,卡牌属性!R73),INDEX(新属性投放!$E$42:$E$62,卡牌属性!R73))*INDEX($G$5:$G$42,L73),2)</f>
        <v>22.75</v>
      </c>
      <c r="AC73" s="29" t="s">
        <v>179</v>
      </c>
      <c r="AD73" s="14">
        <f>ROUND(IF(Q73=1,INDEX(新属性投放!$F$14:$F$34,卡牌属性!R73),INDEX(新属性投放!$F$42:$F$62,卡牌属性!R73))*INDEX($G$5:$G$42,L73)*SQRT(INDEX($I$5:$I$42,L73)),2)</f>
        <v>136.5</v>
      </c>
      <c r="AF73" s="14">
        <f t="shared" si="27"/>
        <v>455</v>
      </c>
      <c r="AG73" s="14">
        <f t="shared" si="28"/>
        <v>227</v>
      </c>
      <c r="AH73" s="14">
        <f t="shared" si="29"/>
        <v>1365</v>
      </c>
      <c r="AJ73" s="14">
        <f t="shared" si="18"/>
        <v>1885</v>
      </c>
      <c r="AK73" s="14">
        <f t="shared" si="19"/>
        <v>941</v>
      </c>
      <c r="AL73" s="14">
        <f t="shared" si="20"/>
        <v>5655</v>
      </c>
    </row>
    <row r="74" spans="11:38" ht="16.5" x14ac:dyDescent="0.2">
      <c r="K74" s="13">
        <v>71</v>
      </c>
      <c r="L74" s="13">
        <f t="shared" si="21"/>
        <v>4</v>
      </c>
      <c r="M74" s="13">
        <f t="shared" si="22"/>
        <v>4</v>
      </c>
      <c r="N74" s="14">
        <f t="shared" si="23"/>
        <v>1101004</v>
      </c>
      <c r="O74" s="14" t="str">
        <f t="shared" si="24"/>
        <v>项昆仑8突</v>
      </c>
      <c r="P74" s="29" t="s">
        <v>341</v>
      </c>
      <c r="Q74" s="14">
        <f t="shared" si="25"/>
        <v>1</v>
      </c>
      <c r="R74" s="14">
        <f t="shared" si="26"/>
        <v>8</v>
      </c>
      <c r="S74" s="14" t="s">
        <v>39</v>
      </c>
      <c r="T74" s="14">
        <f>ROUND(((IF(Q74=1,INDEX(新属性投放!$J$14:$J$34,卡牌属性!R74),INDEX(新属性投放!$J$42:$J$62,卡牌属性!R74)))*INDEX($G$5:$G$42,L74)+IF(Q74=1,INDEX(新属性投放!R$20:R$23,卡牌属性!M74-1),INDEX(新属性投放!R$25:R$28,卡牌属性!M74-1)))/SQRT(INDEX($I$5:$I$42,L74)),2)</f>
        <v>2540.6999999999998</v>
      </c>
      <c r="U74" s="29" t="s">
        <v>178</v>
      </c>
      <c r="V74" s="14">
        <f>ROUND((IF(Q74=1,INDEX(新属性投放!$K$14:$K$34,卡牌属性!R74),INDEX(新属性投放!$K$42:$K$62,卡牌属性!R74))+IF(Q74=1,INDEX(新属性投放!S$20:S$23,卡牌属性!M74-1),INDEX(新属性投放!S$25:S$28,卡牌属性!M74-1)))*INDEX($G$5:$G$42,L74),2)</f>
        <v>1171.3</v>
      </c>
      <c r="W74" s="29" t="s">
        <v>179</v>
      </c>
      <c r="X74" s="14">
        <f>ROUND((IF(Q74=1,INDEX(新属性投放!$L$14:$L$34,卡牌属性!R74),INDEX(新属性投放!$L$42:$L$62,卡牌属性!R74))*INDEX($G$5:$G$42,L74)+IF(Q74=1,INDEX(新属性投放!T$20:T$23,卡牌属性!M74-1),INDEX(新属性投放!T$25:T$28,卡牌属性!M74-1)))*SQRT(INDEX($I$5:$I$42,L74)),2)</f>
        <v>8052.1</v>
      </c>
      <c r="Y74" s="29" t="s">
        <v>177</v>
      </c>
      <c r="Z74" s="14">
        <f>ROUND(IF(Q74=1,INDEX(新属性投放!$D$14:$D$34,卡牌属性!R74),INDEX(新属性投放!$D$42:$D$62,卡牌属性!R74))*INDEX($G$5:$G$42,L74)/SQRT(INDEX($I$5:$I$42,L74)),2)</f>
        <v>58.5</v>
      </c>
      <c r="AA74" s="29" t="s">
        <v>178</v>
      </c>
      <c r="AB74" s="14">
        <f>ROUND(IF(Q74=1,INDEX(新属性投放!$E$14:$E$34,卡牌属性!R74),INDEX(新属性投放!$E$42:$E$62,卡牌属性!R74))*INDEX($G$5:$G$42,L74),2)</f>
        <v>29.25</v>
      </c>
      <c r="AC74" s="29" t="s">
        <v>179</v>
      </c>
      <c r="AD74" s="14">
        <f>ROUND(IF(Q74=1,INDEX(新属性投放!$F$14:$F$34,卡牌属性!R74),INDEX(新属性投放!$F$42:$F$62,卡牌属性!R74))*INDEX($G$5:$G$42,L74)*SQRT(INDEX($I$5:$I$42,L74)),2)</f>
        <v>175.5</v>
      </c>
      <c r="AF74" s="14">
        <f t="shared" si="27"/>
        <v>585</v>
      </c>
      <c r="AG74" s="14">
        <f t="shared" si="28"/>
        <v>292</v>
      </c>
      <c r="AH74" s="14">
        <f t="shared" si="29"/>
        <v>1755</v>
      </c>
      <c r="AJ74" s="14">
        <f t="shared" si="18"/>
        <v>2470</v>
      </c>
      <c r="AK74" s="14">
        <f t="shared" si="19"/>
        <v>1233</v>
      </c>
      <c r="AL74" s="14">
        <f t="shared" si="20"/>
        <v>7410</v>
      </c>
    </row>
    <row r="75" spans="11:38" ht="16.5" x14ac:dyDescent="0.2">
      <c r="K75" s="13">
        <v>72</v>
      </c>
      <c r="L75" s="13">
        <f t="shared" si="21"/>
        <v>4</v>
      </c>
      <c r="M75" s="13">
        <f t="shared" si="22"/>
        <v>4</v>
      </c>
      <c r="N75" s="14">
        <f t="shared" si="23"/>
        <v>1101004</v>
      </c>
      <c r="O75" s="14" t="str">
        <f t="shared" si="24"/>
        <v>项昆仑9突</v>
      </c>
      <c r="P75" s="29" t="s">
        <v>341</v>
      </c>
      <c r="Q75" s="14">
        <f t="shared" si="25"/>
        <v>1</v>
      </c>
      <c r="R75" s="14">
        <f t="shared" si="26"/>
        <v>9</v>
      </c>
      <c r="S75" s="14" t="s">
        <v>39</v>
      </c>
      <c r="T75" s="14">
        <f>ROUND(((IF(Q75=1,INDEX(新属性投放!$J$14:$J$34,卡牌属性!R75),INDEX(新属性投放!$J$42:$J$62,卡牌属性!R75)))*INDEX($G$5:$G$42,L75)+IF(Q75=1,INDEX(新属性投放!R$20:R$23,卡牌属性!M75-1),INDEX(新属性投放!R$25:R$28,卡牌属性!M75-1)))/SQRT(INDEX($I$5:$I$42,L75)),2)</f>
        <v>3272.6</v>
      </c>
      <c r="U75" s="29" t="s">
        <v>178</v>
      </c>
      <c r="V75" s="14">
        <f>ROUND((IF(Q75=1,INDEX(新属性投放!$K$14:$K$34,卡牌属性!R75),INDEX(新属性投放!$K$42:$K$62,卡牌属性!R75))+IF(Q75=1,INDEX(新属性投放!S$20:S$23,卡牌属性!M75-1),INDEX(新属性投放!S$25:S$28,卡牌属性!M75-1)))*INDEX($G$5:$G$42,L75),2)</f>
        <v>1536.6</v>
      </c>
      <c r="W75" s="29" t="s">
        <v>179</v>
      </c>
      <c r="X75" s="14">
        <f>ROUND((IF(Q75=1,INDEX(新属性投放!$L$14:$L$34,卡牌属性!R75),INDEX(新属性投放!$L$42:$L$62,卡牌属性!R75))*INDEX($G$5:$G$42,L75)+IF(Q75=1,INDEX(新属性投放!T$20:T$23,卡牌属性!M75-1),INDEX(新属性投放!T$25:T$28,卡牌属性!M75-1)))*SQRT(INDEX($I$5:$I$42,L75)),2)</f>
        <v>10247.799999999999</v>
      </c>
      <c r="Y75" s="29" t="s">
        <v>177</v>
      </c>
      <c r="Z75" s="14">
        <f>ROUND(IF(Q75=1,INDEX(新属性投放!$D$14:$D$34,卡牌属性!R75),INDEX(新属性投放!$D$42:$D$62,卡牌属性!R75))*INDEX($G$5:$G$42,L75)/SQRT(INDEX($I$5:$I$42,L75)),2)</f>
        <v>78.069999999999993</v>
      </c>
      <c r="AA75" s="29" t="s">
        <v>178</v>
      </c>
      <c r="AB75" s="14">
        <f>ROUND(IF(Q75=1,INDEX(新属性投放!$E$14:$E$34,卡牌属性!R75),INDEX(新属性投放!$E$42:$E$62,卡牌属性!R75))*INDEX($G$5:$G$42,L75),2)</f>
        <v>39.03</v>
      </c>
      <c r="AC75" s="29" t="s">
        <v>179</v>
      </c>
      <c r="AD75" s="14">
        <f>ROUND(IF(Q75=1,INDEX(新属性投放!$F$14:$F$34,卡牌属性!R75),INDEX(新属性投放!$F$42:$F$62,卡牌属性!R75))*INDEX($G$5:$G$42,L75)*SQRT(INDEX($I$5:$I$42,L75)),2)</f>
        <v>234.2</v>
      </c>
      <c r="AF75" s="14">
        <f t="shared" si="27"/>
        <v>780</v>
      </c>
      <c r="AG75" s="14">
        <f t="shared" si="28"/>
        <v>390</v>
      </c>
      <c r="AH75" s="14">
        <f t="shared" si="29"/>
        <v>2342</v>
      </c>
      <c r="AJ75" s="14">
        <f t="shared" si="18"/>
        <v>3250</v>
      </c>
      <c r="AK75" s="14">
        <f t="shared" si="19"/>
        <v>1623</v>
      </c>
      <c r="AL75" s="14">
        <f t="shared" si="20"/>
        <v>9752</v>
      </c>
    </row>
    <row r="76" spans="11:38" ht="16.5" x14ac:dyDescent="0.2">
      <c r="K76" s="13">
        <v>73</v>
      </c>
      <c r="L76" s="13">
        <f t="shared" si="21"/>
        <v>4</v>
      </c>
      <c r="M76" s="13">
        <f t="shared" si="22"/>
        <v>4</v>
      </c>
      <c r="N76" s="14">
        <f t="shared" si="23"/>
        <v>1101004</v>
      </c>
      <c r="O76" s="14" t="str">
        <f t="shared" si="24"/>
        <v>项昆仑10突</v>
      </c>
      <c r="P76" s="29" t="s">
        <v>341</v>
      </c>
      <c r="Q76" s="14">
        <f t="shared" si="25"/>
        <v>1</v>
      </c>
      <c r="R76" s="14">
        <f t="shared" si="26"/>
        <v>10</v>
      </c>
      <c r="S76" s="14" t="s">
        <v>39</v>
      </c>
      <c r="T76" s="14">
        <f>ROUND(((IF(Q76=1,INDEX(新属性投放!$J$14:$J$34,卡牌属性!R76),INDEX(新属性投放!$J$42:$J$62,卡牌属性!R76)))*INDEX($G$5:$G$42,L76)+IF(Q76=1,INDEX(新属性投放!R$20:R$23,卡牌属性!M76-1),INDEX(新属性投放!R$25:R$28,卡牌属性!M76-1)))/SQRT(INDEX($I$5:$I$42,L76)),2)</f>
        <v>4248.25</v>
      </c>
      <c r="U76" s="29" t="s">
        <v>178</v>
      </c>
      <c r="V76" s="14">
        <f>ROUND((IF(Q76=1,INDEX(新属性投放!$K$14:$K$34,卡牌属性!R76),INDEX(新属性投放!$K$42:$K$62,卡牌属性!R76))+IF(Q76=1,INDEX(新属性投放!S$20:S$23,卡牌属性!M76-1),INDEX(新属性投放!S$25:S$28,卡牌属性!M76-1)))*INDEX($G$5:$G$42,L76),2)</f>
        <v>2024.43</v>
      </c>
      <c r="W76" s="29" t="s">
        <v>179</v>
      </c>
      <c r="X76" s="14">
        <f>ROUND((IF(Q76=1,INDEX(新属性投放!$L$14:$L$34,卡牌属性!R76),INDEX(新属性投放!$L$42:$L$62,卡牌属性!R76))*INDEX($G$5:$G$42,L76)+IF(Q76=1,INDEX(新属性投放!T$20:T$23,卡牌属性!M76-1),INDEX(新属性投放!T$25:T$28,卡牌属性!M76-1)))*SQRT(INDEX($I$5:$I$42,L76)),2)</f>
        <v>13174.75</v>
      </c>
      <c r="Y76" s="29" t="s">
        <v>177</v>
      </c>
      <c r="Z76" s="14">
        <f>ROUND(IF(Q76=1,INDEX(新属性投放!$D$14:$D$34,卡牌属性!R76),INDEX(新属性投放!$D$42:$D$62,卡牌属性!R76))*INDEX($G$5:$G$42,L76)/SQRT(INDEX($I$5:$I$42,L76)),2)</f>
        <v>102.05</v>
      </c>
      <c r="AA76" s="29" t="s">
        <v>178</v>
      </c>
      <c r="AB76" s="14">
        <f>ROUND(IF(Q76=1,INDEX(新属性投放!$E$14:$E$34,卡牌属性!R76),INDEX(新属性投放!$E$42:$E$62,卡牌属性!R76))*INDEX($G$5:$G$42,L76),2)</f>
        <v>51.03</v>
      </c>
      <c r="AC76" s="29" t="s">
        <v>179</v>
      </c>
      <c r="AD76" s="14">
        <f>ROUND(IF(Q76=1,INDEX(新属性投放!$F$14:$F$34,卡牌属性!R76),INDEX(新属性投放!$F$42:$F$62,卡牌属性!R76))*INDEX($G$5:$G$42,L76)*SQRT(INDEX($I$5:$I$42,L76)),2)</f>
        <v>306.14999999999998</v>
      </c>
      <c r="AF76" s="14">
        <f t="shared" si="27"/>
        <v>1020</v>
      </c>
      <c r="AG76" s="14">
        <f t="shared" si="28"/>
        <v>510</v>
      </c>
      <c r="AH76" s="14">
        <f t="shared" si="29"/>
        <v>3061</v>
      </c>
      <c r="AJ76" s="14">
        <f t="shared" si="18"/>
        <v>4270</v>
      </c>
      <c r="AK76" s="14">
        <f t="shared" si="19"/>
        <v>2133</v>
      </c>
      <c r="AL76" s="14">
        <f t="shared" si="20"/>
        <v>12813</v>
      </c>
    </row>
    <row r="77" spans="11:38" ht="16.5" x14ac:dyDescent="0.2">
      <c r="K77" s="13">
        <v>74</v>
      </c>
      <c r="L77" s="13">
        <f t="shared" si="21"/>
        <v>4</v>
      </c>
      <c r="M77" s="13">
        <f t="shared" si="22"/>
        <v>4</v>
      </c>
      <c r="N77" s="14">
        <f t="shared" si="23"/>
        <v>1101004</v>
      </c>
      <c r="O77" s="14" t="str">
        <f t="shared" si="24"/>
        <v>项昆仑11突</v>
      </c>
      <c r="P77" s="29" t="s">
        <v>341</v>
      </c>
      <c r="Q77" s="14">
        <f t="shared" si="25"/>
        <v>1</v>
      </c>
      <c r="R77" s="14">
        <f t="shared" si="26"/>
        <v>11</v>
      </c>
      <c r="S77" s="14" t="s">
        <v>39</v>
      </c>
      <c r="T77" s="14">
        <f>ROUND(((IF(Q77=1,INDEX(新属性投放!$J$14:$J$34,卡牌属性!R77),INDEX(新属性投放!$J$42:$J$62,卡牌属性!R77)))*INDEX($G$5:$G$42,L77)+IF(Q77=1,INDEX(新属性投放!R$20:R$23,卡牌属性!M77-1),INDEX(新属性投放!R$25:R$28,卡牌属性!M77-1)))/SQRT(INDEX($I$5:$I$42,L77)),2)</f>
        <v>5523.55</v>
      </c>
      <c r="U77" s="29" t="s">
        <v>178</v>
      </c>
      <c r="V77" s="14">
        <f>ROUND((IF(Q77=1,INDEX(新属性投放!$K$14:$K$34,卡牌属性!R77),INDEX(新属性投放!$K$42:$K$62,卡牌属性!R77))+IF(Q77=1,INDEX(新属性投放!S$20:S$23,卡牌属性!M77-1),INDEX(新属性投放!S$25:S$28,卡牌属性!M77-1)))*INDEX($G$5:$G$42,L77),2)</f>
        <v>2662.08</v>
      </c>
      <c r="W77" s="29" t="s">
        <v>179</v>
      </c>
      <c r="X77" s="14">
        <f>ROUND((IF(Q77=1,INDEX(新属性投放!$L$14:$L$34,卡牌属性!R77),INDEX(新属性投放!$L$42:$L$62,卡牌属性!R77))*INDEX($G$5:$G$42,L77)+IF(Q77=1,INDEX(新属性投放!T$20:T$23,卡牌属性!M77-1),INDEX(新属性投放!T$25:T$28,卡牌属性!M77-1)))*SQRT(INDEX($I$5:$I$42,L77)),2)</f>
        <v>17000.650000000001</v>
      </c>
      <c r="Y77" s="29" t="s">
        <v>177</v>
      </c>
      <c r="Z77" s="14">
        <f>ROUND(IF(Q77=1,INDEX(新属性投放!$D$14:$D$34,卡牌属性!R77),INDEX(新属性投放!$D$42:$D$62,卡牌属性!R77))*INDEX($G$5:$G$42,L77)/SQRT(INDEX($I$5:$I$42,L77)),2)</f>
        <v>134.34</v>
      </c>
      <c r="AA77" s="29" t="s">
        <v>178</v>
      </c>
      <c r="AB77" s="14">
        <f>ROUND(IF(Q77=1,INDEX(新属性投放!$E$14:$E$34,卡牌属性!R77),INDEX(新属性投放!$E$42:$E$62,卡牌属性!R77))*INDEX($G$5:$G$42,L77),2)</f>
        <v>67.17</v>
      </c>
      <c r="AC77" s="29" t="s">
        <v>179</v>
      </c>
      <c r="AD77" s="14">
        <f>ROUND(IF(Q77=1,INDEX(新属性投放!$F$14:$F$34,卡牌属性!R77),INDEX(新属性投放!$F$42:$F$62,卡牌属性!R77))*INDEX($G$5:$G$42,L77)*SQRT(INDEX($I$5:$I$42,L77)),2)</f>
        <v>403.03</v>
      </c>
      <c r="AF77" s="14">
        <f t="shared" si="27"/>
        <v>1343</v>
      </c>
      <c r="AG77" s="14">
        <f t="shared" si="28"/>
        <v>671</v>
      </c>
      <c r="AH77" s="14">
        <f t="shared" si="29"/>
        <v>4030</v>
      </c>
      <c r="AJ77" s="14">
        <f t="shared" si="18"/>
        <v>5613</v>
      </c>
      <c r="AK77" s="14">
        <f t="shared" si="19"/>
        <v>2804</v>
      </c>
      <c r="AL77" s="14">
        <f t="shared" si="20"/>
        <v>16843</v>
      </c>
    </row>
    <row r="78" spans="11:38" ht="16.5" x14ac:dyDescent="0.2">
      <c r="K78" s="13">
        <v>75</v>
      </c>
      <c r="L78" s="13">
        <f t="shared" si="21"/>
        <v>4</v>
      </c>
      <c r="M78" s="13">
        <f t="shared" si="22"/>
        <v>4</v>
      </c>
      <c r="N78" s="14">
        <f t="shared" si="23"/>
        <v>1101004</v>
      </c>
      <c r="O78" s="14" t="str">
        <f t="shared" si="24"/>
        <v>项昆仑12突</v>
      </c>
      <c r="P78" s="29" t="s">
        <v>341</v>
      </c>
      <c r="Q78" s="14">
        <f t="shared" si="25"/>
        <v>1</v>
      </c>
      <c r="R78" s="14">
        <f t="shared" si="26"/>
        <v>12</v>
      </c>
      <c r="S78" s="14" t="s">
        <v>39</v>
      </c>
      <c r="T78" s="14">
        <f>ROUND(((IF(Q78=1,INDEX(新属性投放!$J$14:$J$34,卡牌属性!R78),INDEX(新属性投放!$J$42:$J$62,卡牌属性!R78)))*INDEX($G$5:$G$42,L78)+IF(Q78=1,INDEX(新属性投放!R$20:R$23,卡牌属性!M78-1),INDEX(新属性投放!R$25:R$28,卡牌属性!M78-1)))/SQRT(INDEX($I$5:$I$42,L78)),2)</f>
        <v>7202.37</v>
      </c>
      <c r="U78" s="29" t="s">
        <v>178</v>
      </c>
      <c r="V78" s="14">
        <f>ROUND((IF(Q78=1,INDEX(新属性投放!$K$14:$K$34,卡牌属性!R78),INDEX(新属性投放!$K$42:$K$62,卡牌属性!R78))+IF(Q78=1,INDEX(新属性投放!S$20:S$23,卡牌属性!M78-1),INDEX(新属性投放!S$25:S$28,卡牌属性!M78-1)))*INDEX($G$5:$G$42,L78),2)</f>
        <v>3501.49</v>
      </c>
      <c r="W78" s="29" t="s">
        <v>179</v>
      </c>
      <c r="X78" s="14">
        <f>ROUND((IF(Q78=1,INDEX(新属性投放!$L$14:$L$34,卡牌属性!R78),INDEX(新属性投放!$L$42:$L$62,卡牌属性!R78))*INDEX($G$5:$G$42,L78)+IF(Q78=1,INDEX(新属性投放!T$20:T$23,卡牌属性!M78-1),INDEX(新属性投放!T$25:T$28,卡牌属性!M78-1)))*SQRT(INDEX($I$5:$I$42,L78)),2)</f>
        <v>22037.11</v>
      </c>
      <c r="Y78" s="29" t="s">
        <v>177</v>
      </c>
      <c r="Z78" s="14">
        <f>ROUND(IF(Q78=1,INDEX(新属性投放!$D$14:$D$34,卡牌属性!R78),INDEX(新属性投放!$D$42:$D$62,卡牌属性!R78))*INDEX($G$5:$G$42,L78)/SQRT(INDEX($I$5:$I$42,L78)),2)</f>
        <v>176.31</v>
      </c>
      <c r="AA78" s="29" t="s">
        <v>178</v>
      </c>
      <c r="AB78" s="14">
        <f>ROUND(IF(Q78=1,INDEX(新属性投放!$E$14:$E$34,卡牌属性!R78),INDEX(新属性投放!$E$42:$E$62,卡牌属性!R78))*INDEX($G$5:$G$42,L78),2)</f>
        <v>88.15</v>
      </c>
      <c r="AC78" s="29" t="s">
        <v>179</v>
      </c>
      <c r="AD78" s="14">
        <f>ROUND(IF(Q78=1,INDEX(新属性投放!$F$14:$F$34,卡牌属性!R78),INDEX(新属性投放!$F$42:$F$62,卡牌属性!R78))*INDEX($G$5:$G$42,L78)*SQRT(INDEX($I$5:$I$42,L78)),2)</f>
        <v>528.91999999999996</v>
      </c>
      <c r="AF78" s="14">
        <f t="shared" si="27"/>
        <v>1763</v>
      </c>
      <c r="AG78" s="14">
        <f t="shared" si="28"/>
        <v>881</v>
      </c>
      <c r="AH78" s="14">
        <f t="shared" si="29"/>
        <v>5289</v>
      </c>
      <c r="AJ78" s="14">
        <f t="shared" si="18"/>
        <v>7376</v>
      </c>
      <c r="AK78" s="14">
        <f t="shared" si="19"/>
        <v>3685</v>
      </c>
      <c r="AL78" s="14">
        <f t="shared" si="20"/>
        <v>22132</v>
      </c>
    </row>
    <row r="79" spans="11:38" ht="16.5" x14ac:dyDescent="0.2">
      <c r="K79" s="13">
        <v>76</v>
      </c>
      <c r="L79" s="13">
        <f t="shared" si="21"/>
        <v>4</v>
      </c>
      <c r="M79" s="13">
        <f t="shared" si="22"/>
        <v>4</v>
      </c>
      <c r="N79" s="14">
        <f t="shared" si="23"/>
        <v>1101004</v>
      </c>
      <c r="O79" s="14" t="str">
        <f t="shared" si="24"/>
        <v>项昆仑13突</v>
      </c>
      <c r="P79" s="29" t="s">
        <v>341</v>
      </c>
      <c r="Q79" s="14">
        <f t="shared" si="25"/>
        <v>1</v>
      </c>
      <c r="R79" s="14">
        <f t="shared" si="26"/>
        <v>13</v>
      </c>
      <c r="S79" s="14" t="s">
        <v>39</v>
      </c>
      <c r="T79" s="14">
        <f>ROUND(((IF(Q79=1,INDEX(新属性投放!$J$14:$J$34,卡牌属性!R79),INDEX(新属性投放!$J$42:$J$62,卡牌属性!R79)))*INDEX($G$5:$G$42,L79)+IF(Q79=1,INDEX(新属性投放!R$20:R$23,卡牌属性!M79-1),INDEX(新属性投放!R$25:R$28,卡牌属性!M79-1)))/SQRT(INDEX($I$5:$I$42,L79)),2)</f>
        <v>9406.1299999999992</v>
      </c>
      <c r="U79" s="29" t="s">
        <v>178</v>
      </c>
      <c r="V79" s="14">
        <f>ROUND((IF(Q79=1,INDEX(新属性投放!$K$14:$K$34,卡牌属性!R79),INDEX(新属性投放!$K$42:$K$62,卡牌属性!R79))+IF(Q79=1,INDEX(新属性投放!S$20:S$23,卡牌属性!M79-1),INDEX(新属性投放!S$25:S$28,卡牌属性!M79-1)))*INDEX($G$5:$G$42,L79),2)</f>
        <v>4604.0200000000004</v>
      </c>
      <c r="W79" s="29" t="s">
        <v>179</v>
      </c>
      <c r="X79" s="14">
        <f>ROUND((IF(Q79=1,INDEX(新属性投放!$L$14:$L$34,卡牌属性!R79),INDEX(新属性投放!$L$42:$L$62,卡牌属性!R79))*INDEX($G$5:$G$42,L79)+IF(Q79=1,INDEX(新属性投放!T$20:T$23,卡牌属性!M79-1),INDEX(新属性投放!T$25:T$28,卡牌属性!M79-1)))*SQRT(INDEX($I$5:$I$42,L79)),2)</f>
        <v>28648.39</v>
      </c>
      <c r="Y79" s="29" t="s">
        <v>177</v>
      </c>
      <c r="Z79" s="14">
        <f>ROUND(IF(Q79=1,INDEX(新属性投放!$D$14:$D$34,卡牌属性!R79),INDEX(新属性投放!$D$42:$D$62,卡牌属性!R79))*INDEX($G$5:$G$42,L79)/SQRT(INDEX($I$5:$I$42,L79)),2)</f>
        <v>231.4</v>
      </c>
      <c r="AA79" s="29" t="s">
        <v>178</v>
      </c>
      <c r="AB79" s="14">
        <f>ROUND(IF(Q79=1,INDEX(新属性投放!$E$14:$E$34,卡牌属性!R79),INDEX(新属性投放!$E$42:$E$62,卡牌属性!R79))*INDEX($G$5:$G$42,L79),2)</f>
        <v>115.7</v>
      </c>
      <c r="AC79" s="29" t="s">
        <v>179</v>
      </c>
      <c r="AD79" s="14">
        <f>ROUND(IF(Q79=1,INDEX(新属性投放!$F$14:$F$34,卡牌属性!R79),INDEX(新属性投放!$F$42:$F$62,卡牌属性!R79))*INDEX($G$5:$G$42,L79)*SQRT(INDEX($I$5:$I$42,L79)),2)</f>
        <v>694.2</v>
      </c>
      <c r="AF79" s="14">
        <f t="shared" si="27"/>
        <v>2314</v>
      </c>
      <c r="AG79" s="14">
        <f t="shared" si="28"/>
        <v>1157</v>
      </c>
      <c r="AH79" s="14">
        <f t="shared" si="29"/>
        <v>6942</v>
      </c>
      <c r="AJ79" s="14">
        <f t="shared" si="18"/>
        <v>9690</v>
      </c>
      <c r="AK79" s="14">
        <f t="shared" si="19"/>
        <v>4842</v>
      </c>
      <c r="AL79" s="14">
        <f t="shared" si="20"/>
        <v>29074</v>
      </c>
    </row>
    <row r="80" spans="11:38" ht="16.5" x14ac:dyDescent="0.2">
      <c r="K80" s="13">
        <v>77</v>
      </c>
      <c r="L80" s="13">
        <f t="shared" si="21"/>
        <v>4</v>
      </c>
      <c r="M80" s="13">
        <f t="shared" si="22"/>
        <v>4</v>
      </c>
      <c r="N80" s="14">
        <f t="shared" si="23"/>
        <v>1101004</v>
      </c>
      <c r="O80" s="14" t="str">
        <f t="shared" si="24"/>
        <v>项昆仑14突</v>
      </c>
      <c r="P80" s="29" t="s">
        <v>341</v>
      </c>
      <c r="Q80" s="14">
        <f t="shared" si="25"/>
        <v>1</v>
      </c>
      <c r="R80" s="14">
        <f t="shared" si="26"/>
        <v>14</v>
      </c>
      <c r="S80" s="14" t="s">
        <v>39</v>
      </c>
      <c r="T80" s="14">
        <f>ROUND(((IF(Q80=1,INDEX(新属性投放!$J$14:$J$34,卡牌属性!R80),INDEX(新属性投放!$J$42:$J$62,卡牌属性!R80)))*INDEX($G$5:$G$42,L80)+IF(Q80=1,INDEX(新属性投放!R$20:R$23,卡牌属性!M80-1),INDEX(新属性投放!R$25:R$28,卡牌属性!M80-1)))/SQRT(INDEX($I$5:$I$42,L80)),2)</f>
        <v>12298.63</v>
      </c>
      <c r="U80" s="29" t="s">
        <v>178</v>
      </c>
      <c r="V80" s="14">
        <f>ROUND((IF(Q80=1,INDEX(新属性投放!$K$14:$K$34,卡牌属性!R80),INDEX(新属性投放!$K$42:$K$62,卡牌属性!R80))+IF(Q80=1,INDEX(新属性投放!S$20:S$23,卡牌属性!M80-1),INDEX(新属性投放!S$25:S$28,卡牌属性!M80-1)))*INDEX($G$5:$G$42,L80),2)</f>
        <v>6050.92</v>
      </c>
      <c r="W80" s="29" t="s">
        <v>179</v>
      </c>
      <c r="X80" s="14">
        <f>ROUND((IF(Q80=1,INDEX(新属性投放!$L$14:$L$34,卡牌属性!R80),INDEX(新属性投放!$L$42:$L$62,卡牌属性!R80))*INDEX($G$5:$G$42,L80)+IF(Q80=1,INDEX(新属性投放!T$20:T$23,卡牌属性!M80-1),INDEX(新属性投放!T$25:T$28,卡牌属性!M80-1)))*SQRT(INDEX($I$5:$I$42,L80)),2)</f>
        <v>37325.89</v>
      </c>
      <c r="Y80" s="29" t="s">
        <v>177</v>
      </c>
      <c r="Z80" s="14">
        <f>ROUND(IF(Q80=1,INDEX(新属性投放!$D$14:$D$34,卡牌属性!R80),INDEX(新属性投放!$D$42:$D$62,卡牌属性!R80))*INDEX($G$5:$G$42,L80)/SQRT(INDEX($I$5:$I$42,L80)),2)</f>
        <v>303.72000000000003</v>
      </c>
      <c r="AA80" s="29" t="s">
        <v>178</v>
      </c>
      <c r="AB80" s="14">
        <f>ROUND(IF(Q80=1,INDEX(新属性投放!$E$14:$E$34,卡牌属性!R80),INDEX(新属性投放!$E$42:$E$62,卡牌属性!R80))*INDEX($G$5:$G$42,L80),2)</f>
        <v>151.86000000000001</v>
      </c>
      <c r="AC80" s="29" t="s">
        <v>179</v>
      </c>
      <c r="AD80" s="14">
        <f>ROUND(IF(Q80=1,INDEX(新属性投放!$F$14:$F$34,卡牌属性!R80),INDEX(新属性投放!$F$42:$F$62,卡牌属性!R80))*INDEX($G$5:$G$42,L80)*SQRT(INDEX($I$5:$I$42,L80)),2)</f>
        <v>911.16</v>
      </c>
      <c r="AF80" s="14">
        <f t="shared" si="27"/>
        <v>3037</v>
      </c>
      <c r="AG80" s="14">
        <f t="shared" si="28"/>
        <v>1518</v>
      </c>
      <c r="AH80" s="14">
        <f t="shared" si="29"/>
        <v>9111</v>
      </c>
      <c r="AJ80" s="14">
        <f t="shared" si="18"/>
        <v>12727</v>
      </c>
      <c r="AK80" s="14">
        <f t="shared" si="19"/>
        <v>6360</v>
      </c>
      <c r="AL80" s="14">
        <f t="shared" si="20"/>
        <v>38185</v>
      </c>
    </row>
    <row r="81" spans="11:38" ht="16.5" x14ac:dyDescent="0.2">
      <c r="K81" s="13">
        <v>78</v>
      </c>
      <c r="L81" s="13">
        <f t="shared" si="21"/>
        <v>4</v>
      </c>
      <c r="M81" s="13">
        <f t="shared" si="22"/>
        <v>4</v>
      </c>
      <c r="N81" s="14">
        <f t="shared" si="23"/>
        <v>1101004</v>
      </c>
      <c r="O81" s="14" t="str">
        <f t="shared" si="24"/>
        <v>项昆仑15突</v>
      </c>
      <c r="P81" s="29" t="s">
        <v>341</v>
      </c>
      <c r="Q81" s="14">
        <f t="shared" si="25"/>
        <v>1</v>
      </c>
      <c r="R81" s="14">
        <f t="shared" si="26"/>
        <v>15</v>
      </c>
      <c r="S81" s="14" t="s">
        <v>39</v>
      </c>
      <c r="T81" s="14">
        <f>ROUND(((IF(Q81=1,INDEX(新属性投放!$J$14:$J$34,卡牌属性!R81),INDEX(新属性投放!$J$42:$J$62,卡牌属性!R81)))*INDEX($G$5:$G$42,L81)+IF(Q81=1,INDEX(新属性投放!R$20:R$23,卡牌属性!M81-1),INDEX(新属性投放!R$25:R$28,卡牌属性!M81-1)))/SQRT(INDEX($I$5:$I$42,L81)),2)</f>
        <v>16095.02</v>
      </c>
      <c r="U81" s="29" t="s">
        <v>178</v>
      </c>
      <c r="V81" s="14">
        <f>ROUND((IF(Q81=1,INDEX(新属性投放!$K$14:$K$34,卡牌属性!R81),INDEX(新属性投放!$K$42:$K$62,卡牌属性!R81))+IF(Q81=1,INDEX(新属性投放!S$20:S$23,卡牌属性!M81-1),INDEX(新属性投放!S$25:S$28,卡牌属性!M81-1)))*INDEX($G$5:$G$42,L81),2)</f>
        <v>7949.11</v>
      </c>
      <c r="W81" s="29" t="s">
        <v>179</v>
      </c>
      <c r="X81" s="14">
        <f>ROUND((IF(Q81=1,INDEX(新属性投放!$L$14:$L$34,卡牌属性!R81),INDEX(新属性投放!$L$42:$L$62,卡牌属性!R81))*INDEX($G$5:$G$42,L81)+IF(Q81=1,INDEX(新属性投放!T$20:T$23,卡牌属性!M81-1),INDEX(新属性投放!T$25:T$28,卡牌属性!M81-1)))*SQRT(INDEX($I$5:$I$42,L81)),2)</f>
        <v>48715.06</v>
      </c>
      <c r="Y81" s="29" t="s">
        <v>177</v>
      </c>
      <c r="Z81" s="14">
        <f>ROUND(IF(Q81=1,INDEX(新属性投放!$D$14:$D$34,卡牌属性!R81),INDEX(新属性投放!$D$42:$D$62,卡牌属性!R81))*INDEX($G$5:$G$42,L81)/SQRT(INDEX($I$5:$I$42,L81)),2)</f>
        <v>398.63</v>
      </c>
      <c r="AA81" s="29" t="s">
        <v>178</v>
      </c>
      <c r="AB81" s="14">
        <f>ROUND(IF(Q81=1,INDEX(新属性投放!$E$14:$E$34,卡牌属性!R81),INDEX(新属性投放!$E$42:$E$62,卡牌属性!R81))*INDEX($G$5:$G$42,L81),2)</f>
        <v>199.32</v>
      </c>
      <c r="AC81" s="29" t="s">
        <v>179</v>
      </c>
      <c r="AD81" s="14">
        <f>ROUND(IF(Q81=1,INDEX(新属性投放!$F$14:$F$34,卡牌属性!R81),INDEX(新属性投放!$F$42:$F$62,卡牌属性!R81))*INDEX($G$5:$G$42,L81)*SQRT(INDEX($I$5:$I$42,L81)),2)</f>
        <v>1195.9000000000001</v>
      </c>
      <c r="AF81" s="14">
        <f t="shared" si="27"/>
        <v>3986</v>
      </c>
      <c r="AG81" s="14">
        <f t="shared" si="28"/>
        <v>1993</v>
      </c>
      <c r="AH81" s="14">
        <f t="shared" si="29"/>
        <v>11959</v>
      </c>
      <c r="AJ81" s="14">
        <f t="shared" si="18"/>
        <v>16713</v>
      </c>
      <c r="AK81" s="14">
        <f t="shared" si="19"/>
        <v>8353</v>
      </c>
      <c r="AL81" s="14">
        <f t="shared" si="20"/>
        <v>50144</v>
      </c>
    </row>
    <row r="82" spans="11:38" ht="16.5" x14ac:dyDescent="0.2">
      <c r="K82" s="13">
        <v>79</v>
      </c>
      <c r="L82" s="13">
        <f t="shared" si="21"/>
        <v>4</v>
      </c>
      <c r="M82" s="13">
        <f t="shared" si="22"/>
        <v>4</v>
      </c>
      <c r="N82" s="14">
        <f t="shared" si="23"/>
        <v>1101004</v>
      </c>
      <c r="O82" s="14" t="str">
        <f t="shared" si="24"/>
        <v>项昆仑16突</v>
      </c>
      <c r="P82" s="29" t="s">
        <v>341</v>
      </c>
      <c r="Q82" s="14">
        <f t="shared" si="25"/>
        <v>1</v>
      </c>
      <c r="R82" s="14">
        <f t="shared" si="26"/>
        <v>16</v>
      </c>
      <c r="S82" s="14" t="s">
        <v>39</v>
      </c>
      <c r="T82" s="14">
        <f>ROUND(((IF(Q82=1,INDEX(新属性投放!$J$14:$J$34,卡牌属性!R82),INDEX(新属性投放!$J$42:$J$62,卡牌属性!R82)))*INDEX($G$5:$G$42,L82)+IF(Q82=1,INDEX(新属性投放!R$20:R$23,卡牌属性!M82-1),INDEX(新属性投放!R$25:R$28,卡牌属性!M82-1)))/SQRT(INDEX($I$5:$I$42,L82)),2)</f>
        <v>21078.44</v>
      </c>
      <c r="U82" s="29" t="s">
        <v>178</v>
      </c>
      <c r="V82" s="14">
        <f>ROUND((IF(Q82=1,INDEX(新属性投放!$K$14:$K$34,卡牌属性!R82),INDEX(新属性投放!$K$42:$K$62,卡牌属性!R82))+IF(Q82=1,INDEX(新属性投放!S$20:S$23,卡牌属性!M82-1),INDEX(新属性投放!S$25:S$28,卡牌属性!M82-1)))*INDEX($G$5:$G$42,L82),2)</f>
        <v>10440.17</v>
      </c>
      <c r="W82" s="29" t="s">
        <v>179</v>
      </c>
      <c r="X82" s="14">
        <f>ROUND((IF(Q82=1,INDEX(新属性投放!$L$14:$L$34,卡牌属性!R82),INDEX(新属性投放!$L$42:$L$62,卡牌属性!R82))*INDEX($G$5:$G$42,L82)+IF(Q82=1,INDEX(新属性投放!T$20:T$23,卡牌属性!M82-1),INDEX(新属性投放!T$25:T$28,卡牌属性!M82-1)))*SQRT(INDEX($I$5:$I$42,L82)),2)</f>
        <v>63665.32</v>
      </c>
      <c r="Y82" s="29" t="s">
        <v>177</v>
      </c>
      <c r="Z82" s="14">
        <f>ROUND(IF(Q82=1,INDEX(新属性投放!$D$14:$D$34,卡牌属性!R82),INDEX(新属性投放!$D$42:$D$62,卡牌属性!R82))*INDEX($G$5:$G$42,L82)/SQRT(INDEX($I$5:$I$42,L82)),2)</f>
        <v>523.21</v>
      </c>
      <c r="AA82" s="29" t="s">
        <v>178</v>
      </c>
      <c r="AB82" s="14">
        <f>ROUND(IF(Q82=1,INDEX(新属性投放!$E$14:$E$34,卡牌属性!R82),INDEX(新属性投放!$E$42:$E$62,卡牌属性!R82))*INDEX($G$5:$G$42,L82),2)</f>
        <v>261.61</v>
      </c>
      <c r="AC82" s="29" t="s">
        <v>179</v>
      </c>
      <c r="AD82" s="14">
        <f>ROUND(IF(Q82=1,INDEX(新属性投放!$F$14:$F$34,卡牌属性!R82),INDEX(新属性投放!$F$42:$F$62,卡牌属性!R82))*INDEX($G$5:$G$42,L82)*SQRT(INDEX($I$5:$I$42,L82)),2)</f>
        <v>1569.63</v>
      </c>
      <c r="AF82" s="14">
        <f t="shared" si="27"/>
        <v>5232</v>
      </c>
      <c r="AG82" s="14">
        <f t="shared" si="28"/>
        <v>2616</v>
      </c>
      <c r="AH82" s="14">
        <f t="shared" si="29"/>
        <v>15696</v>
      </c>
      <c r="AJ82" s="14">
        <f t="shared" si="18"/>
        <v>21945</v>
      </c>
      <c r="AK82" s="14">
        <f t="shared" si="19"/>
        <v>10969</v>
      </c>
      <c r="AL82" s="14">
        <f t="shared" si="20"/>
        <v>65840</v>
      </c>
    </row>
    <row r="83" spans="11:38" ht="16.5" x14ac:dyDescent="0.2">
      <c r="K83" s="13">
        <v>80</v>
      </c>
      <c r="L83" s="13">
        <f t="shared" si="21"/>
        <v>4</v>
      </c>
      <c r="M83" s="13">
        <f t="shared" si="22"/>
        <v>4</v>
      </c>
      <c r="N83" s="14">
        <f t="shared" si="23"/>
        <v>1101004</v>
      </c>
      <c r="O83" s="14" t="str">
        <f t="shared" si="24"/>
        <v>项昆仑17突</v>
      </c>
      <c r="P83" s="29" t="s">
        <v>341</v>
      </c>
      <c r="Q83" s="14">
        <f t="shared" si="25"/>
        <v>1</v>
      </c>
      <c r="R83" s="14">
        <f t="shared" si="26"/>
        <v>17</v>
      </c>
      <c r="S83" s="14" t="s">
        <v>39</v>
      </c>
      <c r="T83" s="14">
        <f>ROUND(((IF(Q83=1,INDEX(新属性投放!$J$14:$J$34,卡牌属性!R83),INDEX(新属性投放!$J$42:$J$62,卡牌属性!R83)))*INDEX($G$5:$G$42,L83)+IF(Q83=1,INDEX(新属性投放!R$20:R$23,卡牌属性!M83-1),INDEX(新属性投放!R$25:R$28,卡牌属性!M83-1)))/SQRT(INDEX($I$5:$I$42,L83)),2)</f>
        <v>27618.35</v>
      </c>
      <c r="U83" s="29" t="s">
        <v>178</v>
      </c>
      <c r="V83" s="14">
        <f>ROUND((IF(Q83=1,INDEX(新属性投放!$K$14:$K$34,卡牌属性!R83),INDEX(新属性投放!$K$42:$K$62,卡牌属性!R83))+IF(Q83=1,INDEX(新属性投放!S$20:S$23,卡牌属性!M83-1),INDEX(新属性投放!S$25:S$28,卡牌属性!M83-1)))*INDEX($G$5:$G$42,L83),2)</f>
        <v>13710.13</v>
      </c>
      <c r="W83" s="29" t="s">
        <v>179</v>
      </c>
      <c r="X83" s="14">
        <f>ROUND((IF(Q83=1,INDEX(新属性投放!$L$14:$L$34,卡牌属性!R83),INDEX(新属性投放!$L$42:$L$62,卡牌属性!R83))*INDEX($G$5:$G$42,L83)+IF(Q83=1,INDEX(新属性投放!T$20:T$23,卡牌属性!M83-1),INDEX(新属性投放!T$25:T$28,卡牌属性!M83-1)))*SQRT(INDEX($I$5:$I$42,L83)),2)</f>
        <v>83285.05</v>
      </c>
      <c r="Y83" s="29" t="s">
        <v>177</v>
      </c>
      <c r="Z83" s="14">
        <f>ROUND(IF(Q83=1,INDEX(新属性投放!$D$14:$D$34,卡牌属性!R83),INDEX(新属性投放!$D$42:$D$62,卡牌属性!R83))*INDEX($G$5:$G$42,L83)/SQRT(INDEX($I$5:$I$42,L83)),2)</f>
        <v>686.71</v>
      </c>
      <c r="AA83" s="29" t="s">
        <v>178</v>
      </c>
      <c r="AB83" s="14">
        <f>ROUND(IF(Q83=1,INDEX(新属性投放!$E$14:$E$34,卡牌属性!R83),INDEX(新属性投放!$E$42:$E$62,卡牌属性!R83))*INDEX($G$5:$G$42,L83),2)</f>
        <v>343.36</v>
      </c>
      <c r="AC83" s="29" t="s">
        <v>179</v>
      </c>
      <c r="AD83" s="14">
        <f>ROUND(IF(Q83=1,INDEX(新属性投放!$F$14:$F$34,卡牌属性!R83),INDEX(新属性投放!$F$42:$F$62,卡牌属性!R83))*INDEX($G$5:$G$42,L83)*SQRT(INDEX($I$5:$I$42,L83)),2)</f>
        <v>2060.14</v>
      </c>
      <c r="AF83" s="14">
        <f t="shared" si="27"/>
        <v>6867</v>
      </c>
      <c r="AG83" s="14">
        <f t="shared" si="28"/>
        <v>3433</v>
      </c>
      <c r="AH83" s="14">
        <f t="shared" si="29"/>
        <v>20601</v>
      </c>
      <c r="AJ83" s="14">
        <f t="shared" si="18"/>
        <v>28812</v>
      </c>
      <c r="AK83" s="14">
        <f t="shared" si="19"/>
        <v>14402</v>
      </c>
      <c r="AL83" s="14">
        <f t="shared" si="20"/>
        <v>86441</v>
      </c>
    </row>
    <row r="84" spans="11:38" ht="16.5" x14ac:dyDescent="0.2">
      <c r="K84" s="13">
        <v>81</v>
      </c>
      <c r="L84" s="13">
        <f t="shared" si="21"/>
        <v>4</v>
      </c>
      <c r="M84" s="13">
        <f t="shared" si="22"/>
        <v>4</v>
      </c>
      <c r="N84" s="14">
        <f t="shared" si="23"/>
        <v>1101004</v>
      </c>
      <c r="O84" s="14" t="str">
        <f t="shared" si="24"/>
        <v>项昆仑18突</v>
      </c>
      <c r="P84" s="29" t="s">
        <v>341</v>
      </c>
      <c r="Q84" s="14">
        <f t="shared" si="25"/>
        <v>1</v>
      </c>
      <c r="R84" s="14">
        <f t="shared" si="26"/>
        <v>18</v>
      </c>
      <c r="S84" s="14" t="s">
        <v>39</v>
      </c>
      <c r="T84" s="14">
        <f>ROUND(((IF(Q84=1,INDEX(新属性投放!$J$14:$J$34,卡牌属性!R84),INDEX(新属性投放!$J$42:$J$62,卡牌属性!R84)))*INDEX($G$5:$G$42,L84)+IF(Q84=1,INDEX(新属性投放!R$20:R$23,卡牌属性!M84-1),INDEX(新属性投放!R$25:R$28,卡牌属性!M84-1)))/SQRT(INDEX($I$5:$I$42,L84)),2)</f>
        <v>36202.769999999997</v>
      </c>
      <c r="U84" s="29" t="s">
        <v>178</v>
      </c>
      <c r="V84" s="14">
        <f>ROUND((IF(Q84=1,INDEX(新属性投放!$K$14:$K$34,卡牌属性!R84),INDEX(新属性投放!$K$42:$K$62,卡牌属性!R84))+IF(Q84=1,INDEX(新属性投放!S$20:S$23,卡牌属性!M84-1),INDEX(新属性投放!S$25:S$28,卡牌属性!M84-1)))*INDEX($G$5:$G$42,L84),2)</f>
        <v>18001.689999999999</v>
      </c>
      <c r="W84" s="29" t="s">
        <v>179</v>
      </c>
      <c r="X84" s="14">
        <f>ROUND((IF(Q84=1,INDEX(新属性投放!$L$14:$L$34,卡牌属性!R84),INDEX(新属性投放!$L$42:$L$62,卡牌属性!R84))*INDEX($G$5:$G$42,L84)+IF(Q84=1,INDEX(新属性投放!T$20:T$23,卡牌属性!M84-1),INDEX(新属性投放!T$25:T$28,卡牌属性!M84-1)))*SQRT(INDEX($I$5:$I$42,L84)),2)</f>
        <v>109038.31</v>
      </c>
      <c r="Y84" s="29" t="s">
        <v>177</v>
      </c>
      <c r="Z84" s="14">
        <f>ROUND(IF(Q84=1,INDEX(新属性投放!$D$14:$D$34,卡牌属性!R84),INDEX(新属性投放!$D$42:$D$62,卡牌属性!R84))*INDEX($G$5:$G$42,L84)/SQRT(INDEX($I$5:$I$42,L84)),2)</f>
        <v>901.32</v>
      </c>
      <c r="AA84" s="29" t="s">
        <v>178</v>
      </c>
      <c r="AB84" s="14">
        <f>ROUND(IF(Q84=1,INDEX(新属性投放!$E$14:$E$34,卡牌属性!R84),INDEX(新属性投放!$E$42:$E$62,卡牌属性!R84))*INDEX($G$5:$G$42,L84),2)</f>
        <v>450.66</v>
      </c>
      <c r="AC84" s="29" t="s">
        <v>179</v>
      </c>
      <c r="AD84" s="14">
        <f>ROUND(IF(Q84=1,INDEX(新属性投放!$F$14:$F$34,卡牌属性!R84),INDEX(新属性投放!$F$42:$F$62,卡牌属性!R84))*INDEX($G$5:$G$42,L84)*SQRT(INDEX($I$5:$I$42,L84)),2)</f>
        <v>2703.95</v>
      </c>
      <c r="AF84" s="14">
        <f t="shared" si="27"/>
        <v>9013</v>
      </c>
      <c r="AG84" s="14">
        <f t="shared" si="28"/>
        <v>4506</v>
      </c>
      <c r="AH84" s="14">
        <f t="shared" si="29"/>
        <v>27039</v>
      </c>
      <c r="AJ84" s="14">
        <f t="shared" si="18"/>
        <v>37825</v>
      </c>
      <c r="AK84" s="14">
        <f t="shared" si="19"/>
        <v>18908</v>
      </c>
      <c r="AL84" s="14">
        <f t="shared" si="20"/>
        <v>113480</v>
      </c>
    </row>
    <row r="85" spans="11:38" ht="16.5" x14ac:dyDescent="0.2">
      <c r="K85" s="13">
        <v>82</v>
      </c>
      <c r="L85" s="13">
        <f t="shared" si="21"/>
        <v>4</v>
      </c>
      <c r="M85" s="13">
        <f t="shared" si="22"/>
        <v>4</v>
      </c>
      <c r="N85" s="14">
        <f t="shared" si="23"/>
        <v>1101004</v>
      </c>
      <c r="O85" s="14" t="str">
        <f t="shared" si="24"/>
        <v>项昆仑19突</v>
      </c>
      <c r="P85" s="29" t="s">
        <v>341</v>
      </c>
      <c r="Q85" s="14">
        <f t="shared" si="25"/>
        <v>1</v>
      </c>
      <c r="R85" s="14">
        <f t="shared" si="26"/>
        <v>19</v>
      </c>
      <c r="S85" s="14" t="s">
        <v>39</v>
      </c>
      <c r="T85" s="14">
        <f>ROUND(((IF(Q85=1,INDEX(新属性投放!$J$14:$J$34,卡牌属性!R85),INDEX(新属性投放!$J$42:$J$62,卡牌属性!R85)))*INDEX($G$5:$G$42,L85)+IF(Q85=1,INDEX(新属性投放!R$20:R$23,卡牌属性!M85-1),INDEX(新属性投放!R$25:R$28,卡牌属性!M85-1)))/SQRT(INDEX($I$5:$I$42,L85)),2)</f>
        <v>47468.83</v>
      </c>
      <c r="U85" s="29" t="s">
        <v>178</v>
      </c>
      <c r="V85" s="14">
        <f>ROUND((IF(Q85=1,INDEX(新属性投放!$K$14:$K$34,卡牌属性!R85),INDEX(新属性投放!$K$42:$K$62,卡牌属性!R85))+IF(Q85=1,INDEX(新属性投放!S$20:S$23,卡牌属性!M85-1),INDEX(新属性投放!S$25:S$28,卡牌属性!M85-1)))*INDEX($G$5:$G$42,L85),2)</f>
        <v>23635.37</v>
      </c>
      <c r="W85" s="29" t="s">
        <v>179</v>
      </c>
      <c r="X85" s="14">
        <f>ROUND((IF(Q85=1,INDEX(新属性投放!$L$14:$L$34,卡牌属性!R85),INDEX(新属性投放!$L$42:$L$62,卡牌属性!R85))*INDEX($G$5:$G$42,L85)+IF(Q85=1,INDEX(新属性投放!T$20:T$23,卡牌属性!M85-1),INDEX(新属性投放!T$25:T$28,卡牌属性!M85-1)))*SQRT(INDEX($I$5:$I$42,L85)),2)</f>
        <v>142836.49</v>
      </c>
      <c r="Y85" s="29" t="s">
        <v>177</v>
      </c>
      <c r="Z85" s="14">
        <f>ROUND(IF(Q85=1,INDEX(新属性投放!$D$14:$D$34,卡牌属性!R85),INDEX(新属性投放!$D$42:$D$62,卡牌属性!R85))*INDEX($G$5:$G$42,L85)/SQRT(INDEX($I$5:$I$42,L85)),2)</f>
        <v>1182.97</v>
      </c>
      <c r="AA85" s="29" t="s">
        <v>178</v>
      </c>
      <c r="AB85" s="14">
        <f>ROUND(IF(Q85=1,INDEX(新属性投放!$E$14:$E$34,卡牌属性!R85),INDEX(新属性投放!$E$42:$E$62,卡牌属性!R85))*INDEX($G$5:$G$42,L85),2)</f>
        <v>591.49</v>
      </c>
      <c r="AC85" s="29" t="s">
        <v>179</v>
      </c>
      <c r="AD85" s="14">
        <f>ROUND(IF(Q85=1,INDEX(新属性投放!$F$14:$F$34,卡牌属性!R85),INDEX(新属性投放!$F$42:$F$62,卡牌属性!R85))*INDEX($G$5:$G$42,L85)*SQRT(INDEX($I$5:$I$42,L85)),2)</f>
        <v>3548.92</v>
      </c>
      <c r="AF85" s="14">
        <f t="shared" si="27"/>
        <v>11829</v>
      </c>
      <c r="AG85" s="14">
        <f t="shared" si="28"/>
        <v>5914</v>
      </c>
      <c r="AH85" s="14">
        <f t="shared" si="29"/>
        <v>35489</v>
      </c>
      <c r="AJ85" s="14">
        <f t="shared" si="18"/>
        <v>49654</v>
      </c>
      <c r="AK85" s="14">
        <f t="shared" si="19"/>
        <v>24822</v>
      </c>
      <c r="AL85" s="14">
        <f t="shared" si="20"/>
        <v>148969</v>
      </c>
    </row>
    <row r="86" spans="11:38" ht="16.5" x14ac:dyDescent="0.2">
      <c r="K86" s="13">
        <v>83</v>
      </c>
      <c r="L86" s="13">
        <f t="shared" si="21"/>
        <v>4</v>
      </c>
      <c r="M86" s="13">
        <f t="shared" si="22"/>
        <v>4</v>
      </c>
      <c r="N86" s="14">
        <f t="shared" si="23"/>
        <v>1101004</v>
      </c>
      <c r="O86" s="14" t="str">
        <f t="shared" si="24"/>
        <v>项昆仑20突</v>
      </c>
      <c r="P86" s="29" t="s">
        <v>341</v>
      </c>
      <c r="Q86" s="14">
        <f t="shared" si="25"/>
        <v>1</v>
      </c>
      <c r="R86" s="14">
        <f t="shared" si="26"/>
        <v>20</v>
      </c>
      <c r="S86" s="14" t="s">
        <v>39</v>
      </c>
      <c r="T86" s="14">
        <f>ROUND(((IF(Q86=1,INDEX(新属性投放!$J$14:$J$34,卡牌属性!R86),INDEX(新属性投放!$J$42:$J$62,卡牌属性!R86)))*INDEX($G$5:$G$42,L86)+IF(Q86=1,INDEX(新属性投放!R$20:R$23,卡牌属性!M86-1),INDEX(新属性投放!R$25:R$28,卡牌属性!M86-1)))/SQRT(INDEX($I$5:$I$42,L86)),2)</f>
        <v>62256.07</v>
      </c>
      <c r="U86" s="29" t="s">
        <v>178</v>
      </c>
      <c r="V86" s="14">
        <f>ROUND((IF(Q86=1,INDEX(新属性投放!$K$14:$K$34,卡牌属性!R86),INDEX(新属性投放!$K$42:$K$62,卡牌属性!R86))+IF(Q86=1,INDEX(新属性投放!S$20:S$23,卡牌属性!M86-1),INDEX(新属性投放!S$25:S$28,卡牌属性!M86-1)))*INDEX($G$5:$G$42,L86),2)</f>
        <v>31028.34</v>
      </c>
      <c r="W86" s="29" t="s">
        <v>179</v>
      </c>
      <c r="X86" s="14">
        <f>ROUND((IF(Q86=1,INDEX(新属性投放!$L$14:$L$34,卡牌属性!R86),INDEX(新属性投放!$L$42:$L$62,卡牌属性!R86))*INDEX($G$5:$G$42,L86)+IF(Q86=1,INDEX(新属性投放!T$20:T$23,卡牌属性!M86-1),INDEX(新属性投放!T$25:T$28,卡牌属性!M86-1)))*SQRT(INDEX($I$5:$I$42,L86)),2)</f>
        <v>187198.21</v>
      </c>
      <c r="Y86" s="29" t="s">
        <v>177</v>
      </c>
      <c r="Z86" s="14">
        <f>ROUND(IF(Q86=1,INDEX(新属性投放!$D$14:$D$34,卡牌属性!R86),INDEX(新属性投放!$D$42:$D$62,卡牌属性!R86))*INDEX($G$5:$G$42,L86)/SQRT(INDEX($I$5:$I$42,L86)),2)</f>
        <v>1552.66</v>
      </c>
      <c r="AA86" s="29" t="s">
        <v>178</v>
      </c>
      <c r="AB86" s="14">
        <f>ROUND(IF(Q86=1,INDEX(新属性投放!$E$14:$E$34,卡牌属性!R86),INDEX(新属性投放!$E$42:$E$62,卡牌属性!R86))*INDEX($G$5:$G$42,L86),2)</f>
        <v>776.33</v>
      </c>
      <c r="AC86" s="29" t="s">
        <v>179</v>
      </c>
      <c r="AD86" s="14">
        <f>ROUND(IF(Q86=1,INDEX(新属性投放!$F$14:$F$34,卡牌属性!R86),INDEX(新属性投放!$F$42:$F$62,卡牌属性!R86))*INDEX($G$5:$G$42,L86)*SQRT(INDEX($I$5:$I$42,L86)),2)</f>
        <v>4657.97</v>
      </c>
      <c r="AF86" s="14">
        <f t="shared" si="27"/>
        <v>15526</v>
      </c>
      <c r="AG86" s="14">
        <f t="shared" si="28"/>
        <v>7763</v>
      </c>
      <c r="AH86" s="14">
        <f t="shared" si="29"/>
        <v>46579</v>
      </c>
      <c r="AJ86" s="14">
        <f t="shared" si="18"/>
        <v>65180</v>
      </c>
      <c r="AK86" s="14">
        <f t="shared" si="19"/>
        <v>32585</v>
      </c>
      <c r="AL86" s="14">
        <f t="shared" si="20"/>
        <v>195548</v>
      </c>
    </row>
    <row r="87" spans="11:38" ht="16.5" x14ac:dyDescent="0.2">
      <c r="K87" s="13">
        <v>84</v>
      </c>
      <c r="L87" s="13">
        <f t="shared" si="21"/>
        <v>4</v>
      </c>
      <c r="M87" s="13">
        <f t="shared" si="22"/>
        <v>4</v>
      </c>
      <c r="N87" s="14">
        <f t="shared" si="23"/>
        <v>1101004</v>
      </c>
      <c r="O87" s="14" t="str">
        <f t="shared" si="24"/>
        <v>项昆仑21突</v>
      </c>
      <c r="P87" s="29" t="s">
        <v>341</v>
      </c>
      <c r="Q87" s="14">
        <f t="shared" si="25"/>
        <v>1</v>
      </c>
      <c r="R87" s="14">
        <f t="shared" si="26"/>
        <v>21</v>
      </c>
      <c r="S87" s="14" t="s">
        <v>39</v>
      </c>
      <c r="T87" s="14">
        <f>ROUND(((IF(Q87=1,INDEX(新属性投放!$J$14:$J$34,卡牌属性!R87),INDEX(新属性投放!$J$42:$J$62,卡牌属性!R87)))*INDEX($G$5:$G$42,L87)+IF(Q87=1,INDEX(新属性投放!R$20:R$23,卡牌属性!M87-1),INDEX(新属性投放!R$25:R$28,卡牌属性!M87-1)))/SQRT(INDEX($I$5:$I$42,L87)),2)</f>
        <v>81664.42</v>
      </c>
      <c r="U87" s="29" t="s">
        <v>178</v>
      </c>
      <c r="V87" s="14">
        <f>ROUND((IF(Q87=1,INDEX(新属性投放!$K$14:$K$34,卡牌属性!R87),INDEX(新属性投放!$K$42:$K$62,卡牌属性!R87))+IF(Q87=1,INDEX(新属性投放!S$20:S$23,卡牌属性!M87-1),INDEX(新属性投放!S$25:S$28,卡牌属性!M87-1)))*INDEX($G$5:$G$42,L87),2)</f>
        <v>40732.51</v>
      </c>
      <c r="W87" s="29" t="s">
        <v>179</v>
      </c>
      <c r="X87" s="14">
        <f>ROUND((IF(Q87=1,INDEX(新属性投放!$L$14:$L$34,卡牌属性!R87),INDEX(新属性投放!$L$42:$L$62,卡牌属性!R87))*INDEX($G$5:$G$42,L87)+IF(Q87=1,INDEX(新属性投放!T$20:T$23,卡牌属性!M87-1),INDEX(新属性投放!T$25:T$28,卡牌属性!M87-1)))*SQRT(INDEX($I$5:$I$42,L87)),2)</f>
        <v>245423.26</v>
      </c>
      <c r="Y87" s="29" t="s">
        <v>177</v>
      </c>
      <c r="Z87" s="14">
        <f>ROUND(IF(Q87=1,INDEX(新属性投放!$D$14:$D$34,卡牌属性!R87),INDEX(新属性投放!$D$42:$D$62,卡牌属性!R87))*INDEX($G$5:$G$42,L87)/SQRT(INDEX($I$5:$I$42,L87)),2)</f>
        <v>2037.87</v>
      </c>
      <c r="AA87" s="29" t="s">
        <v>178</v>
      </c>
      <c r="AB87" s="14">
        <f>ROUND(IF(Q87=1,INDEX(新属性投放!$E$14:$E$34,卡牌属性!R87),INDEX(新属性投放!$E$42:$E$62,卡牌属性!R87))*INDEX($G$5:$G$42,L87),2)</f>
        <v>1018.93</v>
      </c>
      <c r="AC87" s="29" t="s">
        <v>179</v>
      </c>
      <c r="AD87" s="14">
        <f>ROUND(IF(Q87=1,INDEX(新属性投放!$F$14:$F$34,卡牌属性!R87),INDEX(新属性投放!$F$42:$F$62,卡牌属性!R87))*INDEX($G$5:$G$42,L87)*SQRT(INDEX($I$5:$I$42,L87)),2)</f>
        <v>6113.6</v>
      </c>
      <c r="AF87" s="14">
        <f t="shared" si="27"/>
        <v>20378</v>
      </c>
      <c r="AG87" s="14">
        <f t="shared" si="28"/>
        <v>10189</v>
      </c>
      <c r="AH87" s="14">
        <f t="shared" si="29"/>
        <v>61136</v>
      </c>
      <c r="AJ87" s="14">
        <f t="shared" si="18"/>
        <v>85558</v>
      </c>
      <c r="AK87" s="14">
        <f t="shared" si="19"/>
        <v>42774</v>
      </c>
      <c r="AL87" s="14">
        <f t="shared" si="20"/>
        <v>256684</v>
      </c>
    </row>
    <row r="88" spans="11:38" ht="16.5" x14ac:dyDescent="0.2">
      <c r="K88" s="13">
        <v>85</v>
      </c>
      <c r="L88" s="13">
        <f t="shared" si="21"/>
        <v>5</v>
      </c>
      <c r="M88" s="13">
        <f t="shared" si="22"/>
        <v>4</v>
      </c>
      <c r="N88" s="14">
        <f t="shared" si="23"/>
        <v>1101005</v>
      </c>
      <c r="O88" s="14" t="str">
        <f t="shared" si="24"/>
        <v>刘羽禅1突</v>
      </c>
      <c r="P88" s="29" t="s">
        <v>341</v>
      </c>
      <c r="Q88" s="14">
        <f t="shared" si="25"/>
        <v>1</v>
      </c>
      <c r="R88" s="14">
        <f t="shared" si="26"/>
        <v>1</v>
      </c>
      <c r="S88" s="14" t="s">
        <v>39</v>
      </c>
      <c r="T88" s="14">
        <f>ROUND(((IF(Q88=1,INDEX(新属性投放!$J$14:$J$34,卡牌属性!R88),INDEX(新属性投放!$J$42:$J$62,卡牌属性!R88)))*INDEX($G$5:$G$42,L88)+IF(Q88=1,INDEX(新属性投放!R$20:R$23,卡牌属性!M88-1),INDEX(新属性投放!R$25:R$28,卡牌属性!M88-1)))/SQRT(INDEX($I$5:$I$42,L88)),2)</f>
        <v>215</v>
      </c>
      <c r="U88" s="29" t="s">
        <v>178</v>
      </c>
      <c r="V88" s="14">
        <f>ROUND((IF(Q88=1,INDEX(新属性投放!$K$14:$K$34,卡牌属性!R88),INDEX(新属性投放!$K$42:$K$62,卡牌属性!R88))+IF(Q88=1,INDEX(新属性投放!S$20:S$23,卡牌属性!M88-1),INDEX(新属性投放!S$25:S$28,卡牌属性!M88-1)))*INDEX($G$5:$G$42,L88),2)</f>
        <v>0</v>
      </c>
      <c r="W88" s="29" t="s">
        <v>179</v>
      </c>
      <c r="X88" s="14">
        <f>ROUND((IF(Q88=1,INDEX(新属性投放!$L$14:$L$34,卡牌属性!R88),INDEX(新属性投放!$L$42:$L$62,卡牌属性!R88))*INDEX($G$5:$G$42,L88)+IF(Q88=1,INDEX(新属性投放!T$20:T$23,卡牌属性!M88-1),INDEX(新属性投放!T$25:T$28,卡牌属性!M88-1)))*SQRT(INDEX($I$5:$I$42,L88)),2)</f>
        <v>1075</v>
      </c>
      <c r="Y88" s="29" t="s">
        <v>177</v>
      </c>
      <c r="Z88" s="14">
        <f>ROUND(IF(Q88=1,INDEX(新属性投放!$D$14:$D$34,卡牌属性!R88),INDEX(新属性投放!$D$42:$D$62,卡牌属性!R88))*INDEX($G$5:$G$42,L88)/SQRT(INDEX($I$5:$I$42,L88)),2)</f>
        <v>13</v>
      </c>
      <c r="AA88" s="29" t="s">
        <v>178</v>
      </c>
      <c r="AB88" s="14">
        <f>ROUND(IF(Q88=1,INDEX(新属性投放!$E$14:$E$34,卡牌属性!R88),INDEX(新属性投放!$E$42:$E$62,卡牌属性!R88))*INDEX($G$5:$G$42,L88),2)</f>
        <v>6.5</v>
      </c>
      <c r="AC88" s="29" t="s">
        <v>179</v>
      </c>
      <c r="AD88" s="14">
        <f>ROUND(IF(Q88=1,INDEX(新属性投放!$F$14:$F$34,卡牌属性!R88),INDEX(新属性投放!$F$42:$F$62,卡牌属性!R88))*INDEX($G$5:$G$42,L88)*SQRT(INDEX($I$5:$I$42,L88)),2)</f>
        <v>39</v>
      </c>
      <c r="AF88" s="14">
        <f t="shared" si="27"/>
        <v>130</v>
      </c>
      <c r="AG88" s="14">
        <f t="shared" si="28"/>
        <v>65</v>
      </c>
      <c r="AH88" s="14">
        <f t="shared" si="29"/>
        <v>390</v>
      </c>
      <c r="AJ88" s="14">
        <f>AF88</f>
        <v>130</v>
      </c>
      <c r="AK88" s="14">
        <f>AG88</f>
        <v>65</v>
      </c>
      <c r="AL88" s="14">
        <f>AH88</f>
        <v>390</v>
      </c>
    </row>
    <row r="89" spans="11:38" ht="16.5" x14ac:dyDescent="0.2">
      <c r="K89" s="13">
        <v>86</v>
      </c>
      <c r="L89" s="13">
        <f t="shared" si="21"/>
        <v>5</v>
      </c>
      <c r="M89" s="13">
        <f t="shared" si="22"/>
        <v>4</v>
      </c>
      <c r="N89" s="14">
        <f t="shared" si="23"/>
        <v>1101005</v>
      </c>
      <c r="O89" s="14" t="str">
        <f t="shared" si="24"/>
        <v>刘羽禅2突</v>
      </c>
      <c r="P89" s="29" t="s">
        <v>341</v>
      </c>
      <c r="Q89" s="14">
        <f t="shared" si="25"/>
        <v>1</v>
      </c>
      <c r="R89" s="14">
        <f t="shared" si="26"/>
        <v>2</v>
      </c>
      <c r="S89" s="14" t="s">
        <v>39</v>
      </c>
      <c r="T89" s="14">
        <f>ROUND(((IF(Q89=1,INDEX(新属性投放!$J$14:$J$34,卡牌属性!R89),INDEX(新属性投放!$J$42:$J$62,卡牌属性!R89)))*INDEX($G$5:$G$42,L89)+IF(Q89=1,INDEX(新属性投放!R$20:R$23,卡牌属性!M89-1),INDEX(新属性投放!R$25:R$28,卡牌属性!M89-1)))/SQRT(INDEX($I$5:$I$42,L89)),2)</f>
        <v>345</v>
      </c>
      <c r="U89" s="29" t="s">
        <v>178</v>
      </c>
      <c r="V89" s="14">
        <f>ROUND((IF(Q89=1,INDEX(新属性投放!$K$14:$K$34,卡牌属性!R89),INDEX(新属性投放!$K$42:$K$62,卡牌属性!R89))+IF(Q89=1,INDEX(新属性投放!S$20:S$23,卡牌属性!M89-1),INDEX(新属性投放!S$25:S$28,卡牌属性!M89-1)))*INDEX($G$5:$G$42,L89),2)</f>
        <v>72.8</v>
      </c>
      <c r="W89" s="29" t="s">
        <v>179</v>
      </c>
      <c r="X89" s="14">
        <f>ROUND((IF(Q89=1,INDEX(新属性投放!$L$14:$L$34,卡牌属性!R89),INDEX(新属性投放!$L$42:$L$62,卡牌属性!R89))*INDEX($G$5:$G$42,L89)+IF(Q89=1,INDEX(新属性投放!T$20:T$23,卡牌属性!M89-1),INDEX(新属性投放!T$25:T$28,卡牌属性!M89-1)))*SQRT(INDEX($I$5:$I$42,L89)),2)</f>
        <v>1465</v>
      </c>
      <c r="Y89" s="29" t="s">
        <v>177</v>
      </c>
      <c r="Z89" s="14">
        <f>ROUND(IF(Q89=1,INDEX(新属性投放!$D$14:$D$34,卡牌属性!R89),INDEX(新属性投放!$D$42:$D$62,卡牌属性!R89))*INDEX($G$5:$G$42,L89)/SQRT(INDEX($I$5:$I$42,L89)),2)</f>
        <v>13</v>
      </c>
      <c r="AA89" s="29" t="s">
        <v>178</v>
      </c>
      <c r="AB89" s="14">
        <f>ROUND(IF(Q89=1,INDEX(新属性投放!$E$14:$E$34,卡牌属性!R89),INDEX(新属性投放!$E$42:$E$62,卡牌属性!R89))*INDEX($G$5:$G$42,L89),2)</f>
        <v>6.5</v>
      </c>
      <c r="AC89" s="29" t="s">
        <v>179</v>
      </c>
      <c r="AD89" s="14">
        <f>ROUND(IF(Q89=1,INDEX(新属性投放!$F$14:$F$34,卡牌属性!R89),INDEX(新属性投放!$F$42:$F$62,卡牌属性!R89))*INDEX($G$5:$G$42,L89)*SQRT(INDEX($I$5:$I$42,L89)),2)</f>
        <v>39</v>
      </c>
      <c r="AF89" s="14">
        <f t="shared" si="27"/>
        <v>130</v>
      </c>
      <c r="AG89" s="14">
        <f t="shared" si="28"/>
        <v>65</v>
      </c>
      <c r="AH89" s="14">
        <f t="shared" si="29"/>
        <v>390</v>
      </c>
      <c r="AJ89" s="14">
        <f t="shared" ref="AJ89:AJ108" si="30">AJ88+AF89</f>
        <v>260</v>
      </c>
      <c r="AK89" s="14">
        <f t="shared" ref="AK89:AK108" si="31">AK88+AG89</f>
        <v>130</v>
      </c>
      <c r="AL89" s="14">
        <f t="shared" ref="AL89:AL108" si="32">AL88+AH89</f>
        <v>780</v>
      </c>
    </row>
    <row r="90" spans="11:38" ht="16.5" x14ac:dyDescent="0.2">
      <c r="K90" s="13">
        <v>87</v>
      </c>
      <c r="L90" s="13">
        <f t="shared" si="21"/>
        <v>5</v>
      </c>
      <c r="M90" s="13">
        <f t="shared" si="22"/>
        <v>4</v>
      </c>
      <c r="N90" s="14">
        <f t="shared" si="23"/>
        <v>1101005</v>
      </c>
      <c r="O90" s="14" t="str">
        <f t="shared" si="24"/>
        <v>刘羽禅3突</v>
      </c>
      <c r="P90" s="29" t="s">
        <v>341</v>
      </c>
      <c r="Q90" s="14">
        <f t="shared" si="25"/>
        <v>1</v>
      </c>
      <c r="R90" s="14">
        <f t="shared" si="26"/>
        <v>3</v>
      </c>
      <c r="S90" s="14" t="s">
        <v>39</v>
      </c>
      <c r="T90" s="14">
        <f>ROUND(((IF(Q90=1,INDEX(新属性投放!$J$14:$J$34,卡牌属性!R90),INDEX(新属性投放!$J$42:$J$62,卡牌属性!R90)))*INDEX($G$5:$G$42,L90)+IF(Q90=1,INDEX(新属性投放!R$20:R$23,卡牌属性!M90-1),INDEX(新属性投放!R$25:R$28,卡牌属性!M90-1)))/SQRT(INDEX($I$5:$I$42,L90)),2)</f>
        <v>507.5</v>
      </c>
      <c r="U90" s="29" t="s">
        <v>178</v>
      </c>
      <c r="V90" s="14">
        <f>ROUND((IF(Q90=1,INDEX(新属性投放!$K$14:$K$34,卡牌属性!R90),INDEX(新属性投放!$K$42:$K$62,卡牌属性!R90))+IF(Q90=1,INDEX(新属性投放!S$20:S$23,卡牌属性!M90-1),INDEX(新属性投放!S$25:S$28,卡牌属性!M90-1)))*INDEX($G$5:$G$42,L90),2)</f>
        <v>154.69999999999999</v>
      </c>
      <c r="W90" s="29" t="s">
        <v>179</v>
      </c>
      <c r="X90" s="14">
        <f>ROUND((IF(Q90=1,INDEX(新属性投放!$L$14:$L$34,卡牌属性!R90),INDEX(新属性投放!$L$42:$L$62,卡牌属性!R90))*INDEX($G$5:$G$42,L90)+IF(Q90=1,INDEX(新属性投放!T$20:T$23,卡牌属性!M90-1),INDEX(新属性投放!T$25:T$28,卡牌属性!M90-1)))*SQRT(INDEX($I$5:$I$42,L90)),2)</f>
        <v>1952.5</v>
      </c>
      <c r="Y90" s="29" t="s">
        <v>177</v>
      </c>
      <c r="Z90" s="14">
        <f>ROUND(IF(Q90=1,INDEX(新属性投放!$D$14:$D$34,卡牌属性!R90),INDEX(新属性投放!$D$42:$D$62,卡牌属性!R90))*INDEX($G$5:$G$42,L90)/SQRT(INDEX($I$5:$I$42,L90)),2)</f>
        <v>19.5</v>
      </c>
      <c r="AA90" s="29" t="s">
        <v>178</v>
      </c>
      <c r="AB90" s="14">
        <f>ROUND(IF(Q90=1,INDEX(新属性投放!$E$14:$E$34,卡牌属性!R90),INDEX(新属性投放!$E$42:$E$62,卡牌属性!R90))*INDEX($G$5:$G$42,L90),2)</f>
        <v>9.75</v>
      </c>
      <c r="AC90" s="29" t="s">
        <v>179</v>
      </c>
      <c r="AD90" s="14">
        <f>ROUND(IF(Q90=1,INDEX(新属性投放!$F$14:$F$34,卡牌属性!R90),INDEX(新属性投放!$F$42:$F$62,卡牌属性!R90))*INDEX($G$5:$G$42,L90)*SQRT(INDEX($I$5:$I$42,L90)),2)</f>
        <v>58.5</v>
      </c>
      <c r="AF90" s="14">
        <f t="shared" si="27"/>
        <v>195</v>
      </c>
      <c r="AG90" s="14">
        <f t="shared" si="28"/>
        <v>97</v>
      </c>
      <c r="AH90" s="14">
        <f t="shared" si="29"/>
        <v>585</v>
      </c>
      <c r="AJ90" s="14">
        <f t="shared" si="30"/>
        <v>455</v>
      </c>
      <c r="AK90" s="14">
        <f t="shared" si="31"/>
        <v>227</v>
      </c>
      <c r="AL90" s="14">
        <f t="shared" si="32"/>
        <v>1365</v>
      </c>
    </row>
    <row r="91" spans="11:38" ht="16.5" x14ac:dyDescent="0.2">
      <c r="K91" s="13">
        <v>88</v>
      </c>
      <c r="L91" s="13">
        <f t="shared" si="21"/>
        <v>5</v>
      </c>
      <c r="M91" s="13">
        <f t="shared" si="22"/>
        <v>4</v>
      </c>
      <c r="N91" s="14">
        <f t="shared" si="23"/>
        <v>1101005</v>
      </c>
      <c r="O91" s="14" t="str">
        <f t="shared" si="24"/>
        <v>刘羽禅4突</v>
      </c>
      <c r="P91" s="29" t="s">
        <v>341</v>
      </c>
      <c r="Q91" s="14">
        <f t="shared" si="25"/>
        <v>1</v>
      </c>
      <c r="R91" s="14">
        <f t="shared" si="26"/>
        <v>4</v>
      </c>
      <c r="S91" s="14" t="s">
        <v>39</v>
      </c>
      <c r="T91" s="14">
        <f>ROUND(((IF(Q91=1,INDEX(新属性投放!$J$14:$J$34,卡牌属性!R91),INDEX(新属性投放!$J$42:$J$62,卡牌属性!R91)))*INDEX($G$5:$G$42,L91)+IF(Q91=1,INDEX(新属性投放!R$20:R$23,卡牌属性!M91-1),INDEX(新属性投放!R$25:R$28,卡牌属性!M91-1)))/SQRT(INDEX($I$5:$I$42,L91)),2)</f>
        <v>751.9</v>
      </c>
      <c r="U91" s="29" t="s">
        <v>178</v>
      </c>
      <c r="V91" s="14">
        <f>ROUND((IF(Q91=1,INDEX(新属性投放!$K$14:$K$34,卡牌属性!R91),INDEX(新属性投放!$K$42:$K$62,卡牌属性!R91))+IF(Q91=1,INDEX(新属性投放!S$20:S$23,卡牌属性!M91-1),INDEX(新属性投放!S$25:S$28,卡牌属性!M91-1)))*INDEX($G$5:$G$42,L91),2)</f>
        <v>276.89999999999998</v>
      </c>
      <c r="W91" s="29" t="s">
        <v>179</v>
      </c>
      <c r="X91" s="14">
        <f>ROUND((IF(Q91=1,INDEX(新属性投放!$L$14:$L$34,卡牌属性!R91),INDEX(新属性投放!$L$42:$L$62,卡牌属性!R91))*INDEX($G$5:$G$42,L91)+IF(Q91=1,INDEX(新属性投放!T$20:T$23,卡牌属性!M91-1),INDEX(新属性投放!T$25:T$28,卡牌属性!M91-1)))*SQRT(INDEX($I$5:$I$42,L91)),2)</f>
        <v>2685.7</v>
      </c>
      <c r="Y91" s="29" t="s">
        <v>177</v>
      </c>
      <c r="Z91" s="14">
        <f>ROUND(IF(Q91=1,INDEX(新属性投放!$D$14:$D$34,卡牌属性!R91),INDEX(新属性投放!$D$42:$D$62,卡牌属性!R91))*INDEX($G$5:$G$42,L91)/SQRT(INDEX($I$5:$I$42,L91)),2)</f>
        <v>26</v>
      </c>
      <c r="AA91" s="29" t="s">
        <v>178</v>
      </c>
      <c r="AB91" s="14">
        <f>ROUND(IF(Q91=1,INDEX(新属性投放!$E$14:$E$34,卡牌属性!R91),INDEX(新属性投放!$E$42:$E$62,卡牌属性!R91))*INDEX($G$5:$G$42,L91),2)</f>
        <v>13</v>
      </c>
      <c r="AC91" s="29" t="s">
        <v>179</v>
      </c>
      <c r="AD91" s="14">
        <f>ROUND(IF(Q91=1,INDEX(新属性投放!$F$14:$F$34,卡牌属性!R91),INDEX(新属性投放!$F$42:$F$62,卡牌属性!R91))*INDEX($G$5:$G$42,L91)*SQRT(INDEX($I$5:$I$42,L91)),2)</f>
        <v>78</v>
      </c>
      <c r="AF91" s="14">
        <f t="shared" si="27"/>
        <v>260</v>
      </c>
      <c r="AG91" s="14">
        <f t="shared" si="28"/>
        <v>130</v>
      </c>
      <c r="AH91" s="14">
        <f t="shared" si="29"/>
        <v>780</v>
      </c>
      <c r="AJ91" s="14">
        <f t="shared" si="30"/>
        <v>715</v>
      </c>
      <c r="AK91" s="14">
        <f t="shared" si="31"/>
        <v>357</v>
      </c>
      <c r="AL91" s="14">
        <f t="shared" si="32"/>
        <v>2145</v>
      </c>
    </row>
    <row r="92" spans="11:38" ht="16.5" x14ac:dyDescent="0.2">
      <c r="K92" s="13">
        <v>89</v>
      </c>
      <c r="L92" s="13">
        <f t="shared" si="21"/>
        <v>5</v>
      </c>
      <c r="M92" s="13">
        <f t="shared" si="22"/>
        <v>4</v>
      </c>
      <c r="N92" s="14">
        <f t="shared" si="23"/>
        <v>1101005</v>
      </c>
      <c r="O92" s="14" t="str">
        <f t="shared" si="24"/>
        <v>刘羽禅5突</v>
      </c>
      <c r="P92" s="29" t="s">
        <v>341</v>
      </c>
      <c r="Q92" s="14">
        <f t="shared" si="25"/>
        <v>1</v>
      </c>
      <c r="R92" s="14">
        <f t="shared" si="26"/>
        <v>5</v>
      </c>
      <c r="S92" s="14" t="s">
        <v>39</v>
      </c>
      <c r="T92" s="14">
        <f>ROUND(((IF(Q92=1,INDEX(新属性投放!$J$14:$J$34,卡牌属性!R92),INDEX(新属性投放!$J$42:$J$62,卡牌属性!R92)))*INDEX($G$5:$G$42,L92)+IF(Q92=1,INDEX(新属性投放!R$20:R$23,卡牌属性!M92-1),INDEX(新属性投放!R$25:R$28,卡牌属性!M92-1)))/SQRT(INDEX($I$5:$I$42,L92)),2)</f>
        <v>1076.9000000000001</v>
      </c>
      <c r="U92" s="29" t="s">
        <v>178</v>
      </c>
      <c r="V92" s="14">
        <f>ROUND((IF(Q92=1,INDEX(新属性投放!$K$14:$K$34,卡牌属性!R92),INDEX(新属性投放!$K$42:$K$62,卡牌属性!R92))+IF(Q92=1,INDEX(新属性投放!S$20:S$23,卡牌属性!M92-1),INDEX(新属性投放!S$25:S$28,卡牌属性!M92-1)))*INDEX($G$5:$G$42,L92),2)</f>
        <v>439.4</v>
      </c>
      <c r="W92" s="29" t="s">
        <v>179</v>
      </c>
      <c r="X92" s="14">
        <f>ROUND((IF(Q92=1,INDEX(新属性投放!$L$14:$L$34,卡牌属性!R92),INDEX(新属性投放!$L$42:$L$62,卡牌属性!R92))*INDEX($G$5:$G$42,L92)+IF(Q92=1,INDEX(新属性投放!T$20:T$23,卡牌属性!M92-1),INDEX(新属性投放!T$25:T$28,卡牌属性!M92-1)))*SQRT(INDEX($I$5:$I$42,L92)),2)</f>
        <v>3660.7</v>
      </c>
      <c r="Y92" s="29" t="s">
        <v>177</v>
      </c>
      <c r="Z92" s="14">
        <f>ROUND(IF(Q92=1,INDEX(新属性投放!$D$14:$D$34,卡牌属性!R92),INDEX(新属性投放!$D$42:$D$62,卡牌属性!R92))*INDEX($G$5:$G$42,L92)/SQRT(INDEX($I$5:$I$42,L92)),2)</f>
        <v>32.5</v>
      </c>
      <c r="AA92" s="29" t="s">
        <v>178</v>
      </c>
      <c r="AB92" s="14">
        <f>ROUND(IF(Q92=1,INDEX(新属性投放!$E$14:$E$34,卡牌属性!R92),INDEX(新属性投放!$E$42:$E$62,卡牌属性!R92))*INDEX($G$5:$G$42,L92),2)</f>
        <v>16.25</v>
      </c>
      <c r="AC92" s="29" t="s">
        <v>179</v>
      </c>
      <c r="AD92" s="14">
        <f>ROUND(IF(Q92=1,INDEX(新属性投放!$F$14:$F$34,卡牌属性!R92),INDEX(新属性投放!$F$42:$F$62,卡牌属性!R92))*INDEX($G$5:$G$42,L92)*SQRT(INDEX($I$5:$I$42,L92)),2)</f>
        <v>97.5</v>
      </c>
      <c r="AF92" s="14">
        <f t="shared" si="27"/>
        <v>325</v>
      </c>
      <c r="AG92" s="14">
        <f t="shared" si="28"/>
        <v>162</v>
      </c>
      <c r="AH92" s="14">
        <f t="shared" si="29"/>
        <v>975</v>
      </c>
      <c r="AJ92" s="14">
        <f t="shared" si="30"/>
        <v>1040</v>
      </c>
      <c r="AK92" s="14">
        <f t="shared" si="31"/>
        <v>519</v>
      </c>
      <c r="AL92" s="14">
        <f t="shared" si="32"/>
        <v>3120</v>
      </c>
    </row>
    <row r="93" spans="11:38" ht="16.5" x14ac:dyDescent="0.2">
      <c r="K93" s="13">
        <v>90</v>
      </c>
      <c r="L93" s="13">
        <f t="shared" si="21"/>
        <v>5</v>
      </c>
      <c r="M93" s="13">
        <f t="shared" si="22"/>
        <v>4</v>
      </c>
      <c r="N93" s="14">
        <f t="shared" si="23"/>
        <v>1101005</v>
      </c>
      <c r="O93" s="14" t="str">
        <f t="shared" si="24"/>
        <v>刘羽禅6突</v>
      </c>
      <c r="P93" s="29" t="s">
        <v>341</v>
      </c>
      <c r="Q93" s="14">
        <f t="shared" si="25"/>
        <v>1</v>
      </c>
      <c r="R93" s="14">
        <f t="shared" si="26"/>
        <v>6</v>
      </c>
      <c r="S93" s="14" t="s">
        <v>39</v>
      </c>
      <c r="T93" s="14">
        <f>ROUND(((IF(Q93=1,INDEX(新属性投放!$J$14:$J$34,卡牌属性!R93),INDEX(新属性投放!$J$42:$J$62,卡牌属性!R93)))*INDEX($G$5:$G$42,L93)+IF(Q93=1,INDEX(新属性投放!R$20:R$23,卡牌属性!M93-1),INDEX(新属性投放!R$25:R$28,卡牌属性!M93-1)))/SQRT(INDEX($I$5:$I$42,L93)),2)</f>
        <v>1483.8</v>
      </c>
      <c r="U93" s="29" t="s">
        <v>178</v>
      </c>
      <c r="V93" s="14">
        <f>ROUND((IF(Q93=1,INDEX(新属性投放!$K$14:$K$34,卡牌属性!R93),INDEX(新属性投放!$K$42:$K$62,卡牌属性!R93))+IF(Q93=1,INDEX(新属性投放!S$20:S$23,卡牌属性!M93-1),INDEX(新属性投放!S$25:S$28,卡牌属性!M93-1)))*INDEX($G$5:$G$42,L93),2)</f>
        <v>642.20000000000005</v>
      </c>
      <c r="W93" s="29" t="s">
        <v>179</v>
      </c>
      <c r="X93" s="14">
        <f>ROUND((IF(Q93=1,INDEX(新属性投放!$L$14:$L$34,卡牌属性!R93),INDEX(新属性投放!$L$42:$L$62,卡牌属性!R93))*INDEX($G$5:$G$42,L93)+IF(Q93=1,INDEX(新属性投放!T$20:T$23,卡牌属性!M93-1),INDEX(新属性投放!T$25:T$28,卡牌属性!M93-1)))*SQRT(INDEX($I$5:$I$42,L93)),2)</f>
        <v>4881.3999999999996</v>
      </c>
      <c r="Y93" s="29" t="s">
        <v>177</v>
      </c>
      <c r="Z93" s="14">
        <f>ROUND(IF(Q93=1,INDEX(新属性投放!$D$14:$D$34,卡牌属性!R93),INDEX(新属性投放!$D$42:$D$62,卡牌属性!R93))*INDEX($G$5:$G$42,L93)/SQRT(INDEX($I$5:$I$42,L93)),2)</f>
        <v>39</v>
      </c>
      <c r="AA93" s="29" t="s">
        <v>178</v>
      </c>
      <c r="AB93" s="14">
        <f>ROUND(IF(Q93=1,INDEX(新属性投放!$E$14:$E$34,卡牌属性!R93),INDEX(新属性投放!$E$42:$E$62,卡牌属性!R93))*INDEX($G$5:$G$42,L93),2)</f>
        <v>19.5</v>
      </c>
      <c r="AC93" s="29" t="s">
        <v>179</v>
      </c>
      <c r="AD93" s="14">
        <f>ROUND(IF(Q93=1,INDEX(新属性投放!$F$14:$F$34,卡牌属性!R93),INDEX(新属性投放!$F$42:$F$62,卡牌属性!R93))*INDEX($G$5:$G$42,L93)*SQRT(INDEX($I$5:$I$42,L93)),2)</f>
        <v>117</v>
      </c>
      <c r="AF93" s="14">
        <f t="shared" si="27"/>
        <v>390</v>
      </c>
      <c r="AG93" s="14">
        <f t="shared" si="28"/>
        <v>195</v>
      </c>
      <c r="AH93" s="14">
        <f t="shared" si="29"/>
        <v>1170</v>
      </c>
      <c r="AJ93" s="14">
        <f t="shared" si="30"/>
        <v>1430</v>
      </c>
      <c r="AK93" s="14">
        <f t="shared" si="31"/>
        <v>714</v>
      </c>
      <c r="AL93" s="14">
        <f t="shared" si="32"/>
        <v>4290</v>
      </c>
    </row>
    <row r="94" spans="11:38" ht="16.5" x14ac:dyDescent="0.2">
      <c r="K94" s="13">
        <v>91</v>
      </c>
      <c r="L94" s="13">
        <f t="shared" si="21"/>
        <v>5</v>
      </c>
      <c r="M94" s="13">
        <f t="shared" si="22"/>
        <v>4</v>
      </c>
      <c r="N94" s="14">
        <f t="shared" si="23"/>
        <v>1101005</v>
      </c>
      <c r="O94" s="14" t="str">
        <f t="shared" si="24"/>
        <v>刘羽禅7突</v>
      </c>
      <c r="P94" s="29" t="s">
        <v>341</v>
      </c>
      <c r="Q94" s="14">
        <f t="shared" si="25"/>
        <v>1</v>
      </c>
      <c r="R94" s="14">
        <f t="shared" si="26"/>
        <v>7</v>
      </c>
      <c r="S94" s="14" t="s">
        <v>39</v>
      </c>
      <c r="T94" s="14">
        <f>ROUND(((IF(Q94=1,INDEX(新属性投放!$J$14:$J$34,卡牌属性!R94),INDEX(新属性投放!$J$42:$J$62,卡牌属性!R94)))*INDEX($G$5:$G$42,L94)+IF(Q94=1,INDEX(新属性投放!R$20:R$23,卡牌属性!M94-1),INDEX(新属性投放!R$25:R$28,卡牌属性!M94-1)))/SQRT(INDEX($I$5:$I$42,L94)),2)</f>
        <v>1971.3</v>
      </c>
      <c r="U94" s="29" t="s">
        <v>178</v>
      </c>
      <c r="V94" s="14">
        <f>ROUND((IF(Q94=1,INDEX(新属性投放!$K$14:$K$34,卡牌属性!R94),INDEX(新属性投放!$K$42:$K$62,卡牌属性!R94))+IF(Q94=1,INDEX(新属性投放!S$20:S$23,卡牌属性!M94-1),INDEX(新属性投放!S$25:S$28,卡牌属性!M94-1)))*INDEX($G$5:$G$42,L94),2)</f>
        <v>886.6</v>
      </c>
      <c r="W94" s="29" t="s">
        <v>179</v>
      </c>
      <c r="X94" s="14">
        <f>ROUND((IF(Q94=1,INDEX(新属性投放!$L$14:$L$34,卡牌属性!R94),INDEX(新属性投放!$L$42:$L$62,卡牌属性!R94))*INDEX($G$5:$G$42,L94)+IF(Q94=1,INDEX(新属性投放!T$20:T$23,卡牌属性!M94-1),INDEX(新属性投放!T$25:T$28,卡牌属性!M94-1)))*SQRT(INDEX($I$5:$I$42,L94)),2)</f>
        <v>6343.9</v>
      </c>
      <c r="Y94" s="29" t="s">
        <v>177</v>
      </c>
      <c r="Z94" s="14">
        <f>ROUND(IF(Q94=1,INDEX(新属性投放!$D$14:$D$34,卡牌属性!R94),INDEX(新属性投放!$D$42:$D$62,卡牌属性!R94))*INDEX($G$5:$G$42,L94)/SQRT(INDEX($I$5:$I$42,L94)),2)</f>
        <v>45.5</v>
      </c>
      <c r="AA94" s="29" t="s">
        <v>178</v>
      </c>
      <c r="AB94" s="14">
        <f>ROUND(IF(Q94=1,INDEX(新属性投放!$E$14:$E$34,卡牌属性!R94),INDEX(新属性投放!$E$42:$E$62,卡牌属性!R94))*INDEX($G$5:$G$42,L94),2)</f>
        <v>22.75</v>
      </c>
      <c r="AC94" s="29" t="s">
        <v>179</v>
      </c>
      <c r="AD94" s="14">
        <f>ROUND(IF(Q94=1,INDEX(新属性投放!$F$14:$F$34,卡牌属性!R94),INDEX(新属性投放!$F$42:$F$62,卡牌属性!R94))*INDEX($G$5:$G$42,L94)*SQRT(INDEX($I$5:$I$42,L94)),2)</f>
        <v>136.5</v>
      </c>
      <c r="AF94" s="14">
        <f t="shared" si="27"/>
        <v>455</v>
      </c>
      <c r="AG94" s="14">
        <f t="shared" si="28"/>
        <v>227</v>
      </c>
      <c r="AH94" s="14">
        <f t="shared" si="29"/>
        <v>1365</v>
      </c>
      <c r="AJ94" s="14">
        <f t="shared" si="30"/>
        <v>1885</v>
      </c>
      <c r="AK94" s="14">
        <f t="shared" si="31"/>
        <v>941</v>
      </c>
      <c r="AL94" s="14">
        <f t="shared" si="32"/>
        <v>5655</v>
      </c>
    </row>
    <row r="95" spans="11:38" ht="16.5" x14ac:dyDescent="0.2">
      <c r="K95" s="13">
        <v>92</v>
      </c>
      <c r="L95" s="13">
        <f t="shared" si="21"/>
        <v>5</v>
      </c>
      <c r="M95" s="13">
        <f t="shared" si="22"/>
        <v>4</v>
      </c>
      <c r="N95" s="14">
        <f t="shared" si="23"/>
        <v>1101005</v>
      </c>
      <c r="O95" s="14" t="str">
        <f t="shared" si="24"/>
        <v>刘羽禅8突</v>
      </c>
      <c r="P95" s="29" t="s">
        <v>341</v>
      </c>
      <c r="Q95" s="14">
        <f t="shared" si="25"/>
        <v>1</v>
      </c>
      <c r="R95" s="14">
        <f t="shared" si="26"/>
        <v>8</v>
      </c>
      <c r="S95" s="14" t="s">
        <v>39</v>
      </c>
      <c r="T95" s="14">
        <f>ROUND(((IF(Q95=1,INDEX(新属性投放!$J$14:$J$34,卡牌属性!R95),INDEX(新属性投放!$J$42:$J$62,卡牌属性!R95)))*INDEX($G$5:$G$42,L95)+IF(Q95=1,INDEX(新属性投放!R$20:R$23,卡牌属性!M95-1),INDEX(新属性投放!R$25:R$28,卡牌属性!M95-1)))/SQRT(INDEX($I$5:$I$42,L95)),2)</f>
        <v>2540.6999999999998</v>
      </c>
      <c r="U95" s="29" t="s">
        <v>178</v>
      </c>
      <c r="V95" s="14">
        <f>ROUND((IF(Q95=1,INDEX(新属性投放!$K$14:$K$34,卡牌属性!R95),INDEX(新属性投放!$K$42:$K$62,卡牌属性!R95))+IF(Q95=1,INDEX(新属性投放!S$20:S$23,卡牌属性!M95-1),INDEX(新属性投放!S$25:S$28,卡牌属性!M95-1)))*INDEX($G$5:$G$42,L95),2)</f>
        <v>1171.3</v>
      </c>
      <c r="W95" s="29" t="s">
        <v>179</v>
      </c>
      <c r="X95" s="14">
        <f>ROUND((IF(Q95=1,INDEX(新属性投放!$L$14:$L$34,卡牌属性!R95),INDEX(新属性投放!$L$42:$L$62,卡牌属性!R95))*INDEX($G$5:$G$42,L95)+IF(Q95=1,INDEX(新属性投放!T$20:T$23,卡牌属性!M95-1),INDEX(新属性投放!T$25:T$28,卡牌属性!M95-1)))*SQRT(INDEX($I$5:$I$42,L95)),2)</f>
        <v>8052.1</v>
      </c>
      <c r="Y95" s="29" t="s">
        <v>177</v>
      </c>
      <c r="Z95" s="14">
        <f>ROUND(IF(Q95=1,INDEX(新属性投放!$D$14:$D$34,卡牌属性!R95),INDEX(新属性投放!$D$42:$D$62,卡牌属性!R95))*INDEX($G$5:$G$42,L95)/SQRT(INDEX($I$5:$I$42,L95)),2)</f>
        <v>58.5</v>
      </c>
      <c r="AA95" s="29" t="s">
        <v>178</v>
      </c>
      <c r="AB95" s="14">
        <f>ROUND(IF(Q95=1,INDEX(新属性投放!$E$14:$E$34,卡牌属性!R95),INDEX(新属性投放!$E$42:$E$62,卡牌属性!R95))*INDEX($G$5:$G$42,L95),2)</f>
        <v>29.25</v>
      </c>
      <c r="AC95" s="29" t="s">
        <v>179</v>
      </c>
      <c r="AD95" s="14">
        <f>ROUND(IF(Q95=1,INDEX(新属性投放!$F$14:$F$34,卡牌属性!R95),INDEX(新属性投放!$F$42:$F$62,卡牌属性!R95))*INDEX($G$5:$G$42,L95)*SQRT(INDEX($I$5:$I$42,L95)),2)</f>
        <v>175.5</v>
      </c>
      <c r="AF95" s="14">
        <f t="shared" si="27"/>
        <v>585</v>
      </c>
      <c r="AG95" s="14">
        <f t="shared" si="28"/>
        <v>292</v>
      </c>
      <c r="AH95" s="14">
        <f t="shared" si="29"/>
        <v>1755</v>
      </c>
      <c r="AJ95" s="14">
        <f t="shared" si="30"/>
        <v>2470</v>
      </c>
      <c r="AK95" s="14">
        <f t="shared" si="31"/>
        <v>1233</v>
      </c>
      <c r="AL95" s="14">
        <f t="shared" si="32"/>
        <v>7410</v>
      </c>
    </row>
    <row r="96" spans="11:38" ht="16.5" x14ac:dyDescent="0.2">
      <c r="K96" s="13">
        <v>93</v>
      </c>
      <c r="L96" s="13">
        <f t="shared" si="21"/>
        <v>5</v>
      </c>
      <c r="M96" s="13">
        <f t="shared" si="22"/>
        <v>4</v>
      </c>
      <c r="N96" s="14">
        <f t="shared" si="23"/>
        <v>1101005</v>
      </c>
      <c r="O96" s="14" t="str">
        <f t="shared" si="24"/>
        <v>刘羽禅9突</v>
      </c>
      <c r="P96" s="29" t="s">
        <v>341</v>
      </c>
      <c r="Q96" s="14">
        <f t="shared" si="25"/>
        <v>1</v>
      </c>
      <c r="R96" s="14">
        <f t="shared" si="26"/>
        <v>9</v>
      </c>
      <c r="S96" s="14" t="s">
        <v>39</v>
      </c>
      <c r="T96" s="14">
        <f>ROUND(((IF(Q96=1,INDEX(新属性投放!$J$14:$J$34,卡牌属性!R96),INDEX(新属性投放!$J$42:$J$62,卡牌属性!R96)))*INDEX($G$5:$G$42,L96)+IF(Q96=1,INDEX(新属性投放!R$20:R$23,卡牌属性!M96-1),INDEX(新属性投放!R$25:R$28,卡牌属性!M96-1)))/SQRT(INDEX($I$5:$I$42,L96)),2)</f>
        <v>3272.6</v>
      </c>
      <c r="U96" s="29" t="s">
        <v>178</v>
      </c>
      <c r="V96" s="14">
        <f>ROUND((IF(Q96=1,INDEX(新属性投放!$K$14:$K$34,卡牌属性!R96),INDEX(新属性投放!$K$42:$K$62,卡牌属性!R96))+IF(Q96=1,INDEX(新属性投放!S$20:S$23,卡牌属性!M96-1),INDEX(新属性投放!S$25:S$28,卡牌属性!M96-1)))*INDEX($G$5:$G$42,L96),2)</f>
        <v>1536.6</v>
      </c>
      <c r="W96" s="29" t="s">
        <v>179</v>
      </c>
      <c r="X96" s="14">
        <f>ROUND((IF(Q96=1,INDEX(新属性投放!$L$14:$L$34,卡牌属性!R96),INDEX(新属性投放!$L$42:$L$62,卡牌属性!R96))*INDEX($G$5:$G$42,L96)+IF(Q96=1,INDEX(新属性投放!T$20:T$23,卡牌属性!M96-1),INDEX(新属性投放!T$25:T$28,卡牌属性!M96-1)))*SQRT(INDEX($I$5:$I$42,L96)),2)</f>
        <v>10247.799999999999</v>
      </c>
      <c r="Y96" s="29" t="s">
        <v>177</v>
      </c>
      <c r="Z96" s="14">
        <f>ROUND(IF(Q96=1,INDEX(新属性投放!$D$14:$D$34,卡牌属性!R96),INDEX(新属性投放!$D$42:$D$62,卡牌属性!R96))*INDEX($G$5:$G$42,L96)/SQRT(INDEX($I$5:$I$42,L96)),2)</f>
        <v>78.069999999999993</v>
      </c>
      <c r="AA96" s="29" t="s">
        <v>178</v>
      </c>
      <c r="AB96" s="14">
        <f>ROUND(IF(Q96=1,INDEX(新属性投放!$E$14:$E$34,卡牌属性!R96),INDEX(新属性投放!$E$42:$E$62,卡牌属性!R96))*INDEX($G$5:$G$42,L96),2)</f>
        <v>39.03</v>
      </c>
      <c r="AC96" s="29" t="s">
        <v>179</v>
      </c>
      <c r="AD96" s="14">
        <f>ROUND(IF(Q96=1,INDEX(新属性投放!$F$14:$F$34,卡牌属性!R96),INDEX(新属性投放!$F$42:$F$62,卡牌属性!R96))*INDEX($G$5:$G$42,L96)*SQRT(INDEX($I$5:$I$42,L96)),2)</f>
        <v>234.2</v>
      </c>
      <c r="AF96" s="14">
        <f t="shared" si="27"/>
        <v>780</v>
      </c>
      <c r="AG96" s="14">
        <f t="shared" si="28"/>
        <v>390</v>
      </c>
      <c r="AH96" s="14">
        <f t="shared" si="29"/>
        <v>2342</v>
      </c>
      <c r="AJ96" s="14">
        <f t="shared" si="30"/>
        <v>3250</v>
      </c>
      <c r="AK96" s="14">
        <f t="shared" si="31"/>
        <v>1623</v>
      </c>
      <c r="AL96" s="14">
        <f t="shared" si="32"/>
        <v>9752</v>
      </c>
    </row>
    <row r="97" spans="11:38" ht="16.5" x14ac:dyDescent="0.2">
      <c r="K97" s="13">
        <v>94</v>
      </c>
      <c r="L97" s="13">
        <f t="shared" si="21"/>
        <v>5</v>
      </c>
      <c r="M97" s="13">
        <f t="shared" si="22"/>
        <v>4</v>
      </c>
      <c r="N97" s="14">
        <f t="shared" si="23"/>
        <v>1101005</v>
      </c>
      <c r="O97" s="14" t="str">
        <f t="shared" si="24"/>
        <v>刘羽禅10突</v>
      </c>
      <c r="P97" s="29" t="s">
        <v>341</v>
      </c>
      <c r="Q97" s="14">
        <f t="shared" si="25"/>
        <v>1</v>
      </c>
      <c r="R97" s="14">
        <f t="shared" si="26"/>
        <v>10</v>
      </c>
      <c r="S97" s="14" t="s">
        <v>39</v>
      </c>
      <c r="T97" s="14">
        <f>ROUND(((IF(Q97=1,INDEX(新属性投放!$J$14:$J$34,卡牌属性!R97),INDEX(新属性投放!$J$42:$J$62,卡牌属性!R97)))*INDEX($G$5:$G$42,L97)+IF(Q97=1,INDEX(新属性投放!R$20:R$23,卡牌属性!M97-1),INDEX(新属性投放!R$25:R$28,卡牌属性!M97-1)))/SQRT(INDEX($I$5:$I$42,L97)),2)</f>
        <v>4248.25</v>
      </c>
      <c r="U97" s="29" t="s">
        <v>178</v>
      </c>
      <c r="V97" s="14">
        <f>ROUND((IF(Q97=1,INDEX(新属性投放!$K$14:$K$34,卡牌属性!R97),INDEX(新属性投放!$K$42:$K$62,卡牌属性!R97))+IF(Q97=1,INDEX(新属性投放!S$20:S$23,卡牌属性!M97-1),INDEX(新属性投放!S$25:S$28,卡牌属性!M97-1)))*INDEX($G$5:$G$42,L97),2)</f>
        <v>2024.43</v>
      </c>
      <c r="W97" s="29" t="s">
        <v>179</v>
      </c>
      <c r="X97" s="14">
        <f>ROUND((IF(Q97=1,INDEX(新属性投放!$L$14:$L$34,卡牌属性!R97),INDEX(新属性投放!$L$42:$L$62,卡牌属性!R97))*INDEX($G$5:$G$42,L97)+IF(Q97=1,INDEX(新属性投放!T$20:T$23,卡牌属性!M97-1),INDEX(新属性投放!T$25:T$28,卡牌属性!M97-1)))*SQRT(INDEX($I$5:$I$42,L97)),2)</f>
        <v>13174.75</v>
      </c>
      <c r="Y97" s="29" t="s">
        <v>177</v>
      </c>
      <c r="Z97" s="14">
        <f>ROUND(IF(Q97=1,INDEX(新属性投放!$D$14:$D$34,卡牌属性!R97),INDEX(新属性投放!$D$42:$D$62,卡牌属性!R97))*INDEX($G$5:$G$42,L97)/SQRT(INDEX($I$5:$I$42,L97)),2)</f>
        <v>102.05</v>
      </c>
      <c r="AA97" s="29" t="s">
        <v>178</v>
      </c>
      <c r="AB97" s="14">
        <f>ROUND(IF(Q97=1,INDEX(新属性投放!$E$14:$E$34,卡牌属性!R97),INDEX(新属性投放!$E$42:$E$62,卡牌属性!R97))*INDEX($G$5:$G$42,L97),2)</f>
        <v>51.03</v>
      </c>
      <c r="AC97" s="29" t="s">
        <v>179</v>
      </c>
      <c r="AD97" s="14">
        <f>ROUND(IF(Q97=1,INDEX(新属性投放!$F$14:$F$34,卡牌属性!R97),INDEX(新属性投放!$F$42:$F$62,卡牌属性!R97))*INDEX($G$5:$G$42,L97)*SQRT(INDEX($I$5:$I$42,L97)),2)</f>
        <v>306.14999999999998</v>
      </c>
      <c r="AF97" s="14">
        <f t="shared" si="27"/>
        <v>1020</v>
      </c>
      <c r="AG97" s="14">
        <f t="shared" si="28"/>
        <v>510</v>
      </c>
      <c r="AH97" s="14">
        <f t="shared" si="29"/>
        <v>3061</v>
      </c>
      <c r="AJ97" s="14">
        <f t="shared" si="30"/>
        <v>4270</v>
      </c>
      <c r="AK97" s="14">
        <f t="shared" si="31"/>
        <v>2133</v>
      </c>
      <c r="AL97" s="14">
        <f t="shared" si="32"/>
        <v>12813</v>
      </c>
    </row>
    <row r="98" spans="11:38" ht="16.5" x14ac:dyDescent="0.2">
      <c r="K98" s="13">
        <v>95</v>
      </c>
      <c r="L98" s="13">
        <f t="shared" si="21"/>
        <v>5</v>
      </c>
      <c r="M98" s="13">
        <f t="shared" si="22"/>
        <v>4</v>
      </c>
      <c r="N98" s="14">
        <f t="shared" si="23"/>
        <v>1101005</v>
      </c>
      <c r="O98" s="14" t="str">
        <f t="shared" si="24"/>
        <v>刘羽禅11突</v>
      </c>
      <c r="P98" s="29" t="s">
        <v>341</v>
      </c>
      <c r="Q98" s="14">
        <f t="shared" si="25"/>
        <v>1</v>
      </c>
      <c r="R98" s="14">
        <f t="shared" si="26"/>
        <v>11</v>
      </c>
      <c r="S98" s="14" t="s">
        <v>39</v>
      </c>
      <c r="T98" s="14">
        <f>ROUND(((IF(Q98=1,INDEX(新属性投放!$J$14:$J$34,卡牌属性!R98),INDEX(新属性投放!$J$42:$J$62,卡牌属性!R98)))*INDEX($G$5:$G$42,L98)+IF(Q98=1,INDEX(新属性投放!R$20:R$23,卡牌属性!M98-1),INDEX(新属性投放!R$25:R$28,卡牌属性!M98-1)))/SQRT(INDEX($I$5:$I$42,L98)),2)</f>
        <v>5523.55</v>
      </c>
      <c r="U98" s="29" t="s">
        <v>178</v>
      </c>
      <c r="V98" s="14">
        <f>ROUND((IF(Q98=1,INDEX(新属性投放!$K$14:$K$34,卡牌属性!R98),INDEX(新属性投放!$K$42:$K$62,卡牌属性!R98))+IF(Q98=1,INDEX(新属性投放!S$20:S$23,卡牌属性!M98-1),INDEX(新属性投放!S$25:S$28,卡牌属性!M98-1)))*INDEX($G$5:$G$42,L98),2)</f>
        <v>2662.08</v>
      </c>
      <c r="W98" s="29" t="s">
        <v>179</v>
      </c>
      <c r="X98" s="14">
        <f>ROUND((IF(Q98=1,INDEX(新属性投放!$L$14:$L$34,卡牌属性!R98),INDEX(新属性投放!$L$42:$L$62,卡牌属性!R98))*INDEX($G$5:$G$42,L98)+IF(Q98=1,INDEX(新属性投放!T$20:T$23,卡牌属性!M98-1),INDEX(新属性投放!T$25:T$28,卡牌属性!M98-1)))*SQRT(INDEX($I$5:$I$42,L98)),2)</f>
        <v>17000.650000000001</v>
      </c>
      <c r="Y98" s="29" t="s">
        <v>177</v>
      </c>
      <c r="Z98" s="14">
        <f>ROUND(IF(Q98=1,INDEX(新属性投放!$D$14:$D$34,卡牌属性!R98),INDEX(新属性投放!$D$42:$D$62,卡牌属性!R98))*INDEX($G$5:$G$42,L98)/SQRT(INDEX($I$5:$I$42,L98)),2)</f>
        <v>134.34</v>
      </c>
      <c r="AA98" s="29" t="s">
        <v>178</v>
      </c>
      <c r="AB98" s="14">
        <f>ROUND(IF(Q98=1,INDEX(新属性投放!$E$14:$E$34,卡牌属性!R98),INDEX(新属性投放!$E$42:$E$62,卡牌属性!R98))*INDEX($G$5:$G$42,L98),2)</f>
        <v>67.17</v>
      </c>
      <c r="AC98" s="29" t="s">
        <v>179</v>
      </c>
      <c r="AD98" s="14">
        <f>ROUND(IF(Q98=1,INDEX(新属性投放!$F$14:$F$34,卡牌属性!R98),INDEX(新属性投放!$F$42:$F$62,卡牌属性!R98))*INDEX($G$5:$G$42,L98)*SQRT(INDEX($I$5:$I$42,L98)),2)</f>
        <v>403.03</v>
      </c>
      <c r="AF98" s="14">
        <f t="shared" si="27"/>
        <v>1343</v>
      </c>
      <c r="AG98" s="14">
        <f t="shared" si="28"/>
        <v>671</v>
      </c>
      <c r="AH98" s="14">
        <f t="shared" si="29"/>
        <v>4030</v>
      </c>
      <c r="AJ98" s="14">
        <f t="shared" si="30"/>
        <v>5613</v>
      </c>
      <c r="AK98" s="14">
        <f t="shared" si="31"/>
        <v>2804</v>
      </c>
      <c r="AL98" s="14">
        <f t="shared" si="32"/>
        <v>16843</v>
      </c>
    </row>
    <row r="99" spans="11:38" ht="16.5" x14ac:dyDescent="0.2">
      <c r="K99" s="13">
        <v>96</v>
      </c>
      <c r="L99" s="13">
        <f t="shared" si="21"/>
        <v>5</v>
      </c>
      <c r="M99" s="13">
        <f t="shared" si="22"/>
        <v>4</v>
      </c>
      <c r="N99" s="14">
        <f t="shared" si="23"/>
        <v>1101005</v>
      </c>
      <c r="O99" s="14" t="str">
        <f t="shared" si="24"/>
        <v>刘羽禅12突</v>
      </c>
      <c r="P99" s="29" t="s">
        <v>341</v>
      </c>
      <c r="Q99" s="14">
        <f t="shared" si="25"/>
        <v>1</v>
      </c>
      <c r="R99" s="14">
        <f t="shared" si="26"/>
        <v>12</v>
      </c>
      <c r="S99" s="14" t="s">
        <v>39</v>
      </c>
      <c r="T99" s="14">
        <f>ROUND(((IF(Q99=1,INDEX(新属性投放!$J$14:$J$34,卡牌属性!R99),INDEX(新属性投放!$J$42:$J$62,卡牌属性!R99)))*INDEX($G$5:$G$42,L99)+IF(Q99=1,INDEX(新属性投放!R$20:R$23,卡牌属性!M99-1),INDEX(新属性投放!R$25:R$28,卡牌属性!M99-1)))/SQRT(INDEX($I$5:$I$42,L99)),2)</f>
        <v>7202.37</v>
      </c>
      <c r="U99" s="29" t="s">
        <v>178</v>
      </c>
      <c r="V99" s="14">
        <f>ROUND((IF(Q99=1,INDEX(新属性投放!$K$14:$K$34,卡牌属性!R99),INDEX(新属性投放!$K$42:$K$62,卡牌属性!R99))+IF(Q99=1,INDEX(新属性投放!S$20:S$23,卡牌属性!M99-1),INDEX(新属性投放!S$25:S$28,卡牌属性!M99-1)))*INDEX($G$5:$G$42,L99),2)</f>
        <v>3501.49</v>
      </c>
      <c r="W99" s="29" t="s">
        <v>179</v>
      </c>
      <c r="X99" s="14">
        <f>ROUND((IF(Q99=1,INDEX(新属性投放!$L$14:$L$34,卡牌属性!R99),INDEX(新属性投放!$L$42:$L$62,卡牌属性!R99))*INDEX($G$5:$G$42,L99)+IF(Q99=1,INDEX(新属性投放!T$20:T$23,卡牌属性!M99-1),INDEX(新属性投放!T$25:T$28,卡牌属性!M99-1)))*SQRT(INDEX($I$5:$I$42,L99)),2)</f>
        <v>22037.11</v>
      </c>
      <c r="Y99" s="29" t="s">
        <v>177</v>
      </c>
      <c r="Z99" s="14">
        <f>ROUND(IF(Q99=1,INDEX(新属性投放!$D$14:$D$34,卡牌属性!R99),INDEX(新属性投放!$D$42:$D$62,卡牌属性!R99))*INDEX($G$5:$G$42,L99)/SQRT(INDEX($I$5:$I$42,L99)),2)</f>
        <v>176.31</v>
      </c>
      <c r="AA99" s="29" t="s">
        <v>178</v>
      </c>
      <c r="AB99" s="14">
        <f>ROUND(IF(Q99=1,INDEX(新属性投放!$E$14:$E$34,卡牌属性!R99),INDEX(新属性投放!$E$42:$E$62,卡牌属性!R99))*INDEX($G$5:$G$42,L99),2)</f>
        <v>88.15</v>
      </c>
      <c r="AC99" s="29" t="s">
        <v>179</v>
      </c>
      <c r="AD99" s="14">
        <f>ROUND(IF(Q99=1,INDEX(新属性投放!$F$14:$F$34,卡牌属性!R99),INDEX(新属性投放!$F$42:$F$62,卡牌属性!R99))*INDEX($G$5:$G$42,L99)*SQRT(INDEX($I$5:$I$42,L99)),2)</f>
        <v>528.91999999999996</v>
      </c>
      <c r="AF99" s="14">
        <f t="shared" si="27"/>
        <v>1763</v>
      </c>
      <c r="AG99" s="14">
        <f t="shared" si="28"/>
        <v>881</v>
      </c>
      <c r="AH99" s="14">
        <f t="shared" si="29"/>
        <v>5289</v>
      </c>
      <c r="AJ99" s="14">
        <f t="shared" si="30"/>
        <v>7376</v>
      </c>
      <c r="AK99" s="14">
        <f t="shared" si="31"/>
        <v>3685</v>
      </c>
      <c r="AL99" s="14">
        <f t="shared" si="32"/>
        <v>22132</v>
      </c>
    </row>
    <row r="100" spans="11:38" ht="16.5" x14ac:dyDescent="0.2">
      <c r="K100" s="13">
        <v>97</v>
      </c>
      <c r="L100" s="13">
        <f t="shared" si="21"/>
        <v>5</v>
      </c>
      <c r="M100" s="13">
        <f t="shared" si="22"/>
        <v>4</v>
      </c>
      <c r="N100" s="14">
        <f t="shared" si="23"/>
        <v>1101005</v>
      </c>
      <c r="O100" s="14" t="str">
        <f t="shared" si="24"/>
        <v>刘羽禅13突</v>
      </c>
      <c r="P100" s="29" t="s">
        <v>341</v>
      </c>
      <c r="Q100" s="14">
        <f t="shared" si="25"/>
        <v>1</v>
      </c>
      <c r="R100" s="14">
        <f t="shared" si="26"/>
        <v>13</v>
      </c>
      <c r="S100" s="14" t="s">
        <v>39</v>
      </c>
      <c r="T100" s="14">
        <f>ROUND(((IF(Q100=1,INDEX(新属性投放!$J$14:$J$34,卡牌属性!R100),INDEX(新属性投放!$J$42:$J$62,卡牌属性!R100)))*INDEX($G$5:$G$42,L100)+IF(Q100=1,INDEX(新属性投放!R$20:R$23,卡牌属性!M100-1),INDEX(新属性投放!R$25:R$28,卡牌属性!M100-1)))/SQRT(INDEX($I$5:$I$42,L100)),2)</f>
        <v>9406.1299999999992</v>
      </c>
      <c r="U100" s="29" t="s">
        <v>178</v>
      </c>
      <c r="V100" s="14">
        <f>ROUND((IF(Q100=1,INDEX(新属性投放!$K$14:$K$34,卡牌属性!R100),INDEX(新属性投放!$K$42:$K$62,卡牌属性!R100))+IF(Q100=1,INDEX(新属性投放!S$20:S$23,卡牌属性!M100-1),INDEX(新属性投放!S$25:S$28,卡牌属性!M100-1)))*INDEX($G$5:$G$42,L100),2)</f>
        <v>4604.0200000000004</v>
      </c>
      <c r="W100" s="29" t="s">
        <v>179</v>
      </c>
      <c r="X100" s="14">
        <f>ROUND((IF(Q100=1,INDEX(新属性投放!$L$14:$L$34,卡牌属性!R100),INDEX(新属性投放!$L$42:$L$62,卡牌属性!R100))*INDEX($G$5:$G$42,L100)+IF(Q100=1,INDEX(新属性投放!T$20:T$23,卡牌属性!M100-1),INDEX(新属性投放!T$25:T$28,卡牌属性!M100-1)))*SQRT(INDEX($I$5:$I$42,L100)),2)</f>
        <v>28648.39</v>
      </c>
      <c r="Y100" s="29" t="s">
        <v>177</v>
      </c>
      <c r="Z100" s="14">
        <f>ROUND(IF(Q100=1,INDEX(新属性投放!$D$14:$D$34,卡牌属性!R100),INDEX(新属性投放!$D$42:$D$62,卡牌属性!R100))*INDEX($G$5:$G$42,L100)/SQRT(INDEX($I$5:$I$42,L100)),2)</f>
        <v>231.4</v>
      </c>
      <c r="AA100" s="29" t="s">
        <v>178</v>
      </c>
      <c r="AB100" s="14">
        <f>ROUND(IF(Q100=1,INDEX(新属性投放!$E$14:$E$34,卡牌属性!R100),INDEX(新属性投放!$E$42:$E$62,卡牌属性!R100))*INDEX($G$5:$G$42,L100),2)</f>
        <v>115.7</v>
      </c>
      <c r="AC100" s="29" t="s">
        <v>179</v>
      </c>
      <c r="AD100" s="14">
        <f>ROUND(IF(Q100=1,INDEX(新属性投放!$F$14:$F$34,卡牌属性!R100),INDEX(新属性投放!$F$42:$F$62,卡牌属性!R100))*INDEX($G$5:$G$42,L100)*SQRT(INDEX($I$5:$I$42,L100)),2)</f>
        <v>694.2</v>
      </c>
      <c r="AF100" s="14">
        <f t="shared" si="27"/>
        <v>2314</v>
      </c>
      <c r="AG100" s="14">
        <f t="shared" si="28"/>
        <v>1157</v>
      </c>
      <c r="AH100" s="14">
        <f t="shared" si="29"/>
        <v>6942</v>
      </c>
      <c r="AJ100" s="14">
        <f t="shared" si="30"/>
        <v>9690</v>
      </c>
      <c r="AK100" s="14">
        <f t="shared" si="31"/>
        <v>4842</v>
      </c>
      <c r="AL100" s="14">
        <f t="shared" si="32"/>
        <v>29074</v>
      </c>
    </row>
    <row r="101" spans="11:38" ht="16.5" x14ac:dyDescent="0.2">
      <c r="K101" s="13">
        <v>98</v>
      </c>
      <c r="L101" s="13">
        <f t="shared" si="21"/>
        <v>5</v>
      </c>
      <c r="M101" s="13">
        <f t="shared" si="22"/>
        <v>4</v>
      </c>
      <c r="N101" s="14">
        <f t="shared" si="23"/>
        <v>1101005</v>
      </c>
      <c r="O101" s="14" t="str">
        <f t="shared" si="24"/>
        <v>刘羽禅14突</v>
      </c>
      <c r="P101" s="29" t="s">
        <v>341</v>
      </c>
      <c r="Q101" s="14">
        <f t="shared" si="25"/>
        <v>1</v>
      </c>
      <c r="R101" s="14">
        <f t="shared" si="26"/>
        <v>14</v>
      </c>
      <c r="S101" s="14" t="s">
        <v>39</v>
      </c>
      <c r="T101" s="14">
        <f>ROUND(((IF(Q101=1,INDEX(新属性投放!$J$14:$J$34,卡牌属性!R101),INDEX(新属性投放!$J$42:$J$62,卡牌属性!R101)))*INDEX($G$5:$G$42,L101)+IF(Q101=1,INDEX(新属性投放!R$20:R$23,卡牌属性!M101-1),INDEX(新属性投放!R$25:R$28,卡牌属性!M101-1)))/SQRT(INDEX($I$5:$I$42,L101)),2)</f>
        <v>12298.63</v>
      </c>
      <c r="U101" s="29" t="s">
        <v>178</v>
      </c>
      <c r="V101" s="14">
        <f>ROUND((IF(Q101=1,INDEX(新属性投放!$K$14:$K$34,卡牌属性!R101),INDEX(新属性投放!$K$42:$K$62,卡牌属性!R101))+IF(Q101=1,INDEX(新属性投放!S$20:S$23,卡牌属性!M101-1),INDEX(新属性投放!S$25:S$28,卡牌属性!M101-1)))*INDEX($G$5:$G$42,L101),2)</f>
        <v>6050.92</v>
      </c>
      <c r="W101" s="29" t="s">
        <v>179</v>
      </c>
      <c r="X101" s="14">
        <f>ROUND((IF(Q101=1,INDEX(新属性投放!$L$14:$L$34,卡牌属性!R101),INDEX(新属性投放!$L$42:$L$62,卡牌属性!R101))*INDEX($G$5:$G$42,L101)+IF(Q101=1,INDEX(新属性投放!T$20:T$23,卡牌属性!M101-1),INDEX(新属性投放!T$25:T$28,卡牌属性!M101-1)))*SQRT(INDEX($I$5:$I$42,L101)),2)</f>
        <v>37325.89</v>
      </c>
      <c r="Y101" s="29" t="s">
        <v>177</v>
      </c>
      <c r="Z101" s="14">
        <f>ROUND(IF(Q101=1,INDEX(新属性投放!$D$14:$D$34,卡牌属性!R101),INDEX(新属性投放!$D$42:$D$62,卡牌属性!R101))*INDEX($G$5:$G$42,L101)/SQRT(INDEX($I$5:$I$42,L101)),2)</f>
        <v>303.72000000000003</v>
      </c>
      <c r="AA101" s="29" t="s">
        <v>178</v>
      </c>
      <c r="AB101" s="14">
        <f>ROUND(IF(Q101=1,INDEX(新属性投放!$E$14:$E$34,卡牌属性!R101),INDEX(新属性投放!$E$42:$E$62,卡牌属性!R101))*INDEX($G$5:$G$42,L101),2)</f>
        <v>151.86000000000001</v>
      </c>
      <c r="AC101" s="29" t="s">
        <v>179</v>
      </c>
      <c r="AD101" s="14">
        <f>ROUND(IF(Q101=1,INDEX(新属性投放!$F$14:$F$34,卡牌属性!R101),INDEX(新属性投放!$F$42:$F$62,卡牌属性!R101))*INDEX($G$5:$G$42,L101)*SQRT(INDEX($I$5:$I$42,L101)),2)</f>
        <v>911.16</v>
      </c>
      <c r="AF101" s="14">
        <f t="shared" si="27"/>
        <v>3037</v>
      </c>
      <c r="AG101" s="14">
        <f t="shared" si="28"/>
        <v>1518</v>
      </c>
      <c r="AH101" s="14">
        <f t="shared" si="29"/>
        <v>9111</v>
      </c>
      <c r="AJ101" s="14">
        <f t="shared" si="30"/>
        <v>12727</v>
      </c>
      <c r="AK101" s="14">
        <f t="shared" si="31"/>
        <v>6360</v>
      </c>
      <c r="AL101" s="14">
        <f t="shared" si="32"/>
        <v>38185</v>
      </c>
    </row>
    <row r="102" spans="11:38" ht="16.5" x14ac:dyDescent="0.2">
      <c r="K102" s="13">
        <v>99</v>
      </c>
      <c r="L102" s="13">
        <f t="shared" si="21"/>
        <v>5</v>
      </c>
      <c r="M102" s="13">
        <f t="shared" si="22"/>
        <v>4</v>
      </c>
      <c r="N102" s="14">
        <f t="shared" si="23"/>
        <v>1101005</v>
      </c>
      <c r="O102" s="14" t="str">
        <f t="shared" si="24"/>
        <v>刘羽禅15突</v>
      </c>
      <c r="P102" s="29" t="s">
        <v>341</v>
      </c>
      <c r="Q102" s="14">
        <f t="shared" si="25"/>
        <v>1</v>
      </c>
      <c r="R102" s="14">
        <f t="shared" si="26"/>
        <v>15</v>
      </c>
      <c r="S102" s="14" t="s">
        <v>39</v>
      </c>
      <c r="T102" s="14">
        <f>ROUND(((IF(Q102=1,INDEX(新属性投放!$J$14:$J$34,卡牌属性!R102),INDEX(新属性投放!$J$42:$J$62,卡牌属性!R102)))*INDEX($G$5:$G$42,L102)+IF(Q102=1,INDEX(新属性投放!R$20:R$23,卡牌属性!M102-1),INDEX(新属性投放!R$25:R$28,卡牌属性!M102-1)))/SQRT(INDEX($I$5:$I$42,L102)),2)</f>
        <v>16095.02</v>
      </c>
      <c r="U102" s="29" t="s">
        <v>178</v>
      </c>
      <c r="V102" s="14">
        <f>ROUND((IF(Q102=1,INDEX(新属性投放!$K$14:$K$34,卡牌属性!R102),INDEX(新属性投放!$K$42:$K$62,卡牌属性!R102))+IF(Q102=1,INDEX(新属性投放!S$20:S$23,卡牌属性!M102-1),INDEX(新属性投放!S$25:S$28,卡牌属性!M102-1)))*INDEX($G$5:$G$42,L102),2)</f>
        <v>7949.11</v>
      </c>
      <c r="W102" s="29" t="s">
        <v>179</v>
      </c>
      <c r="X102" s="14">
        <f>ROUND((IF(Q102=1,INDEX(新属性投放!$L$14:$L$34,卡牌属性!R102),INDEX(新属性投放!$L$42:$L$62,卡牌属性!R102))*INDEX($G$5:$G$42,L102)+IF(Q102=1,INDEX(新属性投放!T$20:T$23,卡牌属性!M102-1),INDEX(新属性投放!T$25:T$28,卡牌属性!M102-1)))*SQRT(INDEX($I$5:$I$42,L102)),2)</f>
        <v>48715.06</v>
      </c>
      <c r="Y102" s="29" t="s">
        <v>177</v>
      </c>
      <c r="Z102" s="14">
        <f>ROUND(IF(Q102=1,INDEX(新属性投放!$D$14:$D$34,卡牌属性!R102),INDEX(新属性投放!$D$42:$D$62,卡牌属性!R102))*INDEX($G$5:$G$42,L102)/SQRT(INDEX($I$5:$I$42,L102)),2)</f>
        <v>398.63</v>
      </c>
      <c r="AA102" s="29" t="s">
        <v>178</v>
      </c>
      <c r="AB102" s="14">
        <f>ROUND(IF(Q102=1,INDEX(新属性投放!$E$14:$E$34,卡牌属性!R102),INDEX(新属性投放!$E$42:$E$62,卡牌属性!R102))*INDEX($G$5:$G$42,L102),2)</f>
        <v>199.32</v>
      </c>
      <c r="AC102" s="29" t="s">
        <v>179</v>
      </c>
      <c r="AD102" s="14">
        <f>ROUND(IF(Q102=1,INDEX(新属性投放!$F$14:$F$34,卡牌属性!R102),INDEX(新属性投放!$F$42:$F$62,卡牌属性!R102))*INDEX($G$5:$G$42,L102)*SQRT(INDEX($I$5:$I$42,L102)),2)</f>
        <v>1195.9000000000001</v>
      </c>
      <c r="AF102" s="14">
        <f t="shared" si="27"/>
        <v>3986</v>
      </c>
      <c r="AG102" s="14">
        <f t="shared" si="28"/>
        <v>1993</v>
      </c>
      <c r="AH102" s="14">
        <f t="shared" si="29"/>
        <v>11959</v>
      </c>
      <c r="AJ102" s="14">
        <f t="shared" si="30"/>
        <v>16713</v>
      </c>
      <c r="AK102" s="14">
        <f t="shared" si="31"/>
        <v>8353</v>
      </c>
      <c r="AL102" s="14">
        <f t="shared" si="32"/>
        <v>50144</v>
      </c>
    </row>
    <row r="103" spans="11:38" ht="16.5" x14ac:dyDescent="0.2">
      <c r="K103" s="13">
        <v>100</v>
      </c>
      <c r="L103" s="13">
        <f t="shared" si="21"/>
        <v>5</v>
      </c>
      <c r="M103" s="13">
        <f t="shared" si="22"/>
        <v>4</v>
      </c>
      <c r="N103" s="14">
        <f t="shared" si="23"/>
        <v>1101005</v>
      </c>
      <c r="O103" s="14" t="str">
        <f t="shared" si="24"/>
        <v>刘羽禅16突</v>
      </c>
      <c r="P103" s="29" t="s">
        <v>341</v>
      </c>
      <c r="Q103" s="14">
        <f t="shared" si="25"/>
        <v>1</v>
      </c>
      <c r="R103" s="14">
        <f t="shared" si="26"/>
        <v>16</v>
      </c>
      <c r="S103" s="14" t="s">
        <v>39</v>
      </c>
      <c r="T103" s="14">
        <f>ROUND(((IF(Q103=1,INDEX(新属性投放!$J$14:$J$34,卡牌属性!R103),INDEX(新属性投放!$J$42:$J$62,卡牌属性!R103)))*INDEX($G$5:$G$42,L103)+IF(Q103=1,INDEX(新属性投放!R$20:R$23,卡牌属性!M103-1),INDEX(新属性投放!R$25:R$28,卡牌属性!M103-1)))/SQRT(INDEX($I$5:$I$42,L103)),2)</f>
        <v>21078.44</v>
      </c>
      <c r="U103" s="29" t="s">
        <v>178</v>
      </c>
      <c r="V103" s="14">
        <f>ROUND((IF(Q103=1,INDEX(新属性投放!$K$14:$K$34,卡牌属性!R103),INDEX(新属性投放!$K$42:$K$62,卡牌属性!R103))+IF(Q103=1,INDEX(新属性投放!S$20:S$23,卡牌属性!M103-1),INDEX(新属性投放!S$25:S$28,卡牌属性!M103-1)))*INDEX($G$5:$G$42,L103),2)</f>
        <v>10440.17</v>
      </c>
      <c r="W103" s="29" t="s">
        <v>179</v>
      </c>
      <c r="X103" s="14">
        <f>ROUND((IF(Q103=1,INDEX(新属性投放!$L$14:$L$34,卡牌属性!R103),INDEX(新属性投放!$L$42:$L$62,卡牌属性!R103))*INDEX($G$5:$G$42,L103)+IF(Q103=1,INDEX(新属性投放!T$20:T$23,卡牌属性!M103-1),INDEX(新属性投放!T$25:T$28,卡牌属性!M103-1)))*SQRT(INDEX($I$5:$I$42,L103)),2)</f>
        <v>63665.32</v>
      </c>
      <c r="Y103" s="29" t="s">
        <v>177</v>
      </c>
      <c r="Z103" s="14">
        <f>ROUND(IF(Q103=1,INDEX(新属性投放!$D$14:$D$34,卡牌属性!R103),INDEX(新属性投放!$D$42:$D$62,卡牌属性!R103))*INDEX($G$5:$G$42,L103)/SQRT(INDEX($I$5:$I$42,L103)),2)</f>
        <v>523.21</v>
      </c>
      <c r="AA103" s="29" t="s">
        <v>178</v>
      </c>
      <c r="AB103" s="14">
        <f>ROUND(IF(Q103=1,INDEX(新属性投放!$E$14:$E$34,卡牌属性!R103),INDEX(新属性投放!$E$42:$E$62,卡牌属性!R103))*INDEX($G$5:$G$42,L103),2)</f>
        <v>261.61</v>
      </c>
      <c r="AC103" s="29" t="s">
        <v>179</v>
      </c>
      <c r="AD103" s="14">
        <f>ROUND(IF(Q103=1,INDEX(新属性投放!$F$14:$F$34,卡牌属性!R103),INDEX(新属性投放!$F$42:$F$62,卡牌属性!R103))*INDEX($G$5:$G$42,L103)*SQRT(INDEX($I$5:$I$42,L103)),2)</f>
        <v>1569.63</v>
      </c>
      <c r="AF103" s="14">
        <f t="shared" si="27"/>
        <v>5232</v>
      </c>
      <c r="AG103" s="14">
        <f t="shared" si="28"/>
        <v>2616</v>
      </c>
      <c r="AH103" s="14">
        <f t="shared" si="29"/>
        <v>15696</v>
      </c>
      <c r="AJ103" s="14">
        <f t="shared" si="30"/>
        <v>21945</v>
      </c>
      <c r="AK103" s="14">
        <f t="shared" si="31"/>
        <v>10969</v>
      </c>
      <c r="AL103" s="14">
        <f t="shared" si="32"/>
        <v>65840</v>
      </c>
    </row>
    <row r="104" spans="11:38" ht="16.5" x14ac:dyDescent="0.2">
      <c r="K104" s="13">
        <v>101</v>
      </c>
      <c r="L104" s="13">
        <f t="shared" si="21"/>
        <v>5</v>
      </c>
      <c r="M104" s="13">
        <f t="shared" si="22"/>
        <v>4</v>
      </c>
      <c r="N104" s="14">
        <f t="shared" si="23"/>
        <v>1101005</v>
      </c>
      <c r="O104" s="14" t="str">
        <f t="shared" si="24"/>
        <v>刘羽禅17突</v>
      </c>
      <c r="P104" s="29" t="s">
        <v>341</v>
      </c>
      <c r="Q104" s="14">
        <f t="shared" si="25"/>
        <v>1</v>
      </c>
      <c r="R104" s="14">
        <f t="shared" si="26"/>
        <v>17</v>
      </c>
      <c r="S104" s="14" t="s">
        <v>39</v>
      </c>
      <c r="T104" s="14">
        <f>ROUND(((IF(Q104=1,INDEX(新属性投放!$J$14:$J$34,卡牌属性!R104),INDEX(新属性投放!$J$42:$J$62,卡牌属性!R104)))*INDEX($G$5:$G$42,L104)+IF(Q104=1,INDEX(新属性投放!R$20:R$23,卡牌属性!M104-1),INDEX(新属性投放!R$25:R$28,卡牌属性!M104-1)))/SQRT(INDEX($I$5:$I$42,L104)),2)</f>
        <v>27618.35</v>
      </c>
      <c r="U104" s="29" t="s">
        <v>178</v>
      </c>
      <c r="V104" s="14">
        <f>ROUND((IF(Q104=1,INDEX(新属性投放!$K$14:$K$34,卡牌属性!R104),INDEX(新属性投放!$K$42:$K$62,卡牌属性!R104))+IF(Q104=1,INDEX(新属性投放!S$20:S$23,卡牌属性!M104-1),INDEX(新属性投放!S$25:S$28,卡牌属性!M104-1)))*INDEX($G$5:$G$42,L104),2)</f>
        <v>13710.13</v>
      </c>
      <c r="W104" s="29" t="s">
        <v>179</v>
      </c>
      <c r="X104" s="14">
        <f>ROUND((IF(Q104=1,INDEX(新属性投放!$L$14:$L$34,卡牌属性!R104),INDEX(新属性投放!$L$42:$L$62,卡牌属性!R104))*INDEX($G$5:$G$42,L104)+IF(Q104=1,INDEX(新属性投放!T$20:T$23,卡牌属性!M104-1),INDEX(新属性投放!T$25:T$28,卡牌属性!M104-1)))*SQRT(INDEX($I$5:$I$42,L104)),2)</f>
        <v>83285.05</v>
      </c>
      <c r="Y104" s="29" t="s">
        <v>177</v>
      </c>
      <c r="Z104" s="14">
        <f>ROUND(IF(Q104=1,INDEX(新属性投放!$D$14:$D$34,卡牌属性!R104),INDEX(新属性投放!$D$42:$D$62,卡牌属性!R104))*INDEX($G$5:$G$42,L104)/SQRT(INDEX($I$5:$I$42,L104)),2)</f>
        <v>686.71</v>
      </c>
      <c r="AA104" s="29" t="s">
        <v>178</v>
      </c>
      <c r="AB104" s="14">
        <f>ROUND(IF(Q104=1,INDEX(新属性投放!$E$14:$E$34,卡牌属性!R104),INDEX(新属性投放!$E$42:$E$62,卡牌属性!R104))*INDEX($G$5:$G$42,L104),2)</f>
        <v>343.36</v>
      </c>
      <c r="AC104" s="29" t="s">
        <v>179</v>
      </c>
      <c r="AD104" s="14">
        <f>ROUND(IF(Q104=1,INDEX(新属性投放!$F$14:$F$34,卡牌属性!R104),INDEX(新属性投放!$F$42:$F$62,卡牌属性!R104))*INDEX($G$5:$G$42,L104)*SQRT(INDEX($I$5:$I$42,L104)),2)</f>
        <v>2060.14</v>
      </c>
      <c r="AF104" s="14">
        <f t="shared" si="27"/>
        <v>6867</v>
      </c>
      <c r="AG104" s="14">
        <f t="shared" si="28"/>
        <v>3433</v>
      </c>
      <c r="AH104" s="14">
        <f t="shared" si="29"/>
        <v>20601</v>
      </c>
      <c r="AJ104" s="14">
        <f t="shared" si="30"/>
        <v>28812</v>
      </c>
      <c r="AK104" s="14">
        <f t="shared" si="31"/>
        <v>14402</v>
      </c>
      <c r="AL104" s="14">
        <f t="shared" si="32"/>
        <v>86441</v>
      </c>
    </row>
    <row r="105" spans="11:38" ht="16.5" x14ac:dyDescent="0.2">
      <c r="K105" s="13">
        <v>102</v>
      </c>
      <c r="L105" s="13">
        <f t="shared" si="21"/>
        <v>5</v>
      </c>
      <c r="M105" s="13">
        <f t="shared" si="22"/>
        <v>4</v>
      </c>
      <c r="N105" s="14">
        <f t="shared" si="23"/>
        <v>1101005</v>
      </c>
      <c r="O105" s="14" t="str">
        <f t="shared" si="24"/>
        <v>刘羽禅18突</v>
      </c>
      <c r="P105" s="29" t="s">
        <v>341</v>
      </c>
      <c r="Q105" s="14">
        <f t="shared" si="25"/>
        <v>1</v>
      </c>
      <c r="R105" s="14">
        <f t="shared" si="26"/>
        <v>18</v>
      </c>
      <c r="S105" s="14" t="s">
        <v>39</v>
      </c>
      <c r="T105" s="14">
        <f>ROUND(((IF(Q105=1,INDEX(新属性投放!$J$14:$J$34,卡牌属性!R105),INDEX(新属性投放!$J$42:$J$62,卡牌属性!R105)))*INDEX($G$5:$G$42,L105)+IF(Q105=1,INDEX(新属性投放!R$20:R$23,卡牌属性!M105-1),INDEX(新属性投放!R$25:R$28,卡牌属性!M105-1)))/SQRT(INDEX($I$5:$I$42,L105)),2)</f>
        <v>36202.769999999997</v>
      </c>
      <c r="U105" s="29" t="s">
        <v>178</v>
      </c>
      <c r="V105" s="14">
        <f>ROUND((IF(Q105=1,INDEX(新属性投放!$K$14:$K$34,卡牌属性!R105),INDEX(新属性投放!$K$42:$K$62,卡牌属性!R105))+IF(Q105=1,INDEX(新属性投放!S$20:S$23,卡牌属性!M105-1),INDEX(新属性投放!S$25:S$28,卡牌属性!M105-1)))*INDEX($G$5:$G$42,L105),2)</f>
        <v>18001.689999999999</v>
      </c>
      <c r="W105" s="29" t="s">
        <v>179</v>
      </c>
      <c r="X105" s="14">
        <f>ROUND((IF(Q105=1,INDEX(新属性投放!$L$14:$L$34,卡牌属性!R105),INDEX(新属性投放!$L$42:$L$62,卡牌属性!R105))*INDEX($G$5:$G$42,L105)+IF(Q105=1,INDEX(新属性投放!T$20:T$23,卡牌属性!M105-1),INDEX(新属性投放!T$25:T$28,卡牌属性!M105-1)))*SQRT(INDEX($I$5:$I$42,L105)),2)</f>
        <v>109038.31</v>
      </c>
      <c r="Y105" s="29" t="s">
        <v>177</v>
      </c>
      <c r="Z105" s="14">
        <f>ROUND(IF(Q105=1,INDEX(新属性投放!$D$14:$D$34,卡牌属性!R105),INDEX(新属性投放!$D$42:$D$62,卡牌属性!R105))*INDEX($G$5:$G$42,L105)/SQRT(INDEX($I$5:$I$42,L105)),2)</f>
        <v>901.32</v>
      </c>
      <c r="AA105" s="29" t="s">
        <v>178</v>
      </c>
      <c r="AB105" s="14">
        <f>ROUND(IF(Q105=1,INDEX(新属性投放!$E$14:$E$34,卡牌属性!R105),INDEX(新属性投放!$E$42:$E$62,卡牌属性!R105))*INDEX($G$5:$G$42,L105),2)</f>
        <v>450.66</v>
      </c>
      <c r="AC105" s="29" t="s">
        <v>179</v>
      </c>
      <c r="AD105" s="14">
        <f>ROUND(IF(Q105=1,INDEX(新属性投放!$F$14:$F$34,卡牌属性!R105),INDEX(新属性投放!$F$42:$F$62,卡牌属性!R105))*INDEX($G$5:$G$42,L105)*SQRT(INDEX($I$5:$I$42,L105)),2)</f>
        <v>2703.95</v>
      </c>
      <c r="AF105" s="14">
        <f t="shared" si="27"/>
        <v>9013</v>
      </c>
      <c r="AG105" s="14">
        <f t="shared" si="28"/>
        <v>4506</v>
      </c>
      <c r="AH105" s="14">
        <f t="shared" si="29"/>
        <v>27039</v>
      </c>
      <c r="AJ105" s="14">
        <f t="shared" si="30"/>
        <v>37825</v>
      </c>
      <c r="AK105" s="14">
        <f t="shared" si="31"/>
        <v>18908</v>
      </c>
      <c r="AL105" s="14">
        <f t="shared" si="32"/>
        <v>113480</v>
      </c>
    </row>
    <row r="106" spans="11:38" ht="16.5" x14ac:dyDescent="0.2">
      <c r="K106" s="13">
        <v>103</v>
      </c>
      <c r="L106" s="13">
        <f t="shared" si="21"/>
        <v>5</v>
      </c>
      <c r="M106" s="13">
        <f t="shared" si="22"/>
        <v>4</v>
      </c>
      <c r="N106" s="14">
        <f t="shared" si="23"/>
        <v>1101005</v>
      </c>
      <c r="O106" s="14" t="str">
        <f t="shared" si="24"/>
        <v>刘羽禅19突</v>
      </c>
      <c r="P106" s="29" t="s">
        <v>341</v>
      </c>
      <c r="Q106" s="14">
        <f t="shared" si="25"/>
        <v>1</v>
      </c>
      <c r="R106" s="14">
        <f t="shared" si="26"/>
        <v>19</v>
      </c>
      <c r="S106" s="14" t="s">
        <v>39</v>
      </c>
      <c r="T106" s="14">
        <f>ROUND(((IF(Q106=1,INDEX(新属性投放!$J$14:$J$34,卡牌属性!R106),INDEX(新属性投放!$J$42:$J$62,卡牌属性!R106)))*INDEX($G$5:$G$42,L106)+IF(Q106=1,INDEX(新属性投放!R$20:R$23,卡牌属性!M106-1),INDEX(新属性投放!R$25:R$28,卡牌属性!M106-1)))/SQRT(INDEX($I$5:$I$42,L106)),2)</f>
        <v>47468.83</v>
      </c>
      <c r="U106" s="29" t="s">
        <v>178</v>
      </c>
      <c r="V106" s="14">
        <f>ROUND((IF(Q106=1,INDEX(新属性投放!$K$14:$K$34,卡牌属性!R106),INDEX(新属性投放!$K$42:$K$62,卡牌属性!R106))+IF(Q106=1,INDEX(新属性投放!S$20:S$23,卡牌属性!M106-1),INDEX(新属性投放!S$25:S$28,卡牌属性!M106-1)))*INDEX($G$5:$G$42,L106),2)</f>
        <v>23635.37</v>
      </c>
      <c r="W106" s="29" t="s">
        <v>179</v>
      </c>
      <c r="X106" s="14">
        <f>ROUND((IF(Q106=1,INDEX(新属性投放!$L$14:$L$34,卡牌属性!R106),INDEX(新属性投放!$L$42:$L$62,卡牌属性!R106))*INDEX($G$5:$G$42,L106)+IF(Q106=1,INDEX(新属性投放!T$20:T$23,卡牌属性!M106-1),INDEX(新属性投放!T$25:T$28,卡牌属性!M106-1)))*SQRT(INDEX($I$5:$I$42,L106)),2)</f>
        <v>142836.49</v>
      </c>
      <c r="Y106" s="29" t="s">
        <v>177</v>
      </c>
      <c r="Z106" s="14">
        <f>ROUND(IF(Q106=1,INDEX(新属性投放!$D$14:$D$34,卡牌属性!R106),INDEX(新属性投放!$D$42:$D$62,卡牌属性!R106))*INDEX($G$5:$G$42,L106)/SQRT(INDEX($I$5:$I$42,L106)),2)</f>
        <v>1182.97</v>
      </c>
      <c r="AA106" s="29" t="s">
        <v>178</v>
      </c>
      <c r="AB106" s="14">
        <f>ROUND(IF(Q106=1,INDEX(新属性投放!$E$14:$E$34,卡牌属性!R106),INDEX(新属性投放!$E$42:$E$62,卡牌属性!R106))*INDEX($G$5:$G$42,L106),2)</f>
        <v>591.49</v>
      </c>
      <c r="AC106" s="29" t="s">
        <v>179</v>
      </c>
      <c r="AD106" s="14">
        <f>ROUND(IF(Q106=1,INDEX(新属性投放!$F$14:$F$34,卡牌属性!R106),INDEX(新属性投放!$F$42:$F$62,卡牌属性!R106))*INDEX($G$5:$G$42,L106)*SQRT(INDEX($I$5:$I$42,L106)),2)</f>
        <v>3548.92</v>
      </c>
      <c r="AF106" s="14">
        <f t="shared" si="27"/>
        <v>11829</v>
      </c>
      <c r="AG106" s="14">
        <f t="shared" si="28"/>
        <v>5914</v>
      </c>
      <c r="AH106" s="14">
        <f t="shared" si="29"/>
        <v>35489</v>
      </c>
      <c r="AJ106" s="14">
        <f t="shared" si="30"/>
        <v>49654</v>
      </c>
      <c r="AK106" s="14">
        <f t="shared" si="31"/>
        <v>24822</v>
      </c>
      <c r="AL106" s="14">
        <f t="shared" si="32"/>
        <v>148969</v>
      </c>
    </row>
    <row r="107" spans="11:38" ht="16.5" x14ac:dyDescent="0.2">
      <c r="K107" s="13">
        <v>104</v>
      </c>
      <c r="L107" s="13">
        <f t="shared" si="21"/>
        <v>5</v>
      </c>
      <c r="M107" s="13">
        <f t="shared" si="22"/>
        <v>4</v>
      </c>
      <c r="N107" s="14">
        <f t="shared" si="23"/>
        <v>1101005</v>
      </c>
      <c r="O107" s="14" t="str">
        <f t="shared" si="24"/>
        <v>刘羽禅20突</v>
      </c>
      <c r="P107" s="29" t="s">
        <v>341</v>
      </c>
      <c r="Q107" s="14">
        <f t="shared" si="25"/>
        <v>1</v>
      </c>
      <c r="R107" s="14">
        <f t="shared" si="26"/>
        <v>20</v>
      </c>
      <c r="S107" s="14" t="s">
        <v>39</v>
      </c>
      <c r="T107" s="14">
        <f>ROUND(((IF(Q107=1,INDEX(新属性投放!$J$14:$J$34,卡牌属性!R107),INDEX(新属性投放!$J$42:$J$62,卡牌属性!R107)))*INDEX($G$5:$G$42,L107)+IF(Q107=1,INDEX(新属性投放!R$20:R$23,卡牌属性!M107-1),INDEX(新属性投放!R$25:R$28,卡牌属性!M107-1)))/SQRT(INDEX($I$5:$I$42,L107)),2)</f>
        <v>62256.07</v>
      </c>
      <c r="U107" s="29" t="s">
        <v>178</v>
      </c>
      <c r="V107" s="14">
        <f>ROUND((IF(Q107=1,INDEX(新属性投放!$K$14:$K$34,卡牌属性!R107),INDEX(新属性投放!$K$42:$K$62,卡牌属性!R107))+IF(Q107=1,INDEX(新属性投放!S$20:S$23,卡牌属性!M107-1),INDEX(新属性投放!S$25:S$28,卡牌属性!M107-1)))*INDEX($G$5:$G$42,L107),2)</f>
        <v>31028.34</v>
      </c>
      <c r="W107" s="29" t="s">
        <v>179</v>
      </c>
      <c r="X107" s="14">
        <f>ROUND((IF(Q107=1,INDEX(新属性投放!$L$14:$L$34,卡牌属性!R107),INDEX(新属性投放!$L$42:$L$62,卡牌属性!R107))*INDEX($G$5:$G$42,L107)+IF(Q107=1,INDEX(新属性投放!T$20:T$23,卡牌属性!M107-1),INDEX(新属性投放!T$25:T$28,卡牌属性!M107-1)))*SQRT(INDEX($I$5:$I$42,L107)),2)</f>
        <v>187198.21</v>
      </c>
      <c r="Y107" s="29" t="s">
        <v>177</v>
      </c>
      <c r="Z107" s="14">
        <f>ROUND(IF(Q107=1,INDEX(新属性投放!$D$14:$D$34,卡牌属性!R107),INDEX(新属性投放!$D$42:$D$62,卡牌属性!R107))*INDEX($G$5:$G$42,L107)/SQRT(INDEX($I$5:$I$42,L107)),2)</f>
        <v>1552.66</v>
      </c>
      <c r="AA107" s="29" t="s">
        <v>178</v>
      </c>
      <c r="AB107" s="14">
        <f>ROUND(IF(Q107=1,INDEX(新属性投放!$E$14:$E$34,卡牌属性!R107),INDEX(新属性投放!$E$42:$E$62,卡牌属性!R107))*INDEX($G$5:$G$42,L107),2)</f>
        <v>776.33</v>
      </c>
      <c r="AC107" s="29" t="s">
        <v>179</v>
      </c>
      <c r="AD107" s="14">
        <f>ROUND(IF(Q107=1,INDEX(新属性投放!$F$14:$F$34,卡牌属性!R107),INDEX(新属性投放!$F$42:$F$62,卡牌属性!R107))*INDEX($G$5:$G$42,L107)*SQRT(INDEX($I$5:$I$42,L107)),2)</f>
        <v>4657.97</v>
      </c>
      <c r="AF107" s="14">
        <f t="shared" si="27"/>
        <v>15526</v>
      </c>
      <c r="AG107" s="14">
        <f t="shared" si="28"/>
        <v>7763</v>
      </c>
      <c r="AH107" s="14">
        <f t="shared" si="29"/>
        <v>46579</v>
      </c>
      <c r="AJ107" s="14">
        <f t="shared" si="30"/>
        <v>65180</v>
      </c>
      <c r="AK107" s="14">
        <f t="shared" si="31"/>
        <v>32585</v>
      </c>
      <c r="AL107" s="14">
        <f t="shared" si="32"/>
        <v>195548</v>
      </c>
    </row>
    <row r="108" spans="11:38" ht="16.5" x14ac:dyDescent="0.2">
      <c r="K108" s="13">
        <v>105</v>
      </c>
      <c r="L108" s="13">
        <f t="shared" si="21"/>
        <v>5</v>
      </c>
      <c r="M108" s="13">
        <f t="shared" si="22"/>
        <v>4</v>
      </c>
      <c r="N108" s="14">
        <f t="shared" si="23"/>
        <v>1101005</v>
      </c>
      <c r="O108" s="14" t="str">
        <f t="shared" si="24"/>
        <v>刘羽禅21突</v>
      </c>
      <c r="P108" s="29" t="s">
        <v>341</v>
      </c>
      <c r="Q108" s="14">
        <f t="shared" si="25"/>
        <v>1</v>
      </c>
      <c r="R108" s="14">
        <f t="shared" si="26"/>
        <v>21</v>
      </c>
      <c r="S108" s="14" t="s">
        <v>39</v>
      </c>
      <c r="T108" s="14">
        <f>ROUND(((IF(Q108=1,INDEX(新属性投放!$J$14:$J$34,卡牌属性!R108),INDEX(新属性投放!$J$42:$J$62,卡牌属性!R108)))*INDEX($G$5:$G$42,L108)+IF(Q108=1,INDEX(新属性投放!R$20:R$23,卡牌属性!M108-1),INDEX(新属性投放!R$25:R$28,卡牌属性!M108-1)))/SQRT(INDEX($I$5:$I$42,L108)),2)</f>
        <v>81664.42</v>
      </c>
      <c r="U108" s="29" t="s">
        <v>178</v>
      </c>
      <c r="V108" s="14">
        <f>ROUND((IF(Q108=1,INDEX(新属性投放!$K$14:$K$34,卡牌属性!R108),INDEX(新属性投放!$K$42:$K$62,卡牌属性!R108))+IF(Q108=1,INDEX(新属性投放!S$20:S$23,卡牌属性!M108-1),INDEX(新属性投放!S$25:S$28,卡牌属性!M108-1)))*INDEX($G$5:$G$42,L108),2)</f>
        <v>40732.51</v>
      </c>
      <c r="W108" s="29" t="s">
        <v>179</v>
      </c>
      <c r="X108" s="14">
        <f>ROUND((IF(Q108=1,INDEX(新属性投放!$L$14:$L$34,卡牌属性!R108),INDEX(新属性投放!$L$42:$L$62,卡牌属性!R108))*INDEX($G$5:$G$42,L108)+IF(Q108=1,INDEX(新属性投放!T$20:T$23,卡牌属性!M108-1),INDEX(新属性投放!T$25:T$28,卡牌属性!M108-1)))*SQRT(INDEX($I$5:$I$42,L108)),2)</f>
        <v>245423.26</v>
      </c>
      <c r="Y108" s="29" t="s">
        <v>177</v>
      </c>
      <c r="Z108" s="14">
        <f>ROUND(IF(Q108=1,INDEX(新属性投放!$D$14:$D$34,卡牌属性!R108),INDEX(新属性投放!$D$42:$D$62,卡牌属性!R108))*INDEX($G$5:$G$42,L108)/SQRT(INDEX($I$5:$I$42,L108)),2)</f>
        <v>2037.87</v>
      </c>
      <c r="AA108" s="29" t="s">
        <v>178</v>
      </c>
      <c r="AB108" s="14">
        <f>ROUND(IF(Q108=1,INDEX(新属性投放!$E$14:$E$34,卡牌属性!R108),INDEX(新属性投放!$E$42:$E$62,卡牌属性!R108))*INDEX($G$5:$G$42,L108),2)</f>
        <v>1018.93</v>
      </c>
      <c r="AC108" s="29" t="s">
        <v>179</v>
      </c>
      <c r="AD108" s="14">
        <f>ROUND(IF(Q108=1,INDEX(新属性投放!$F$14:$F$34,卡牌属性!R108),INDEX(新属性投放!$F$42:$F$62,卡牌属性!R108))*INDEX($G$5:$G$42,L108)*SQRT(INDEX($I$5:$I$42,L108)),2)</f>
        <v>6113.6</v>
      </c>
      <c r="AF108" s="14">
        <f t="shared" si="27"/>
        <v>20378</v>
      </c>
      <c r="AG108" s="14">
        <f t="shared" si="28"/>
        <v>10189</v>
      </c>
      <c r="AH108" s="14">
        <f t="shared" si="29"/>
        <v>61136</v>
      </c>
      <c r="AJ108" s="14">
        <f t="shared" si="30"/>
        <v>85558</v>
      </c>
      <c r="AK108" s="14">
        <f t="shared" si="31"/>
        <v>42774</v>
      </c>
      <c r="AL108" s="14">
        <f t="shared" si="32"/>
        <v>256684</v>
      </c>
    </row>
    <row r="109" spans="11:38" ht="16.5" x14ac:dyDescent="0.2">
      <c r="K109" s="13">
        <v>106</v>
      </c>
      <c r="L109" s="13">
        <f t="shared" si="21"/>
        <v>6</v>
      </c>
      <c r="M109" s="13">
        <f t="shared" si="22"/>
        <v>4</v>
      </c>
      <c r="N109" s="14">
        <f t="shared" si="23"/>
        <v>1101006</v>
      </c>
      <c r="O109" s="14" t="str">
        <f t="shared" si="24"/>
        <v>红莲·缇娜1突</v>
      </c>
      <c r="P109" s="29" t="s">
        <v>341</v>
      </c>
      <c r="Q109" s="14">
        <f t="shared" si="25"/>
        <v>1</v>
      </c>
      <c r="R109" s="14">
        <f t="shared" si="26"/>
        <v>1</v>
      </c>
      <c r="S109" s="14" t="s">
        <v>39</v>
      </c>
      <c r="T109" s="14">
        <f>ROUND(((IF(Q109=1,INDEX(新属性投放!$J$14:$J$34,卡牌属性!R109),INDEX(新属性投放!$J$42:$J$62,卡牌属性!R109)))*INDEX($G$5:$G$42,L109)+IF(Q109=1,INDEX(新属性投放!R$20:R$23,卡牌属性!M109-1),INDEX(新属性投放!R$25:R$28,卡牌属性!M109-1)))/SQRT(INDEX($I$5:$I$42,L109)),2)</f>
        <v>215</v>
      </c>
      <c r="U109" s="29" t="s">
        <v>178</v>
      </c>
      <c r="V109" s="14">
        <f>ROUND((IF(Q109=1,INDEX(新属性投放!$K$14:$K$34,卡牌属性!R109),INDEX(新属性投放!$K$42:$K$62,卡牌属性!R109))+IF(Q109=1,INDEX(新属性投放!S$20:S$23,卡牌属性!M109-1),INDEX(新属性投放!S$25:S$28,卡牌属性!M109-1)))*INDEX($G$5:$G$42,L109),2)</f>
        <v>0</v>
      </c>
      <c r="W109" s="29" t="s">
        <v>179</v>
      </c>
      <c r="X109" s="14">
        <f>ROUND((IF(Q109=1,INDEX(新属性投放!$L$14:$L$34,卡牌属性!R109),INDEX(新属性投放!$L$42:$L$62,卡牌属性!R109))*INDEX($G$5:$G$42,L109)+IF(Q109=1,INDEX(新属性投放!T$20:T$23,卡牌属性!M109-1),INDEX(新属性投放!T$25:T$28,卡牌属性!M109-1)))*SQRT(INDEX($I$5:$I$42,L109)),2)</f>
        <v>1075</v>
      </c>
      <c r="Y109" s="29" t="s">
        <v>177</v>
      </c>
      <c r="Z109" s="14">
        <f>ROUND(IF(Q109=1,INDEX(新属性投放!$D$14:$D$34,卡牌属性!R109),INDEX(新属性投放!$D$42:$D$62,卡牌属性!R109))*INDEX($G$5:$G$42,L109)/SQRT(INDEX($I$5:$I$42,L109)),2)</f>
        <v>13</v>
      </c>
      <c r="AA109" s="29" t="s">
        <v>178</v>
      </c>
      <c r="AB109" s="14">
        <f>ROUND(IF(Q109=1,INDEX(新属性投放!$E$14:$E$34,卡牌属性!R109),INDEX(新属性投放!$E$42:$E$62,卡牌属性!R109))*INDEX($G$5:$G$42,L109),2)</f>
        <v>6.5</v>
      </c>
      <c r="AC109" s="29" t="s">
        <v>179</v>
      </c>
      <c r="AD109" s="14">
        <f>ROUND(IF(Q109=1,INDEX(新属性投放!$F$14:$F$34,卡牌属性!R109),INDEX(新属性投放!$F$42:$F$62,卡牌属性!R109))*INDEX($G$5:$G$42,L109)*SQRT(INDEX($I$5:$I$42,L109)),2)</f>
        <v>39</v>
      </c>
      <c r="AF109" s="14">
        <f t="shared" si="27"/>
        <v>130</v>
      </c>
      <c r="AG109" s="14">
        <f t="shared" si="28"/>
        <v>65</v>
      </c>
      <c r="AH109" s="14">
        <f t="shared" si="29"/>
        <v>390</v>
      </c>
      <c r="AJ109" s="14">
        <f>AF109</f>
        <v>130</v>
      </c>
      <c r="AK109" s="14">
        <f>AG109</f>
        <v>65</v>
      </c>
      <c r="AL109" s="14">
        <f>AH109</f>
        <v>390</v>
      </c>
    </row>
    <row r="110" spans="11:38" ht="16.5" x14ac:dyDescent="0.2">
      <c r="K110" s="13">
        <v>107</v>
      </c>
      <c r="L110" s="13">
        <f t="shared" si="21"/>
        <v>6</v>
      </c>
      <c r="M110" s="13">
        <f t="shared" si="22"/>
        <v>4</v>
      </c>
      <c r="N110" s="14">
        <f t="shared" si="23"/>
        <v>1101006</v>
      </c>
      <c r="O110" s="14" t="str">
        <f t="shared" si="24"/>
        <v>红莲·缇娜2突</v>
      </c>
      <c r="P110" s="29" t="s">
        <v>341</v>
      </c>
      <c r="Q110" s="14">
        <f t="shared" si="25"/>
        <v>1</v>
      </c>
      <c r="R110" s="14">
        <f t="shared" si="26"/>
        <v>2</v>
      </c>
      <c r="S110" s="14" t="s">
        <v>39</v>
      </c>
      <c r="T110" s="14">
        <f>ROUND(((IF(Q110=1,INDEX(新属性投放!$J$14:$J$34,卡牌属性!R110),INDEX(新属性投放!$J$42:$J$62,卡牌属性!R110)))*INDEX($G$5:$G$42,L110)+IF(Q110=1,INDEX(新属性投放!R$20:R$23,卡牌属性!M110-1),INDEX(新属性投放!R$25:R$28,卡牌属性!M110-1)))/SQRT(INDEX($I$5:$I$42,L110)),2)</f>
        <v>345</v>
      </c>
      <c r="U110" s="29" t="s">
        <v>178</v>
      </c>
      <c r="V110" s="14">
        <f>ROUND((IF(Q110=1,INDEX(新属性投放!$K$14:$K$34,卡牌属性!R110),INDEX(新属性投放!$K$42:$K$62,卡牌属性!R110))+IF(Q110=1,INDEX(新属性投放!S$20:S$23,卡牌属性!M110-1),INDEX(新属性投放!S$25:S$28,卡牌属性!M110-1)))*INDEX($G$5:$G$42,L110),2)</f>
        <v>72.8</v>
      </c>
      <c r="W110" s="29" t="s">
        <v>179</v>
      </c>
      <c r="X110" s="14">
        <f>ROUND((IF(Q110=1,INDEX(新属性投放!$L$14:$L$34,卡牌属性!R110),INDEX(新属性投放!$L$42:$L$62,卡牌属性!R110))*INDEX($G$5:$G$42,L110)+IF(Q110=1,INDEX(新属性投放!T$20:T$23,卡牌属性!M110-1),INDEX(新属性投放!T$25:T$28,卡牌属性!M110-1)))*SQRT(INDEX($I$5:$I$42,L110)),2)</f>
        <v>1465</v>
      </c>
      <c r="Y110" s="29" t="s">
        <v>177</v>
      </c>
      <c r="Z110" s="14">
        <f>ROUND(IF(Q110=1,INDEX(新属性投放!$D$14:$D$34,卡牌属性!R110),INDEX(新属性投放!$D$42:$D$62,卡牌属性!R110))*INDEX($G$5:$G$42,L110)/SQRT(INDEX($I$5:$I$42,L110)),2)</f>
        <v>13</v>
      </c>
      <c r="AA110" s="29" t="s">
        <v>178</v>
      </c>
      <c r="AB110" s="14">
        <f>ROUND(IF(Q110=1,INDEX(新属性投放!$E$14:$E$34,卡牌属性!R110),INDEX(新属性投放!$E$42:$E$62,卡牌属性!R110))*INDEX($G$5:$G$42,L110),2)</f>
        <v>6.5</v>
      </c>
      <c r="AC110" s="29" t="s">
        <v>179</v>
      </c>
      <c r="AD110" s="14">
        <f>ROUND(IF(Q110=1,INDEX(新属性投放!$F$14:$F$34,卡牌属性!R110),INDEX(新属性投放!$F$42:$F$62,卡牌属性!R110))*INDEX($G$5:$G$42,L110)*SQRT(INDEX($I$5:$I$42,L110)),2)</f>
        <v>39</v>
      </c>
      <c r="AF110" s="14">
        <f t="shared" si="27"/>
        <v>130</v>
      </c>
      <c r="AG110" s="14">
        <f t="shared" si="28"/>
        <v>65</v>
      </c>
      <c r="AH110" s="14">
        <f t="shared" si="29"/>
        <v>390</v>
      </c>
      <c r="AJ110" s="14">
        <f t="shared" ref="AJ110:AJ129" si="33">AJ109+AF110</f>
        <v>260</v>
      </c>
      <c r="AK110" s="14">
        <f t="shared" ref="AK110:AK129" si="34">AK109+AG110</f>
        <v>130</v>
      </c>
      <c r="AL110" s="14">
        <f t="shared" ref="AL110:AL129" si="35">AL109+AH110</f>
        <v>780</v>
      </c>
    </row>
    <row r="111" spans="11:38" ht="16.5" x14ac:dyDescent="0.2">
      <c r="K111" s="13">
        <v>108</v>
      </c>
      <c r="L111" s="13">
        <f t="shared" si="21"/>
        <v>6</v>
      </c>
      <c r="M111" s="13">
        <f t="shared" si="22"/>
        <v>4</v>
      </c>
      <c r="N111" s="14">
        <f t="shared" si="23"/>
        <v>1101006</v>
      </c>
      <c r="O111" s="14" t="str">
        <f t="shared" si="24"/>
        <v>红莲·缇娜3突</v>
      </c>
      <c r="P111" s="29" t="s">
        <v>341</v>
      </c>
      <c r="Q111" s="14">
        <f t="shared" si="25"/>
        <v>1</v>
      </c>
      <c r="R111" s="14">
        <f t="shared" si="26"/>
        <v>3</v>
      </c>
      <c r="S111" s="14" t="s">
        <v>39</v>
      </c>
      <c r="T111" s="14">
        <f>ROUND(((IF(Q111=1,INDEX(新属性投放!$J$14:$J$34,卡牌属性!R111),INDEX(新属性投放!$J$42:$J$62,卡牌属性!R111)))*INDEX($G$5:$G$42,L111)+IF(Q111=1,INDEX(新属性投放!R$20:R$23,卡牌属性!M111-1),INDEX(新属性投放!R$25:R$28,卡牌属性!M111-1)))/SQRT(INDEX($I$5:$I$42,L111)),2)</f>
        <v>507.5</v>
      </c>
      <c r="U111" s="29" t="s">
        <v>178</v>
      </c>
      <c r="V111" s="14">
        <f>ROUND((IF(Q111=1,INDEX(新属性投放!$K$14:$K$34,卡牌属性!R111),INDEX(新属性投放!$K$42:$K$62,卡牌属性!R111))+IF(Q111=1,INDEX(新属性投放!S$20:S$23,卡牌属性!M111-1),INDEX(新属性投放!S$25:S$28,卡牌属性!M111-1)))*INDEX($G$5:$G$42,L111),2)</f>
        <v>154.69999999999999</v>
      </c>
      <c r="W111" s="29" t="s">
        <v>179</v>
      </c>
      <c r="X111" s="14">
        <f>ROUND((IF(Q111=1,INDEX(新属性投放!$L$14:$L$34,卡牌属性!R111),INDEX(新属性投放!$L$42:$L$62,卡牌属性!R111))*INDEX($G$5:$G$42,L111)+IF(Q111=1,INDEX(新属性投放!T$20:T$23,卡牌属性!M111-1),INDEX(新属性投放!T$25:T$28,卡牌属性!M111-1)))*SQRT(INDEX($I$5:$I$42,L111)),2)</f>
        <v>1952.5</v>
      </c>
      <c r="Y111" s="29" t="s">
        <v>177</v>
      </c>
      <c r="Z111" s="14">
        <f>ROUND(IF(Q111=1,INDEX(新属性投放!$D$14:$D$34,卡牌属性!R111),INDEX(新属性投放!$D$42:$D$62,卡牌属性!R111))*INDEX($G$5:$G$42,L111)/SQRT(INDEX($I$5:$I$42,L111)),2)</f>
        <v>19.5</v>
      </c>
      <c r="AA111" s="29" t="s">
        <v>178</v>
      </c>
      <c r="AB111" s="14">
        <f>ROUND(IF(Q111=1,INDEX(新属性投放!$E$14:$E$34,卡牌属性!R111),INDEX(新属性投放!$E$42:$E$62,卡牌属性!R111))*INDEX($G$5:$G$42,L111),2)</f>
        <v>9.75</v>
      </c>
      <c r="AC111" s="29" t="s">
        <v>179</v>
      </c>
      <c r="AD111" s="14">
        <f>ROUND(IF(Q111=1,INDEX(新属性投放!$F$14:$F$34,卡牌属性!R111),INDEX(新属性投放!$F$42:$F$62,卡牌属性!R111))*INDEX($G$5:$G$42,L111)*SQRT(INDEX($I$5:$I$42,L111)),2)</f>
        <v>58.5</v>
      </c>
      <c r="AF111" s="14">
        <f t="shared" si="27"/>
        <v>195</v>
      </c>
      <c r="AG111" s="14">
        <f t="shared" si="28"/>
        <v>97</v>
      </c>
      <c r="AH111" s="14">
        <f t="shared" si="29"/>
        <v>585</v>
      </c>
      <c r="AJ111" s="14">
        <f t="shared" si="33"/>
        <v>455</v>
      </c>
      <c r="AK111" s="14">
        <f t="shared" si="34"/>
        <v>227</v>
      </c>
      <c r="AL111" s="14">
        <f t="shared" si="35"/>
        <v>1365</v>
      </c>
    </row>
    <row r="112" spans="11:38" ht="16.5" x14ac:dyDescent="0.2">
      <c r="K112" s="13">
        <v>109</v>
      </c>
      <c r="L112" s="13">
        <f t="shared" si="21"/>
        <v>6</v>
      </c>
      <c r="M112" s="13">
        <f t="shared" si="22"/>
        <v>4</v>
      </c>
      <c r="N112" s="14">
        <f t="shared" si="23"/>
        <v>1101006</v>
      </c>
      <c r="O112" s="14" t="str">
        <f t="shared" si="24"/>
        <v>红莲·缇娜4突</v>
      </c>
      <c r="P112" s="29" t="s">
        <v>341</v>
      </c>
      <c r="Q112" s="14">
        <f t="shared" si="25"/>
        <v>1</v>
      </c>
      <c r="R112" s="14">
        <f t="shared" si="26"/>
        <v>4</v>
      </c>
      <c r="S112" s="14" t="s">
        <v>39</v>
      </c>
      <c r="T112" s="14">
        <f>ROUND(((IF(Q112=1,INDEX(新属性投放!$J$14:$J$34,卡牌属性!R112),INDEX(新属性投放!$J$42:$J$62,卡牌属性!R112)))*INDEX($G$5:$G$42,L112)+IF(Q112=1,INDEX(新属性投放!R$20:R$23,卡牌属性!M112-1),INDEX(新属性投放!R$25:R$28,卡牌属性!M112-1)))/SQRT(INDEX($I$5:$I$42,L112)),2)</f>
        <v>751.9</v>
      </c>
      <c r="U112" s="29" t="s">
        <v>178</v>
      </c>
      <c r="V112" s="14">
        <f>ROUND((IF(Q112=1,INDEX(新属性投放!$K$14:$K$34,卡牌属性!R112),INDEX(新属性投放!$K$42:$K$62,卡牌属性!R112))+IF(Q112=1,INDEX(新属性投放!S$20:S$23,卡牌属性!M112-1),INDEX(新属性投放!S$25:S$28,卡牌属性!M112-1)))*INDEX($G$5:$G$42,L112),2)</f>
        <v>276.89999999999998</v>
      </c>
      <c r="W112" s="29" t="s">
        <v>179</v>
      </c>
      <c r="X112" s="14">
        <f>ROUND((IF(Q112=1,INDEX(新属性投放!$L$14:$L$34,卡牌属性!R112),INDEX(新属性投放!$L$42:$L$62,卡牌属性!R112))*INDEX($G$5:$G$42,L112)+IF(Q112=1,INDEX(新属性投放!T$20:T$23,卡牌属性!M112-1),INDEX(新属性投放!T$25:T$28,卡牌属性!M112-1)))*SQRT(INDEX($I$5:$I$42,L112)),2)</f>
        <v>2685.7</v>
      </c>
      <c r="Y112" s="29" t="s">
        <v>177</v>
      </c>
      <c r="Z112" s="14">
        <f>ROUND(IF(Q112=1,INDEX(新属性投放!$D$14:$D$34,卡牌属性!R112),INDEX(新属性投放!$D$42:$D$62,卡牌属性!R112))*INDEX($G$5:$G$42,L112)/SQRT(INDEX($I$5:$I$42,L112)),2)</f>
        <v>26</v>
      </c>
      <c r="AA112" s="29" t="s">
        <v>178</v>
      </c>
      <c r="AB112" s="14">
        <f>ROUND(IF(Q112=1,INDEX(新属性投放!$E$14:$E$34,卡牌属性!R112),INDEX(新属性投放!$E$42:$E$62,卡牌属性!R112))*INDEX($G$5:$G$42,L112),2)</f>
        <v>13</v>
      </c>
      <c r="AC112" s="29" t="s">
        <v>179</v>
      </c>
      <c r="AD112" s="14">
        <f>ROUND(IF(Q112=1,INDEX(新属性投放!$F$14:$F$34,卡牌属性!R112),INDEX(新属性投放!$F$42:$F$62,卡牌属性!R112))*INDEX($G$5:$G$42,L112)*SQRT(INDEX($I$5:$I$42,L112)),2)</f>
        <v>78</v>
      </c>
      <c r="AF112" s="14">
        <f t="shared" si="27"/>
        <v>260</v>
      </c>
      <c r="AG112" s="14">
        <f t="shared" si="28"/>
        <v>130</v>
      </c>
      <c r="AH112" s="14">
        <f t="shared" si="29"/>
        <v>780</v>
      </c>
      <c r="AJ112" s="14">
        <f t="shared" si="33"/>
        <v>715</v>
      </c>
      <c r="AK112" s="14">
        <f t="shared" si="34"/>
        <v>357</v>
      </c>
      <c r="AL112" s="14">
        <f t="shared" si="35"/>
        <v>2145</v>
      </c>
    </row>
    <row r="113" spans="11:38" ht="16.5" x14ac:dyDescent="0.2">
      <c r="K113" s="13">
        <v>110</v>
      </c>
      <c r="L113" s="13">
        <f t="shared" si="21"/>
        <v>6</v>
      </c>
      <c r="M113" s="13">
        <f t="shared" si="22"/>
        <v>4</v>
      </c>
      <c r="N113" s="14">
        <f t="shared" si="23"/>
        <v>1101006</v>
      </c>
      <c r="O113" s="14" t="str">
        <f t="shared" si="24"/>
        <v>红莲·缇娜5突</v>
      </c>
      <c r="P113" s="29" t="s">
        <v>341</v>
      </c>
      <c r="Q113" s="14">
        <f t="shared" si="25"/>
        <v>1</v>
      </c>
      <c r="R113" s="14">
        <f t="shared" si="26"/>
        <v>5</v>
      </c>
      <c r="S113" s="14" t="s">
        <v>39</v>
      </c>
      <c r="T113" s="14">
        <f>ROUND(((IF(Q113=1,INDEX(新属性投放!$J$14:$J$34,卡牌属性!R113),INDEX(新属性投放!$J$42:$J$62,卡牌属性!R113)))*INDEX($G$5:$G$42,L113)+IF(Q113=1,INDEX(新属性投放!R$20:R$23,卡牌属性!M113-1),INDEX(新属性投放!R$25:R$28,卡牌属性!M113-1)))/SQRT(INDEX($I$5:$I$42,L113)),2)</f>
        <v>1076.9000000000001</v>
      </c>
      <c r="U113" s="29" t="s">
        <v>178</v>
      </c>
      <c r="V113" s="14">
        <f>ROUND((IF(Q113=1,INDEX(新属性投放!$K$14:$K$34,卡牌属性!R113),INDEX(新属性投放!$K$42:$K$62,卡牌属性!R113))+IF(Q113=1,INDEX(新属性投放!S$20:S$23,卡牌属性!M113-1),INDEX(新属性投放!S$25:S$28,卡牌属性!M113-1)))*INDEX($G$5:$G$42,L113),2)</f>
        <v>439.4</v>
      </c>
      <c r="W113" s="29" t="s">
        <v>179</v>
      </c>
      <c r="X113" s="14">
        <f>ROUND((IF(Q113=1,INDEX(新属性投放!$L$14:$L$34,卡牌属性!R113),INDEX(新属性投放!$L$42:$L$62,卡牌属性!R113))*INDEX($G$5:$G$42,L113)+IF(Q113=1,INDEX(新属性投放!T$20:T$23,卡牌属性!M113-1),INDEX(新属性投放!T$25:T$28,卡牌属性!M113-1)))*SQRT(INDEX($I$5:$I$42,L113)),2)</f>
        <v>3660.7</v>
      </c>
      <c r="Y113" s="29" t="s">
        <v>177</v>
      </c>
      <c r="Z113" s="14">
        <f>ROUND(IF(Q113=1,INDEX(新属性投放!$D$14:$D$34,卡牌属性!R113),INDEX(新属性投放!$D$42:$D$62,卡牌属性!R113))*INDEX($G$5:$G$42,L113)/SQRT(INDEX($I$5:$I$42,L113)),2)</f>
        <v>32.5</v>
      </c>
      <c r="AA113" s="29" t="s">
        <v>178</v>
      </c>
      <c r="AB113" s="14">
        <f>ROUND(IF(Q113=1,INDEX(新属性投放!$E$14:$E$34,卡牌属性!R113),INDEX(新属性投放!$E$42:$E$62,卡牌属性!R113))*INDEX($G$5:$G$42,L113),2)</f>
        <v>16.25</v>
      </c>
      <c r="AC113" s="29" t="s">
        <v>179</v>
      </c>
      <c r="AD113" s="14">
        <f>ROUND(IF(Q113=1,INDEX(新属性投放!$F$14:$F$34,卡牌属性!R113),INDEX(新属性投放!$F$42:$F$62,卡牌属性!R113))*INDEX($G$5:$G$42,L113)*SQRT(INDEX($I$5:$I$42,L113)),2)</f>
        <v>97.5</v>
      </c>
      <c r="AF113" s="14">
        <f t="shared" si="27"/>
        <v>325</v>
      </c>
      <c r="AG113" s="14">
        <f t="shared" si="28"/>
        <v>162</v>
      </c>
      <c r="AH113" s="14">
        <f t="shared" si="29"/>
        <v>975</v>
      </c>
      <c r="AJ113" s="14">
        <f t="shared" si="33"/>
        <v>1040</v>
      </c>
      <c r="AK113" s="14">
        <f t="shared" si="34"/>
        <v>519</v>
      </c>
      <c r="AL113" s="14">
        <f t="shared" si="35"/>
        <v>3120</v>
      </c>
    </row>
    <row r="114" spans="11:38" ht="16.5" x14ac:dyDescent="0.2">
      <c r="K114" s="13">
        <v>111</v>
      </c>
      <c r="L114" s="13">
        <f t="shared" si="21"/>
        <v>6</v>
      </c>
      <c r="M114" s="13">
        <f t="shared" si="22"/>
        <v>4</v>
      </c>
      <c r="N114" s="14">
        <f t="shared" si="23"/>
        <v>1101006</v>
      </c>
      <c r="O114" s="14" t="str">
        <f t="shared" si="24"/>
        <v>红莲·缇娜6突</v>
      </c>
      <c r="P114" s="29" t="s">
        <v>341</v>
      </c>
      <c r="Q114" s="14">
        <f t="shared" si="25"/>
        <v>1</v>
      </c>
      <c r="R114" s="14">
        <f t="shared" si="26"/>
        <v>6</v>
      </c>
      <c r="S114" s="14" t="s">
        <v>39</v>
      </c>
      <c r="T114" s="14">
        <f>ROUND(((IF(Q114=1,INDEX(新属性投放!$J$14:$J$34,卡牌属性!R114),INDEX(新属性投放!$J$42:$J$62,卡牌属性!R114)))*INDEX($G$5:$G$42,L114)+IF(Q114=1,INDEX(新属性投放!R$20:R$23,卡牌属性!M114-1),INDEX(新属性投放!R$25:R$28,卡牌属性!M114-1)))/SQRT(INDEX($I$5:$I$42,L114)),2)</f>
        <v>1483.8</v>
      </c>
      <c r="U114" s="29" t="s">
        <v>178</v>
      </c>
      <c r="V114" s="14">
        <f>ROUND((IF(Q114=1,INDEX(新属性投放!$K$14:$K$34,卡牌属性!R114),INDEX(新属性投放!$K$42:$K$62,卡牌属性!R114))+IF(Q114=1,INDEX(新属性投放!S$20:S$23,卡牌属性!M114-1),INDEX(新属性投放!S$25:S$28,卡牌属性!M114-1)))*INDEX($G$5:$G$42,L114),2)</f>
        <v>642.20000000000005</v>
      </c>
      <c r="W114" s="29" t="s">
        <v>179</v>
      </c>
      <c r="X114" s="14">
        <f>ROUND((IF(Q114=1,INDEX(新属性投放!$L$14:$L$34,卡牌属性!R114),INDEX(新属性投放!$L$42:$L$62,卡牌属性!R114))*INDEX($G$5:$G$42,L114)+IF(Q114=1,INDEX(新属性投放!T$20:T$23,卡牌属性!M114-1),INDEX(新属性投放!T$25:T$28,卡牌属性!M114-1)))*SQRT(INDEX($I$5:$I$42,L114)),2)</f>
        <v>4881.3999999999996</v>
      </c>
      <c r="Y114" s="29" t="s">
        <v>177</v>
      </c>
      <c r="Z114" s="14">
        <f>ROUND(IF(Q114=1,INDEX(新属性投放!$D$14:$D$34,卡牌属性!R114),INDEX(新属性投放!$D$42:$D$62,卡牌属性!R114))*INDEX($G$5:$G$42,L114)/SQRT(INDEX($I$5:$I$42,L114)),2)</f>
        <v>39</v>
      </c>
      <c r="AA114" s="29" t="s">
        <v>178</v>
      </c>
      <c r="AB114" s="14">
        <f>ROUND(IF(Q114=1,INDEX(新属性投放!$E$14:$E$34,卡牌属性!R114),INDEX(新属性投放!$E$42:$E$62,卡牌属性!R114))*INDEX($G$5:$G$42,L114),2)</f>
        <v>19.5</v>
      </c>
      <c r="AC114" s="29" t="s">
        <v>179</v>
      </c>
      <c r="AD114" s="14">
        <f>ROUND(IF(Q114=1,INDEX(新属性投放!$F$14:$F$34,卡牌属性!R114),INDEX(新属性投放!$F$42:$F$62,卡牌属性!R114))*INDEX($G$5:$G$42,L114)*SQRT(INDEX($I$5:$I$42,L114)),2)</f>
        <v>117</v>
      </c>
      <c r="AF114" s="14">
        <f t="shared" si="27"/>
        <v>390</v>
      </c>
      <c r="AG114" s="14">
        <f t="shared" si="28"/>
        <v>195</v>
      </c>
      <c r="AH114" s="14">
        <f t="shared" si="29"/>
        <v>1170</v>
      </c>
      <c r="AJ114" s="14">
        <f t="shared" si="33"/>
        <v>1430</v>
      </c>
      <c r="AK114" s="14">
        <f t="shared" si="34"/>
        <v>714</v>
      </c>
      <c r="AL114" s="14">
        <f t="shared" si="35"/>
        <v>4290</v>
      </c>
    </row>
    <row r="115" spans="11:38" ht="16.5" x14ac:dyDescent="0.2">
      <c r="K115" s="13">
        <v>112</v>
      </c>
      <c r="L115" s="13">
        <f t="shared" si="21"/>
        <v>6</v>
      </c>
      <c r="M115" s="13">
        <f t="shared" si="22"/>
        <v>4</v>
      </c>
      <c r="N115" s="14">
        <f t="shared" si="23"/>
        <v>1101006</v>
      </c>
      <c r="O115" s="14" t="str">
        <f t="shared" si="24"/>
        <v>红莲·缇娜7突</v>
      </c>
      <c r="P115" s="29" t="s">
        <v>341</v>
      </c>
      <c r="Q115" s="14">
        <f t="shared" si="25"/>
        <v>1</v>
      </c>
      <c r="R115" s="14">
        <f t="shared" si="26"/>
        <v>7</v>
      </c>
      <c r="S115" s="14" t="s">
        <v>39</v>
      </c>
      <c r="T115" s="14">
        <f>ROUND(((IF(Q115=1,INDEX(新属性投放!$J$14:$J$34,卡牌属性!R115),INDEX(新属性投放!$J$42:$J$62,卡牌属性!R115)))*INDEX($G$5:$G$42,L115)+IF(Q115=1,INDEX(新属性投放!R$20:R$23,卡牌属性!M115-1),INDEX(新属性投放!R$25:R$28,卡牌属性!M115-1)))/SQRT(INDEX($I$5:$I$42,L115)),2)</f>
        <v>1971.3</v>
      </c>
      <c r="U115" s="29" t="s">
        <v>178</v>
      </c>
      <c r="V115" s="14">
        <f>ROUND((IF(Q115=1,INDEX(新属性投放!$K$14:$K$34,卡牌属性!R115),INDEX(新属性投放!$K$42:$K$62,卡牌属性!R115))+IF(Q115=1,INDEX(新属性投放!S$20:S$23,卡牌属性!M115-1),INDEX(新属性投放!S$25:S$28,卡牌属性!M115-1)))*INDEX($G$5:$G$42,L115),2)</f>
        <v>886.6</v>
      </c>
      <c r="W115" s="29" t="s">
        <v>179</v>
      </c>
      <c r="X115" s="14">
        <f>ROUND((IF(Q115=1,INDEX(新属性投放!$L$14:$L$34,卡牌属性!R115),INDEX(新属性投放!$L$42:$L$62,卡牌属性!R115))*INDEX($G$5:$G$42,L115)+IF(Q115=1,INDEX(新属性投放!T$20:T$23,卡牌属性!M115-1),INDEX(新属性投放!T$25:T$28,卡牌属性!M115-1)))*SQRT(INDEX($I$5:$I$42,L115)),2)</f>
        <v>6343.9</v>
      </c>
      <c r="Y115" s="29" t="s">
        <v>177</v>
      </c>
      <c r="Z115" s="14">
        <f>ROUND(IF(Q115=1,INDEX(新属性投放!$D$14:$D$34,卡牌属性!R115),INDEX(新属性投放!$D$42:$D$62,卡牌属性!R115))*INDEX($G$5:$G$42,L115)/SQRT(INDEX($I$5:$I$42,L115)),2)</f>
        <v>45.5</v>
      </c>
      <c r="AA115" s="29" t="s">
        <v>178</v>
      </c>
      <c r="AB115" s="14">
        <f>ROUND(IF(Q115=1,INDEX(新属性投放!$E$14:$E$34,卡牌属性!R115),INDEX(新属性投放!$E$42:$E$62,卡牌属性!R115))*INDEX($G$5:$G$42,L115),2)</f>
        <v>22.75</v>
      </c>
      <c r="AC115" s="29" t="s">
        <v>179</v>
      </c>
      <c r="AD115" s="14">
        <f>ROUND(IF(Q115=1,INDEX(新属性投放!$F$14:$F$34,卡牌属性!R115),INDEX(新属性投放!$F$42:$F$62,卡牌属性!R115))*INDEX($G$5:$G$42,L115)*SQRT(INDEX($I$5:$I$42,L115)),2)</f>
        <v>136.5</v>
      </c>
      <c r="AF115" s="14">
        <f t="shared" si="27"/>
        <v>455</v>
      </c>
      <c r="AG115" s="14">
        <f t="shared" si="28"/>
        <v>227</v>
      </c>
      <c r="AH115" s="14">
        <f t="shared" si="29"/>
        <v>1365</v>
      </c>
      <c r="AJ115" s="14">
        <f t="shared" si="33"/>
        <v>1885</v>
      </c>
      <c r="AK115" s="14">
        <f t="shared" si="34"/>
        <v>941</v>
      </c>
      <c r="AL115" s="14">
        <f t="shared" si="35"/>
        <v>5655</v>
      </c>
    </row>
    <row r="116" spans="11:38" ht="16.5" x14ac:dyDescent="0.2">
      <c r="K116" s="13">
        <v>113</v>
      </c>
      <c r="L116" s="13">
        <f t="shared" si="21"/>
        <v>6</v>
      </c>
      <c r="M116" s="13">
        <f t="shared" si="22"/>
        <v>4</v>
      </c>
      <c r="N116" s="14">
        <f t="shared" si="23"/>
        <v>1101006</v>
      </c>
      <c r="O116" s="14" t="str">
        <f t="shared" si="24"/>
        <v>红莲·缇娜8突</v>
      </c>
      <c r="P116" s="29" t="s">
        <v>341</v>
      </c>
      <c r="Q116" s="14">
        <f t="shared" si="25"/>
        <v>1</v>
      </c>
      <c r="R116" s="14">
        <f t="shared" si="26"/>
        <v>8</v>
      </c>
      <c r="S116" s="14" t="s">
        <v>39</v>
      </c>
      <c r="T116" s="14">
        <f>ROUND(((IF(Q116=1,INDEX(新属性投放!$J$14:$J$34,卡牌属性!R116),INDEX(新属性投放!$J$42:$J$62,卡牌属性!R116)))*INDEX($G$5:$G$42,L116)+IF(Q116=1,INDEX(新属性投放!R$20:R$23,卡牌属性!M116-1),INDEX(新属性投放!R$25:R$28,卡牌属性!M116-1)))/SQRT(INDEX($I$5:$I$42,L116)),2)</f>
        <v>2540.6999999999998</v>
      </c>
      <c r="U116" s="29" t="s">
        <v>178</v>
      </c>
      <c r="V116" s="14">
        <f>ROUND((IF(Q116=1,INDEX(新属性投放!$K$14:$K$34,卡牌属性!R116),INDEX(新属性投放!$K$42:$K$62,卡牌属性!R116))+IF(Q116=1,INDEX(新属性投放!S$20:S$23,卡牌属性!M116-1),INDEX(新属性投放!S$25:S$28,卡牌属性!M116-1)))*INDEX($G$5:$G$42,L116),2)</f>
        <v>1171.3</v>
      </c>
      <c r="W116" s="29" t="s">
        <v>179</v>
      </c>
      <c r="X116" s="14">
        <f>ROUND((IF(Q116=1,INDEX(新属性投放!$L$14:$L$34,卡牌属性!R116),INDEX(新属性投放!$L$42:$L$62,卡牌属性!R116))*INDEX($G$5:$G$42,L116)+IF(Q116=1,INDEX(新属性投放!T$20:T$23,卡牌属性!M116-1),INDEX(新属性投放!T$25:T$28,卡牌属性!M116-1)))*SQRT(INDEX($I$5:$I$42,L116)),2)</f>
        <v>8052.1</v>
      </c>
      <c r="Y116" s="29" t="s">
        <v>177</v>
      </c>
      <c r="Z116" s="14">
        <f>ROUND(IF(Q116=1,INDEX(新属性投放!$D$14:$D$34,卡牌属性!R116),INDEX(新属性投放!$D$42:$D$62,卡牌属性!R116))*INDEX($G$5:$G$42,L116)/SQRT(INDEX($I$5:$I$42,L116)),2)</f>
        <v>58.5</v>
      </c>
      <c r="AA116" s="29" t="s">
        <v>178</v>
      </c>
      <c r="AB116" s="14">
        <f>ROUND(IF(Q116=1,INDEX(新属性投放!$E$14:$E$34,卡牌属性!R116),INDEX(新属性投放!$E$42:$E$62,卡牌属性!R116))*INDEX($G$5:$G$42,L116),2)</f>
        <v>29.25</v>
      </c>
      <c r="AC116" s="29" t="s">
        <v>179</v>
      </c>
      <c r="AD116" s="14">
        <f>ROUND(IF(Q116=1,INDEX(新属性投放!$F$14:$F$34,卡牌属性!R116),INDEX(新属性投放!$F$42:$F$62,卡牌属性!R116))*INDEX($G$5:$G$42,L116)*SQRT(INDEX($I$5:$I$42,L116)),2)</f>
        <v>175.5</v>
      </c>
      <c r="AF116" s="14">
        <f t="shared" si="27"/>
        <v>585</v>
      </c>
      <c r="AG116" s="14">
        <f t="shared" si="28"/>
        <v>292</v>
      </c>
      <c r="AH116" s="14">
        <f t="shared" si="29"/>
        <v>1755</v>
      </c>
      <c r="AJ116" s="14">
        <f t="shared" si="33"/>
        <v>2470</v>
      </c>
      <c r="AK116" s="14">
        <f t="shared" si="34"/>
        <v>1233</v>
      </c>
      <c r="AL116" s="14">
        <f t="shared" si="35"/>
        <v>7410</v>
      </c>
    </row>
    <row r="117" spans="11:38" ht="16.5" x14ac:dyDescent="0.2">
      <c r="K117" s="13">
        <v>114</v>
      </c>
      <c r="L117" s="13">
        <f t="shared" si="21"/>
        <v>6</v>
      </c>
      <c r="M117" s="13">
        <f t="shared" si="22"/>
        <v>4</v>
      </c>
      <c r="N117" s="14">
        <f t="shared" si="23"/>
        <v>1101006</v>
      </c>
      <c r="O117" s="14" t="str">
        <f t="shared" si="24"/>
        <v>红莲·缇娜9突</v>
      </c>
      <c r="P117" s="29" t="s">
        <v>341</v>
      </c>
      <c r="Q117" s="14">
        <f t="shared" si="25"/>
        <v>1</v>
      </c>
      <c r="R117" s="14">
        <f t="shared" si="26"/>
        <v>9</v>
      </c>
      <c r="S117" s="14" t="s">
        <v>39</v>
      </c>
      <c r="T117" s="14">
        <f>ROUND(((IF(Q117=1,INDEX(新属性投放!$J$14:$J$34,卡牌属性!R117),INDEX(新属性投放!$J$42:$J$62,卡牌属性!R117)))*INDEX($G$5:$G$42,L117)+IF(Q117=1,INDEX(新属性投放!R$20:R$23,卡牌属性!M117-1),INDEX(新属性投放!R$25:R$28,卡牌属性!M117-1)))/SQRT(INDEX($I$5:$I$42,L117)),2)</f>
        <v>3272.6</v>
      </c>
      <c r="U117" s="29" t="s">
        <v>178</v>
      </c>
      <c r="V117" s="14">
        <f>ROUND((IF(Q117=1,INDEX(新属性投放!$K$14:$K$34,卡牌属性!R117),INDEX(新属性投放!$K$42:$K$62,卡牌属性!R117))+IF(Q117=1,INDEX(新属性投放!S$20:S$23,卡牌属性!M117-1),INDEX(新属性投放!S$25:S$28,卡牌属性!M117-1)))*INDEX($G$5:$G$42,L117),2)</f>
        <v>1536.6</v>
      </c>
      <c r="W117" s="29" t="s">
        <v>179</v>
      </c>
      <c r="X117" s="14">
        <f>ROUND((IF(Q117=1,INDEX(新属性投放!$L$14:$L$34,卡牌属性!R117),INDEX(新属性投放!$L$42:$L$62,卡牌属性!R117))*INDEX($G$5:$G$42,L117)+IF(Q117=1,INDEX(新属性投放!T$20:T$23,卡牌属性!M117-1),INDEX(新属性投放!T$25:T$28,卡牌属性!M117-1)))*SQRT(INDEX($I$5:$I$42,L117)),2)</f>
        <v>10247.799999999999</v>
      </c>
      <c r="Y117" s="29" t="s">
        <v>177</v>
      </c>
      <c r="Z117" s="14">
        <f>ROUND(IF(Q117=1,INDEX(新属性投放!$D$14:$D$34,卡牌属性!R117),INDEX(新属性投放!$D$42:$D$62,卡牌属性!R117))*INDEX($G$5:$G$42,L117)/SQRT(INDEX($I$5:$I$42,L117)),2)</f>
        <v>78.069999999999993</v>
      </c>
      <c r="AA117" s="29" t="s">
        <v>178</v>
      </c>
      <c r="AB117" s="14">
        <f>ROUND(IF(Q117=1,INDEX(新属性投放!$E$14:$E$34,卡牌属性!R117),INDEX(新属性投放!$E$42:$E$62,卡牌属性!R117))*INDEX($G$5:$G$42,L117),2)</f>
        <v>39.03</v>
      </c>
      <c r="AC117" s="29" t="s">
        <v>179</v>
      </c>
      <c r="AD117" s="14">
        <f>ROUND(IF(Q117=1,INDEX(新属性投放!$F$14:$F$34,卡牌属性!R117),INDEX(新属性投放!$F$42:$F$62,卡牌属性!R117))*INDEX($G$5:$G$42,L117)*SQRT(INDEX($I$5:$I$42,L117)),2)</f>
        <v>234.2</v>
      </c>
      <c r="AF117" s="14">
        <f t="shared" si="27"/>
        <v>780</v>
      </c>
      <c r="AG117" s="14">
        <f t="shared" si="28"/>
        <v>390</v>
      </c>
      <c r="AH117" s="14">
        <f t="shared" si="29"/>
        <v>2342</v>
      </c>
      <c r="AJ117" s="14">
        <f t="shared" si="33"/>
        <v>3250</v>
      </c>
      <c r="AK117" s="14">
        <f t="shared" si="34"/>
        <v>1623</v>
      </c>
      <c r="AL117" s="14">
        <f t="shared" si="35"/>
        <v>9752</v>
      </c>
    </row>
    <row r="118" spans="11:38" ht="16.5" x14ac:dyDescent="0.2">
      <c r="K118" s="13">
        <v>115</v>
      </c>
      <c r="L118" s="13">
        <f t="shared" si="21"/>
        <v>6</v>
      </c>
      <c r="M118" s="13">
        <f t="shared" si="22"/>
        <v>4</v>
      </c>
      <c r="N118" s="14">
        <f t="shared" si="23"/>
        <v>1101006</v>
      </c>
      <c r="O118" s="14" t="str">
        <f t="shared" si="24"/>
        <v>红莲·缇娜10突</v>
      </c>
      <c r="P118" s="29" t="s">
        <v>341</v>
      </c>
      <c r="Q118" s="14">
        <f t="shared" si="25"/>
        <v>1</v>
      </c>
      <c r="R118" s="14">
        <f t="shared" si="26"/>
        <v>10</v>
      </c>
      <c r="S118" s="14" t="s">
        <v>39</v>
      </c>
      <c r="T118" s="14">
        <f>ROUND(((IF(Q118=1,INDEX(新属性投放!$J$14:$J$34,卡牌属性!R118),INDEX(新属性投放!$J$42:$J$62,卡牌属性!R118)))*INDEX($G$5:$G$42,L118)+IF(Q118=1,INDEX(新属性投放!R$20:R$23,卡牌属性!M118-1),INDEX(新属性投放!R$25:R$28,卡牌属性!M118-1)))/SQRT(INDEX($I$5:$I$42,L118)),2)</f>
        <v>4248.25</v>
      </c>
      <c r="U118" s="29" t="s">
        <v>178</v>
      </c>
      <c r="V118" s="14">
        <f>ROUND((IF(Q118=1,INDEX(新属性投放!$K$14:$K$34,卡牌属性!R118),INDEX(新属性投放!$K$42:$K$62,卡牌属性!R118))+IF(Q118=1,INDEX(新属性投放!S$20:S$23,卡牌属性!M118-1),INDEX(新属性投放!S$25:S$28,卡牌属性!M118-1)))*INDEX($G$5:$G$42,L118),2)</f>
        <v>2024.43</v>
      </c>
      <c r="W118" s="29" t="s">
        <v>179</v>
      </c>
      <c r="X118" s="14">
        <f>ROUND((IF(Q118=1,INDEX(新属性投放!$L$14:$L$34,卡牌属性!R118),INDEX(新属性投放!$L$42:$L$62,卡牌属性!R118))*INDEX($G$5:$G$42,L118)+IF(Q118=1,INDEX(新属性投放!T$20:T$23,卡牌属性!M118-1),INDEX(新属性投放!T$25:T$28,卡牌属性!M118-1)))*SQRT(INDEX($I$5:$I$42,L118)),2)</f>
        <v>13174.75</v>
      </c>
      <c r="Y118" s="29" t="s">
        <v>177</v>
      </c>
      <c r="Z118" s="14">
        <f>ROUND(IF(Q118=1,INDEX(新属性投放!$D$14:$D$34,卡牌属性!R118),INDEX(新属性投放!$D$42:$D$62,卡牌属性!R118))*INDEX($G$5:$G$42,L118)/SQRT(INDEX($I$5:$I$42,L118)),2)</f>
        <v>102.05</v>
      </c>
      <c r="AA118" s="29" t="s">
        <v>178</v>
      </c>
      <c r="AB118" s="14">
        <f>ROUND(IF(Q118=1,INDEX(新属性投放!$E$14:$E$34,卡牌属性!R118),INDEX(新属性投放!$E$42:$E$62,卡牌属性!R118))*INDEX($G$5:$G$42,L118),2)</f>
        <v>51.03</v>
      </c>
      <c r="AC118" s="29" t="s">
        <v>179</v>
      </c>
      <c r="AD118" s="14">
        <f>ROUND(IF(Q118=1,INDEX(新属性投放!$F$14:$F$34,卡牌属性!R118),INDEX(新属性投放!$F$42:$F$62,卡牌属性!R118))*INDEX($G$5:$G$42,L118)*SQRT(INDEX($I$5:$I$42,L118)),2)</f>
        <v>306.14999999999998</v>
      </c>
      <c r="AF118" s="14">
        <f t="shared" si="27"/>
        <v>1020</v>
      </c>
      <c r="AG118" s="14">
        <f t="shared" si="28"/>
        <v>510</v>
      </c>
      <c r="AH118" s="14">
        <f t="shared" si="29"/>
        <v>3061</v>
      </c>
      <c r="AJ118" s="14">
        <f t="shared" si="33"/>
        <v>4270</v>
      </c>
      <c r="AK118" s="14">
        <f t="shared" si="34"/>
        <v>2133</v>
      </c>
      <c r="AL118" s="14">
        <f t="shared" si="35"/>
        <v>12813</v>
      </c>
    </row>
    <row r="119" spans="11:38" ht="16.5" x14ac:dyDescent="0.2">
      <c r="K119" s="13">
        <v>116</v>
      </c>
      <c r="L119" s="13">
        <f t="shared" si="21"/>
        <v>6</v>
      </c>
      <c r="M119" s="13">
        <f t="shared" si="22"/>
        <v>4</v>
      </c>
      <c r="N119" s="14">
        <f t="shared" si="23"/>
        <v>1101006</v>
      </c>
      <c r="O119" s="14" t="str">
        <f t="shared" si="24"/>
        <v>红莲·缇娜11突</v>
      </c>
      <c r="P119" s="29" t="s">
        <v>341</v>
      </c>
      <c r="Q119" s="14">
        <f t="shared" si="25"/>
        <v>1</v>
      </c>
      <c r="R119" s="14">
        <f t="shared" si="26"/>
        <v>11</v>
      </c>
      <c r="S119" s="14" t="s">
        <v>39</v>
      </c>
      <c r="T119" s="14">
        <f>ROUND(((IF(Q119=1,INDEX(新属性投放!$J$14:$J$34,卡牌属性!R119),INDEX(新属性投放!$J$42:$J$62,卡牌属性!R119)))*INDEX($G$5:$G$42,L119)+IF(Q119=1,INDEX(新属性投放!R$20:R$23,卡牌属性!M119-1),INDEX(新属性投放!R$25:R$28,卡牌属性!M119-1)))/SQRT(INDEX($I$5:$I$42,L119)),2)</f>
        <v>5523.55</v>
      </c>
      <c r="U119" s="29" t="s">
        <v>178</v>
      </c>
      <c r="V119" s="14">
        <f>ROUND((IF(Q119=1,INDEX(新属性投放!$K$14:$K$34,卡牌属性!R119),INDEX(新属性投放!$K$42:$K$62,卡牌属性!R119))+IF(Q119=1,INDEX(新属性投放!S$20:S$23,卡牌属性!M119-1),INDEX(新属性投放!S$25:S$28,卡牌属性!M119-1)))*INDEX($G$5:$G$42,L119),2)</f>
        <v>2662.08</v>
      </c>
      <c r="W119" s="29" t="s">
        <v>179</v>
      </c>
      <c r="X119" s="14">
        <f>ROUND((IF(Q119=1,INDEX(新属性投放!$L$14:$L$34,卡牌属性!R119),INDEX(新属性投放!$L$42:$L$62,卡牌属性!R119))*INDEX($G$5:$G$42,L119)+IF(Q119=1,INDEX(新属性投放!T$20:T$23,卡牌属性!M119-1),INDEX(新属性投放!T$25:T$28,卡牌属性!M119-1)))*SQRT(INDEX($I$5:$I$42,L119)),2)</f>
        <v>17000.650000000001</v>
      </c>
      <c r="Y119" s="29" t="s">
        <v>177</v>
      </c>
      <c r="Z119" s="14">
        <f>ROUND(IF(Q119=1,INDEX(新属性投放!$D$14:$D$34,卡牌属性!R119),INDEX(新属性投放!$D$42:$D$62,卡牌属性!R119))*INDEX($G$5:$G$42,L119)/SQRT(INDEX($I$5:$I$42,L119)),2)</f>
        <v>134.34</v>
      </c>
      <c r="AA119" s="29" t="s">
        <v>178</v>
      </c>
      <c r="AB119" s="14">
        <f>ROUND(IF(Q119=1,INDEX(新属性投放!$E$14:$E$34,卡牌属性!R119),INDEX(新属性投放!$E$42:$E$62,卡牌属性!R119))*INDEX($G$5:$G$42,L119),2)</f>
        <v>67.17</v>
      </c>
      <c r="AC119" s="29" t="s">
        <v>179</v>
      </c>
      <c r="AD119" s="14">
        <f>ROUND(IF(Q119=1,INDEX(新属性投放!$F$14:$F$34,卡牌属性!R119),INDEX(新属性投放!$F$42:$F$62,卡牌属性!R119))*INDEX($G$5:$G$42,L119)*SQRT(INDEX($I$5:$I$42,L119)),2)</f>
        <v>403.03</v>
      </c>
      <c r="AF119" s="14">
        <f t="shared" si="27"/>
        <v>1343</v>
      </c>
      <c r="AG119" s="14">
        <f t="shared" si="28"/>
        <v>671</v>
      </c>
      <c r="AH119" s="14">
        <f t="shared" si="29"/>
        <v>4030</v>
      </c>
      <c r="AJ119" s="14">
        <f t="shared" si="33"/>
        <v>5613</v>
      </c>
      <c r="AK119" s="14">
        <f t="shared" si="34"/>
        <v>2804</v>
      </c>
      <c r="AL119" s="14">
        <f t="shared" si="35"/>
        <v>16843</v>
      </c>
    </row>
    <row r="120" spans="11:38" ht="16.5" x14ac:dyDescent="0.2">
      <c r="K120" s="13">
        <v>117</v>
      </c>
      <c r="L120" s="13">
        <f t="shared" si="21"/>
        <v>6</v>
      </c>
      <c r="M120" s="13">
        <f t="shared" si="22"/>
        <v>4</v>
      </c>
      <c r="N120" s="14">
        <f t="shared" si="23"/>
        <v>1101006</v>
      </c>
      <c r="O120" s="14" t="str">
        <f t="shared" si="24"/>
        <v>红莲·缇娜12突</v>
      </c>
      <c r="P120" s="29" t="s">
        <v>341</v>
      </c>
      <c r="Q120" s="14">
        <f t="shared" si="25"/>
        <v>1</v>
      </c>
      <c r="R120" s="14">
        <f t="shared" si="26"/>
        <v>12</v>
      </c>
      <c r="S120" s="14" t="s">
        <v>39</v>
      </c>
      <c r="T120" s="14">
        <f>ROUND(((IF(Q120=1,INDEX(新属性投放!$J$14:$J$34,卡牌属性!R120),INDEX(新属性投放!$J$42:$J$62,卡牌属性!R120)))*INDEX($G$5:$G$42,L120)+IF(Q120=1,INDEX(新属性投放!R$20:R$23,卡牌属性!M120-1),INDEX(新属性投放!R$25:R$28,卡牌属性!M120-1)))/SQRT(INDEX($I$5:$I$42,L120)),2)</f>
        <v>7202.37</v>
      </c>
      <c r="U120" s="29" t="s">
        <v>178</v>
      </c>
      <c r="V120" s="14">
        <f>ROUND((IF(Q120=1,INDEX(新属性投放!$K$14:$K$34,卡牌属性!R120),INDEX(新属性投放!$K$42:$K$62,卡牌属性!R120))+IF(Q120=1,INDEX(新属性投放!S$20:S$23,卡牌属性!M120-1),INDEX(新属性投放!S$25:S$28,卡牌属性!M120-1)))*INDEX($G$5:$G$42,L120),2)</f>
        <v>3501.49</v>
      </c>
      <c r="W120" s="29" t="s">
        <v>179</v>
      </c>
      <c r="X120" s="14">
        <f>ROUND((IF(Q120=1,INDEX(新属性投放!$L$14:$L$34,卡牌属性!R120),INDEX(新属性投放!$L$42:$L$62,卡牌属性!R120))*INDEX($G$5:$G$42,L120)+IF(Q120=1,INDEX(新属性投放!T$20:T$23,卡牌属性!M120-1),INDEX(新属性投放!T$25:T$28,卡牌属性!M120-1)))*SQRT(INDEX($I$5:$I$42,L120)),2)</f>
        <v>22037.11</v>
      </c>
      <c r="Y120" s="29" t="s">
        <v>177</v>
      </c>
      <c r="Z120" s="14">
        <f>ROUND(IF(Q120=1,INDEX(新属性投放!$D$14:$D$34,卡牌属性!R120),INDEX(新属性投放!$D$42:$D$62,卡牌属性!R120))*INDEX($G$5:$G$42,L120)/SQRT(INDEX($I$5:$I$42,L120)),2)</f>
        <v>176.31</v>
      </c>
      <c r="AA120" s="29" t="s">
        <v>178</v>
      </c>
      <c r="AB120" s="14">
        <f>ROUND(IF(Q120=1,INDEX(新属性投放!$E$14:$E$34,卡牌属性!R120),INDEX(新属性投放!$E$42:$E$62,卡牌属性!R120))*INDEX($G$5:$G$42,L120),2)</f>
        <v>88.15</v>
      </c>
      <c r="AC120" s="29" t="s">
        <v>179</v>
      </c>
      <c r="AD120" s="14">
        <f>ROUND(IF(Q120=1,INDEX(新属性投放!$F$14:$F$34,卡牌属性!R120),INDEX(新属性投放!$F$42:$F$62,卡牌属性!R120))*INDEX($G$5:$G$42,L120)*SQRT(INDEX($I$5:$I$42,L120)),2)</f>
        <v>528.91999999999996</v>
      </c>
      <c r="AF120" s="14">
        <f t="shared" si="27"/>
        <v>1763</v>
      </c>
      <c r="AG120" s="14">
        <f t="shared" si="28"/>
        <v>881</v>
      </c>
      <c r="AH120" s="14">
        <f t="shared" si="29"/>
        <v>5289</v>
      </c>
      <c r="AJ120" s="14">
        <f t="shared" si="33"/>
        <v>7376</v>
      </c>
      <c r="AK120" s="14">
        <f t="shared" si="34"/>
        <v>3685</v>
      </c>
      <c r="AL120" s="14">
        <f t="shared" si="35"/>
        <v>22132</v>
      </c>
    </row>
    <row r="121" spans="11:38" ht="16.5" x14ac:dyDescent="0.2">
      <c r="K121" s="13">
        <v>118</v>
      </c>
      <c r="L121" s="13">
        <f t="shared" si="21"/>
        <v>6</v>
      </c>
      <c r="M121" s="13">
        <f t="shared" si="22"/>
        <v>4</v>
      </c>
      <c r="N121" s="14">
        <f t="shared" si="23"/>
        <v>1101006</v>
      </c>
      <c r="O121" s="14" t="str">
        <f t="shared" si="24"/>
        <v>红莲·缇娜13突</v>
      </c>
      <c r="P121" s="29" t="s">
        <v>341</v>
      </c>
      <c r="Q121" s="14">
        <f t="shared" si="25"/>
        <v>1</v>
      </c>
      <c r="R121" s="14">
        <f t="shared" si="26"/>
        <v>13</v>
      </c>
      <c r="S121" s="14" t="s">
        <v>39</v>
      </c>
      <c r="T121" s="14">
        <f>ROUND(((IF(Q121=1,INDEX(新属性投放!$J$14:$J$34,卡牌属性!R121),INDEX(新属性投放!$J$42:$J$62,卡牌属性!R121)))*INDEX($G$5:$G$42,L121)+IF(Q121=1,INDEX(新属性投放!R$20:R$23,卡牌属性!M121-1),INDEX(新属性投放!R$25:R$28,卡牌属性!M121-1)))/SQRT(INDEX($I$5:$I$42,L121)),2)</f>
        <v>9406.1299999999992</v>
      </c>
      <c r="U121" s="29" t="s">
        <v>178</v>
      </c>
      <c r="V121" s="14">
        <f>ROUND((IF(Q121=1,INDEX(新属性投放!$K$14:$K$34,卡牌属性!R121),INDEX(新属性投放!$K$42:$K$62,卡牌属性!R121))+IF(Q121=1,INDEX(新属性投放!S$20:S$23,卡牌属性!M121-1),INDEX(新属性投放!S$25:S$28,卡牌属性!M121-1)))*INDEX($G$5:$G$42,L121),2)</f>
        <v>4604.0200000000004</v>
      </c>
      <c r="W121" s="29" t="s">
        <v>179</v>
      </c>
      <c r="X121" s="14">
        <f>ROUND((IF(Q121=1,INDEX(新属性投放!$L$14:$L$34,卡牌属性!R121),INDEX(新属性投放!$L$42:$L$62,卡牌属性!R121))*INDEX($G$5:$G$42,L121)+IF(Q121=1,INDEX(新属性投放!T$20:T$23,卡牌属性!M121-1),INDEX(新属性投放!T$25:T$28,卡牌属性!M121-1)))*SQRT(INDEX($I$5:$I$42,L121)),2)</f>
        <v>28648.39</v>
      </c>
      <c r="Y121" s="29" t="s">
        <v>177</v>
      </c>
      <c r="Z121" s="14">
        <f>ROUND(IF(Q121=1,INDEX(新属性投放!$D$14:$D$34,卡牌属性!R121),INDEX(新属性投放!$D$42:$D$62,卡牌属性!R121))*INDEX($G$5:$G$42,L121)/SQRT(INDEX($I$5:$I$42,L121)),2)</f>
        <v>231.4</v>
      </c>
      <c r="AA121" s="29" t="s">
        <v>178</v>
      </c>
      <c r="AB121" s="14">
        <f>ROUND(IF(Q121=1,INDEX(新属性投放!$E$14:$E$34,卡牌属性!R121),INDEX(新属性投放!$E$42:$E$62,卡牌属性!R121))*INDEX($G$5:$G$42,L121),2)</f>
        <v>115.7</v>
      </c>
      <c r="AC121" s="29" t="s">
        <v>179</v>
      </c>
      <c r="AD121" s="14">
        <f>ROUND(IF(Q121=1,INDEX(新属性投放!$F$14:$F$34,卡牌属性!R121),INDEX(新属性投放!$F$42:$F$62,卡牌属性!R121))*INDEX($G$5:$G$42,L121)*SQRT(INDEX($I$5:$I$42,L121)),2)</f>
        <v>694.2</v>
      </c>
      <c r="AF121" s="14">
        <f t="shared" si="27"/>
        <v>2314</v>
      </c>
      <c r="AG121" s="14">
        <f t="shared" si="28"/>
        <v>1157</v>
      </c>
      <c r="AH121" s="14">
        <f t="shared" si="29"/>
        <v>6942</v>
      </c>
      <c r="AJ121" s="14">
        <f t="shared" si="33"/>
        <v>9690</v>
      </c>
      <c r="AK121" s="14">
        <f t="shared" si="34"/>
        <v>4842</v>
      </c>
      <c r="AL121" s="14">
        <f t="shared" si="35"/>
        <v>29074</v>
      </c>
    </row>
    <row r="122" spans="11:38" ht="16.5" x14ac:dyDescent="0.2">
      <c r="K122" s="13">
        <v>119</v>
      </c>
      <c r="L122" s="13">
        <f t="shared" si="21"/>
        <v>6</v>
      </c>
      <c r="M122" s="13">
        <f t="shared" si="22"/>
        <v>4</v>
      </c>
      <c r="N122" s="14">
        <f t="shared" si="23"/>
        <v>1101006</v>
      </c>
      <c r="O122" s="14" t="str">
        <f t="shared" si="24"/>
        <v>红莲·缇娜14突</v>
      </c>
      <c r="P122" s="29" t="s">
        <v>341</v>
      </c>
      <c r="Q122" s="14">
        <f t="shared" si="25"/>
        <v>1</v>
      </c>
      <c r="R122" s="14">
        <f t="shared" si="26"/>
        <v>14</v>
      </c>
      <c r="S122" s="14" t="s">
        <v>39</v>
      </c>
      <c r="T122" s="14">
        <f>ROUND(((IF(Q122=1,INDEX(新属性投放!$J$14:$J$34,卡牌属性!R122),INDEX(新属性投放!$J$42:$J$62,卡牌属性!R122)))*INDEX($G$5:$G$42,L122)+IF(Q122=1,INDEX(新属性投放!R$20:R$23,卡牌属性!M122-1),INDEX(新属性投放!R$25:R$28,卡牌属性!M122-1)))/SQRT(INDEX($I$5:$I$42,L122)),2)</f>
        <v>12298.63</v>
      </c>
      <c r="U122" s="29" t="s">
        <v>178</v>
      </c>
      <c r="V122" s="14">
        <f>ROUND((IF(Q122=1,INDEX(新属性投放!$K$14:$K$34,卡牌属性!R122),INDEX(新属性投放!$K$42:$K$62,卡牌属性!R122))+IF(Q122=1,INDEX(新属性投放!S$20:S$23,卡牌属性!M122-1),INDEX(新属性投放!S$25:S$28,卡牌属性!M122-1)))*INDEX($G$5:$G$42,L122),2)</f>
        <v>6050.92</v>
      </c>
      <c r="W122" s="29" t="s">
        <v>179</v>
      </c>
      <c r="X122" s="14">
        <f>ROUND((IF(Q122=1,INDEX(新属性投放!$L$14:$L$34,卡牌属性!R122),INDEX(新属性投放!$L$42:$L$62,卡牌属性!R122))*INDEX($G$5:$G$42,L122)+IF(Q122=1,INDEX(新属性投放!T$20:T$23,卡牌属性!M122-1),INDEX(新属性投放!T$25:T$28,卡牌属性!M122-1)))*SQRT(INDEX($I$5:$I$42,L122)),2)</f>
        <v>37325.89</v>
      </c>
      <c r="Y122" s="29" t="s">
        <v>177</v>
      </c>
      <c r="Z122" s="14">
        <f>ROUND(IF(Q122=1,INDEX(新属性投放!$D$14:$D$34,卡牌属性!R122),INDEX(新属性投放!$D$42:$D$62,卡牌属性!R122))*INDEX($G$5:$G$42,L122)/SQRT(INDEX($I$5:$I$42,L122)),2)</f>
        <v>303.72000000000003</v>
      </c>
      <c r="AA122" s="29" t="s">
        <v>178</v>
      </c>
      <c r="AB122" s="14">
        <f>ROUND(IF(Q122=1,INDEX(新属性投放!$E$14:$E$34,卡牌属性!R122),INDEX(新属性投放!$E$42:$E$62,卡牌属性!R122))*INDEX($G$5:$G$42,L122),2)</f>
        <v>151.86000000000001</v>
      </c>
      <c r="AC122" s="29" t="s">
        <v>179</v>
      </c>
      <c r="AD122" s="14">
        <f>ROUND(IF(Q122=1,INDEX(新属性投放!$F$14:$F$34,卡牌属性!R122),INDEX(新属性投放!$F$42:$F$62,卡牌属性!R122))*INDEX($G$5:$G$42,L122)*SQRT(INDEX($I$5:$I$42,L122)),2)</f>
        <v>911.16</v>
      </c>
      <c r="AF122" s="14">
        <f t="shared" si="27"/>
        <v>3037</v>
      </c>
      <c r="AG122" s="14">
        <f t="shared" si="28"/>
        <v>1518</v>
      </c>
      <c r="AH122" s="14">
        <f t="shared" si="29"/>
        <v>9111</v>
      </c>
      <c r="AJ122" s="14">
        <f t="shared" si="33"/>
        <v>12727</v>
      </c>
      <c r="AK122" s="14">
        <f t="shared" si="34"/>
        <v>6360</v>
      </c>
      <c r="AL122" s="14">
        <f t="shared" si="35"/>
        <v>38185</v>
      </c>
    </row>
    <row r="123" spans="11:38" ht="16.5" x14ac:dyDescent="0.2">
      <c r="K123" s="13">
        <v>120</v>
      </c>
      <c r="L123" s="13">
        <f t="shared" si="21"/>
        <v>6</v>
      </c>
      <c r="M123" s="13">
        <f t="shared" si="22"/>
        <v>4</v>
      </c>
      <c r="N123" s="14">
        <f t="shared" si="23"/>
        <v>1101006</v>
      </c>
      <c r="O123" s="14" t="str">
        <f t="shared" si="24"/>
        <v>红莲·缇娜15突</v>
      </c>
      <c r="P123" s="29" t="s">
        <v>341</v>
      </c>
      <c r="Q123" s="14">
        <f t="shared" si="25"/>
        <v>1</v>
      </c>
      <c r="R123" s="14">
        <f t="shared" si="26"/>
        <v>15</v>
      </c>
      <c r="S123" s="14" t="s">
        <v>39</v>
      </c>
      <c r="T123" s="14">
        <f>ROUND(((IF(Q123=1,INDEX(新属性投放!$J$14:$J$34,卡牌属性!R123),INDEX(新属性投放!$J$42:$J$62,卡牌属性!R123)))*INDEX($G$5:$G$42,L123)+IF(Q123=1,INDEX(新属性投放!R$20:R$23,卡牌属性!M123-1),INDEX(新属性投放!R$25:R$28,卡牌属性!M123-1)))/SQRT(INDEX($I$5:$I$42,L123)),2)</f>
        <v>16095.02</v>
      </c>
      <c r="U123" s="29" t="s">
        <v>178</v>
      </c>
      <c r="V123" s="14">
        <f>ROUND((IF(Q123=1,INDEX(新属性投放!$K$14:$K$34,卡牌属性!R123),INDEX(新属性投放!$K$42:$K$62,卡牌属性!R123))+IF(Q123=1,INDEX(新属性投放!S$20:S$23,卡牌属性!M123-1),INDEX(新属性投放!S$25:S$28,卡牌属性!M123-1)))*INDEX($G$5:$G$42,L123),2)</f>
        <v>7949.11</v>
      </c>
      <c r="W123" s="29" t="s">
        <v>179</v>
      </c>
      <c r="X123" s="14">
        <f>ROUND((IF(Q123=1,INDEX(新属性投放!$L$14:$L$34,卡牌属性!R123),INDEX(新属性投放!$L$42:$L$62,卡牌属性!R123))*INDEX($G$5:$G$42,L123)+IF(Q123=1,INDEX(新属性投放!T$20:T$23,卡牌属性!M123-1),INDEX(新属性投放!T$25:T$28,卡牌属性!M123-1)))*SQRT(INDEX($I$5:$I$42,L123)),2)</f>
        <v>48715.06</v>
      </c>
      <c r="Y123" s="29" t="s">
        <v>177</v>
      </c>
      <c r="Z123" s="14">
        <f>ROUND(IF(Q123=1,INDEX(新属性投放!$D$14:$D$34,卡牌属性!R123),INDEX(新属性投放!$D$42:$D$62,卡牌属性!R123))*INDEX($G$5:$G$42,L123)/SQRT(INDEX($I$5:$I$42,L123)),2)</f>
        <v>398.63</v>
      </c>
      <c r="AA123" s="29" t="s">
        <v>178</v>
      </c>
      <c r="AB123" s="14">
        <f>ROUND(IF(Q123=1,INDEX(新属性投放!$E$14:$E$34,卡牌属性!R123),INDEX(新属性投放!$E$42:$E$62,卡牌属性!R123))*INDEX($G$5:$G$42,L123),2)</f>
        <v>199.32</v>
      </c>
      <c r="AC123" s="29" t="s">
        <v>179</v>
      </c>
      <c r="AD123" s="14">
        <f>ROUND(IF(Q123=1,INDEX(新属性投放!$F$14:$F$34,卡牌属性!R123),INDEX(新属性投放!$F$42:$F$62,卡牌属性!R123))*INDEX($G$5:$G$42,L123)*SQRT(INDEX($I$5:$I$42,L123)),2)</f>
        <v>1195.9000000000001</v>
      </c>
      <c r="AF123" s="14">
        <f t="shared" si="27"/>
        <v>3986</v>
      </c>
      <c r="AG123" s="14">
        <f t="shared" si="28"/>
        <v>1993</v>
      </c>
      <c r="AH123" s="14">
        <f t="shared" si="29"/>
        <v>11959</v>
      </c>
      <c r="AJ123" s="14">
        <f t="shared" si="33"/>
        <v>16713</v>
      </c>
      <c r="AK123" s="14">
        <f t="shared" si="34"/>
        <v>8353</v>
      </c>
      <c r="AL123" s="14">
        <f t="shared" si="35"/>
        <v>50144</v>
      </c>
    </row>
    <row r="124" spans="11:38" ht="16.5" x14ac:dyDescent="0.2">
      <c r="K124" s="13">
        <v>121</v>
      </c>
      <c r="L124" s="13">
        <f t="shared" si="21"/>
        <v>6</v>
      </c>
      <c r="M124" s="13">
        <f t="shared" si="22"/>
        <v>4</v>
      </c>
      <c r="N124" s="14">
        <f t="shared" si="23"/>
        <v>1101006</v>
      </c>
      <c r="O124" s="14" t="str">
        <f t="shared" si="24"/>
        <v>红莲·缇娜16突</v>
      </c>
      <c r="P124" s="29" t="s">
        <v>341</v>
      </c>
      <c r="Q124" s="14">
        <f t="shared" si="25"/>
        <v>1</v>
      </c>
      <c r="R124" s="14">
        <f t="shared" si="26"/>
        <v>16</v>
      </c>
      <c r="S124" s="14" t="s">
        <v>39</v>
      </c>
      <c r="T124" s="14">
        <f>ROUND(((IF(Q124=1,INDEX(新属性投放!$J$14:$J$34,卡牌属性!R124),INDEX(新属性投放!$J$42:$J$62,卡牌属性!R124)))*INDEX($G$5:$G$42,L124)+IF(Q124=1,INDEX(新属性投放!R$20:R$23,卡牌属性!M124-1),INDEX(新属性投放!R$25:R$28,卡牌属性!M124-1)))/SQRT(INDEX($I$5:$I$42,L124)),2)</f>
        <v>21078.44</v>
      </c>
      <c r="U124" s="29" t="s">
        <v>178</v>
      </c>
      <c r="V124" s="14">
        <f>ROUND((IF(Q124=1,INDEX(新属性投放!$K$14:$K$34,卡牌属性!R124),INDEX(新属性投放!$K$42:$K$62,卡牌属性!R124))+IF(Q124=1,INDEX(新属性投放!S$20:S$23,卡牌属性!M124-1),INDEX(新属性投放!S$25:S$28,卡牌属性!M124-1)))*INDEX($G$5:$G$42,L124),2)</f>
        <v>10440.17</v>
      </c>
      <c r="W124" s="29" t="s">
        <v>179</v>
      </c>
      <c r="X124" s="14">
        <f>ROUND((IF(Q124=1,INDEX(新属性投放!$L$14:$L$34,卡牌属性!R124),INDEX(新属性投放!$L$42:$L$62,卡牌属性!R124))*INDEX($G$5:$G$42,L124)+IF(Q124=1,INDEX(新属性投放!T$20:T$23,卡牌属性!M124-1),INDEX(新属性投放!T$25:T$28,卡牌属性!M124-1)))*SQRT(INDEX($I$5:$I$42,L124)),2)</f>
        <v>63665.32</v>
      </c>
      <c r="Y124" s="29" t="s">
        <v>177</v>
      </c>
      <c r="Z124" s="14">
        <f>ROUND(IF(Q124=1,INDEX(新属性投放!$D$14:$D$34,卡牌属性!R124),INDEX(新属性投放!$D$42:$D$62,卡牌属性!R124))*INDEX($G$5:$G$42,L124)/SQRT(INDEX($I$5:$I$42,L124)),2)</f>
        <v>523.21</v>
      </c>
      <c r="AA124" s="29" t="s">
        <v>178</v>
      </c>
      <c r="AB124" s="14">
        <f>ROUND(IF(Q124=1,INDEX(新属性投放!$E$14:$E$34,卡牌属性!R124),INDEX(新属性投放!$E$42:$E$62,卡牌属性!R124))*INDEX($G$5:$G$42,L124),2)</f>
        <v>261.61</v>
      </c>
      <c r="AC124" s="29" t="s">
        <v>179</v>
      </c>
      <c r="AD124" s="14">
        <f>ROUND(IF(Q124=1,INDEX(新属性投放!$F$14:$F$34,卡牌属性!R124),INDEX(新属性投放!$F$42:$F$62,卡牌属性!R124))*INDEX($G$5:$G$42,L124)*SQRT(INDEX($I$5:$I$42,L124)),2)</f>
        <v>1569.63</v>
      </c>
      <c r="AF124" s="14">
        <f t="shared" si="27"/>
        <v>5232</v>
      </c>
      <c r="AG124" s="14">
        <f t="shared" si="28"/>
        <v>2616</v>
      </c>
      <c r="AH124" s="14">
        <f t="shared" si="29"/>
        <v>15696</v>
      </c>
      <c r="AJ124" s="14">
        <f t="shared" si="33"/>
        <v>21945</v>
      </c>
      <c r="AK124" s="14">
        <f t="shared" si="34"/>
        <v>10969</v>
      </c>
      <c r="AL124" s="14">
        <f t="shared" si="35"/>
        <v>65840</v>
      </c>
    </row>
    <row r="125" spans="11:38" ht="16.5" x14ac:dyDescent="0.2">
      <c r="K125" s="13">
        <v>122</v>
      </c>
      <c r="L125" s="13">
        <f t="shared" si="21"/>
        <v>6</v>
      </c>
      <c r="M125" s="13">
        <f t="shared" si="22"/>
        <v>4</v>
      </c>
      <c r="N125" s="14">
        <f t="shared" si="23"/>
        <v>1101006</v>
      </c>
      <c r="O125" s="14" t="str">
        <f t="shared" si="24"/>
        <v>红莲·缇娜17突</v>
      </c>
      <c r="P125" s="29" t="s">
        <v>341</v>
      </c>
      <c r="Q125" s="14">
        <f t="shared" si="25"/>
        <v>1</v>
      </c>
      <c r="R125" s="14">
        <f t="shared" si="26"/>
        <v>17</v>
      </c>
      <c r="S125" s="14" t="s">
        <v>39</v>
      </c>
      <c r="T125" s="14">
        <f>ROUND(((IF(Q125=1,INDEX(新属性投放!$J$14:$J$34,卡牌属性!R125),INDEX(新属性投放!$J$42:$J$62,卡牌属性!R125)))*INDEX($G$5:$G$42,L125)+IF(Q125=1,INDEX(新属性投放!R$20:R$23,卡牌属性!M125-1),INDEX(新属性投放!R$25:R$28,卡牌属性!M125-1)))/SQRT(INDEX($I$5:$I$42,L125)),2)</f>
        <v>27618.35</v>
      </c>
      <c r="U125" s="29" t="s">
        <v>178</v>
      </c>
      <c r="V125" s="14">
        <f>ROUND((IF(Q125=1,INDEX(新属性投放!$K$14:$K$34,卡牌属性!R125),INDEX(新属性投放!$K$42:$K$62,卡牌属性!R125))+IF(Q125=1,INDEX(新属性投放!S$20:S$23,卡牌属性!M125-1),INDEX(新属性投放!S$25:S$28,卡牌属性!M125-1)))*INDEX($G$5:$G$42,L125),2)</f>
        <v>13710.13</v>
      </c>
      <c r="W125" s="29" t="s">
        <v>179</v>
      </c>
      <c r="X125" s="14">
        <f>ROUND((IF(Q125=1,INDEX(新属性投放!$L$14:$L$34,卡牌属性!R125),INDEX(新属性投放!$L$42:$L$62,卡牌属性!R125))*INDEX($G$5:$G$42,L125)+IF(Q125=1,INDEX(新属性投放!T$20:T$23,卡牌属性!M125-1),INDEX(新属性投放!T$25:T$28,卡牌属性!M125-1)))*SQRT(INDEX($I$5:$I$42,L125)),2)</f>
        <v>83285.05</v>
      </c>
      <c r="Y125" s="29" t="s">
        <v>177</v>
      </c>
      <c r="Z125" s="14">
        <f>ROUND(IF(Q125=1,INDEX(新属性投放!$D$14:$D$34,卡牌属性!R125),INDEX(新属性投放!$D$42:$D$62,卡牌属性!R125))*INDEX($G$5:$G$42,L125)/SQRT(INDEX($I$5:$I$42,L125)),2)</f>
        <v>686.71</v>
      </c>
      <c r="AA125" s="29" t="s">
        <v>178</v>
      </c>
      <c r="AB125" s="14">
        <f>ROUND(IF(Q125=1,INDEX(新属性投放!$E$14:$E$34,卡牌属性!R125),INDEX(新属性投放!$E$42:$E$62,卡牌属性!R125))*INDEX($G$5:$G$42,L125),2)</f>
        <v>343.36</v>
      </c>
      <c r="AC125" s="29" t="s">
        <v>179</v>
      </c>
      <c r="AD125" s="14">
        <f>ROUND(IF(Q125=1,INDEX(新属性投放!$F$14:$F$34,卡牌属性!R125),INDEX(新属性投放!$F$42:$F$62,卡牌属性!R125))*INDEX($G$5:$G$42,L125)*SQRT(INDEX($I$5:$I$42,L125)),2)</f>
        <v>2060.14</v>
      </c>
      <c r="AF125" s="14">
        <f t="shared" si="27"/>
        <v>6867</v>
      </c>
      <c r="AG125" s="14">
        <f t="shared" si="28"/>
        <v>3433</v>
      </c>
      <c r="AH125" s="14">
        <f t="shared" si="29"/>
        <v>20601</v>
      </c>
      <c r="AJ125" s="14">
        <f t="shared" si="33"/>
        <v>28812</v>
      </c>
      <c r="AK125" s="14">
        <f t="shared" si="34"/>
        <v>14402</v>
      </c>
      <c r="AL125" s="14">
        <f t="shared" si="35"/>
        <v>86441</v>
      </c>
    </row>
    <row r="126" spans="11:38" ht="16.5" x14ac:dyDescent="0.2">
      <c r="K126" s="13">
        <v>123</v>
      </c>
      <c r="L126" s="13">
        <f t="shared" si="21"/>
        <v>6</v>
      </c>
      <c r="M126" s="13">
        <f t="shared" si="22"/>
        <v>4</v>
      </c>
      <c r="N126" s="14">
        <f t="shared" si="23"/>
        <v>1101006</v>
      </c>
      <c r="O126" s="14" t="str">
        <f t="shared" si="24"/>
        <v>红莲·缇娜18突</v>
      </c>
      <c r="P126" s="29" t="s">
        <v>341</v>
      </c>
      <c r="Q126" s="14">
        <f t="shared" si="25"/>
        <v>1</v>
      </c>
      <c r="R126" s="14">
        <f t="shared" si="26"/>
        <v>18</v>
      </c>
      <c r="S126" s="14" t="s">
        <v>39</v>
      </c>
      <c r="T126" s="14">
        <f>ROUND(((IF(Q126=1,INDEX(新属性投放!$J$14:$J$34,卡牌属性!R126),INDEX(新属性投放!$J$42:$J$62,卡牌属性!R126)))*INDEX($G$5:$G$42,L126)+IF(Q126=1,INDEX(新属性投放!R$20:R$23,卡牌属性!M126-1),INDEX(新属性投放!R$25:R$28,卡牌属性!M126-1)))/SQRT(INDEX($I$5:$I$42,L126)),2)</f>
        <v>36202.769999999997</v>
      </c>
      <c r="U126" s="29" t="s">
        <v>178</v>
      </c>
      <c r="V126" s="14">
        <f>ROUND((IF(Q126=1,INDEX(新属性投放!$K$14:$K$34,卡牌属性!R126),INDEX(新属性投放!$K$42:$K$62,卡牌属性!R126))+IF(Q126=1,INDEX(新属性投放!S$20:S$23,卡牌属性!M126-1),INDEX(新属性投放!S$25:S$28,卡牌属性!M126-1)))*INDEX($G$5:$G$42,L126),2)</f>
        <v>18001.689999999999</v>
      </c>
      <c r="W126" s="29" t="s">
        <v>179</v>
      </c>
      <c r="X126" s="14">
        <f>ROUND((IF(Q126=1,INDEX(新属性投放!$L$14:$L$34,卡牌属性!R126),INDEX(新属性投放!$L$42:$L$62,卡牌属性!R126))*INDEX($G$5:$G$42,L126)+IF(Q126=1,INDEX(新属性投放!T$20:T$23,卡牌属性!M126-1),INDEX(新属性投放!T$25:T$28,卡牌属性!M126-1)))*SQRT(INDEX($I$5:$I$42,L126)),2)</f>
        <v>109038.31</v>
      </c>
      <c r="Y126" s="29" t="s">
        <v>177</v>
      </c>
      <c r="Z126" s="14">
        <f>ROUND(IF(Q126=1,INDEX(新属性投放!$D$14:$D$34,卡牌属性!R126),INDEX(新属性投放!$D$42:$D$62,卡牌属性!R126))*INDEX($G$5:$G$42,L126)/SQRT(INDEX($I$5:$I$42,L126)),2)</f>
        <v>901.32</v>
      </c>
      <c r="AA126" s="29" t="s">
        <v>178</v>
      </c>
      <c r="AB126" s="14">
        <f>ROUND(IF(Q126=1,INDEX(新属性投放!$E$14:$E$34,卡牌属性!R126),INDEX(新属性投放!$E$42:$E$62,卡牌属性!R126))*INDEX($G$5:$G$42,L126),2)</f>
        <v>450.66</v>
      </c>
      <c r="AC126" s="29" t="s">
        <v>179</v>
      </c>
      <c r="AD126" s="14">
        <f>ROUND(IF(Q126=1,INDEX(新属性投放!$F$14:$F$34,卡牌属性!R126),INDEX(新属性投放!$F$42:$F$62,卡牌属性!R126))*INDEX($G$5:$G$42,L126)*SQRT(INDEX($I$5:$I$42,L126)),2)</f>
        <v>2703.95</v>
      </c>
      <c r="AF126" s="14">
        <f t="shared" si="27"/>
        <v>9013</v>
      </c>
      <c r="AG126" s="14">
        <f t="shared" si="28"/>
        <v>4506</v>
      </c>
      <c r="AH126" s="14">
        <f t="shared" si="29"/>
        <v>27039</v>
      </c>
      <c r="AJ126" s="14">
        <f t="shared" si="33"/>
        <v>37825</v>
      </c>
      <c r="AK126" s="14">
        <f t="shared" si="34"/>
        <v>18908</v>
      </c>
      <c r="AL126" s="14">
        <f t="shared" si="35"/>
        <v>113480</v>
      </c>
    </row>
    <row r="127" spans="11:38" ht="16.5" x14ac:dyDescent="0.2">
      <c r="K127" s="13">
        <v>124</v>
      </c>
      <c r="L127" s="13">
        <f t="shared" si="21"/>
        <v>6</v>
      </c>
      <c r="M127" s="13">
        <f t="shared" si="22"/>
        <v>4</v>
      </c>
      <c r="N127" s="14">
        <f t="shared" si="23"/>
        <v>1101006</v>
      </c>
      <c r="O127" s="14" t="str">
        <f t="shared" si="24"/>
        <v>红莲·缇娜19突</v>
      </c>
      <c r="P127" s="29" t="s">
        <v>341</v>
      </c>
      <c r="Q127" s="14">
        <f t="shared" si="25"/>
        <v>1</v>
      </c>
      <c r="R127" s="14">
        <f t="shared" si="26"/>
        <v>19</v>
      </c>
      <c r="S127" s="14" t="s">
        <v>39</v>
      </c>
      <c r="T127" s="14">
        <f>ROUND(((IF(Q127=1,INDEX(新属性投放!$J$14:$J$34,卡牌属性!R127),INDEX(新属性投放!$J$42:$J$62,卡牌属性!R127)))*INDEX($G$5:$G$42,L127)+IF(Q127=1,INDEX(新属性投放!R$20:R$23,卡牌属性!M127-1),INDEX(新属性投放!R$25:R$28,卡牌属性!M127-1)))/SQRT(INDEX($I$5:$I$42,L127)),2)</f>
        <v>47468.83</v>
      </c>
      <c r="U127" s="29" t="s">
        <v>178</v>
      </c>
      <c r="V127" s="14">
        <f>ROUND((IF(Q127=1,INDEX(新属性投放!$K$14:$K$34,卡牌属性!R127),INDEX(新属性投放!$K$42:$K$62,卡牌属性!R127))+IF(Q127=1,INDEX(新属性投放!S$20:S$23,卡牌属性!M127-1),INDEX(新属性投放!S$25:S$28,卡牌属性!M127-1)))*INDEX($G$5:$G$42,L127),2)</f>
        <v>23635.37</v>
      </c>
      <c r="W127" s="29" t="s">
        <v>179</v>
      </c>
      <c r="X127" s="14">
        <f>ROUND((IF(Q127=1,INDEX(新属性投放!$L$14:$L$34,卡牌属性!R127),INDEX(新属性投放!$L$42:$L$62,卡牌属性!R127))*INDEX($G$5:$G$42,L127)+IF(Q127=1,INDEX(新属性投放!T$20:T$23,卡牌属性!M127-1),INDEX(新属性投放!T$25:T$28,卡牌属性!M127-1)))*SQRT(INDEX($I$5:$I$42,L127)),2)</f>
        <v>142836.49</v>
      </c>
      <c r="Y127" s="29" t="s">
        <v>177</v>
      </c>
      <c r="Z127" s="14">
        <f>ROUND(IF(Q127=1,INDEX(新属性投放!$D$14:$D$34,卡牌属性!R127),INDEX(新属性投放!$D$42:$D$62,卡牌属性!R127))*INDEX($G$5:$G$42,L127)/SQRT(INDEX($I$5:$I$42,L127)),2)</f>
        <v>1182.97</v>
      </c>
      <c r="AA127" s="29" t="s">
        <v>178</v>
      </c>
      <c r="AB127" s="14">
        <f>ROUND(IF(Q127=1,INDEX(新属性投放!$E$14:$E$34,卡牌属性!R127),INDEX(新属性投放!$E$42:$E$62,卡牌属性!R127))*INDEX($G$5:$G$42,L127),2)</f>
        <v>591.49</v>
      </c>
      <c r="AC127" s="29" t="s">
        <v>179</v>
      </c>
      <c r="AD127" s="14">
        <f>ROUND(IF(Q127=1,INDEX(新属性投放!$F$14:$F$34,卡牌属性!R127),INDEX(新属性投放!$F$42:$F$62,卡牌属性!R127))*INDEX($G$5:$G$42,L127)*SQRT(INDEX($I$5:$I$42,L127)),2)</f>
        <v>3548.92</v>
      </c>
      <c r="AF127" s="14">
        <f t="shared" si="27"/>
        <v>11829</v>
      </c>
      <c r="AG127" s="14">
        <f t="shared" si="28"/>
        <v>5914</v>
      </c>
      <c r="AH127" s="14">
        <f t="shared" si="29"/>
        <v>35489</v>
      </c>
      <c r="AJ127" s="14">
        <f t="shared" si="33"/>
        <v>49654</v>
      </c>
      <c r="AK127" s="14">
        <f t="shared" si="34"/>
        <v>24822</v>
      </c>
      <c r="AL127" s="14">
        <f t="shared" si="35"/>
        <v>148969</v>
      </c>
    </row>
    <row r="128" spans="11:38" ht="16.5" x14ac:dyDescent="0.2">
      <c r="K128" s="13">
        <v>125</v>
      </c>
      <c r="L128" s="13">
        <f t="shared" si="21"/>
        <v>6</v>
      </c>
      <c r="M128" s="13">
        <f t="shared" si="22"/>
        <v>4</v>
      </c>
      <c r="N128" s="14">
        <f t="shared" si="23"/>
        <v>1101006</v>
      </c>
      <c r="O128" s="14" t="str">
        <f t="shared" si="24"/>
        <v>红莲·缇娜20突</v>
      </c>
      <c r="P128" s="29" t="s">
        <v>341</v>
      </c>
      <c r="Q128" s="14">
        <f t="shared" si="25"/>
        <v>1</v>
      </c>
      <c r="R128" s="14">
        <f t="shared" si="26"/>
        <v>20</v>
      </c>
      <c r="S128" s="14" t="s">
        <v>39</v>
      </c>
      <c r="T128" s="14">
        <f>ROUND(((IF(Q128=1,INDEX(新属性投放!$J$14:$J$34,卡牌属性!R128),INDEX(新属性投放!$J$42:$J$62,卡牌属性!R128)))*INDEX($G$5:$G$42,L128)+IF(Q128=1,INDEX(新属性投放!R$20:R$23,卡牌属性!M128-1),INDEX(新属性投放!R$25:R$28,卡牌属性!M128-1)))/SQRT(INDEX($I$5:$I$42,L128)),2)</f>
        <v>62256.07</v>
      </c>
      <c r="U128" s="29" t="s">
        <v>178</v>
      </c>
      <c r="V128" s="14">
        <f>ROUND((IF(Q128=1,INDEX(新属性投放!$K$14:$K$34,卡牌属性!R128),INDEX(新属性投放!$K$42:$K$62,卡牌属性!R128))+IF(Q128=1,INDEX(新属性投放!S$20:S$23,卡牌属性!M128-1),INDEX(新属性投放!S$25:S$28,卡牌属性!M128-1)))*INDEX($G$5:$G$42,L128),2)</f>
        <v>31028.34</v>
      </c>
      <c r="W128" s="29" t="s">
        <v>179</v>
      </c>
      <c r="X128" s="14">
        <f>ROUND((IF(Q128=1,INDEX(新属性投放!$L$14:$L$34,卡牌属性!R128),INDEX(新属性投放!$L$42:$L$62,卡牌属性!R128))*INDEX($G$5:$G$42,L128)+IF(Q128=1,INDEX(新属性投放!T$20:T$23,卡牌属性!M128-1),INDEX(新属性投放!T$25:T$28,卡牌属性!M128-1)))*SQRT(INDEX($I$5:$I$42,L128)),2)</f>
        <v>187198.21</v>
      </c>
      <c r="Y128" s="29" t="s">
        <v>177</v>
      </c>
      <c r="Z128" s="14">
        <f>ROUND(IF(Q128=1,INDEX(新属性投放!$D$14:$D$34,卡牌属性!R128),INDEX(新属性投放!$D$42:$D$62,卡牌属性!R128))*INDEX($G$5:$G$42,L128)/SQRT(INDEX($I$5:$I$42,L128)),2)</f>
        <v>1552.66</v>
      </c>
      <c r="AA128" s="29" t="s">
        <v>178</v>
      </c>
      <c r="AB128" s="14">
        <f>ROUND(IF(Q128=1,INDEX(新属性投放!$E$14:$E$34,卡牌属性!R128),INDEX(新属性投放!$E$42:$E$62,卡牌属性!R128))*INDEX($G$5:$G$42,L128),2)</f>
        <v>776.33</v>
      </c>
      <c r="AC128" s="29" t="s">
        <v>179</v>
      </c>
      <c r="AD128" s="14">
        <f>ROUND(IF(Q128=1,INDEX(新属性投放!$F$14:$F$34,卡牌属性!R128),INDEX(新属性投放!$F$42:$F$62,卡牌属性!R128))*INDEX($G$5:$G$42,L128)*SQRT(INDEX($I$5:$I$42,L128)),2)</f>
        <v>4657.97</v>
      </c>
      <c r="AF128" s="14">
        <f t="shared" si="27"/>
        <v>15526</v>
      </c>
      <c r="AG128" s="14">
        <f t="shared" si="28"/>
        <v>7763</v>
      </c>
      <c r="AH128" s="14">
        <f t="shared" si="29"/>
        <v>46579</v>
      </c>
      <c r="AJ128" s="14">
        <f t="shared" si="33"/>
        <v>65180</v>
      </c>
      <c r="AK128" s="14">
        <f t="shared" si="34"/>
        <v>32585</v>
      </c>
      <c r="AL128" s="14">
        <f t="shared" si="35"/>
        <v>195548</v>
      </c>
    </row>
    <row r="129" spans="11:38" ht="16.5" x14ac:dyDescent="0.2">
      <c r="K129" s="13">
        <v>126</v>
      </c>
      <c r="L129" s="13">
        <f t="shared" si="21"/>
        <v>6</v>
      </c>
      <c r="M129" s="13">
        <f t="shared" si="22"/>
        <v>4</v>
      </c>
      <c r="N129" s="14">
        <f t="shared" si="23"/>
        <v>1101006</v>
      </c>
      <c r="O129" s="14" t="str">
        <f t="shared" si="24"/>
        <v>红莲·缇娜21突</v>
      </c>
      <c r="P129" s="29" t="s">
        <v>341</v>
      </c>
      <c r="Q129" s="14">
        <f t="shared" si="25"/>
        <v>1</v>
      </c>
      <c r="R129" s="14">
        <f t="shared" si="26"/>
        <v>21</v>
      </c>
      <c r="S129" s="14" t="s">
        <v>39</v>
      </c>
      <c r="T129" s="14">
        <f>ROUND(((IF(Q129=1,INDEX(新属性投放!$J$14:$J$34,卡牌属性!R129),INDEX(新属性投放!$J$42:$J$62,卡牌属性!R129)))*INDEX($G$5:$G$42,L129)+IF(Q129=1,INDEX(新属性投放!R$20:R$23,卡牌属性!M129-1),INDEX(新属性投放!R$25:R$28,卡牌属性!M129-1)))/SQRT(INDEX($I$5:$I$42,L129)),2)</f>
        <v>81664.42</v>
      </c>
      <c r="U129" s="29" t="s">
        <v>178</v>
      </c>
      <c r="V129" s="14">
        <f>ROUND((IF(Q129=1,INDEX(新属性投放!$K$14:$K$34,卡牌属性!R129),INDEX(新属性投放!$K$42:$K$62,卡牌属性!R129))+IF(Q129=1,INDEX(新属性投放!S$20:S$23,卡牌属性!M129-1),INDEX(新属性投放!S$25:S$28,卡牌属性!M129-1)))*INDEX($G$5:$G$42,L129),2)</f>
        <v>40732.51</v>
      </c>
      <c r="W129" s="29" t="s">
        <v>179</v>
      </c>
      <c r="X129" s="14">
        <f>ROUND((IF(Q129=1,INDEX(新属性投放!$L$14:$L$34,卡牌属性!R129),INDEX(新属性投放!$L$42:$L$62,卡牌属性!R129))*INDEX($G$5:$G$42,L129)+IF(Q129=1,INDEX(新属性投放!T$20:T$23,卡牌属性!M129-1),INDEX(新属性投放!T$25:T$28,卡牌属性!M129-1)))*SQRT(INDEX($I$5:$I$42,L129)),2)</f>
        <v>245423.26</v>
      </c>
      <c r="Y129" s="29" t="s">
        <v>177</v>
      </c>
      <c r="Z129" s="14">
        <f>ROUND(IF(Q129=1,INDEX(新属性投放!$D$14:$D$34,卡牌属性!R129),INDEX(新属性投放!$D$42:$D$62,卡牌属性!R129))*INDEX($G$5:$G$42,L129)/SQRT(INDEX($I$5:$I$42,L129)),2)</f>
        <v>2037.87</v>
      </c>
      <c r="AA129" s="29" t="s">
        <v>178</v>
      </c>
      <c r="AB129" s="14">
        <f>ROUND(IF(Q129=1,INDEX(新属性投放!$E$14:$E$34,卡牌属性!R129),INDEX(新属性投放!$E$42:$E$62,卡牌属性!R129))*INDEX($G$5:$G$42,L129),2)</f>
        <v>1018.93</v>
      </c>
      <c r="AC129" s="29" t="s">
        <v>179</v>
      </c>
      <c r="AD129" s="14">
        <f>ROUND(IF(Q129=1,INDEX(新属性投放!$F$14:$F$34,卡牌属性!R129),INDEX(新属性投放!$F$42:$F$62,卡牌属性!R129))*INDEX($G$5:$G$42,L129)*SQRT(INDEX($I$5:$I$42,L129)),2)</f>
        <v>6113.6</v>
      </c>
      <c r="AF129" s="14">
        <f t="shared" si="27"/>
        <v>20378</v>
      </c>
      <c r="AG129" s="14">
        <f t="shared" si="28"/>
        <v>10189</v>
      </c>
      <c r="AH129" s="14">
        <f t="shared" si="29"/>
        <v>61136</v>
      </c>
      <c r="AJ129" s="14">
        <f t="shared" si="33"/>
        <v>85558</v>
      </c>
      <c r="AK129" s="14">
        <f t="shared" si="34"/>
        <v>42774</v>
      </c>
      <c r="AL129" s="14">
        <f t="shared" si="35"/>
        <v>256684</v>
      </c>
    </row>
    <row r="130" spans="11:38" ht="16.5" x14ac:dyDescent="0.2">
      <c r="K130" s="13">
        <v>127</v>
      </c>
      <c r="L130" s="13">
        <f t="shared" si="21"/>
        <v>7</v>
      </c>
      <c r="M130" s="13">
        <f t="shared" si="22"/>
        <v>4</v>
      </c>
      <c r="N130" s="14">
        <f t="shared" si="23"/>
        <v>1101007</v>
      </c>
      <c r="O130" s="14" t="str">
        <f t="shared" si="24"/>
        <v>战斗曹焱兵1突</v>
      </c>
      <c r="P130" s="29" t="s">
        <v>341</v>
      </c>
      <c r="Q130" s="14">
        <f t="shared" si="25"/>
        <v>1</v>
      </c>
      <c r="R130" s="14">
        <f t="shared" si="26"/>
        <v>1</v>
      </c>
      <c r="S130" s="14" t="s">
        <v>39</v>
      </c>
      <c r="T130" s="14">
        <f>ROUND(((IF(Q130=1,INDEX(新属性投放!$J$14:$J$34,卡牌属性!R130),INDEX(新属性投放!$J$42:$J$62,卡牌属性!R130)))*INDEX($G$5:$G$42,L130)+IF(Q130=1,INDEX(新属性投放!R$20:R$23,卡牌属性!M130-1),INDEX(新属性投放!R$25:R$28,卡牌属性!M130-1)))/SQRT(INDEX($I$5:$I$42,L130)),2)</f>
        <v>215</v>
      </c>
      <c r="U130" s="29" t="s">
        <v>178</v>
      </c>
      <c r="V130" s="14">
        <f>ROUND((IF(Q130=1,INDEX(新属性投放!$K$14:$K$34,卡牌属性!R130),INDEX(新属性投放!$K$42:$K$62,卡牌属性!R130))+IF(Q130=1,INDEX(新属性投放!S$20:S$23,卡牌属性!M130-1),INDEX(新属性投放!S$25:S$28,卡牌属性!M130-1)))*INDEX($G$5:$G$42,L130),2)</f>
        <v>0</v>
      </c>
      <c r="W130" s="29" t="s">
        <v>179</v>
      </c>
      <c r="X130" s="14">
        <f>ROUND((IF(Q130=1,INDEX(新属性投放!$L$14:$L$34,卡牌属性!R130),INDEX(新属性投放!$L$42:$L$62,卡牌属性!R130))*INDEX($G$5:$G$42,L130)+IF(Q130=1,INDEX(新属性投放!T$20:T$23,卡牌属性!M130-1),INDEX(新属性投放!T$25:T$28,卡牌属性!M130-1)))*SQRT(INDEX($I$5:$I$42,L130)),2)</f>
        <v>1075</v>
      </c>
      <c r="Y130" s="29" t="s">
        <v>177</v>
      </c>
      <c r="Z130" s="14">
        <f>ROUND(IF(Q130=1,INDEX(新属性投放!$D$14:$D$34,卡牌属性!R130),INDEX(新属性投放!$D$42:$D$62,卡牌属性!R130))*INDEX($G$5:$G$42,L130)/SQRT(INDEX($I$5:$I$42,L130)),2)</f>
        <v>13</v>
      </c>
      <c r="AA130" s="29" t="s">
        <v>178</v>
      </c>
      <c r="AB130" s="14">
        <f>ROUND(IF(Q130=1,INDEX(新属性投放!$E$14:$E$34,卡牌属性!R130),INDEX(新属性投放!$E$42:$E$62,卡牌属性!R130))*INDEX($G$5:$G$42,L130),2)</f>
        <v>6.5</v>
      </c>
      <c r="AC130" s="29" t="s">
        <v>179</v>
      </c>
      <c r="AD130" s="14">
        <f>ROUND(IF(Q130=1,INDEX(新属性投放!$F$14:$F$34,卡牌属性!R130),INDEX(新属性投放!$F$42:$F$62,卡牌属性!R130))*INDEX($G$5:$G$42,L130)*SQRT(INDEX($I$5:$I$42,L130)),2)</f>
        <v>39</v>
      </c>
      <c r="AF130" s="14">
        <f t="shared" si="27"/>
        <v>130</v>
      </c>
      <c r="AG130" s="14">
        <f t="shared" si="28"/>
        <v>65</v>
      </c>
      <c r="AH130" s="14">
        <f t="shared" si="29"/>
        <v>390</v>
      </c>
      <c r="AJ130" s="14">
        <f>AF130</f>
        <v>130</v>
      </c>
      <c r="AK130" s="14">
        <f>AG130</f>
        <v>65</v>
      </c>
      <c r="AL130" s="14">
        <f>AH130</f>
        <v>390</v>
      </c>
    </row>
    <row r="131" spans="11:38" ht="16.5" x14ac:dyDescent="0.2">
      <c r="K131" s="13">
        <v>128</v>
      </c>
      <c r="L131" s="13">
        <f t="shared" si="21"/>
        <v>7</v>
      </c>
      <c r="M131" s="13">
        <f t="shared" si="22"/>
        <v>4</v>
      </c>
      <c r="N131" s="14">
        <f t="shared" si="23"/>
        <v>1101007</v>
      </c>
      <c r="O131" s="14" t="str">
        <f t="shared" si="24"/>
        <v>战斗曹焱兵2突</v>
      </c>
      <c r="P131" s="29" t="s">
        <v>341</v>
      </c>
      <c r="Q131" s="14">
        <f t="shared" si="25"/>
        <v>1</v>
      </c>
      <c r="R131" s="14">
        <f t="shared" si="26"/>
        <v>2</v>
      </c>
      <c r="S131" s="14" t="s">
        <v>39</v>
      </c>
      <c r="T131" s="14">
        <f>ROUND(((IF(Q131=1,INDEX(新属性投放!$J$14:$J$34,卡牌属性!R131),INDEX(新属性投放!$J$42:$J$62,卡牌属性!R131)))*INDEX($G$5:$G$42,L131)+IF(Q131=1,INDEX(新属性投放!R$20:R$23,卡牌属性!M131-1),INDEX(新属性投放!R$25:R$28,卡牌属性!M131-1)))/SQRT(INDEX($I$5:$I$42,L131)),2)</f>
        <v>345</v>
      </c>
      <c r="U131" s="29" t="s">
        <v>178</v>
      </c>
      <c r="V131" s="14">
        <f>ROUND((IF(Q131=1,INDEX(新属性投放!$K$14:$K$34,卡牌属性!R131),INDEX(新属性投放!$K$42:$K$62,卡牌属性!R131))+IF(Q131=1,INDEX(新属性投放!S$20:S$23,卡牌属性!M131-1),INDEX(新属性投放!S$25:S$28,卡牌属性!M131-1)))*INDEX($G$5:$G$42,L131),2)</f>
        <v>72.8</v>
      </c>
      <c r="W131" s="29" t="s">
        <v>179</v>
      </c>
      <c r="X131" s="14">
        <f>ROUND((IF(Q131=1,INDEX(新属性投放!$L$14:$L$34,卡牌属性!R131),INDEX(新属性投放!$L$42:$L$62,卡牌属性!R131))*INDEX($G$5:$G$42,L131)+IF(Q131=1,INDEX(新属性投放!T$20:T$23,卡牌属性!M131-1),INDEX(新属性投放!T$25:T$28,卡牌属性!M131-1)))*SQRT(INDEX($I$5:$I$42,L131)),2)</f>
        <v>1465</v>
      </c>
      <c r="Y131" s="29" t="s">
        <v>177</v>
      </c>
      <c r="Z131" s="14">
        <f>ROUND(IF(Q131=1,INDEX(新属性投放!$D$14:$D$34,卡牌属性!R131),INDEX(新属性投放!$D$42:$D$62,卡牌属性!R131))*INDEX($G$5:$G$42,L131)/SQRT(INDEX($I$5:$I$42,L131)),2)</f>
        <v>13</v>
      </c>
      <c r="AA131" s="29" t="s">
        <v>178</v>
      </c>
      <c r="AB131" s="14">
        <f>ROUND(IF(Q131=1,INDEX(新属性投放!$E$14:$E$34,卡牌属性!R131),INDEX(新属性投放!$E$42:$E$62,卡牌属性!R131))*INDEX($G$5:$G$42,L131),2)</f>
        <v>6.5</v>
      </c>
      <c r="AC131" s="29" t="s">
        <v>179</v>
      </c>
      <c r="AD131" s="14">
        <f>ROUND(IF(Q131=1,INDEX(新属性投放!$F$14:$F$34,卡牌属性!R131),INDEX(新属性投放!$F$42:$F$62,卡牌属性!R131))*INDEX($G$5:$G$42,L131)*SQRT(INDEX($I$5:$I$42,L131)),2)</f>
        <v>39</v>
      </c>
      <c r="AF131" s="14">
        <f t="shared" si="27"/>
        <v>130</v>
      </c>
      <c r="AG131" s="14">
        <f t="shared" si="28"/>
        <v>65</v>
      </c>
      <c r="AH131" s="14">
        <f t="shared" si="29"/>
        <v>390</v>
      </c>
      <c r="AJ131" s="14">
        <f t="shared" ref="AJ131:AJ150" si="36">AJ130+AF131</f>
        <v>260</v>
      </c>
      <c r="AK131" s="14">
        <f t="shared" ref="AK131:AK150" si="37">AK130+AG131</f>
        <v>130</v>
      </c>
      <c r="AL131" s="14">
        <f t="shared" ref="AL131:AL150" si="38">AL130+AH131</f>
        <v>780</v>
      </c>
    </row>
    <row r="132" spans="11:38" ht="16.5" x14ac:dyDescent="0.2">
      <c r="K132" s="13">
        <v>129</v>
      </c>
      <c r="L132" s="13">
        <f t="shared" si="21"/>
        <v>7</v>
      </c>
      <c r="M132" s="13">
        <f t="shared" si="22"/>
        <v>4</v>
      </c>
      <c r="N132" s="14">
        <f t="shared" si="23"/>
        <v>1101007</v>
      </c>
      <c r="O132" s="14" t="str">
        <f t="shared" si="24"/>
        <v>战斗曹焱兵3突</v>
      </c>
      <c r="P132" s="29" t="s">
        <v>341</v>
      </c>
      <c r="Q132" s="14">
        <f t="shared" si="25"/>
        <v>1</v>
      </c>
      <c r="R132" s="14">
        <f t="shared" si="26"/>
        <v>3</v>
      </c>
      <c r="S132" s="14" t="s">
        <v>39</v>
      </c>
      <c r="T132" s="14">
        <f>ROUND(((IF(Q132=1,INDEX(新属性投放!$J$14:$J$34,卡牌属性!R132),INDEX(新属性投放!$J$42:$J$62,卡牌属性!R132)))*INDEX($G$5:$G$42,L132)+IF(Q132=1,INDEX(新属性投放!R$20:R$23,卡牌属性!M132-1),INDEX(新属性投放!R$25:R$28,卡牌属性!M132-1)))/SQRT(INDEX($I$5:$I$42,L132)),2)</f>
        <v>507.5</v>
      </c>
      <c r="U132" s="29" t="s">
        <v>178</v>
      </c>
      <c r="V132" s="14">
        <f>ROUND((IF(Q132=1,INDEX(新属性投放!$K$14:$K$34,卡牌属性!R132),INDEX(新属性投放!$K$42:$K$62,卡牌属性!R132))+IF(Q132=1,INDEX(新属性投放!S$20:S$23,卡牌属性!M132-1),INDEX(新属性投放!S$25:S$28,卡牌属性!M132-1)))*INDEX($G$5:$G$42,L132),2)</f>
        <v>154.69999999999999</v>
      </c>
      <c r="W132" s="29" t="s">
        <v>179</v>
      </c>
      <c r="X132" s="14">
        <f>ROUND((IF(Q132=1,INDEX(新属性投放!$L$14:$L$34,卡牌属性!R132),INDEX(新属性投放!$L$42:$L$62,卡牌属性!R132))*INDEX($G$5:$G$42,L132)+IF(Q132=1,INDEX(新属性投放!T$20:T$23,卡牌属性!M132-1),INDEX(新属性投放!T$25:T$28,卡牌属性!M132-1)))*SQRT(INDEX($I$5:$I$42,L132)),2)</f>
        <v>1952.5</v>
      </c>
      <c r="Y132" s="29" t="s">
        <v>177</v>
      </c>
      <c r="Z132" s="14">
        <f>ROUND(IF(Q132=1,INDEX(新属性投放!$D$14:$D$34,卡牌属性!R132),INDEX(新属性投放!$D$42:$D$62,卡牌属性!R132))*INDEX($G$5:$G$42,L132)/SQRT(INDEX($I$5:$I$42,L132)),2)</f>
        <v>19.5</v>
      </c>
      <c r="AA132" s="29" t="s">
        <v>178</v>
      </c>
      <c r="AB132" s="14">
        <f>ROUND(IF(Q132=1,INDEX(新属性投放!$E$14:$E$34,卡牌属性!R132),INDEX(新属性投放!$E$42:$E$62,卡牌属性!R132))*INDEX($G$5:$G$42,L132),2)</f>
        <v>9.75</v>
      </c>
      <c r="AC132" s="29" t="s">
        <v>179</v>
      </c>
      <c r="AD132" s="14">
        <f>ROUND(IF(Q132=1,INDEX(新属性投放!$F$14:$F$34,卡牌属性!R132),INDEX(新属性投放!$F$42:$F$62,卡牌属性!R132))*INDEX($G$5:$G$42,L132)*SQRT(INDEX($I$5:$I$42,L132)),2)</f>
        <v>58.5</v>
      </c>
      <c r="AF132" s="14">
        <f t="shared" si="27"/>
        <v>195</v>
      </c>
      <c r="AG132" s="14">
        <f t="shared" si="28"/>
        <v>97</v>
      </c>
      <c r="AH132" s="14">
        <f t="shared" si="29"/>
        <v>585</v>
      </c>
      <c r="AJ132" s="14">
        <f t="shared" si="36"/>
        <v>455</v>
      </c>
      <c r="AK132" s="14">
        <f t="shared" si="37"/>
        <v>227</v>
      </c>
      <c r="AL132" s="14">
        <f t="shared" si="38"/>
        <v>1365</v>
      </c>
    </row>
    <row r="133" spans="11:38" ht="16.5" x14ac:dyDescent="0.2">
      <c r="K133" s="13">
        <v>130</v>
      </c>
      <c r="L133" s="13">
        <f t="shared" ref="L133:L196" si="39">MATCH(K133-1,$F$4:$F$41,1)</f>
        <v>7</v>
      </c>
      <c r="M133" s="13">
        <f t="shared" ref="M133:M196" si="40">INDEX($D$5:$D$42,L133)</f>
        <v>4</v>
      </c>
      <c r="N133" s="14">
        <f t="shared" ref="N133:N196" si="41">INDEX($A$4:$A$42,L133+1)</f>
        <v>1101007</v>
      </c>
      <c r="O133" s="14" t="str">
        <f t="shared" ref="O133:O196" si="42">INDEX($B$4:$B$42,MATCH(N133,$A$4:$A$42,0))&amp;R133&amp;"突"</f>
        <v>战斗曹焱兵4突</v>
      </c>
      <c r="P133" s="29" t="s">
        <v>341</v>
      </c>
      <c r="Q133" s="14">
        <f t="shared" ref="Q133:Q196" si="43">INDEX($C$4:$C$42,L133+1)</f>
        <v>1</v>
      </c>
      <c r="R133" s="14">
        <f t="shared" ref="R133:R196" si="44">K133-INDEX($F$4:$F$42,L133)</f>
        <v>4</v>
      </c>
      <c r="S133" s="14" t="s">
        <v>39</v>
      </c>
      <c r="T133" s="14">
        <f>ROUND(((IF(Q133=1,INDEX(新属性投放!$J$14:$J$34,卡牌属性!R133),INDEX(新属性投放!$J$42:$J$62,卡牌属性!R133)))*INDEX($G$5:$G$42,L133)+IF(Q133=1,INDEX(新属性投放!R$20:R$23,卡牌属性!M133-1),INDEX(新属性投放!R$25:R$28,卡牌属性!M133-1)))/SQRT(INDEX($I$5:$I$42,L133)),2)</f>
        <v>751.9</v>
      </c>
      <c r="U133" s="29" t="s">
        <v>178</v>
      </c>
      <c r="V133" s="14">
        <f>ROUND((IF(Q133=1,INDEX(新属性投放!$K$14:$K$34,卡牌属性!R133),INDEX(新属性投放!$K$42:$K$62,卡牌属性!R133))+IF(Q133=1,INDEX(新属性投放!S$20:S$23,卡牌属性!M133-1),INDEX(新属性投放!S$25:S$28,卡牌属性!M133-1)))*INDEX($G$5:$G$42,L133),2)</f>
        <v>276.89999999999998</v>
      </c>
      <c r="W133" s="29" t="s">
        <v>179</v>
      </c>
      <c r="X133" s="14">
        <f>ROUND((IF(Q133=1,INDEX(新属性投放!$L$14:$L$34,卡牌属性!R133),INDEX(新属性投放!$L$42:$L$62,卡牌属性!R133))*INDEX($G$5:$G$42,L133)+IF(Q133=1,INDEX(新属性投放!T$20:T$23,卡牌属性!M133-1),INDEX(新属性投放!T$25:T$28,卡牌属性!M133-1)))*SQRT(INDEX($I$5:$I$42,L133)),2)</f>
        <v>2685.7</v>
      </c>
      <c r="Y133" s="29" t="s">
        <v>177</v>
      </c>
      <c r="Z133" s="14">
        <f>ROUND(IF(Q133=1,INDEX(新属性投放!$D$14:$D$34,卡牌属性!R133),INDEX(新属性投放!$D$42:$D$62,卡牌属性!R133))*INDEX($G$5:$G$42,L133)/SQRT(INDEX($I$5:$I$42,L133)),2)</f>
        <v>26</v>
      </c>
      <c r="AA133" s="29" t="s">
        <v>178</v>
      </c>
      <c r="AB133" s="14">
        <f>ROUND(IF(Q133=1,INDEX(新属性投放!$E$14:$E$34,卡牌属性!R133),INDEX(新属性投放!$E$42:$E$62,卡牌属性!R133))*INDEX($G$5:$G$42,L133),2)</f>
        <v>13</v>
      </c>
      <c r="AC133" s="29" t="s">
        <v>179</v>
      </c>
      <c r="AD133" s="14">
        <f>ROUND(IF(Q133=1,INDEX(新属性投放!$F$14:$F$34,卡牌属性!R133),INDEX(新属性投放!$F$42:$F$62,卡牌属性!R133))*INDEX($G$5:$G$42,L133)*SQRT(INDEX($I$5:$I$42,L133)),2)</f>
        <v>78</v>
      </c>
      <c r="AF133" s="14">
        <f t="shared" ref="AF133:AF196" si="45">INT(Z133*AF$2*10)</f>
        <v>260</v>
      </c>
      <c r="AG133" s="14">
        <f t="shared" ref="AG133:AG196" si="46">INT(AB133*AF$2*10)</f>
        <v>130</v>
      </c>
      <c r="AH133" s="14">
        <f t="shared" ref="AH133:AH196" si="47">INT(AD133*AF$2*10)</f>
        <v>780</v>
      </c>
      <c r="AJ133" s="14">
        <f t="shared" si="36"/>
        <v>715</v>
      </c>
      <c r="AK133" s="14">
        <f t="shared" si="37"/>
        <v>357</v>
      </c>
      <c r="AL133" s="14">
        <f t="shared" si="38"/>
        <v>2145</v>
      </c>
    </row>
    <row r="134" spans="11:38" ht="16.5" x14ac:dyDescent="0.2">
      <c r="K134" s="13">
        <v>131</v>
      </c>
      <c r="L134" s="13">
        <f t="shared" si="39"/>
        <v>7</v>
      </c>
      <c r="M134" s="13">
        <f t="shared" si="40"/>
        <v>4</v>
      </c>
      <c r="N134" s="14">
        <f t="shared" si="41"/>
        <v>1101007</v>
      </c>
      <c r="O134" s="14" t="str">
        <f t="shared" si="42"/>
        <v>战斗曹焱兵5突</v>
      </c>
      <c r="P134" s="29" t="s">
        <v>341</v>
      </c>
      <c r="Q134" s="14">
        <f t="shared" si="43"/>
        <v>1</v>
      </c>
      <c r="R134" s="14">
        <f t="shared" si="44"/>
        <v>5</v>
      </c>
      <c r="S134" s="14" t="s">
        <v>39</v>
      </c>
      <c r="T134" s="14">
        <f>ROUND(((IF(Q134=1,INDEX(新属性投放!$J$14:$J$34,卡牌属性!R134),INDEX(新属性投放!$J$42:$J$62,卡牌属性!R134)))*INDEX($G$5:$G$42,L134)+IF(Q134=1,INDEX(新属性投放!R$20:R$23,卡牌属性!M134-1),INDEX(新属性投放!R$25:R$28,卡牌属性!M134-1)))/SQRT(INDEX($I$5:$I$42,L134)),2)</f>
        <v>1076.9000000000001</v>
      </c>
      <c r="U134" s="29" t="s">
        <v>178</v>
      </c>
      <c r="V134" s="14">
        <f>ROUND((IF(Q134=1,INDEX(新属性投放!$K$14:$K$34,卡牌属性!R134),INDEX(新属性投放!$K$42:$K$62,卡牌属性!R134))+IF(Q134=1,INDEX(新属性投放!S$20:S$23,卡牌属性!M134-1),INDEX(新属性投放!S$25:S$28,卡牌属性!M134-1)))*INDEX($G$5:$G$42,L134),2)</f>
        <v>439.4</v>
      </c>
      <c r="W134" s="29" t="s">
        <v>179</v>
      </c>
      <c r="X134" s="14">
        <f>ROUND((IF(Q134=1,INDEX(新属性投放!$L$14:$L$34,卡牌属性!R134),INDEX(新属性投放!$L$42:$L$62,卡牌属性!R134))*INDEX($G$5:$G$42,L134)+IF(Q134=1,INDEX(新属性投放!T$20:T$23,卡牌属性!M134-1),INDEX(新属性投放!T$25:T$28,卡牌属性!M134-1)))*SQRT(INDEX($I$5:$I$42,L134)),2)</f>
        <v>3660.7</v>
      </c>
      <c r="Y134" s="29" t="s">
        <v>177</v>
      </c>
      <c r="Z134" s="14">
        <f>ROUND(IF(Q134=1,INDEX(新属性投放!$D$14:$D$34,卡牌属性!R134),INDEX(新属性投放!$D$42:$D$62,卡牌属性!R134))*INDEX($G$5:$G$42,L134)/SQRT(INDEX($I$5:$I$42,L134)),2)</f>
        <v>32.5</v>
      </c>
      <c r="AA134" s="29" t="s">
        <v>178</v>
      </c>
      <c r="AB134" s="14">
        <f>ROUND(IF(Q134=1,INDEX(新属性投放!$E$14:$E$34,卡牌属性!R134),INDEX(新属性投放!$E$42:$E$62,卡牌属性!R134))*INDEX($G$5:$G$42,L134),2)</f>
        <v>16.25</v>
      </c>
      <c r="AC134" s="29" t="s">
        <v>179</v>
      </c>
      <c r="AD134" s="14">
        <f>ROUND(IF(Q134=1,INDEX(新属性投放!$F$14:$F$34,卡牌属性!R134),INDEX(新属性投放!$F$42:$F$62,卡牌属性!R134))*INDEX($G$5:$G$42,L134)*SQRT(INDEX($I$5:$I$42,L134)),2)</f>
        <v>97.5</v>
      </c>
      <c r="AF134" s="14">
        <f t="shared" si="45"/>
        <v>325</v>
      </c>
      <c r="AG134" s="14">
        <f t="shared" si="46"/>
        <v>162</v>
      </c>
      <c r="AH134" s="14">
        <f t="shared" si="47"/>
        <v>975</v>
      </c>
      <c r="AJ134" s="14">
        <f t="shared" si="36"/>
        <v>1040</v>
      </c>
      <c r="AK134" s="14">
        <f t="shared" si="37"/>
        <v>519</v>
      </c>
      <c r="AL134" s="14">
        <f t="shared" si="38"/>
        <v>3120</v>
      </c>
    </row>
    <row r="135" spans="11:38" ht="16.5" x14ac:dyDescent="0.2">
      <c r="K135" s="13">
        <v>132</v>
      </c>
      <c r="L135" s="13">
        <f t="shared" si="39"/>
        <v>7</v>
      </c>
      <c r="M135" s="13">
        <f t="shared" si="40"/>
        <v>4</v>
      </c>
      <c r="N135" s="14">
        <f t="shared" si="41"/>
        <v>1101007</v>
      </c>
      <c r="O135" s="14" t="str">
        <f t="shared" si="42"/>
        <v>战斗曹焱兵6突</v>
      </c>
      <c r="P135" s="29" t="s">
        <v>341</v>
      </c>
      <c r="Q135" s="14">
        <f t="shared" si="43"/>
        <v>1</v>
      </c>
      <c r="R135" s="14">
        <f t="shared" si="44"/>
        <v>6</v>
      </c>
      <c r="S135" s="14" t="s">
        <v>39</v>
      </c>
      <c r="T135" s="14">
        <f>ROUND(((IF(Q135=1,INDEX(新属性投放!$J$14:$J$34,卡牌属性!R135),INDEX(新属性投放!$J$42:$J$62,卡牌属性!R135)))*INDEX($G$5:$G$42,L135)+IF(Q135=1,INDEX(新属性投放!R$20:R$23,卡牌属性!M135-1),INDEX(新属性投放!R$25:R$28,卡牌属性!M135-1)))/SQRT(INDEX($I$5:$I$42,L135)),2)</f>
        <v>1483.8</v>
      </c>
      <c r="U135" s="29" t="s">
        <v>178</v>
      </c>
      <c r="V135" s="14">
        <f>ROUND((IF(Q135=1,INDEX(新属性投放!$K$14:$K$34,卡牌属性!R135),INDEX(新属性投放!$K$42:$K$62,卡牌属性!R135))+IF(Q135=1,INDEX(新属性投放!S$20:S$23,卡牌属性!M135-1),INDEX(新属性投放!S$25:S$28,卡牌属性!M135-1)))*INDEX($G$5:$G$42,L135),2)</f>
        <v>642.20000000000005</v>
      </c>
      <c r="W135" s="29" t="s">
        <v>179</v>
      </c>
      <c r="X135" s="14">
        <f>ROUND((IF(Q135=1,INDEX(新属性投放!$L$14:$L$34,卡牌属性!R135),INDEX(新属性投放!$L$42:$L$62,卡牌属性!R135))*INDEX($G$5:$G$42,L135)+IF(Q135=1,INDEX(新属性投放!T$20:T$23,卡牌属性!M135-1),INDEX(新属性投放!T$25:T$28,卡牌属性!M135-1)))*SQRT(INDEX($I$5:$I$42,L135)),2)</f>
        <v>4881.3999999999996</v>
      </c>
      <c r="Y135" s="29" t="s">
        <v>177</v>
      </c>
      <c r="Z135" s="14">
        <f>ROUND(IF(Q135=1,INDEX(新属性投放!$D$14:$D$34,卡牌属性!R135),INDEX(新属性投放!$D$42:$D$62,卡牌属性!R135))*INDEX($G$5:$G$42,L135)/SQRT(INDEX($I$5:$I$42,L135)),2)</f>
        <v>39</v>
      </c>
      <c r="AA135" s="29" t="s">
        <v>178</v>
      </c>
      <c r="AB135" s="14">
        <f>ROUND(IF(Q135=1,INDEX(新属性投放!$E$14:$E$34,卡牌属性!R135),INDEX(新属性投放!$E$42:$E$62,卡牌属性!R135))*INDEX($G$5:$G$42,L135),2)</f>
        <v>19.5</v>
      </c>
      <c r="AC135" s="29" t="s">
        <v>179</v>
      </c>
      <c r="AD135" s="14">
        <f>ROUND(IF(Q135=1,INDEX(新属性投放!$F$14:$F$34,卡牌属性!R135),INDEX(新属性投放!$F$42:$F$62,卡牌属性!R135))*INDEX($G$5:$G$42,L135)*SQRT(INDEX($I$5:$I$42,L135)),2)</f>
        <v>117</v>
      </c>
      <c r="AF135" s="14">
        <f t="shared" si="45"/>
        <v>390</v>
      </c>
      <c r="AG135" s="14">
        <f t="shared" si="46"/>
        <v>195</v>
      </c>
      <c r="AH135" s="14">
        <f t="shared" si="47"/>
        <v>1170</v>
      </c>
      <c r="AJ135" s="14">
        <f t="shared" si="36"/>
        <v>1430</v>
      </c>
      <c r="AK135" s="14">
        <f t="shared" si="37"/>
        <v>714</v>
      </c>
      <c r="AL135" s="14">
        <f t="shared" si="38"/>
        <v>4290</v>
      </c>
    </row>
    <row r="136" spans="11:38" ht="16.5" x14ac:dyDescent="0.2">
      <c r="K136" s="13">
        <v>133</v>
      </c>
      <c r="L136" s="13">
        <f t="shared" si="39"/>
        <v>7</v>
      </c>
      <c r="M136" s="13">
        <f t="shared" si="40"/>
        <v>4</v>
      </c>
      <c r="N136" s="14">
        <f t="shared" si="41"/>
        <v>1101007</v>
      </c>
      <c r="O136" s="14" t="str">
        <f t="shared" si="42"/>
        <v>战斗曹焱兵7突</v>
      </c>
      <c r="P136" s="29" t="s">
        <v>341</v>
      </c>
      <c r="Q136" s="14">
        <f t="shared" si="43"/>
        <v>1</v>
      </c>
      <c r="R136" s="14">
        <f t="shared" si="44"/>
        <v>7</v>
      </c>
      <c r="S136" s="14" t="s">
        <v>39</v>
      </c>
      <c r="T136" s="14">
        <f>ROUND(((IF(Q136=1,INDEX(新属性投放!$J$14:$J$34,卡牌属性!R136),INDEX(新属性投放!$J$42:$J$62,卡牌属性!R136)))*INDEX($G$5:$G$42,L136)+IF(Q136=1,INDEX(新属性投放!R$20:R$23,卡牌属性!M136-1),INDEX(新属性投放!R$25:R$28,卡牌属性!M136-1)))/SQRT(INDEX($I$5:$I$42,L136)),2)</f>
        <v>1971.3</v>
      </c>
      <c r="U136" s="29" t="s">
        <v>178</v>
      </c>
      <c r="V136" s="14">
        <f>ROUND((IF(Q136=1,INDEX(新属性投放!$K$14:$K$34,卡牌属性!R136),INDEX(新属性投放!$K$42:$K$62,卡牌属性!R136))+IF(Q136=1,INDEX(新属性投放!S$20:S$23,卡牌属性!M136-1),INDEX(新属性投放!S$25:S$28,卡牌属性!M136-1)))*INDEX($G$5:$G$42,L136),2)</f>
        <v>886.6</v>
      </c>
      <c r="W136" s="29" t="s">
        <v>179</v>
      </c>
      <c r="X136" s="14">
        <f>ROUND((IF(Q136=1,INDEX(新属性投放!$L$14:$L$34,卡牌属性!R136),INDEX(新属性投放!$L$42:$L$62,卡牌属性!R136))*INDEX($G$5:$G$42,L136)+IF(Q136=1,INDEX(新属性投放!T$20:T$23,卡牌属性!M136-1),INDEX(新属性投放!T$25:T$28,卡牌属性!M136-1)))*SQRT(INDEX($I$5:$I$42,L136)),2)</f>
        <v>6343.9</v>
      </c>
      <c r="Y136" s="29" t="s">
        <v>177</v>
      </c>
      <c r="Z136" s="14">
        <f>ROUND(IF(Q136=1,INDEX(新属性投放!$D$14:$D$34,卡牌属性!R136),INDEX(新属性投放!$D$42:$D$62,卡牌属性!R136))*INDEX($G$5:$G$42,L136)/SQRT(INDEX($I$5:$I$42,L136)),2)</f>
        <v>45.5</v>
      </c>
      <c r="AA136" s="29" t="s">
        <v>178</v>
      </c>
      <c r="AB136" s="14">
        <f>ROUND(IF(Q136=1,INDEX(新属性投放!$E$14:$E$34,卡牌属性!R136),INDEX(新属性投放!$E$42:$E$62,卡牌属性!R136))*INDEX($G$5:$G$42,L136),2)</f>
        <v>22.75</v>
      </c>
      <c r="AC136" s="29" t="s">
        <v>179</v>
      </c>
      <c r="AD136" s="14">
        <f>ROUND(IF(Q136=1,INDEX(新属性投放!$F$14:$F$34,卡牌属性!R136),INDEX(新属性投放!$F$42:$F$62,卡牌属性!R136))*INDEX($G$5:$G$42,L136)*SQRT(INDEX($I$5:$I$42,L136)),2)</f>
        <v>136.5</v>
      </c>
      <c r="AF136" s="14">
        <f t="shared" si="45"/>
        <v>455</v>
      </c>
      <c r="AG136" s="14">
        <f t="shared" si="46"/>
        <v>227</v>
      </c>
      <c r="AH136" s="14">
        <f t="shared" si="47"/>
        <v>1365</v>
      </c>
      <c r="AJ136" s="14">
        <f t="shared" si="36"/>
        <v>1885</v>
      </c>
      <c r="AK136" s="14">
        <f t="shared" si="37"/>
        <v>941</v>
      </c>
      <c r="AL136" s="14">
        <f t="shared" si="38"/>
        <v>5655</v>
      </c>
    </row>
    <row r="137" spans="11:38" ht="16.5" x14ac:dyDescent="0.2">
      <c r="K137" s="13">
        <v>134</v>
      </c>
      <c r="L137" s="13">
        <f t="shared" si="39"/>
        <v>7</v>
      </c>
      <c r="M137" s="13">
        <f t="shared" si="40"/>
        <v>4</v>
      </c>
      <c r="N137" s="14">
        <f t="shared" si="41"/>
        <v>1101007</v>
      </c>
      <c r="O137" s="14" t="str">
        <f t="shared" si="42"/>
        <v>战斗曹焱兵8突</v>
      </c>
      <c r="P137" s="29" t="s">
        <v>341</v>
      </c>
      <c r="Q137" s="14">
        <f t="shared" si="43"/>
        <v>1</v>
      </c>
      <c r="R137" s="14">
        <f t="shared" si="44"/>
        <v>8</v>
      </c>
      <c r="S137" s="14" t="s">
        <v>39</v>
      </c>
      <c r="T137" s="14">
        <f>ROUND(((IF(Q137=1,INDEX(新属性投放!$J$14:$J$34,卡牌属性!R137),INDEX(新属性投放!$J$42:$J$62,卡牌属性!R137)))*INDEX($G$5:$G$42,L137)+IF(Q137=1,INDEX(新属性投放!R$20:R$23,卡牌属性!M137-1),INDEX(新属性投放!R$25:R$28,卡牌属性!M137-1)))/SQRT(INDEX($I$5:$I$42,L137)),2)</f>
        <v>2540.6999999999998</v>
      </c>
      <c r="U137" s="29" t="s">
        <v>178</v>
      </c>
      <c r="V137" s="14">
        <f>ROUND((IF(Q137=1,INDEX(新属性投放!$K$14:$K$34,卡牌属性!R137),INDEX(新属性投放!$K$42:$K$62,卡牌属性!R137))+IF(Q137=1,INDEX(新属性投放!S$20:S$23,卡牌属性!M137-1),INDEX(新属性投放!S$25:S$28,卡牌属性!M137-1)))*INDEX($G$5:$G$42,L137),2)</f>
        <v>1171.3</v>
      </c>
      <c r="W137" s="29" t="s">
        <v>179</v>
      </c>
      <c r="X137" s="14">
        <f>ROUND((IF(Q137=1,INDEX(新属性投放!$L$14:$L$34,卡牌属性!R137),INDEX(新属性投放!$L$42:$L$62,卡牌属性!R137))*INDEX($G$5:$G$42,L137)+IF(Q137=1,INDEX(新属性投放!T$20:T$23,卡牌属性!M137-1),INDEX(新属性投放!T$25:T$28,卡牌属性!M137-1)))*SQRT(INDEX($I$5:$I$42,L137)),2)</f>
        <v>8052.1</v>
      </c>
      <c r="Y137" s="29" t="s">
        <v>177</v>
      </c>
      <c r="Z137" s="14">
        <f>ROUND(IF(Q137=1,INDEX(新属性投放!$D$14:$D$34,卡牌属性!R137),INDEX(新属性投放!$D$42:$D$62,卡牌属性!R137))*INDEX($G$5:$G$42,L137)/SQRT(INDEX($I$5:$I$42,L137)),2)</f>
        <v>58.5</v>
      </c>
      <c r="AA137" s="29" t="s">
        <v>178</v>
      </c>
      <c r="AB137" s="14">
        <f>ROUND(IF(Q137=1,INDEX(新属性投放!$E$14:$E$34,卡牌属性!R137),INDEX(新属性投放!$E$42:$E$62,卡牌属性!R137))*INDEX($G$5:$G$42,L137),2)</f>
        <v>29.25</v>
      </c>
      <c r="AC137" s="29" t="s">
        <v>179</v>
      </c>
      <c r="AD137" s="14">
        <f>ROUND(IF(Q137=1,INDEX(新属性投放!$F$14:$F$34,卡牌属性!R137),INDEX(新属性投放!$F$42:$F$62,卡牌属性!R137))*INDEX($G$5:$G$42,L137)*SQRT(INDEX($I$5:$I$42,L137)),2)</f>
        <v>175.5</v>
      </c>
      <c r="AF137" s="14">
        <f t="shared" si="45"/>
        <v>585</v>
      </c>
      <c r="AG137" s="14">
        <f t="shared" si="46"/>
        <v>292</v>
      </c>
      <c r="AH137" s="14">
        <f t="shared" si="47"/>
        <v>1755</v>
      </c>
      <c r="AJ137" s="14">
        <f t="shared" si="36"/>
        <v>2470</v>
      </c>
      <c r="AK137" s="14">
        <f t="shared" si="37"/>
        <v>1233</v>
      </c>
      <c r="AL137" s="14">
        <f t="shared" si="38"/>
        <v>7410</v>
      </c>
    </row>
    <row r="138" spans="11:38" ht="16.5" x14ac:dyDescent="0.2">
      <c r="K138" s="13">
        <v>135</v>
      </c>
      <c r="L138" s="13">
        <f t="shared" si="39"/>
        <v>7</v>
      </c>
      <c r="M138" s="13">
        <f t="shared" si="40"/>
        <v>4</v>
      </c>
      <c r="N138" s="14">
        <f t="shared" si="41"/>
        <v>1101007</v>
      </c>
      <c r="O138" s="14" t="str">
        <f t="shared" si="42"/>
        <v>战斗曹焱兵9突</v>
      </c>
      <c r="P138" s="29" t="s">
        <v>341</v>
      </c>
      <c r="Q138" s="14">
        <f t="shared" si="43"/>
        <v>1</v>
      </c>
      <c r="R138" s="14">
        <f t="shared" si="44"/>
        <v>9</v>
      </c>
      <c r="S138" s="14" t="s">
        <v>39</v>
      </c>
      <c r="T138" s="14">
        <f>ROUND(((IF(Q138=1,INDEX(新属性投放!$J$14:$J$34,卡牌属性!R138),INDEX(新属性投放!$J$42:$J$62,卡牌属性!R138)))*INDEX($G$5:$G$42,L138)+IF(Q138=1,INDEX(新属性投放!R$20:R$23,卡牌属性!M138-1),INDEX(新属性投放!R$25:R$28,卡牌属性!M138-1)))/SQRT(INDEX($I$5:$I$42,L138)),2)</f>
        <v>3272.6</v>
      </c>
      <c r="U138" s="29" t="s">
        <v>178</v>
      </c>
      <c r="V138" s="14">
        <f>ROUND((IF(Q138=1,INDEX(新属性投放!$K$14:$K$34,卡牌属性!R138),INDEX(新属性投放!$K$42:$K$62,卡牌属性!R138))+IF(Q138=1,INDEX(新属性投放!S$20:S$23,卡牌属性!M138-1),INDEX(新属性投放!S$25:S$28,卡牌属性!M138-1)))*INDEX($G$5:$G$42,L138),2)</f>
        <v>1536.6</v>
      </c>
      <c r="W138" s="29" t="s">
        <v>179</v>
      </c>
      <c r="X138" s="14">
        <f>ROUND((IF(Q138=1,INDEX(新属性投放!$L$14:$L$34,卡牌属性!R138),INDEX(新属性投放!$L$42:$L$62,卡牌属性!R138))*INDEX($G$5:$G$42,L138)+IF(Q138=1,INDEX(新属性投放!T$20:T$23,卡牌属性!M138-1),INDEX(新属性投放!T$25:T$28,卡牌属性!M138-1)))*SQRT(INDEX($I$5:$I$42,L138)),2)</f>
        <v>10247.799999999999</v>
      </c>
      <c r="Y138" s="29" t="s">
        <v>177</v>
      </c>
      <c r="Z138" s="14">
        <f>ROUND(IF(Q138=1,INDEX(新属性投放!$D$14:$D$34,卡牌属性!R138),INDEX(新属性投放!$D$42:$D$62,卡牌属性!R138))*INDEX($G$5:$G$42,L138)/SQRT(INDEX($I$5:$I$42,L138)),2)</f>
        <v>78.069999999999993</v>
      </c>
      <c r="AA138" s="29" t="s">
        <v>178</v>
      </c>
      <c r="AB138" s="14">
        <f>ROUND(IF(Q138=1,INDEX(新属性投放!$E$14:$E$34,卡牌属性!R138),INDEX(新属性投放!$E$42:$E$62,卡牌属性!R138))*INDEX($G$5:$G$42,L138),2)</f>
        <v>39.03</v>
      </c>
      <c r="AC138" s="29" t="s">
        <v>179</v>
      </c>
      <c r="AD138" s="14">
        <f>ROUND(IF(Q138=1,INDEX(新属性投放!$F$14:$F$34,卡牌属性!R138),INDEX(新属性投放!$F$42:$F$62,卡牌属性!R138))*INDEX($G$5:$G$42,L138)*SQRT(INDEX($I$5:$I$42,L138)),2)</f>
        <v>234.2</v>
      </c>
      <c r="AF138" s="14">
        <f t="shared" si="45"/>
        <v>780</v>
      </c>
      <c r="AG138" s="14">
        <f t="shared" si="46"/>
        <v>390</v>
      </c>
      <c r="AH138" s="14">
        <f t="shared" si="47"/>
        <v>2342</v>
      </c>
      <c r="AJ138" s="14">
        <f t="shared" si="36"/>
        <v>3250</v>
      </c>
      <c r="AK138" s="14">
        <f t="shared" si="37"/>
        <v>1623</v>
      </c>
      <c r="AL138" s="14">
        <f t="shared" si="38"/>
        <v>9752</v>
      </c>
    </row>
    <row r="139" spans="11:38" ht="16.5" x14ac:dyDescent="0.2">
      <c r="K139" s="13">
        <v>136</v>
      </c>
      <c r="L139" s="13">
        <f t="shared" si="39"/>
        <v>7</v>
      </c>
      <c r="M139" s="13">
        <f t="shared" si="40"/>
        <v>4</v>
      </c>
      <c r="N139" s="14">
        <f t="shared" si="41"/>
        <v>1101007</v>
      </c>
      <c r="O139" s="14" t="str">
        <f t="shared" si="42"/>
        <v>战斗曹焱兵10突</v>
      </c>
      <c r="P139" s="29" t="s">
        <v>341</v>
      </c>
      <c r="Q139" s="14">
        <f t="shared" si="43"/>
        <v>1</v>
      </c>
      <c r="R139" s="14">
        <f t="shared" si="44"/>
        <v>10</v>
      </c>
      <c r="S139" s="14" t="s">
        <v>39</v>
      </c>
      <c r="T139" s="14">
        <f>ROUND(((IF(Q139=1,INDEX(新属性投放!$J$14:$J$34,卡牌属性!R139),INDEX(新属性投放!$J$42:$J$62,卡牌属性!R139)))*INDEX($G$5:$G$42,L139)+IF(Q139=1,INDEX(新属性投放!R$20:R$23,卡牌属性!M139-1),INDEX(新属性投放!R$25:R$28,卡牌属性!M139-1)))/SQRT(INDEX($I$5:$I$42,L139)),2)</f>
        <v>4248.25</v>
      </c>
      <c r="U139" s="29" t="s">
        <v>178</v>
      </c>
      <c r="V139" s="14">
        <f>ROUND((IF(Q139=1,INDEX(新属性投放!$K$14:$K$34,卡牌属性!R139),INDEX(新属性投放!$K$42:$K$62,卡牌属性!R139))+IF(Q139=1,INDEX(新属性投放!S$20:S$23,卡牌属性!M139-1),INDEX(新属性投放!S$25:S$28,卡牌属性!M139-1)))*INDEX($G$5:$G$42,L139),2)</f>
        <v>2024.43</v>
      </c>
      <c r="W139" s="29" t="s">
        <v>179</v>
      </c>
      <c r="X139" s="14">
        <f>ROUND((IF(Q139=1,INDEX(新属性投放!$L$14:$L$34,卡牌属性!R139),INDEX(新属性投放!$L$42:$L$62,卡牌属性!R139))*INDEX($G$5:$G$42,L139)+IF(Q139=1,INDEX(新属性投放!T$20:T$23,卡牌属性!M139-1),INDEX(新属性投放!T$25:T$28,卡牌属性!M139-1)))*SQRT(INDEX($I$5:$I$42,L139)),2)</f>
        <v>13174.75</v>
      </c>
      <c r="Y139" s="29" t="s">
        <v>177</v>
      </c>
      <c r="Z139" s="14">
        <f>ROUND(IF(Q139=1,INDEX(新属性投放!$D$14:$D$34,卡牌属性!R139),INDEX(新属性投放!$D$42:$D$62,卡牌属性!R139))*INDEX($G$5:$G$42,L139)/SQRT(INDEX($I$5:$I$42,L139)),2)</f>
        <v>102.05</v>
      </c>
      <c r="AA139" s="29" t="s">
        <v>178</v>
      </c>
      <c r="AB139" s="14">
        <f>ROUND(IF(Q139=1,INDEX(新属性投放!$E$14:$E$34,卡牌属性!R139),INDEX(新属性投放!$E$42:$E$62,卡牌属性!R139))*INDEX($G$5:$G$42,L139),2)</f>
        <v>51.03</v>
      </c>
      <c r="AC139" s="29" t="s">
        <v>179</v>
      </c>
      <c r="AD139" s="14">
        <f>ROUND(IF(Q139=1,INDEX(新属性投放!$F$14:$F$34,卡牌属性!R139),INDEX(新属性投放!$F$42:$F$62,卡牌属性!R139))*INDEX($G$5:$G$42,L139)*SQRT(INDEX($I$5:$I$42,L139)),2)</f>
        <v>306.14999999999998</v>
      </c>
      <c r="AF139" s="14">
        <f t="shared" si="45"/>
        <v>1020</v>
      </c>
      <c r="AG139" s="14">
        <f t="shared" si="46"/>
        <v>510</v>
      </c>
      <c r="AH139" s="14">
        <f t="shared" si="47"/>
        <v>3061</v>
      </c>
      <c r="AJ139" s="14">
        <f t="shared" si="36"/>
        <v>4270</v>
      </c>
      <c r="AK139" s="14">
        <f t="shared" si="37"/>
        <v>2133</v>
      </c>
      <c r="AL139" s="14">
        <f t="shared" si="38"/>
        <v>12813</v>
      </c>
    </row>
    <row r="140" spans="11:38" ht="16.5" x14ac:dyDescent="0.2">
      <c r="K140" s="13">
        <v>137</v>
      </c>
      <c r="L140" s="13">
        <f t="shared" si="39"/>
        <v>7</v>
      </c>
      <c r="M140" s="13">
        <f t="shared" si="40"/>
        <v>4</v>
      </c>
      <c r="N140" s="14">
        <f t="shared" si="41"/>
        <v>1101007</v>
      </c>
      <c r="O140" s="14" t="str">
        <f t="shared" si="42"/>
        <v>战斗曹焱兵11突</v>
      </c>
      <c r="P140" s="29" t="s">
        <v>341</v>
      </c>
      <c r="Q140" s="14">
        <f t="shared" si="43"/>
        <v>1</v>
      </c>
      <c r="R140" s="14">
        <f t="shared" si="44"/>
        <v>11</v>
      </c>
      <c r="S140" s="14" t="s">
        <v>39</v>
      </c>
      <c r="T140" s="14">
        <f>ROUND(((IF(Q140=1,INDEX(新属性投放!$J$14:$J$34,卡牌属性!R140),INDEX(新属性投放!$J$42:$J$62,卡牌属性!R140)))*INDEX($G$5:$G$42,L140)+IF(Q140=1,INDEX(新属性投放!R$20:R$23,卡牌属性!M140-1),INDEX(新属性投放!R$25:R$28,卡牌属性!M140-1)))/SQRT(INDEX($I$5:$I$42,L140)),2)</f>
        <v>5523.55</v>
      </c>
      <c r="U140" s="29" t="s">
        <v>178</v>
      </c>
      <c r="V140" s="14">
        <f>ROUND((IF(Q140=1,INDEX(新属性投放!$K$14:$K$34,卡牌属性!R140),INDEX(新属性投放!$K$42:$K$62,卡牌属性!R140))+IF(Q140=1,INDEX(新属性投放!S$20:S$23,卡牌属性!M140-1),INDEX(新属性投放!S$25:S$28,卡牌属性!M140-1)))*INDEX($G$5:$G$42,L140),2)</f>
        <v>2662.08</v>
      </c>
      <c r="W140" s="29" t="s">
        <v>179</v>
      </c>
      <c r="X140" s="14">
        <f>ROUND((IF(Q140=1,INDEX(新属性投放!$L$14:$L$34,卡牌属性!R140),INDEX(新属性投放!$L$42:$L$62,卡牌属性!R140))*INDEX($G$5:$G$42,L140)+IF(Q140=1,INDEX(新属性投放!T$20:T$23,卡牌属性!M140-1),INDEX(新属性投放!T$25:T$28,卡牌属性!M140-1)))*SQRT(INDEX($I$5:$I$42,L140)),2)</f>
        <v>17000.650000000001</v>
      </c>
      <c r="Y140" s="29" t="s">
        <v>177</v>
      </c>
      <c r="Z140" s="14">
        <f>ROUND(IF(Q140=1,INDEX(新属性投放!$D$14:$D$34,卡牌属性!R140),INDEX(新属性投放!$D$42:$D$62,卡牌属性!R140))*INDEX($G$5:$G$42,L140)/SQRT(INDEX($I$5:$I$42,L140)),2)</f>
        <v>134.34</v>
      </c>
      <c r="AA140" s="29" t="s">
        <v>178</v>
      </c>
      <c r="AB140" s="14">
        <f>ROUND(IF(Q140=1,INDEX(新属性投放!$E$14:$E$34,卡牌属性!R140),INDEX(新属性投放!$E$42:$E$62,卡牌属性!R140))*INDEX($G$5:$G$42,L140),2)</f>
        <v>67.17</v>
      </c>
      <c r="AC140" s="29" t="s">
        <v>179</v>
      </c>
      <c r="AD140" s="14">
        <f>ROUND(IF(Q140=1,INDEX(新属性投放!$F$14:$F$34,卡牌属性!R140),INDEX(新属性投放!$F$42:$F$62,卡牌属性!R140))*INDEX($G$5:$G$42,L140)*SQRT(INDEX($I$5:$I$42,L140)),2)</f>
        <v>403.03</v>
      </c>
      <c r="AF140" s="14">
        <f t="shared" si="45"/>
        <v>1343</v>
      </c>
      <c r="AG140" s="14">
        <f t="shared" si="46"/>
        <v>671</v>
      </c>
      <c r="AH140" s="14">
        <f t="shared" si="47"/>
        <v>4030</v>
      </c>
      <c r="AJ140" s="14">
        <f t="shared" si="36"/>
        <v>5613</v>
      </c>
      <c r="AK140" s="14">
        <f t="shared" si="37"/>
        <v>2804</v>
      </c>
      <c r="AL140" s="14">
        <f t="shared" si="38"/>
        <v>16843</v>
      </c>
    </row>
    <row r="141" spans="11:38" ht="16.5" x14ac:dyDescent="0.2">
      <c r="K141" s="13">
        <v>138</v>
      </c>
      <c r="L141" s="13">
        <f t="shared" si="39"/>
        <v>7</v>
      </c>
      <c r="M141" s="13">
        <f t="shared" si="40"/>
        <v>4</v>
      </c>
      <c r="N141" s="14">
        <f t="shared" si="41"/>
        <v>1101007</v>
      </c>
      <c r="O141" s="14" t="str">
        <f t="shared" si="42"/>
        <v>战斗曹焱兵12突</v>
      </c>
      <c r="P141" s="29" t="s">
        <v>341</v>
      </c>
      <c r="Q141" s="14">
        <f t="shared" si="43"/>
        <v>1</v>
      </c>
      <c r="R141" s="14">
        <f t="shared" si="44"/>
        <v>12</v>
      </c>
      <c r="S141" s="14" t="s">
        <v>39</v>
      </c>
      <c r="T141" s="14">
        <f>ROUND(((IF(Q141=1,INDEX(新属性投放!$J$14:$J$34,卡牌属性!R141),INDEX(新属性投放!$J$42:$J$62,卡牌属性!R141)))*INDEX($G$5:$G$42,L141)+IF(Q141=1,INDEX(新属性投放!R$20:R$23,卡牌属性!M141-1),INDEX(新属性投放!R$25:R$28,卡牌属性!M141-1)))/SQRT(INDEX($I$5:$I$42,L141)),2)</f>
        <v>7202.37</v>
      </c>
      <c r="U141" s="29" t="s">
        <v>178</v>
      </c>
      <c r="V141" s="14">
        <f>ROUND((IF(Q141=1,INDEX(新属性投放!$K$14:$K$34,卡牌属性!R141),INDEX(新属性投放!$K$42:$K$62,卡牌属性!R141))+IF(Q141=1,INDEX(新属性投放!S$20:S$23,卡牌属性!M141-1),INDEX(新属性投放!S$25:S$28,卡牌属性!M141-1)))*INDEX($G$5:$G$42,L141),2)</f>
        <v>3501.49</v>
      </c>
      <c r="W141" s="29" t="s">
        <v>179</v>
      </c>
      <c r="X141" s="14">
        <f>ROUND((IF(Q141=1,INDEX(新属性投放!$L$14:$L$34,卡牌属性!R141),INDEX(新属性投放!$L$42:$L$62,卡牌属性!R141))*INDEX($G$5:$G$42,L141)+IF(Q141=1,INDEX(新属性投放!T$20:T$23,卡牌属性!M141-1),INDEX(新属性投放!T$25:T$28,卡牌属性!M141-1)))*SQRT(INDEX($I$5:$I$42,L141)),2)</f>
        <v>22037.11</v>
      </c>
      <c r="Y141" s="29" t="s">
        <v>177</v>
      </c>
      <c r="Z141" s="14">
        <f>ROUND(IF(Q141=1,INDEX(新属性投放!$D$14:$D$34,卡牌属性!R141),INDEX(新属性投放!$D$42:$D$62,卡牌属性!R141))*INDEX($G$5:$G$42,L141)/SQRT(INDEX($I$5:$I$42,L141)),2)</f>
        <v>176.31</v>
      </c>
      <c r="AA141" s="29" t="s">
        <v>178</v>
      </c>
      <c r="AB141" s="14">
        <f>ROUND(IF(Q141=1,INDEX(新属性投放!$E$14:$E$34,卡牌属性!R141),INDEX(新属性投放!$E$42:$E$62,卡牌属性!R141))*INDEX($G$5:$G$42,L141),2)</f>
        <v>88.15</v>
      </c>
      <c r="AC141" s="29" t="s">
        <v>179</v>
      </c>
      <c r="AD141" s="14">
        <f>ROUND(IF(Q141=1,INDEX(新属性投放!$F$14:$F$34,卡牌属性!R141),INDEX(新属性投放!$F$42:$F$62,卡牌属性!R141))*INDEX($G$5:$G$42,L141)*SQRT(INDEX($I$5:$I$42,L141)),2)</f>
        <v>528.91999999999996</v>
      </c>
      <c r="AF141" s="14">
        <f t="shared" si="45"/>
        <v>1763</v>
      </c>
      <c r="AG141" s="14">
        <f t="shared" si="46"/>
        <v>881</v>
      </c>
      <c r="AH141" s="14">
        <f t="shared" si="47"/>
        <v>5289</v>
      </c>
      <c r="AJ141" s="14">
        <f t="shared" si="36"/>
        <v>7376</v>
      </c>
      <c r="AK141" s="14">
        <f t="shared" si="37"/>
        <v>3685</v>
      </c>
      <c r="AL141" s="14">
        <f t="shared" si="38"/>
        <v>22132</v>
      </c>
    </row>
    <row r="142" spans="11:38" ht="16.5" x14ac:dyDescent="0.2">
      <c r="K142" s="13">
        <v>139</v>
      </c>
      <c r="L142" s="13">
        <f t="shared" si="39"/>
        <v>7</v>
      </c>
      <c r="M142" s="13">
        <f t="shared" si="40"/>
        <v>4</v>
      </c>
      <c r="N142" s="14">
        <f t="shared" si="41"/>
        <v>1101007</v>
      </c>
      <c r="O142" s="14" t="str">
        <f t="shared" si="42"/>
        <v>战斗曹焱兵13突</v>
      </c>
      <c r="P142" s="29" t="s">
        <v>341</v>
      </c>
      <c r="Q142" s="14">
        <f t="shared" si="43"/>
        <v>1</v>
      </c>
      <c r="R142" s="14">
        <f t="shared" si="44"/>
        <v>13</v>
      </c>
      <c r="S142" s="14" t="s">
        <v>39</v>
      </c>
      <c r="T142" s="14">
        <f>ROUND(((IF(Q142=1,INDEX(新属性投放!$J$14:$J$34,卡牌属性!R142),INDEX(新属性投放!$J$42:$J$62,卡牌属性!R142)))*INDEX($G$5:$G$42,L142)+IF(Q142=1,INDEX(新属性投放!R$20:R$23,卡牌属性!M142-1),INDEX(新属性投放!R$25:R$28,卡牌属性!M142-1)))/SQRT(INDEX($I$5:$I$42,L142)),2)</f>
        <v>9406.1299999999992</v>
      </c>
      <c r="U142" s="29" t="s">
        <v>178</v>
      </c>
      <c r="V142" s="14">
        <f>ROUND((IF(Q142=1,INDEX(新属性投放!$K$14:$K$34,卡牌属性!R142),INDEX(新属性投放!$K$42:$K$62,卡牌属性!R142))+IF(Q142=1,INDEX(新属性投放!S$20:S$23,卡牌属性!M142-1),INDEX(新属性投放!S$25:S$28,卡牌属性!M142-1)))*INDEX($G$5:$G$42,L142),2)</f>
        <v>4604.0200000000004</v>
      </c>
      <c r="W142" s="29" t="s">
        <v>179</v>
      </c>
      <c r="X142" s="14">
        <f>ROUND((IF(Q142=1,INDEX(新属性投放!$L$14:$L$34,卡牌属性!R142),INDEX(新属性投放!$L$42:$L$62,卡牌属性!R142))*INDEX($G$5:$G$42,L142)+IF(Q142=1,INDEX(新属性投放!T$20:T$23,卡牌属性!M142-1),INDEX(新属性投放!T$25:T$28,卡牌属性!M142-1)))*SQRT(INDEX($I$5:$I$42,L142)),2)</f>
        <v>28648.39</v>
      </c>
      <c r="Y142" s="29" t="s">
        <v>177</v>
      </c>
      <c r="Z142" s="14">
        <f>ROUND(IF(Q142=1,INDEX(新属性投放!$D$14:$D$34,卡牌属性!R142),INDEX(新属性投放!$D$42:$D$62,卡牌属性!R142))*INDEX($G$5:$G$42,L142)/SQRT(INDEX($I$5:$I$42,L142)),2)</f>
        <v>231.4</v>
      </c>
      <c r="AA142" s="29" t="s">
        <v>178</v>
      </c>
      <c r="AB142" s="14">
        <f>ROUND(IF(Q142=1,INDEX(新属性投放!$E$14:$E$34,卡牌属性!R142),INDEX(新属性投放!$E$42:$E$62,卡牌属性!R142))*INDEX($G$5:$G$42,L142),2)</f>
        <v>115.7</v>
      </c>
      <c r="AC142" s="29" t="s">
        <v>179</v>
      </c>
      <c r="AD142" s="14">
        <f>ROUND(IF(Q142=1,INDEX(新属性投放!$F$14:$F$34,卡牌属性!R142),INDEX(新属性投放!$F$42:$F$62,卡牌属性!R142))*INDEX($G$5:$G$42,L142)*SQRT(INDEX($I$5:$I$42,L142)),2)</f>
        <v>694.2</v>
      </c>
      <c r="AF142" s="14">
        <f t="shared" si="45"/>
        <v>2314</v>
      </c>
      <c r="AG142" s="14">
        <f t="shared" si="46"/>
        <v>1157</v>
      </c>
      <c r="AH142" s="14">
        <f t="shared" si="47"/>
        <v>6942</v>
      </c>
      <c r="AJ142" s="14">
        <f t="shared" si="36"/>
        <v>9690</v>
      </c>
      <c r="AK142" s="14">
        <f t="shared" si="37"/>
        <v>4842</v>
      </c>
      <c r="AL142" s="14">
        <f t="shared" si="38"/>
        <v>29074</v>
      </c>
    </row>
    <row r="143" spans="11:38" ht="16.5" x14ac:dyDescent="0.2">
      <c r="K143" s="13">
        <v>140</v>
      </c>
      <c r="L143" s="13">
        <f t="shared" si="39"/>
        <v>7</v>
      </c>
      <c r="M143" s="13">
        <f t="shared" si="40"/>
        <v>4</v>
      </c>
      <c r="N143" s="14">
        <f t="shared" si="41"/>
        <v>1101007</v>
      </c>
      <c r="O143" s="14" t="str">
        <f t="shared" si="42"/>
        <v>战斗曹焱兵14突</v>
      </c>
      <c r="P143" s="29" t="s">
        <v>341</v>
      </c>
      <c r="Q143" s="14">
        <f t="shared" si="43"/>
        <v>1</v>
      </c>
      <c r="R143" s="14">
        <f t="shared" si="44"/>
        <v>14</v>
      </c>
      <c r="S143" s="14" t="s">
        <v>39</v>
      </c>
      <c r="T143" s="14">
        <f>ROUND(((IF(Q143=1,INDEX(新属性投放!$J$14:$J$34,卡牌属性!R143),INDEX(新属性投放!$J$42:$J$62,卡牌属性!R143)))*INDEX($G$5:$G$42,L143)+IF(Q143=1,INDEX(新属性投放!R$20:R$23,卡牌属性!M143-1),INDEX(新属性投放!R$25:R$28,卡牌属性!M143-1)))/SQRT(INDEX($I$5:$I$42,L143)),2)</f>
        <v>12298.63</v>
      </c>
      <c r="U143" s="29" t="s">
        <v>178</v>
      </c>
      <c r="V143" s="14">
        <f>ROUND((IF(Q143=1,INDEX(新属性投放!$K$14:$K$34,卡牌属性!R143),INDEX(新属性投放!$K$42:$K$62,卡牌属性!R143))+IF(Q143=1,INDEX(新属性投放!S$20:S$23,卡牌属性!M143-1),INDEX(新属性投放!S$25:S$28,卡牌属性!M143-1)))*INDEX($G$5:$G$42,L143),2)</f>
        <v>6050.92</v>
      </c>
      <c r="W143" s="29" t="s">
        <v>179</v>
      </c>
      <c r="X143" s="14">
        <f>ROUND((IF(Q143=1,INDEX(新属性投放!$L$14:$L$34,卡牌属性!R143),INDEX(新属性投放!$L$42:$L$62,卡牌属性!R143))*INDEX($G$5:$G$42,L143)+IF(Q143=1,INDEX(新属性投放!T$20:T$23,卡牌属性!M143-1),INDEX(新属性投放!T$25:T$28,卡牌属性!M143-1)))*SQRT(INDEX($I$5:$I$42,L143)),2)</f>
        <v>37325.89</v>
      </c>
      <c r="Y143" s="29" t="s">
        <v>177</v>
      </c>
      <c r="Z143" s="14">
        <f>ROUND(IF(Q143=1,INDEX(新属性投放!$D$14:$D$34,卡牌属性!R143),INDEX(新属性投放!$D$42:$D$62,卡牌属性!R143))*INDEX($G$5:$G$42,L143)/SQRT(INDEX($I$5:$I$42,L143)),2)</f>
        <v>303.72000000000003</v>
      </c>
      <c r="AA143" s="29" t="s">
        <v>178</v>
      </c>
      <c r="AB143" s="14">
        <f>ROUND(IF(Q143=1,INDEX(新属性投放!$E$14:$E$34,卡牌属性!R143),INDEX(新属性投放!$E$42:$E$62,卡牌属性!R143))*INDEX($G$5:$G$42,L143),2)</f>
        <v>151.86000000000001</v>
      </c>
      <c r="AC143" s="29" t="s">
        <v>179</v>
      </c>
      <c r="AD143" s="14">
        <f>ROUND(IF(Q143=1,INDEX(新属性投放!$F$14:$F$34,卡牌属性!R143),INDEX(新属性投放!$F$42:$F$62,卡牌属性!R143))*INDEX($G$5:$G$42,L143)*SQRT(INDEX($I$5:$I$42,L143)),2)</f>
        <v>911.16</v>
      </c>
      <c r="AF143" s="14">
        <f t="shared" si="45"/>
        <v>3037</v>
      </c>
      <c r="AG143" s="14">
        <f t="shared" si="46"/>
        <v>1518</v>
      </c>
      <c r="AH143" s="14">
        <f t="shared" si="47"/>
        <v>9111</v>
      </c>
      <c r="AJ143" s="14">
        <f t="shared" si="36"/>
        <v>12727</v>
      </c>
      <c r="AK143" s="14">
        <f t="shared" si="37"/>
        <v>6360</v>
      </c>
      <c r="AL143" s="14">
        <f t="shared" si="38"/>
        <v>38185</v>
      </c>
    </row>
    <row r="144" spans="11:38" ht="16.5" x14ac:dyDescent="0.2">
      <c r="K144" s="13">
        <v>141</v>
      </c>
      <c r="L144" s="13">
        <f t="shared" si="39"/>
        <v>7</v>
      </c>
      <c r="M144" s="13">
        <f t="shared" si="40"/>
        <v>4</v>
      </c>
      <c r="N144" s="14">
        <f t="shared" si="41"/>
        <v>1101007</v>
      </c>
      <c r="O144" s="14" t="str">
        <f t="shared" si="42"/>
        <v>战斗曹焱兵15突</v>
      </c>
      <c r="P144" s="29" t="s">
        <v>341</v>
      </c>
      <c r="Q144" s="14">
        <f t="shared" si="43"/>
        <v>1</v>
      </c>
      <c r="R144" s="14">
        <f t="shared" si="44"/>
        <v>15</v>
      </c>
      <c r="S144" s="14" t="s">
        <v>39</v>
      </c>
      <c r="T144" s="14">
        <f>ROUND(((IF(Q144=1,INDEX(新属性投放!$J$14:$J$34,卡牌属性!R144),INDEX(新属性投放!$J$42:$J$62,卡牌属性!R144)))*INDEX($G$5:$G$42,L144)+IF(Q144=1,INDEX(新属性投放!R$20:R$23,卡牌属性!M144-1),INDEX(新属性投放!R$25:R$28,卡牌属性!M144-1)))/SQRT(INDEX($I$5:$I$42,L144)),2)</f>
        <v>16095.02</v>
      </c>
      <c r="U144" s="29" t="s">
        <v>178</v>
      </c>
      <c r="V144" s="14">
        <f>ROUND((IF(Q144=1,INDEX(新属性投放!$K$14:$K$34,卡牌属性!R144),INDEX(新属性投放!$K$42:$K$62,卡牌属性!R144))+IF(Q144=1,INDEX(新属性投放!S$20:S$23,卡牌属性!M144-1),INDEX(新属性投放!S$25:S$28,卡牌属性!M144-1)))*INDEX($G$5:$G$42,L144),2)</f>
        <v>7949.11</v>
      </c>
      <c r="W144" s="29" t="s">
        <v>179</v>
      </c>
      <c r="X144" s="14">
        <f>ROUND((IF(Q144=1,INDEX(新属性投放!$L$14:$L$34,卡牌属性!R144),INDEX(新属性投放!$L$42:$L$62,卡牌属性!R144))*INDEX($G$5:$G$42,L144)+IF(Q144=1,INDEX(新属性投放!T$20:T$23,卡牌属性!M144-1),INDEX(新属性投放!T$25:T$28,卡牌属性!M144-1)))*SQRT(INDEX($I$5:$I$42,L144)),2)</f>
        <v>48715.06</v>
      </c>
      <c r="Y144" s="29" t="s">
        <v>177</v>
      </c>
      <c r="Z144" s="14">
        <f>ROUND(IF(Q144=1,INDEX(新属性投放!$D$14:$D$34,卡牌属性!R144),INDEX(新属性投放!$D$42:$D$62,卡牌属性!R144))*INDEX($G$5:$G$42,L144)/SQRT(INDEX($I$5:$I$42,L144)),2)</f>
        <v>398.63</v>
      </c>
      <c r="AA144" s="29" t="s">
        <v>178</v>
      </c>
      <c r="AB144" s="14">
        <f>ROUND(IF(Q144=1,INDEX(新属性投放!$E$14:$E$34,卡牌属性!R144),INDEX(新属性投放!$E$42:$E$62,卡牌属性!R144))*INDEX($G$5:$G$42,L144),2)</f>
        <v>199.32</v>
      </c>
      <c r="AC144" s="29" t="s">
        <v>179</v>
      </c>
      <c r="AD144" s="14">
        <f>ROUND(IF(Q144=1,INDEX(新属性投放!$F$14:$F$34,卡牌属性!R144),INDEX(新属性投放!$F$42:$F$62,卡牌属性!R144))*INDEX($G$5:$G$42,L144)*SQRT(INDEX($I$5:$I$42,L144)),2)</f>
        <v>1195.9000000000001</v>
      </c>
      <c r="AF144" s="14">
        <f t="shared" si="45"/>
        <v>3986</v>
      </c>
      <c r="AG144" s="14">
        <f t="shared" si="46"/>
        <v>1993</v>
      </c>
      <c r="AH144" s="14">
        <f t="shared" si="47"/>
        <v>11959</v>
      </c>
      <c r="AJ144" s="14">
        <f t="shared" si="36"/>
        <v>16713</v>
      </c>
      <c r="AK144" s="14">
        <f t="shared" si="37"/>
        <v>8353</v>
      </c>
      <c r="AL144" s="14">
        <f t="shared" si="38"/>
        <v>50144</v>
      </c>
    </row>
    <row r="145" spans="11:38" ht="16.5" x14ac:dyDescent="0.2">
      <c r="K145" s="13">
        <v>142</v>
      </c>
      <c r="L145" s="13">
        <f t="shared" si="39"/>
        <v>7</v>
      </c>
      <c r="M145" s="13">
        <f t="shared" si="40"/>
        <v>4</v>
      </c>
      <c r="N145" s="14">
        <f t="shared" si="41"/>
        <v>1101007</v>
      </c>
      <c r="O145" s="14" t="str">
        <f t="shared" si="42"/>
        <v>战斗曹焱兵16突</v>
      </c>
      <c r="P145" s="29" t="s">
        <v>341</v>
      </c>
      <c r="Q145" s="14">
        <f t="shared" si="43"/>
        <v>1</v>
      </c>
      <c r="R145" s="14">
        <f t="shared" si="44"/>
        <v>16</v>
      </c>
      <c r="S145" s="14" t="s">
        <v>39</v>
      </c>
      <c r="T145" s="14">
        <f>ROUND(((IF(Q145=1,INDEX(新属性投放!$J$14:$J$34,卡牌属性!R145),INDEX(新属性投放!$J$42:$J$62,卡牌属性!R145)))*INDEX($G$5:$G$42,L145)+IF(Q145=1,INDEX(新属性投放!R$20:R$23,卡牌属性!M145-1),INDEX(新属性投放!R$25:R$28,卡牌属性!M145-1)))/SQRT(INDEX($I$5:$I$42,L145)),2)</f>
        <v>21078.44</v>
      </c>
      <c r="U145" s="29" t="s">
        <v>178</v>
      </c>
      <c r="V145" s="14">
        <f>ROUND((IF(Q145=1,INDEX(新属性投放!$K$14:$K$34,卡牌属性!R145),INDEX(新属性投放!$K$42:$K$62,卡牌属性!R145))+IF(Q145=1,INDEX(新属性投放!S$20:S$23,卡牌属性!M145-1),INDEX(新属性投放!S$25:S$28,卡牌属性!M145-1)))*INDEX($G$5:$G$42,L145),2)</f>
        <v>10440.17</v>
      </c>
      <c r="W145" s="29" t="s">
        <v>179</v>
      </c>
      <c r="X145" s="14">
        <f>ROUND((IF(Q145=1,INDEX(新属性投放!$L$14:$L$34,卡牌属性!R145),INDEX(新属性投放!$L$42:$L$62,卡牌属性!R145))*INDEX($G$5:$G$42,L145)+IF(Q145=1,INDEX(新属性投放!T$20:T$23,卡牌属性!M145-1),INDEX(新属性投放!T$25:T$28,卡牌属性!M145-1)))*SQRT(INDEX($I$5:$I$42,L145)),2)</f>
        <v>63665.32</v>
      </c>
      <c r="Y145" s="29" t="s">
        <v>177</v>
      </c>
      <c r="Z145" s="14">
        <f>ROUND(IF(Q145=1,INDEX(新属性投放!$D$14:$D$34,卡牌属性!R145),INDEX(新属性投放!$D$42:$D$62,卡牌属性!R145))*INDEX($G$5:$G$42,L145)/SQRT(INDEX($I$5:$I$42,L145)),2)</f>
        <v>523.21</v>
      </c>
      <c r="AA145" s="29" t="s">
        <v>178</v>
      </c>
      <c r="AB145" s="14">
        <f>ROUND(IF(Q145=1,INDEX(新属性投放!$E$14:$E$34,卡牌属性!R145),INDEX(新属性投放!$E$42:$E$62,卡牌属性!R145))*INDEX($G$5:$G$42,L145),2)</f>
        <v>261.61</v>
      </c>
      <c r="AC145" s="29" t="s">
        <v>179</v>
      </c>
      <c r="AD145" s="14">
        <f>ROUND(IF(Q145=1,INDEX(新属性投放!$F$14:$F$34,卡牌属性!R145),INDEX(新属性投放!$F$42:$F$62,卡牌属性!R145))*INDEX($G$5:$G$42,L145)*SQRT(INDEX($I$5:$I$42,L145)),2)</f>
        <v>1569.63</v>
      </c>
      <c r="AF145" s="14">
        <f t="shared" si="45"/>
        <v>5232</v>
      </c>
      <c r="AG145" s="14">
        <f t="shared" si="46"/>
        <v>2616</v>
      </c>
      <c r="AH145" s="14">
        <f t="shared" si="47"/>
        <v>15696</v>
      </c>
      <c r="AJ145" s="14">
        <f t="shared" si="36"/>
        <v>21945</v>
      </c>
      <c r="AK145" s="14">
        <f t="shared" si="37"/>
        <v>10969</v>
      </c>
      <c r="AL145" s="14">
        <f t="shared" si="38"/>
        <v>65840</v>
      </c>
    </row>
    <row r="146" spans="11:38" ht="16.5" x14ac:dyDescent="0.2">
      <c r="K146" s="13">
        <v>143</v>
      </c>
      <c r="L146" s="13">
        <f t="shared" si="39"/>
        <v>7</v>
      </c>
      <c r="M146" s="13">
        <f t="shared" si="40"/>
        <v>4</v>
      </c>
      <c r="N146" s="14">
        <f t="shared" si="41"/>
        <v>1101007</v>
      </c>
      <c r="O146" s="14" t="str">
        <f t="shared" si="42"/>
        <v>战斗曹焱兵17突</v>
      </c>
      <c r="P146" s="29" t="s">
        <v>341</v>
      </c>
      <c r="Q146" s="14">
        <f t="shared" si="43"/>
        <v>1</v>
      </c>
      <c r="R146" s="14">
        <f t="shared" si="44"/>
        <v>17</v>
      </c>
      <c r="S146" s="14" t="s">
        <v>39</v>
      </c>
      <c r="T146" s="14">
        <f>ROUND(((IF(Q146=1,INDEX(新属性投放!$J$14:$J$34,卡牌属性!R146),INDEX(新属性投放!$J$42:$J$62,卡牌属性!R146)))*INDEX($G$5:$G$42,L146)+IF(Q146=1,INDEX(新属性投放!R$20:R$23,卡牌属性!M146-1),INDEX(新属性投放!R$25:R$28,卡牌属性!M146-1)))/SQRT(INDEX($I$5:$I$42,L146)),2)</f>
        <v>27618.35</v>
      </c>
      <c r="U146" s="29" t="s">
        <v>178</v>
      </c>
      <c r="V146" s="14">
        <f>ROUND((IF(Q146=1,INDEX(新属性投放!$K$14:$K$34,卡牌属性!R146),INDEX(新属性投放!$K$42:$K$62,卡牌属性!R146))+IF(Q146=1,INDEX(新属性投放!S$20:S$23,卡牌属性!M146-1),INDEX(新属性投放!S$25:S$28,卡牌属性!M146-1)))*INDEX($G$5:$G$42,L146),2)</f>
        <v>13710.13</v>
      </c>
      <c r="W146" s="29" t="s">
        <v>179</v>
      </c>
      <c r="X146" s="14">
        <f>ROUND((IF(Q146=1,INDEX(新属性投放!$L$14:$L$34,卡牌属性!R146),INDEX(新属性投放!$L$42:$L$62,卡牌属性!R146))*INDEX($G$5:$G$42,L146)+IF(Q146=1,INDEX(新属性投放!T$20:T$23,卡牌属性!M146-1),INDEX(新属性投放!T$25:T$28,卡牌属性!M146-1)))*SQRT(INDEX($I$5:$I$42,L146)),2)</f>
        <v>83285.05</v>
      </c>
      <c r="Y146" s="29" t="s">
        <v>177</v>
      </c>
      <c r="Z146" s="14">
        <f>ROUND(IF(Q146=1,INDEX(新属性投放!$D$14:$D$34,卡牌属性!R146),INDEX(新属性投放!$D$42:$D$62,卡牌属性!R146))*INDEX($G$5:$G$42,L146)/SQRT(INDEX($I$5:$I$42,L146)),2)</f>
        <v>686.71</v>
      </c>
      <c r="AA146" s="29" t="s">
        <v>178</v>
      </c>
      <c r="AB146" s="14">
        <f>ROUND(IF(Q146=1,INDEX(新属性投放!$E$14:$E$34,卡牌属性!R146),INDEX(新属性投放!$E$42:$E$62,卡牌属性!R146))*INDEX($G$5:$G$42,L146),2)</f>
        <v>343.36</v>
      </c>
      <c r="AC146" s="29" t="s">
        <v>179</v>
      </c>
      <c r="AD146" s="14">
        <f>ROUND(IF(Q146=1,INDEX(新属性投放!$F$14:$F$34,卡牌属性!R146),INDEX(新属性投放!$F$42:$F$62,卡牌属性!R146))*INDEX($G$5:$G$42,L146)*SQRT(INDEX($I$5:$I$42,L146)),2)</f>
        <v>2060.14</v>
      </c>
      <c r="AF146" s="14">
        <f t="shared" si="45"/>
        <v>6867</v>
      </c>
      <c r="AG146" s="14">
        <f t="shared" si="46"/>
        <v>3433</v>
      </c>
      <c r="AH146" s="14">
        <f t="shared" si="47"/>
        <v>20601</v>
      </c>
      <c r="AJ146" s="14">
        <f t="shared" si="36"/>
        <v>28812</v>
      </c>
      <c r="AK146" s="14">
        <f t="shared" si="37"/>
        <v>14402</v>
      </c>
      <c r="AL146" s="14">
        <f t="shared" si="38"/>
        <v>86441</v>
      </c>
    </row>
    <row r="147" spans="11:38" ht="16.5" x14ac:dyDescent="0.2">
      <c r="K147" s="13">
        <v>144</v>
      </c>
      <c r="L147" s="13">
        <f t="shared" si="39"/>
        <v>7</v>
      </c>
      <c r="M147" s="13">
        <f t="shared" si="40"/>
        <v>4</v>
      </c>
      <c r="N147" s="14">
        <f t="shared" si="41"/>
        <v>1101007</v>
      </c>
      <c r="O147" s="14" t="str">
        <f t="shared" si="42"/>
        <v>战斗曹焱兵18突</v>
      </c>
      <c r="P147" s="29" t="s">
        <v>341</v>
      </c>
      <c r="Q147" s="14">
        <f t="shared" si="43"/>
        <v>1</v>
      </c>
      <c r="R147" s="14">
        <f t="shared" si="44"/>
        <v>18</v>
      </c>
      <c r="S147" s="14" t="s">
        <v>39</v>
      </c>
      <c r="T147" s="14">
        <f>ROUND(((IF(Q147=1,INDEX(新属性投放!$J$14:$J$34,卡牌属性!R147),INDEX(新属性投放!$J$42:$J$62,卡牌属性!R147)))*INDEX($G$5:$G$42,L147)+IF(Q147=1,INDEX(新属性投放!R$20:R$23,卡牌属性!M147-1),INDEX(新属性投放!R$25:R$28,卡牌属性!M147-1)))/SQRT(INDEX($I$5:$I$42,L147)),2)</f>
        <v>36202.769999999997</v>
      </c>
      <c r="U147" s="29" t="s">
        <v>178</v>
      </c>
      <c r="V147" s="14">
        <f>ROUND((IF(Q147=1,INDEX(新属性投放!$K$14:$K$34,卡牌属性!R147),INDEX(新属性投放!$K$42:$K$62,卡牌属性!R147))+IF(Q147=1,INDEX(新属性投放!S$20:S$23,卡牌属性!M147-1),INDEX(新属性投放!S$25:S$28,卡牌属性!M147-1)))*INDEX($G$5:$G$42,L147),2)</f>
        <v>18001.689999999999</v>
      </c>
      <c r="W147" s="29" t="s">
        <v>179</v>
      </c>
      <c r="X147" s="14">
        <f>ROUND((IF(Q147=1,INDEX(新属性投放!$L$14:$L$34,卡牌属性!R147),INDEX(新属性投放!$L$42:$L$62,卡牌属性!R147))*INDEX($G$5:$G$42,L147)+IF(Q147=1,INDEX(新属性投放!T$20:T$23,卡牌属性!M147-1),INDEX(新属性投放!T$25:T$28,卡牌属性!M147-1)))*SQRT(INDEX($I$5:$I$42,L147)),2)</f>
        <v>109038.31</v>
      </c>
      <c r="Y147" s="29" t="s">
        <v>177</v>
      </c>
      <c r="Z147" s="14">
        <f>ROUND(IF(Q147=1,INDEX(新属性投放!$D$14:$D$34,卡牌属性!R147),INDEX(新属性投放!$D$42:$D$62,卡牌属性!R147))*INDEX($G$5:$G$42,L147)/SQRT(INDEX($I$5:$I$42,L147)),2)</f>
        <v>901.32</v>
      </c>
      <c r="AA147" s="29" t="s">
        <v>178</v>
      </c>
      <c r="AB147" s="14">
        <f>ROUND(IF(Q147=1,INDEX(新属性投放!$E$14:$E$34,卡牌属性!R147),INDEX(新属性投放!$E$42:$E$62,卡牌属性!R147))*INDEX($G$5:$G$42,L147),2)</f>
        <v>450.66</v>
      </c>
      <c r="AC147" s="29" t="s">
        <v>179</v>
      </c>
      <c r="AD147" s="14">
        <f>ROUND(IF(Q147=1,INDEX(新属性投放!$F$14:$F$34,卡牌属性!R147),INDEX(新属性投放!$F$42:$F$62,卡牌属性!R147))*INDEX($G$5:$G$42,L147)*SQRT(INDEX($I$5:$I$42,L147)),2)</f>
        <v>2703.95</v>
      </c>
      <c r="AF147" s="14">
        <f t="shared" si="45"/>
        <v>9013</v>
      </c>
      <c r="AG147" s="14">
        <f t="shared" si="46"/>
        <v>4506</v>
      </c>
      <c r="AH147" s="14">
        <f t="shared" si="47"/>
        <v>27039</v>
      </c>
      <c r="AJ147" s="14">
        <f t="shared" si="36"/>
        <v>37825</v>
      </c>
      <c r="AK147" s="14">
        <f t="shared" si="37"/>
        <v>18908</v>
      </c>
      <c r="AL147" s="14">
        <f t="shared" si="38"/>
        <v>113480</v>
      </c>
    </row>
    <row r="148" spans="11:38" ht="16.5" x14ac:dyDescent="0.2">
      <c r="K148" s="13">
        <v>145</v>
      </c>
      <c r="L148" s="13">
        <f t="shared" si="39"/>
        <v>7</v>
      </c>
      <c r="M148" s="13">
        <f t="shared" si="40"/>
        <v>4</v>
      </c>
      <c r="N148" s="14">
        <f t="shared" si="41"/>
        <v>1101007</v>
      </c>
      <c r="O148" s="14" t="str">
        <f t="shared" si="42"/>
        <v>战斗曹焱兵19突</v>
      </c>
      <c r="P148" s="29" t="s">
        <v>341</v>
      </c>
      <c r="Q148" s="14">
        <f t="shared" si="43"/>
        <v>1</v>
      </c>
      <c r="R148" s="14">
        <f t="shared" si="44"/>
        <v>19</v>
      </c>
      <c r="S148" s="14" t="s">
        <v>39</v>
      </c>
      <c r="T148" s="14">
        <f>ROUND(((IF(Q148=1,INDEX(新属性投放!$J$14:$J$34,卡牌属性!R148),INDEX(新属性投放!$J$42:$J$62,卡牌属性!R148)))*INDEX($G$5:$G$42,L148)+IF(Q148=1,INDEX(新属性投放!R$20:R$23,卡牌属性!M148-1),INDEX(新属性投放!R$25:R$28,卡牌属性!M148-1)))/SQRT(INDEX($I$5:$I$42,L148)),2)</f>
        <v>47468.83</v>
      </c>
      <c r="U148" s="29" t="s">
        <v>178</v>
      </c>
      <c r="V148" s="14">
        <f>ROUND((IF(Q148=1,INDEX(新属性投放!$K$14:$K$34,卡牌属性!R148),INDEX(新属性投放!$K$42:$K$62,卡牌属性!R148))+IF(Q148=1,INDEX(新属性投放!S$20:S$23,卡牌属性!M148-1),INDEX(新属性投放!S$25:S$28,卡牌属性!M148-1)))*INDEX($G$5:$G$42,L148),2)</f>
        <v>23635.37</v>
      </c>
      <c r="W148" s="29" t="s">
        <v>179</v>
      </c>
      <c r="X148" s="14">
        <f>ROUND((IF(Q148=1,INDEX(新属性投放!$L$14:$L$34,卡牌属性!R148),INDEX(新属性投放!$L$42:$L$62,卡牌属性!R148))*INDEX($G$5:$G$42,L148)+IF(Q148=1,INDEX(新属性投放!T$20:T$23,卡牌属性!M148-1),INDEX(新属性投放!T$25:T$28,卡牌属性!M148-1)))*SQRT(INDEX($I$5:$I$42,L148)),2)</f>
        <v>142836.49</v>
      </c>
      <c r="Y148" s="29" t="s">
        <v>177</v>
      </c>
      <c r="Z148" s="14">
        <f>ROUND(IF(Q148=1,INDEX(新属性投放!$D$14:$D$34,卡牌属性!R148),INDEX(新属性投放!$D$42:$D$62,卡牌属性!R148))*INDEX($G$5:$G$42,L148)/SQRT(INDEX($I$5:$I$42,L148)),2)</f>
        <v>1182.97</v>
      </c>
      <c r="AA148" s="29" t="s">
        <v>178</v>
      </c>
      <c r="AB148" s="14">
        <f>ROUND(IF(Q148=1,INDEX(新属性投放!$E$14:$E$34,卡牌属性!R148),INDEX(新属性投放!$E$42:$E$62,卡牌属性!R148))*INDEX($G$5:$G$42,L148),2)</f>
        <v>591.49</v>
      </c>
      <c r="AC148" s="29" t="s">
        <v>179</v>
      </c>
      <c r="AD148" s="14">
        <f>ROUND(IF(Q148=1,INDEX(新属性投放!$F$14:$F$34,卡牌属性!R148),INDEX(新属性投放!$F$42:$F$62,卡牌属性!R148))*INDEX($G$5:$G$42,L148)*SQRT(INDEX($I$5:$I$42,L148)),2)</f>
        <v>3548.92</v>
      </c>
      <c r="AF148" s="14">
        <f t="shared" si="45"/>
        <v>11829</v>
      </c>
      <c r="AG148" s="14">
        <f t="shared" si="46"/>
        <v>5914</v>
      </c>
      <c r="AH148" s="14">
        <f t="shared" si="47"/>
        <v>35489</v>
      </c>
      <c r="AJ148" s="14">
        <f t="shared" si="36"/>
        <v>49654</v>
      </c>
      <c r="AK148" s="14">
        <f t="shared" si="37"/>
        <v>24822</v>
      </c>
      <c r="AL148" s="14">
        <f t="shared" si="38"/>
        <v>148969</v>
      </c>
    </row>
    <row r="149" spans="11:38" ht="16.5" x14ac:dyDescent="0.2">
      <c r="K149" s="13">
        <v>146</v>
      </c>
      <c r="L149" s="13">
        <f t="shared" si="39"/>
        <v>7</v>
      </c>
      <c r="M149" s="13">
        <f t="shared" si="40"/>
        <v>4</v>
      </c>
      <c r="N149" s="14">
        <f t="shared" si="41"/>
        <v>1101007</v>
      </c>
      <c r="O149" s="14" t="str">
        <f t="shared" si="42"/>
        <v>战斗曹焱兵20突</v>
      </c>
      <c r="P149" s="29" t="s">
        <v>341</v>
      </c>
      <c r="Q149" s="14">
        <f t="shared" si="43"/>
        <v>1</v>
      </c>
      <c r="R149" s="14">
        <f t="shared" si="44"/>
        <v>20</v>
      </c>
      <c r="S149" s="14" t="s">
        <v>39</v>
      </c>
      <c r="T149" s="14">
        <f>ROUND(((IF(Q149=1,INDEX(新属性投放!$J$14:$J$34,卡牌属性!R149),INDEX(新属性投放!$J$42:$J$62,卡牌属性!R149)))*INDEX($G$5:$G$42,L149)+IF(Q149=1,INDEX(新属性投放!R$20:R$23,卡牌属性!M149-1),INDEX(新属性投放!R$25:R$28,卡牌属性!M149-1)))/SQRT(INDEX($I$5:$I$42,L149)),2)</f>
        <v>62256.07</v>
      </c>
      <c r="U149" s="29" t="s">
        <v>178</v>
      </c>
      <c r="V149" s="14">
        <f>ROUND((IF(Q149=1,INDEX(新属性投放!$K$14:$K$34,卡牌属性!R149),INDEX(新属性投放!$K$42:$K$62,卡牌属性!R149))+IF(Q149=1,INDEX(新属性投放!S$20:S$23,卡牌属性!M149-1),INDEX(新属性投放!S$25:S$28,卡牌属性!M149-1)))*INDEX($G$5:$G$42,L149),2)</f>
        <v>31028.34</v>
      </c>
      <c r="W149" s="29" t="s">
        <v>179</v>
      </c>
      <c r="X149" s="14">
        <f>ROUND((IF(Q149=1,INDEX(新属性投放!$L$14:$L$34,卡牌属性!R149),INDEX(新属性投放!$L$42:$L$62,卡牌属性!R149))*INDEX($G$5:$G$42,L149)+IF(Q149=1,INDEX(新属性投放!T$20:T$23,卡牌属性!M149-1),INDEX(新属性投放!T$25:T$28,卡牌属性!M149-1)))*SQRT(INDEX($I$5:$I$42,L149)),2)</f>
        <v>187198.21</v>
      </c>
      <c r="Y149" s="29" t="s">
        <v>177</v>
      </c>
      <c r="Z149" s="14">
        <f>ROUND(IF(Q149=1,INDEX(新属性投放!$D$14:$D$34,卡牌属性!R149),INDEX(新属性投放!$D$42:$D$62,卡牌属性!R149))*INDEX($G$5:$G$42,L149)/SQRT(INDEX($I$5:$I$42,L149)),2)</f>
        <v>1552.66</v>
      </c>
      <c r="AA149" s="29" t="s">
        <v>178</v>
      </c>
      <c r="AB149" s="14">
        <f>ROUND(IF(Q149=1,INDEX(新属性投放!$E$14:$E$34,卡牌属性!R149),INDEX(新属性投放!$E$42:$E$62,卡牌属性!R149))*INDEX($G$5:$G$42,L149),2)</f>
        <v>776.33</v>
      </c>
      <c r="AC149" s="29" t="s">
        <v>179</v>
      </c>
      <c r="AD149" s="14">
        <f>ROUND(IF(Q149=1,INDEX(新属性投放!$F$14:$F$34,卡牌属性!R149),INDEX(新属性投放!$F$42:$F$62,卡牌属性!R149))*INDEX($G$5:$G$42,L149)*SQRT(INDEX($I$5:$I$42,L149)),2)</f>
        <v>4657.97</v>
      </c>
      <c r="AF149" s="14">
        <f t="shared" si="45"/>
        <v>15526</v>
      </c>
      <c r="AG149" s="14">
        <f t="shared" si="46"/>
        <v>7763</v>
      </c>
      <c r="AH149" s="14">
        <f t="shared" si="47"/>
        <v>46579</v>
      </c>
      <c r="AJ149" s="14">
        <f t="shared" si="36"/>
        <v>65180</v>
      </c>
      <c r="AK149" s="14">
        <f t="shared" si="37"/>
        <v>32585</v>
      </c>
      <c r="AL149" s="14">
        <f t="shared" si="38"/>
        <v>195548</v>
      </c>
    </row>
    <row r="150" spans="11:38" ht="16.5" x14ac:dyDescent="0.2">
      <c r="K150" s="13">
        <v>147</v>
      </c>
      <c r="L150" s="13">
        <f t="shared" si="39"/>
        <v>7</v>
      </c>
      <c r="M150" s="13">
        <f t="shared" si="40"/>
        <v>4</v>
      </c>
      <c r="N150" s="14">
        <f t="shared" si="41"/>
        <v>1101007</v>
      </c>
      <c r="O150" s="14" t="str">
        <f t="shared" si="42"/>
        <v>战斗曹焱兵21突</v>
      </c>
      <c r="P150" s="29" t="s">
        <v>341</v>
      </c>
      <c r="Q150" s="14">
        <f t="shared" si="43"/>
        <v>1</v>
      </c>
      <c r="R150" s="14">
        <f t="shared" si="44"/>
        <v>21</v>
      </c>
      <c r="S150" s="14" t="s">
        <v>39</v>
      </c>
      <c r="T150" s="14">
        <f>ROUND(((IF(Q150=1,INDEX(新属性投放!$J$14:$J$34,卡牌属性!R150),INDEX(新属性投放!$J$42:$J$62,卡牌属性!R150)))*INDEX($G$5:$G$42,L150)+IF(Q150=1,INDEX(新属性投放!R$20:R$23,卡牌属性!M150-1),INDEX(新属性投放!R$25:R$28,卡牌属性!M150-1)))/SQRT(INDEX($I$5:$I$42,L150)),2)</f>
        <v>81664.42</v>
      </c>
      <c r="U150" s="29" t="s">
        <v>178</v>
      </c>
      <c r="V150" s="14">
        <f>ROUND((IF(Q150=1,INDEX(新属性投放!$K$14:$K$34,卡牌属性!R150),INDEX(新属性投放!$K$42:$K$62,卡牌属性!R150))+IF(Q150=1,INDEX(新属性投放!S$20:S$23,卡牌属性!M150-1),INDEX(新属性投放!S$25:S$28,卡牌属性!M150-1)))*INDEX($G$5:$G$42,L150),2)</f>
        <v>40732.51</v>
      </c>
      <c r="W150" s="29" t="s">
        <v>179</v>
      </c>
      <c r="X150" s="14">
        <f>ROUND((IF(Q150=1,INDEX(新属性投放!$L$14:$L$34,卡牌属性!R150),INDEX(新属性投放!$L$42:$L$62,卡牌属性!R150))*INDEX($G$5:$G$42,L150)+IF(Q150=1,INDEX(新属性投放!T$20:T$23,卡牌属性!M150-1),INDEX(新属性投放!T$25:T$28,卡牌属性!M150-1)))*SQRT(INDEX($I$5:$I$42,L150)),2)</f>
        <v>245423.26</v>
      </c>
      <c r="Y150" s="29" t="s">
        <v>177</v>
      </c>
      <c r="Z150" s="14">
        <f>ROUND(IF(Q150=1,INDEX(新属性投放!$D$14:$D$34,卡牌属性!R150),INDEX(新属性投放!$D$42:$D$62,卡牌属性!R150))*INDEX($G$5:$G$42,L150)/SQRT(INDEX($I$5:$I$42,L150)),2)</f>
        <v>2037.87</v>
      </c>
      <c r="AA150" s="29" t="s">
        <v>178</v>
      </c>
      <c r="AB150" s="14">
        <f>ROUND(IF(Q150=1,INDEX(新属性投放!$E$14:$E$34,卡牌属性!R150),INDEX(新属性投放!$E$42:$E$62,卡牌属性!R150))*INDEX($G$5:$G$42,L150),2)</f>
        <v>1018.93</v>
      </c>
      <c r="AC150" s="29" t="s">
        <v>179</v>
      </c>
      <c r="AD150" s="14">
        <f>ROUND(IF(Q150=1,INDEX(新属性投放!$F$14:$F$34,卡牌属性!R150),INDEX(新属性投放!$F$42:$F$62,卡牌属性!R150))*INDEX($G$5:$G$42,L150)*SQRT(INDEX($I$5:$I$42,L150)),2)</f>
        <v>6113.6</v>
      </c>
      <c r="AF150" s="14">
        <f t="shared" si="45"/>
        <v>20378</v>
      </c>
      <c r="AG150" s="14">
        <f t="shared" si="46"/>
        <v>10189</v>
      </c>
      <c r="AH150" s="14">
        <f t="shared" si="47"/>
        <v>61136</v>
      </c>
      <c r="AJ150" s="14">
        <f t="shared" si="36"/>
        <v>85558</v>
      </c>
      <c r="AK150" s="14">
        <f t="shared" si="37"/>
        <v>42774</v>
      </c>
      <c r="AL150" s="14">
        <f t="shared" si="38"/>
        <v>256684</v>
      </c>
    </row>
    <row r="151" spans="11:38" ht="16.5" x14ac:dyDescent="0.2">
      <c r="K151" s="13">
        <v>148</v>
      </c>
      <c r="L151" s="13">
        <f t="shared" si="39"/>
        <v>8</v>
      </c>
      <c r="M151" s="13">
        <f t="shared" si="40"/>
        <v>2</v>
      </c>
      <c r="N151" s="14">
        <f t="shared" si="41"/>
        <v>1101008</v>
      </c>
      <c r="O151" s="14" t="str">
        <f t="shared" si="42"/>
        <v>黑尔·坎普1突</v>
      </c>
      <c r="P151" s="29" t="s">
        <v>341</v>
      </c>
      <c r="Q151" s="14">
        <f t="shared" si="43"/>
        <v>1</v>
      </c>
      <c r="R151" s="14">
        <f t="shared" si="44"/>
        <v>1</v>
      </c>
      <c r="S151" s="14" t="s">
        <v>39</v>
      </c>
      <c r="T151" s="14">
        <f>ROUND(((IF(Q151=1,INDEX(新属性投放!$J$14:$J$34,卡牌属性!R151),INDEX(新属性投放!$J$42:$J$62,卡牌属性!R151)))*INDEX($G$5:$G$42,L151)+IF(Q151=1,INDEX(新属性投放!R$20:R$23,卡牌属性!M151-1),INDEX(新属性投放!R$25:R$28,卡牌属性!M151-1)))/SQRT(INDEX($I$5:$I$42,L151)),2)</f>
        <v>100</v>
      </c>
      <c r="U151" s="29" t="s">
        <v>178</v>
      </c>
      <c r="V151" s="14">
        <f>ROUND((IF(Q151=1,INDEX(新属性投放!$K$14:$K$34,卡牌属性!R151),INDEX(新属性投放!$K$42:$K$62,卡牌属性!R151))+IF(Q151=1,INDEX(新属性投放!S$20:S$23,卡牌属性!M151-1),INDEX(新属性投放!S$25:S$28,卡牌属性!M151-1)))*INDEX($G$5:$G$42,L151),2)</f>
        <v>0</v>
      </c>
      <c r="W151" s="29" t="s">
        <v>179</v>
      </c>
      <c r="X151" s="14">
        <f>ROUND((IF(Q151=1,INDEX(新属性投放!$L$14:$L$34,卡牌属性!R151),INDEX(新属性投放!$L$42:$L$62,卡牌属性!R151))*INDEX($G$5:$G$42,L151)+IF(Q151=1,INDEX(新属性投放!T$20:T$23,卡牌属性!M151-1),INDEX(新属性投放!T$25:T$28,卡牌属性!M151-1)))*SQRT(INDEX($I$5:$I$42,L151)),2)</f>
        <v>500</v>
      </c>
      <c r="Y151" s="29" t="s">
        <v>177</v>
      </c>
      <c r="Z151" s="14">
        <f>ROUND(IF(Q151=1,INDEX(新属性投放!$D$14:$D$34,卡牌属性!R151),INDEX(新属性投放!$D$42:$D$62,卡牌属性!R151))*INDEX($G$5:$G$42,L151)/SQRT(INDEX($I$5:$I$42,L151)),2)</f>
        <v>10</v>
      </c>
      <c r="AA151" s="29" t="s">
        <v>178</v>
      </c>
      <c r="AB151" s="14">
        <f>ROUND(IF(Q151=1,INDEX(新属性投放!$E$14:$E$34,卡牌属性!R151),INDEX(新属性投放!$E$42:$E$62,卡牌属性!R151))*INDEX($G$5:$G$42,L151),2)</f>
        <v>5</v>
      </c>
      <c r="AC151" s="29" t="s">
        <v>179</v>
      </c>
      <c r="AD151" s="14">
        <f>ROUND(IF(Q151=1,INDEX(新属性投放!$F$14:$F$34,卡牌属性!R151),INDEX(新属性投放!$F$42:$F$62,卡牌属性!R151))*INDEX($G$5:$G$42,L151)*SQRT(INDEX($I$5:$I$42,L151)),2)</f>
        <v>30</v>
      </c>
      <c r="AF151" s="14">
        <f t="shared" si="45"/>
        <v>100</v>
      </c>
      <c r="AG151" s="14">
        <f t="shared" si="46"/>
        <v>50</v>
      </c>
      <c r="AH151" s="14">
        <f t="shared" si="47"/>
        <v>300</v>
      </c>
      <c r="AJ151" s="14">
        <f>AF151</f>
        <v>100</v>
      </c>
      <c r="AK151" s="14">
        <f>AG151</f>
        <v>50</v>
      </c>
      <c r="AL151" s="14">
        <f>AH151</f>
        <v>300</v>
      </c>
    </row>
    <row r="152" spans="11:38" ht="16.5" x14ac:dyDescent="0.2">
      <c r="K152" s="13">
        <v>149</v>
      </c>
      <c r="L152" s="13">
        <f t="shared" si="39"/>
        <v>8</v>
      </c>
      <c r="M152" s="13">
        <f t="shared" si="40"/>
        <v>2</v>
      </c>
      <c r="N152" s="14">
        <f t="shared" si="41"/>
        <v>1101008</v>
      </c>
      <c r="O152" s="14" t="str">
        <f t="shared" si="42"/>
        <v>黑尔·坎普2突</v>
      </c>
      <c r="P152" s="29" t="s">
        <v>341</v>
      </c>
      <c r="Q152" s="14">
        <f t="shared" si="43"/>
        <v>1</v>
      </c>
      <c r="R152" s="14">
        <f t="shared" si="44"/>
        <v>2</v>
      </c>
      <c r="S152" s="14" t="s">
        <v>39</v>
      </c>
      <c r="T152" s="14">
        <f>ROUND(((IF(Q152=1,INDEX(新属性投放!$J$14:$J$34,卡牌属性!R152),INDEX(新属性投放!$J$42:$J$62,卡牌属性!R152)))*INDEX($G$5:$G$42,L152)+IF(Q152=1,INDEX(新属性投放!R$20:R$23,卡牌属性!M152-1),INDEX(新属性投放!R$25:R$28,卡牌属性!M152-1)))/SQRT(INDEX($I$5:$I$42,L152)),2)</f>
        <v>200</v>
      </c>
      <c r="U152" s="29" t="s">
        <v>178</v>
      </c>
      <c r="V152" s="14">
        <f>ROUND((IF(Q152=1,INDEX(新属性投放!$K$14:$K$34,卡牌属性!R152),INDEX(新属性投放!$K$42:$K$62,卡牌属性!R152))+IF(Q152=1,INDEX(新属性投放!S$20:S$23,卡牌属性!M152-1),INDEX(新属性投放!S$25:S$28,卡牌属性!M152-1)))*INDEX($G$5:$G$42,L152),2)</f>
        <v>56</v>
      </c>
      <c r="W152" s="29" t="s">
        <v>179</v>
      </c>
      <c r="X152" s="14">
        <f>ROUND((IF(Q152=1,INDEX(新属性投放!$L$14:$L$34,卡牌属性!R152),INDEX(新属性投放!$L$42:$L$62,卡牌属性!R152))*INDEX($G$5:$G$42,L152)+IF(Q152=1,INDEX(新属性投放!T$20:T$23,卡牌属性!M152-1),INDEX(新属性投放!T$25:T$28,卡牌属性!M152-1)))*SQRT(INDEX($I$5:$I$42,L152)),2)</f>
        <v>800</v>
      </c>
      <c r="Y152" s="29" t="s">
        <v>177</v>
      </c>
      <c r="Z152" s="14">
        <f>ROUND(IF(Q152=1,INDEX(新属性投放!$D$14:$D$34,卡牌属性!R152),INDEX(新属性投放!$D$42:$D$62,卡牌属性!R152))*INDEX($G$5:$G$42,L152)/SQRT(INDEX($I$5:$I$42,L152)),2)</f>
        <v>10</v>
      </c>
      <c r="AA152" s="29" t="s">
        <v>178</v>
      </c>
      <c r="AB152" s="14">
        <f>ROUND(IF(Q152=1,INDEX(新属性投放!$E$14:$E$34,卡牌属性!R152),INDEX(新属性投放!$E$42:$E$62,卡牌属性!R152))*INDEX($G$5:$G$42,L152),2)</f>
        <v>5</v>
      </c>
      <c r="AC152" s="29" t="s">
        <v>179</v>
      </c>
      <c r="AD152" s="14">
        <f>ROUND(IF(Q152=1,INDEX(新属性投放!$F$14:$F$34,卡牌属性!R152),INDEX(新属性投放!$F$42:$F$62,卡牌属性!R152))*INDEX($G$5:$G$42,L152)*SQRT(INDEX($I$5:$I$42,L152)),2)</f>
        <v>30</v>
      </c>
      <c r="AF152" s="14">
        <f t="shared" si="45"/>
        <v>100</v>
      </c>
      <c r="AG152" s="14">
        <f t="shared" si="46"/>
        <v>50</v>
      </c>
      <c r="AH152" s="14">
        <f t="shared" si="47"/>
        <v>300</v>
      </c>
      <c r="AJ152" s="14">
        <f t="shared" ref="AJ152:AJ171" si="48">AJ151+AF152</f>
        <v>200</v>
      </c>
      <c r="AK152" s="14">
        <f t="shared" ref="AK152:AK171" si="49">AK151+AG152</f>
        <v>100</v>
      </c>
      <c r="AL152" s="14">
        <f t="shared" ref="AL152:AL171" si="50">AL151+AH152</f>
        <v>600</v>
      </c>
    </row>
    <row r="153" spans="11:38" ht="16.5" x14ac:dyDescent="0.2">
      <c r="K153" s="13">
        <v>150</v>
      </c>
      <c r="L153" s="13">
        <f t="shared" si="39"/>
        <v>8</v>
      </c>
      <c r="M153" s="13">
        <f t="shared" si="40"/>
        <v>2</v>
      </c>
      <c r="N153" s="14">
        <f t="shared" si="41"/>
        <v>1101008</v>
      </c>
      <c r="O153" s="14" t="str">
        <f t="shared" si="42"/>
        <v>黑尔·坎普3突</v>
      </c>
      <c r="P153" s="29" t="s">
        <v>341</v>
      </c>
      <c r="Q153" s="14">
        <f t="shared" si="43"/>
        <v>1</v>
      </c>
      <c r="R153" s="14">
        <f t="shared" si="44"/>
        <v>3</v>
      </c>
      <c r="S153" s="14" t="s">
        <v>39</v>
      </c>
      <c r="T153" s="14">
        <f>ROUND(((IF(Q153=1,INDEX(新属性投放!$J$14:$J$34,卡牌属性!R153),INDEX(新属性投放!$J$42:$J$62,卡牌属性!R153)))*INDEX($G$5:$G$42,L153)+IF(Q153=1,INDEX(新属性投放!R$20:R$23,卡牌属性!M153-1),INDEX(新属性投放!R$25:R$28,卡牌属性!M153-1)))/SQRT(INDEX($I$5:$I$42,L153)),2)</f>
        <v>325</v>
      </c>
      <c r="U153" s="29" t="s">
        <v>178</v>
      </c>
      <c r="V153" s="14">
        <f>ROUND((IF(Q153=1,INDEX(新属性投放!$K$14:$K$34,卡牌属性!R153),INDEX(新属性投放!$K$42:$K$62,卡牌属性!R153))+IF(Q153=1,INDEX(新属性投放!S$20:S$23,卡牌属性!M153-1),INDEX(新属性投放!S$25:S$28,卡牌属性!M153-1)))*INDEX($G$5:$G$42,L153),2)</f>
        <v>119</v>
      </c>
      <c r="W153" s="29" t="s">
        <v>179</v>
      </c>
      <c r="X153" s="14">
        <f>ROUND((IF(Q153=1,INDEX(新属性投放!$L$14:$L$34,卡牌属性!R153),INDEX(新属性投放!$L$42:$L$62,卡牌属性!R153))*INDEX($G$5:$G$42,L153)+IF(Q153=1,INDEX(新属性投放!T$20:T$23,卡牌属性!M153-1),INDEX(新属性投放!T$25:T$28,卡牌属性!M153-1)))*SQRT(INDEX($I$5:$I$42,L153)),2)</f>
        <v>1175</v>
      </c>
      <c r="Y153" s="29" t="s">
        <v>177</v>
      </c>
      <c r="Z153" s="14">
        <f>ROUND(IF(Q153=1,INDEX(新属性投放!$D$14:$D$34,卡牌属性!R153),INDEX(新属性投放!$D$42:$D$62,卡牌属性!R153))*INDEX($G$5:$G$42,L153)/SQRT(INDEX($I$5:$I$42,L153)),2)</f>
        <v>15</v>
      </c>
      <c r="AA153" s="29" t="s">
        <v>178</v>
      </c>
      <c r="AB153" s="14">
        <f>ROUND(IF(Q153=1,INDEX(新属性投放!$E$14:$E$34,卡牌属性!R153),INDEX(新属性投放!$E$42:$E$62,卡牌属性!R153))*INDEX($G$5:$G$42,L153),2)</f>
        <v>7.5</v>
      </c>
      <c r="AC153" s="29" t="s">
        <v>179</v>
      </c>
      <c r="AD153" s="14">
        <f>ROUND(IF(Q153=1,INDEX(新属性投放!$F$14:$F$34,卡牌属性!R153),INDEX(新属性投放!$F$42:$F$62,卡牌属性!R153))*INDEX($G$5:$G$42,L153)*SQRT(INDEX($I$5:$I$42,L153)),2)</f>
        <v>45</v>
      </c>
      <c r="AF153" s="14">
        <f t="shared" si="45"/>
        <v>150</v>
      </c>
      <c r="AG153" s="14">
        <f t="shared" si="46"/>
        <v>75</v>
      </c>
      <c r="AH153" s="14">
        <f t="shared" si="47"/>
        <v>450</v>
      </c>
      <c r="AJ153" s="14">
        <f t="shared" si="48"/>
        <v>350</v>
      </c>
      <c r="AK153" s="14">
        <f t="shared" si="49"/>
        <v>175</v>
      </c>
      <c r="AL153" s="14">
        <f t="shared" si="50"/>
        <v>1050</v>
      </c>
    </row>
    <row r="154" spans="11:38" ht="16.5" x14ac:dyDescent="0.2">
      <c r="K154" s="13">
        <v>151</v>
      </c>
      <c r="L154" s="13">
        <f t="shared" si="39"/>
        <v>8</v>
      </c>
      <c r="M154" s="13">
        <f t="shared" si="40"/>
        <v>2</v>
      </c>
      <c r="N154" s="14">
        <f t="shared" si="41"/>
        <v>1101008</v>
      </c>
      <c r="O154" s="14" t="str">
        <f t="shared" si="42"/>
        <v>黑尔·坎普4突</v>
      </c>
      <c r="P154" s="29" t="s">
        <v>341</v>
      </c>
      <c r="Q154" s="14">
        <f t="shared" si="43"/>
        <v>1</v>
      </c>
      <c r="R154" s="14">
        <f t="shared" si="44"/>
        <v>4</v>
      </c>
      <c r="S154" s="14" t="s">
        <v>39</v>
      </c>
      <c r="T154" s="14">
        <f>ROUND(((IF(Q154=1,INDEX(新属性投放!$J$14:$J$34,卡牌属性!R154),INDEX(新属性投放!$J$42:$J$62,卡牌属性!R154)))*INDEX($G$5:$G$42,L154)+IF(Q154=1,INDEX(新属性投放!R$20:R$23,卡牌属性!M154-1),INDEX(新属性投放!R$25:R$28,卡牌属性!M154-1)))/SQRT(INDEX($I$5:$I$42,L154)),2)</f>
        <v>513</v>
      </c>
      <c r="U154" s="29" t="s">
        <v>178</v>
      </c>
      <c r="V154" s="14">
        <f>ROUND((IF(Q154=1,INDEX(新属性投放!$K$14:$K$34,卡牌属性!R154),INDEX(新属性投放!$K$42:$K$62,卡牌属性!R154))+IF(Q154=1,INDEX(新属性投放!S$20:S$23,卡牌属性!M154-1),INDEX(新属性投放!S$25:S$28,卡牌属性!M154-1)))*INDEX($G$5:$G$42,L154),2)</f>
        <v>213</v>
      </c>
      <c r="W154" s="29" t="s">
        <v>179</v>
      </c>
      <c r="X154" s="14">
        <f>ROUND((IF(Q154=1,INDEX(新属性投放!$L$14:$L$34,卡牌属性!R154),INDEX(新属性投放!$L$42:$L$62,卡牌属性!R154))*INDEX($G$5:$G$42,L154)+IF(Q154=1,INDEX(新属性投放!T$20:T$23,卡牌属性!M154-1),INDEX(新属性投放!T$25:T$28,卡牌属性!M154-1)))*SQRT(INDEX($I$5:$I$42,L154)),2)</f>
        <v>1739</v>
      </c>
      <c r="Y154" s="29" t="s">
        <v>177</v>
      </c>
      <c r="Z154" s="14">
        <f>ROUND(IF(Q154=1,INDEX(新属性投放!$D$14:$D$34,卡牌属性!R154),INDEX(新属性投放!$D$42:$D$62,卡牌属性!R154))*INDEX($G$5:$G$42,L154)/SQRT(INDEX($I$5:$I$42,L154)),2)</f>
        <v>20</v>
      </c>
      <c r="AA154" s="29" t="s">
        <v>178</v>
      </c>
      <c r="AB154" s="14">
        <f>ROUND(IF(Q154=1,INDEX(新属性投放!$E$14:$E$34,卡牌属性!R154),INDEX(新属性投放!$E$42:$E$62,卡牌属性!R154))*INDEX($G$5:$G$42,L154),2)</f>
        <v>10</v>
      </c>
      <c r="AC154" s="29" t="s">
        <v>179</v>
      </c>
      <c r="AD154" s="14">
        <f>ROUND(IF(Q154=1,INDEX(新属性投放!$F$14:$F$34,卡牌属性!R154),INDEX(新属性投放!$F$42:$F$62,卡牌属性!R154))*INDEX($G$5:$G$42,L154)*SQRT(INDEX($I$5:$I$42,L154)),2)</f>
        <v>60</v>
      </c>
      <c r="AF154" s="14">
        <f t="shared" si="45"/>
        <v>200</v>
      </c>
      <c r="AG154" s="14">
        <f t="shared" si="46"/>
        <v>100</v>
      </c>
      <c r="AH154" s="14">
        <f t="shared" si="47"/>
        <v>600</v>
      </c>
      <c r="AJ154" s="14">
        <f t="shared" si="48"/>
        <v>550</v>
      </c>
      <c r="AK154" s="14">
        <f t="shared" si="49"/>
        <v>275</v>
      </c>
      <c r="AL154" s="14">
        <f t="shared" si="50"/>
        <v>1650</v>
      </c>
    </row>
    <row r="155" spans="11:38" ht="16.5" x14ac:dyDescent="0.2">
      <c r="K155" s="13">
        <v>152</v>
      </c>
      <c r="L155" s="13">
        <f t="shared" si="39"/>
        <v>8</v>
      </c>
      <c r="M155" s="13">
        <f t="shared" si="40"/>
        <v>2</v>
      </c>
      <c r="N155" s="14">
        <f t="shared" si="41"/>
        <v>1101008</v>
      </c>
      <c r="O155" s="14" t="str">
        <f t="shared" si="42"/>
        <v>黑尔·坎普5突</v>
      </c>
      <c r="P155" s="29" t="s">
        <v>341</v>
      </c>
      <c r="Q155" s="14">
        <f t="shared" si="43"/>
        <v>1</v>
      </c>
      <c r="R155" s="14">
        <f t="shared" si="44"/>
        <v>5</v>
      </c>
      <c r="S155" s="14" t="s">
        <v>39</v>
      </c>
      <c r="T155" s="14">
        <f>ROUND(((IF(Q155=1,INDEX(新属性投放!$J$14:$J$34,卡牌属性!R155),INDEX(新属性投放!$J$42:$J$62,卡牌属性!R155)))*INDEX($G$5:$G$42,L155)+IF(Q155=1,INDEX(新属性投放!R$20:R$23,卡牌属性!M155-1),INDEX(新属性投放!R$25:R$28,卡牌属性!M155-1)))/SQRT(INDEX($I$5:$I$42,L155)),2)</f>
        <v>763</v>
      </c>
      <c r="U155" s="29" t="s">
        <v>178</v>
      </c>
      <c r="V155" s="14">
        <f>ROUND((IF(Q155=1,INDEX(新属性投放!$K$14:$K$34,卡牌属性!R155),INDEX(新属性投放!$K$42:$K$62,卡牌属性!R155))+IF(Q155=1,INDEX(新属性投放!S$20:S$23,卡牌属性!M155-1),INDEX(新属性投放!S$25:S$28,卡牌属性!M155-1)))*INDEX($G$5:$G$42,L155),2)</f>
        <v>338</v>
      </c>
      <c r="W155" s="29" t="s">
        <v>179</v>
      </c>
      <c r="X155" s="14">
        <f>ROUND((IF(Q155=1,INDEX(新属性投放!$L$14:$L$34,卡牌属性!R155),INDEX(新属性投放!$L$42:$L$62,卡牌属性!R155))*INDEX($G$5:$G$42,L155)+IF(Q155=1,INDEX(新属性投放!T$20:T$23,卡牌属性!M155-1),INDEX(新属性投放!T$25:T$28,卡牌属性!M155-1)))*SQRT(INDEX($I$5:$I$42,L155)),2)</f>
        <v>2489</v>
      </c>
      <c r="Y155" s="29" t="s">
        <v>177</v>
      </c>
      <c r="Z155" s="14">
        <f>ROUND(IF(Q155=1,INDEX(新属性投放!$D$14:$D$34,卡牌属性!R155),INDEX(新属性投放!$D$42:$D$62,卡牌属性!R155))*INDEX($G$5:$G$42,L155)/SQRT(INDEX($I$5:$I$42,L155)),2)</f>
        <v>25</v>
      </c>
      <c r="AA155" s="29" t="s">
        <v>178</v>
      </c>
      <c r="AB155" s="14">
        <f>ROUND(IF(Q155=1,INDEX(新属性投放!$E$14:$E$34,卡牌属性!R155),INDEX(新属性投放!$E$42:$E$62,卡牌属性!R155))*INDEX($G$5:$G$42,L155),2)</f>
        <v>12.5</v>
      </c>
      <c r="AC155" s="29" t="s">
        <v>179</v>
      </c>
      <c r="AD155" s="14">
        <f>ROUND(IF(Q155=1,INDEX(新属性投放!$F$14:$F$34,卡牌属性!R155),INDEX(新属性投放!$F$42:$F$62,卡牌属性!R155))*INDEX($G$5:$G$42,L155)*SQRT(INDEX($I$5:$I$42,L155)),2)</f>
        <v>75</v>
      </c>
      <c r="AF155" s="14">
        <f t="shared" si="45"/>
        <v>250</v>
      </c>
      <c r="AG155" s="14">
        <f t="shared" si="46"/>
        <v>125</v>
      </c>
      <c r="AH155" s="14">
        <f t="shared" si="47"/>
        <v>750</v>
      </c>
      <c r="AJ155" s="14">
        <f t="shared" si="48"/>
        <v>800</v>
      </c>
      <c r="AK155" s="14">
        <f t="shared" si="49"/>
        <v>400</v>
      </c>
      <c r="AL155" s="14">
        <f t="shared" si="50"/>
        <v>2400</v>
      </c>
    </row>
    <row r="156" spans="11:38" ht="16.5" x14ac:dyDescent="0.2">
      <c r="K156" s="13">
        <v>153</v>
      </c>
      <c r="L156" s="13">
        <f t="shared" si="39"/>
        <v>8</v>
      </c>
      <c r="M156" s="13">
        <f t="shared" si="40"/>
        <v>2</v>
      </c>
      <c r="N156" s="14">
        <f t="shared" si="41"/>
        <v>1101008</v>
      </c>
      <c r="O156" s="14" t="str">
        <f t="shared" si="42"/>
        <v>黑尔·坎普6突</v>
      </c>
      <c r="P156" s="29" t="s">
        <v>341</v>
      </c>
      <c r="Q156" s="14">
        <f t="shared" si="43"/>
        <v>1</v>
      </c>
      <c r="R156" s="14">
        <f t="shared" si="44"/>
        <v>6</v>
      </c>
      <c r="S156" s="14" t="s">
        <v>39</v>
      </c>
      <c r="T156" s="14">
        <f>ROUND(((IF(Q156=1,INDEX(新属性投放!$J$14:$J$34,卡牌属性!R156),INDEX(新属性投放!$J$42:$J$62,卡牌属性!R156)))*INDEX($G$5:$G$42,L156)+IF(Q156=1,INDEX(新属性投放!R$20:R$23,卡牌属性!M156-1),INDEX(新属性投放!R$25:R$28,卡牌属性!M156-1)))/SQRT(INDEX($I$5:$I$42,L156)),2)</f>
        <v>1076</v>
      </c>
      <c r="U156" s="29" t="s">
        <v>178</v>
      </c>
      <c r="V156" s="14">
        <f>ROUND((IF(Q156=1,INDEX(新属性投放!$K$14:$K$34,卡牌属性!R156),INDEX(新属性投放!$K$42:$K$62,卡牌属性!R156))+IF(Q156=1,INDEX(新属性投放!S$20:S$23,卡牌属性!M156-1),INDEX(新属性投放!S$25:S$28,卡牌属性!M156-1)))*INDEX($G$5:$G$42,L156),2)</f>
        <v>494</v>
      </c>
      <c r="W156" s="29" t="s">
        <v>179</v>
      </c>
      <c r="X156" s="14">
        <f>ROUND((IF(Q156=1,INDEX(新属性投放!$L$14:$L$34,卡牌属性!R156),INDEX(新属性投放!$L$42:$L$62,卡牌属性!R156))*INDEX($G$5:$G$42,L156)+IF(Q156=1,INDEX(新属性投放!T$20:T$23,卡牌属性!M156-1),INDEX(新属性投放!T$25:T$28,卡牌属性!M156-1)))*SQRT(INDEX($I$5:$I$42,L156)),2)</f>
        <v>3428</v>
      </c>
      <c r="Y156" s="29" t="s">
        <v>177</v>
      </c>
      <c r="Z156" s="14">
        <f>ROUND(IF(Q156=1,INDEX(新属性投放!$D$14:$D$34,卡牌属性!R156),INDEX(新属性投放!$D$42:$D$62,卡牌属性!R156))*INDEX($G$5:$G$42,L156)/SQRT(INDEX($I$5:$I$42,L156)),2)</f>
        <v>30</v>
      </c>
      <c r="AA156" s="29" t="s">
        <v>178</v>
      </c>
      <c r="AB156" s="14">
        <f>ROUND(IF(Q156=1,INDEX(新属性投放!$E$14:$E$34,卡牌属性!R156),INDEX(新属性投放!$E$42:$E$62,卡牌属性!R156))*INDEX($G$5:$G$42,L156),2)</f>
        <v>15</v>
      </c>
      <c r="AC156" s="29" t="s">
        <v>179</v>
      </c>
      <c r="AD156" s="14">
        <f>ROUND(IF(Q156=1,INDEX(新属性投放!$F$14:$F$34,卡牌属性!R156),INDEX(新属性投放!$F$42:$F$62,卡牌属性!R156))*INDEX($G$5:$G$42,L156)*SQRT(INDEX($I$5:$I$42,L156)),2)</f>
        <v>90</v>
      </c>
      <c r="AF156" s="14">
        <f t="shared" si="45"/>
        <v>300</v>
      </c>
      <c r="AG156" s="14">
        <f t="shared" si="46"/>
        <v>150</v>
      </c>
      <c r="AH156" s="14">
        <f t="shared" si="47"/>
        <v>900</v>
      </c>
      <c r="AJ156" s="14">
        <f t="shared" si="48"/>
        <v>1100</v>
      </c>
      <c r="AK156" s="14">
        <f t="shared" si="49"/>
        <v>550</v>
      </c>
      <c r="AL156" s="14">
        <f t="shared" si="50"/>
        <v>3300</v>
      </c>
    </row>
    <row r="157" spans="11:38" ht="16.5" x14ac:dyDescent="0.2">
      <c r="K157" s="13">
        <v>154</v>
      </c>
      <c r="L157" s="13">
        <f t="shared" si="39"/>
        <v>8</v>
      </c>
      <c r="M157" s="13">
        <f t="shared" si="40"/>
        <v>2</v>
      </c>
      <c r="N157" s="14">
        <f t="shared" si="41"/>
        <v>1101008</v>
      </c>
      <c r="O157" s="14" t="str">
        <f t="shared" si="42"/>
        <v>黑尔·坎普7突</v>
      </c>
      <c r="P157" s="29" t="s">
        <v>341</v>
      </c>
      <c r="Q157" s="14">
        <f t="shared" si="43"/>
        <v>1</v>
      </c>
      <c r="R157" s="14">
        <f t="shared" si="44"/>
        <v>7</v>
      </c>
      <c r="S157" s="14" t="s">
        <v>39</v>
      </c>
      <c r="T157" s="14">
        <f>ROUND(((IF(Q157=1,INDEX(新属性投放!$J$14:$J$34,卡牌属性!R157),INDEX(新属性投放!$J$42:$J$62,卡牌属性!R157)))*INDEX($G$5:$G$42,L157)+IF(Q157=1,INDEX(新属性投放!R$20:R$23,卡牌属性!M157-1),INDEX(新属性投放!R$25:R$28,卡牌属性!M157-1)))/SQRT(INDEX($I$5:$I$42,L157)),2)</f>
        <v>1451</v>
      </c>
      <c r="U157" s="29" t="s">
        <v>178</v>
      </c>
      <c r="V157" s="14">
        <f>ROUND((IF(Q157=1,INDEX(新属性投放!$K$14:$K$34,卡牌属性!R157),INDEX(新属性投放!$K$42:$K$62,卡牌属性!R157))+IF(Q157=1,INDEX(新属性投放!S$20:S$23,卡牌属性!M157-1),INDEX(新属性投放!S$25:S$28,卡牌属性!M157-1)))*INDEX($G$5:$G$42,L157),2)</f>
        <v>682</v>
      </c>
      <c r="W157" s="29" t="s">
        <v>179</v>
      </c>
      <c r="X157" s="14">
        <f>ROUND((IF(Q157=1,INDEX(新属性投放!$L$14:$L$34,卡牌属性!R157),INDEX(新属性投放!$L$42:$L$62,卡牌属性!R157))*INDEX($G$5:$G$42,L157)+IF(Q157=1,INDEX(新属性投放!T$20:T$23,卡牌属性!M157-1),INDEX(新属性投放!T$25:T$28,卡牌属性!M157-1)))*SQRT(INDEX($I$5:$I$42,L157)),2)</f>
        <v>4553</v>
      </c>
      <c r="Y157" s="29" t="s">
        <v>177</v>
      </c>
      <c r="Z157" s="14">
        <f>ROUND(IF(Q157=1,INDEX(新属性投放!$D$14:$D$34,卡牌属性!R157),INDEX(新属性投放!$D$42:$D$62,卡牌属性!R157))*INDEX($G$5:$G$42,L157)/SQRT(INDEX($I$5:$I$42,L157)),2)</f>
        <v>35</v>
      </c>
      <c r="AA157" s="29" t="s">
        <v>178</v>
      </c>
      <c r="AB157" s="14">
        <f>ROUND(IF(Q157=1,INDEX(新属性投放!$E$14:$E$34,卡牌属性!R157),INDEX(新属性投放!$E$42:$E$62,卡牌属性!R157))*INDEX($G$5:$G$42,L157),2)</f>
        <v>17.5</v>
      </c>
      <c r="AC157" s="29" t="s">
        <v>179</v>
      </c>
      <c r="AD157" s="14">
        <f>ROUND(IF(Q157=1,INDEX(新属性投放!$F$14:$F$34,卡牌属性!R157),INDEX(新属性投放!$F$42:$F$62,卡牌属性!R157))*INDEX($G$5:$G$42,L157)*SQRT(INDEX($I$5:$I$42,L157)),2)</f>
        <v>105</v>
      </c>
      <c r="AF157" s="14">
        <f t="shared" si="45"/>
        <v>350</v>
      </c>
      <c r="AG157" s="14">
        <f t="shared" si="46"/>
        <v>175</v>
      </c>
      <c r="AH157" s="14">
        <f t="shared" si="47"/>
        <v>1050</v>
      </c>
      <c r="AJ157" s="14">
        <f t="shared" si="48"/>
        <v>1450</v>
      </c>
      <c r="AK157" s="14">
        <f t="shared" si="49"/>
        <v>725</v>
      </c>
      <c r="AL157" s="14">
        <f t="shared" si="50"/>
        <v>4350</v>
      </c>
    </row>
    <row r="158" spans="11:38" ht="16.5" x14ac:dyDescent="0.2">
      <c r="K158" s="13">
        <v>155</v>
      </c>
      <c r="L158" s="13">
        <f t="shared" si="39"/>
        <v>8</v>
      </c>
      <c r="M158" s="13">
        <f t="shared" si="40"/>
        <v>2</v>
      </c>
      <c r="N158" s="14">
        <f t="shared" si="41"/>
        <v>1101008</v>
      </c>
      <c r="O158" s="14" t="str">
        <f t="shared" si="42"/>
        <v>黑尔·坎普8突</v>
      </c>
      <c r="P158" s="29" t="s">
        <v>341</v>
      </c>
      <c r="Q158" s="14">
        <f t="shared" si="43"/>
        <v>1</v>
      </c>
      <c r="R158" s="14">
        <f t="shared" si="44"/>
        <v>8</v>
      </c>
      <c r="S158" s="14" t="s">
        <v>39</v>
      </c>
      <c r="T158" s="14">
        <f>ROUND(((IF(Q158=1,INDEX(新属性投放!$J$14:$J$34,卡牌属性!R158),INDEX(新属性投放!$J$42:$J$62,卡牌属性!R158)))*INDEX($G$5:$G$42,L158)+IF(Q158=1,INDEX(新属性投放!R$20:R$23,卡牌属性!M158-1),INDEX(新属性投放!R$25:R$28,卡牌属性!M158-1)))/SQRT(INDEX($I$5:$I$42,L158)),2)</f>
        <v>1889</v>
      </c>
      <c r="U158" s="29" t="s">
        <v>178</v>
      </c>
      <c r="V158" s="14">
        <f>ROUND((IF(Q158=1,INDEX(新属性投放!$K$14:$K$34,卡牌属性!R158),INDEX(新属性投放!$K$42:$K$62,卡牌属性!R158))+IF(Q158=1,INDEX(新属性投放!S$20:S$23,卡牌属性!M158-1),INDEX(新属性投放!S$25:S$28,卡牌属性!M158-1)))*INDEX($G$5:$G$42,L158),2)</f>
        <v>901</v>
      </c>
      <c r="W158" s="29" t="s">
        <v>179</v>
      </c>
      <c r="X158" s="14">
        <f>ROUND((IF(Q158=1,INDEX(新属性投放!$L$14:$L$34,卡牌属性!R158),INDEX(新属性投放!$L$42:$L$62,卡牌属性!R158))*INDEX($G$5:$G$42,L158)+IF(Q158=1,INDEX(新属性投放!T$20:T$23,卡牌属性!M158-1),INDEX(新属性投放!T$25:T$28,卡牌属性!M158-1)))*SQRT(INDEX($I$5:$I$42,L158)),2)</f>
        <v>5867</v>
      </c>
      <c r="Y158" s="29" t="s">
        <v>177</v>
      </c>
      <c r="Z158" s="14">
        <f>ROUND(IF(Q158=1,INDEX(新属性投放!$D$14:$D$34,卡牌属性!R158),INDEX(新属性投放!$D$42:$D$62,卡牌属性!R158))*INDEX($G$5:$G$42,L158)/SQRT(INDEX($I$5:$I$42,L158)),2)</f>
        <v>45</v>
      </c>
      <c r="AA158" s="29" t="s">
        <v>178</v>
      </c>
      <c r="AB158" s="14">
        <f>ROUND(IF(Q158=1,INDEX(新属性投放!$E$14:$E$34,卡牌属性!R158),INDEX(新属性投放!$E$42:$E$62,卡牌属性!R158))*INDEX($G$5:$G$42,L158),2)</f>
        <v>22.5</v>
      </c>
      <c r="AC158" s="29" t="s">
        <v>179</v>
      </c>
      <c r="AD158" s="14">
        <f>ROUND(IF(Q158=1,INDEX(新属性投放!$F$14:$F$34,卡牌属性!R158),INDEX(新属性投放!$F$42:$F$62,卡牌属性!R158))*INDEX($G$5:$G$42,L158)*SQRT(INDEX($I$5:$I$42,L158)),2)</f>
        <v>135</v>
      </c>
      <c r="AF158" s="14">
        <f t="shared" si="45"/>
        <v>450</v>
      </c>
      <c r="AG158" s="14">
        <f t="shared" si="46"/>
        <v>225</v>
      </c>
      <c r="AH158" s="14">
        <f t="shared" si="47"/>
        <v>1350</v>
      </c>
      <c r="AJ158" s="14">
        <f t="shared" si="48"/>
        <v>1900</v>
      </c>
      <c r="AK158" s="14">
        <f t="shared" si="49"/>
        <v>950</v>
      </c>
      <c r="AL158" s="14">
        <f t="shared" si="50"/>
        <v>5700</v>
      </c>
    </row>
    <row r="159" spans="11:38" ht="16.5" x14ac:dyDescent="0.2">
      <c r="K159" s="13">
        <v>156</v>
      </c>
      <c r="L159" s="13">
        <f t="shared" si="39"/>
        <v>8</v>
      </c>
      <c r="M159" s="13">
        <f t="shared" si="40"/>
        <v>2</v>
      </c>
      <c r="N159" s="14">
        <f t="shared" si="41"/>
        <v>1101008</v>
      </c>
      <c r="O159" s="14" t="str">
        <f t="shared" si="42"/>
        <v>黑尔·坎普9突</v>
      </c>
      <c r="P159" s="29" t="s">
        <v>341</v>
      </c>
      <c r="Q159" s="14">
        <f t="shared" si="43"/>
        <v>1</v>
      </c>
      <c r="R159" s="14">
        <f t="shared" si="44"/>
        <v>9</v>
      </c>
      <c r="S159" s="14" t="s">
        <v>39</v>
      </c>
      <c r="T159" s="14">
        <f>ROUND(((IF(Q159=1,INDEX(新属性投放!$J$14:$J$34,卡牌属性!R159),INDEX(新属性投放!$J$42:$J$62,卡牌属性!R159)))*INDEX($G$5:$G$42,L159)+IF(Q159=1,INDEX(新属性投放!R$20:R$23,卡牌属性!M159-1),INDEX(新属性投放!R$25:R$28,卡牌属性!M159-1)))/SQRT(INDEX($I$5:$I$42,L159)),2)</f>
        <v>2452</v>
      </c>
      <c r="U159" s="29" t="s">
        <v>178</v>
      </c>
      <c r="V159" s="14">
        <f>ROUND((IF(Q159=1,INDEX(新属性投放!$K$14:$K$34,卡牌属性!R159),INDEX(新属性投放!$K$42:$K$62,卡牌属性!R159))+IF(Q159=1,INDEX(新属性投放!S$20:S$23,卡牌属性!M159-1),INDEX(新属性投放!S$25:S$28,卡牌属性!M159-1)))*INDEX($G$5:$G$42,L159),2)</f>
        <v>1182</v>
      </c>
      <c r="W159" s="29" t="s">
        <v>179</v>
      </c>
      <c r="X159" s="14">
        <f>ROUND((IF(Q159=1,INDEX(新属性投放!$L$14:$L$34,卡牌属性!R159),INDEX(新属性投放!$L$42:$L$62,卡牌属性!R159))*INDEX($G$5:$G$42,L159)+IF(Q159=1,INDEX(新属性投放!T$20:T$23,卡牌属性!M159-1),INDEX(新属性投放!T$25:T$28,卡牌属性!M159-1)))*SQRT(INDEX($I$5:$I$42,L159)),2)</f>
        <v>7556</v>
      </c>
      <c r="Y159" s="29" t="s">
        <v>177</v>
      </c>
      <c r="Z159" s="14">
        <f>ROUND(IF(Q159=1,INDEX(新属性投放!$D$14:$D$34,卡牌属性!R159),INDEX(新属性投放!$D$42:$D$62,卡牌属性!R159))*INDEX($G$5:$G$42,L159)/SQRT(INDEX($I$5:$I$42,L159)),2)</f>
        <v>60.05</v>
      </c>
      <c r="AA159" s="29" t="s">
        <v>178</v>
      </c>
      <c r="AB159" s="14">
        <f>ROUND(IF(Q159=1,INDEX(新属性投放!$E$14:$E$34,卡牌属性!R159),INDEX(新属性投放!$E$42:$E$62,卡牌属性!R159))*INDEX($G$5:$G$42,L159),2)</f>
        <v>30.03</v>
      </c>
      <c r="AC159" s="29" t="s">
        <v>179</v>
      </c>
      <c r="AD159" s="14">
        <f>ROUND(IF(Q159=1,INDEX(新属性投放!$F$14:$F$34,卡牌属性!R159),INDEX(新属性投放!$F$42:$F$62,卡牌属性!R159))*INDEX($G$5:$G$42,L159)*SQRT(INDEX($I$5:$I$42,L159)),2)</f>
        <v>180.15</v>
      </c>
      <c r="AF159" s="14">
        <f t="shared" si="45"/>
        <v>600</v>
      </c>
      <c r="AG159" s="14">
        <f t="shared" si="46"/>
        <v>300</v>
      </c>
      <c r="AH159" s="14">
        <f t="shared" si="47"/>
        <v>1801</v>
      </c>
      <c r="AJ159" s="14">
        <f t="shared" si="48"/>
        <v>2500</v>
      </c>
      <c r="AK159" s="14">
        <f t="shared" si="49"/>
        <v>1250</v>
      </c>
      <c r="AL159" s="14">
        <f t="shared" si="50"/>
        <v>7501</v>
      </c>
    </row>
    <row r="160" spans="11:38" ht="16.5" x14ac:dyDescent="0.2">
      <c r="K160" s="13">
        <v>157</v>
      </c>
      <c r="L160" s="13">
        <f t="shared" si="39"/>
        <v>8</v>
      </c>
      <c r="M160" s="13">
        <f t="shared" si="40"/>
        <v>2</v>
      </c>
      <c r="N160" s="14">
        <f t="shared" si="41"/>
        <v>1101008</v>
      </c>
      <c r="O160" s="14" t="str">
        <f t="shared" si="42"/>
        <v>黑尔·坎普10突</v>
      </c>
      <c r="P160" s="29" t="s">
        <v>341</v>
      </c>
      <c r="Q160" s="14">
        <f t="shared" si="43"/>
        <v>1</v>
      </c>
      <c r="R160" s="14">
        <f t="shared" si="44"/>
        <v>10</v>
      </c>
      <c r="S160" s="14" t="s">
        <v>39</v>
      </c>
      <c r="T160" s="14">
        <f>ROUND(((IF(Q160=1,INDEX(新属性投放!$J$14:$J$34,卡牌属性!R160),INDEX(新属性投放!$J$42:$J$62,卡牌属性!R160)))*INDEX($G$5:$G$42,L160)+IF(Q160=1,INDEX(新属性投放!R$20:R$23,卡牌属性!M160-1),INDEX(新属性投放!R$25:R$28,卡牌属性!M160-1)))/SQRT(INDEX($I$5:$I$42,L160)),2)</f>
        <v>3202.5</v>
      </c>
      <c r="U160" s="29" t="s">
        <v>178</v>
      </c>
      <c r="V160" s="14">
        <f>ROUND((IF(Q160=1,INDEX(新属性投放!$K$14:$K$34,卡牌属性!R160),INDEX(新属性投放!$K$42:$K$62,卡牌属性!R160))+IF(Q160=1,INDEX(新属性投放!S$20:S$23,卡牌属性!M160-1),INDEX(新属性投放!S$25:S$28,卡牌属性!M160-1)))*INDEX($G$5:$G$42,L160),2)</f>
        <v>1557.25</v>
      </c>
      <c r="W160" s="29" t="s">
        <v>179</v>
      </c>
      <c r="X160" s="14">
        <f>ROUND((IF(Q160=1,INDEX(新属性投放!$L$14:$L$34,卡牌属性!R160),INDEX(新属性投放!$L$42:$L$62,卡牌属性!R160))*INDEX($G$5:$G$42,L160)+IF(Q160=1,INDEX(新属性投放!T$20:T$23,卡牌属性!M160-1),INDEX(新属性投放!T$25:T$28,卡牌属性!M160-1)))*SQRT(INDEX($I$5:$I$42,L160)),2)</f>
        <v>9807.5</v>
      </c>
      <c r="Y160" s="29" t="s">
        <v>177</v>
      </c>
      <c r="Z160" s="14">
        <f>ROUND(IF(Q160=1,INDEX(新属性投放!$D$14:$D$34,卡牌属性!R160),INDEX(新属性投放!$D$42:$D$62,卡牌属性!R160))*INDEX($G$5:$G$42,L160)/SQRT(INDEX($I$5:$I$42,L160)),2)</f>
        <v>78.5</v>
      </c>
      <c r="AA160" s="29" t="s">
        <v>178</v>
      </c>
      <c r="AB160" s="14">
        <f>ROUND(IF(Q160=1,INDEX(新属性投放!$E$14:$E$34,卡牌属性!R160),INDEX(新属性投放!$E$42:$E$62,卡牌属性!R160))*INDEX($G$5:$G$42,L160),2)</f>
        <v>39.25</v>
      </c>
      <c r="AC160" s="29" t="s">
        <v>179</v>
      </c>
      <c r="AD160" s="14">
        <f>ROUND(IF(Q160=1,INDEX(新属性投放!$F$14:$F$34,卡牌属性!R160),INDEX(新属性投放!$F$42:$F$62,卡牌属性!R160))*INDEX($G$5:$G$42,L160)*SQRT(INDEX($I$5:$I$42,L160)),2)</f>
        <v>235.5</v>
      </c>
      <c r="AF160" s="14">
        <f t="shared" si="45"/>
        <v>785</v>
      </c>
      <c r="AG160" s="14">
        <f t="shared" si="46"/>
        <v>392</v>
      </c>
      <c r="AH160" s="14">
        <f t="shared" si="47"/>
        <v>2355</v>
      </c>
      <c r="AJ160" s="14">
        <f t="shared" si="48"/>
        <v>3285</v>
      </c>
      <c r="AK160" s="14">
        <f t="shared" si="49"/>
        <v>1642</v>
      </c>
      <c r="AL160" s="14">
        <f t="shared" si="50"/>
        <v>9856</v>
      </c>
    </row>
    <row r="161" spans="11:38" ht="16.5" x14ac:dyDescent="0.2">
      <c r="K161" s="13">
        <v>158</v>
      </c>
      <c r="L161" s="13">
        <f t="shared" si="39"/>
        <v>8</v>
      </c>
      <c r="M161" s="13">
        <f t="shared" si="40"/>
        <v>2</v>
      </c>
      <c r="N161" s="14">
        <f t="shared" si="41"/>
        <v>1101008</v>
      </c>
      <c r="O161" s="14" t="str">
        <f t="shared" si="42"/>
        <v>黑尔·坎普11突</v>
      </c>
      <c r="P161" s="29" t="s">
        <v>341</v>
      </c>
      <c r="Q161" s="14">
        <f t="shared" si="43"/>
        <v>1</v>
      </c>
      <c r="R161" s="14">
        <f t="shared" si="44"/>
        <v>11</v>
      </c>
      <c r="S161" s="14" t="s">
        <v>39</v>
      </c>
      <c r="T161" s="14">
        <f>ROUND(((IF(Q161=1,INDEX(新属性投放!$J$14:$J$34,卡牌属性!R161),INDEX(新属性投放!$J$42:$J$62,卡牌属性!R161)))*INDEX($G$5:$G$42,L161)+IF(Q161=1,INDEX(新属性投放!R$20:R$23,卡牌属性!M161-1),INDEX(新属性投放!R$25:R$28,卡牌属性!M161-1)))/SQRT(INDEX($I$5:$I$42,L161)),2)</f>
        <v>4183.5</v>
      </c>
      <c r="U161" s="29" t="s">
        <v>178</v>
      </c>
      <c r="V161" s="14">
        <f>ROUND((IF(Q161=1,INDEX(新属性投放!$K$14:$K$34,卡牌属性!R161),INDEX(新属性投放!$K$42:$K$62,卡牌属性!R161))+IF(Q161=1,INDEX(新属性投放!S$20:S$23,卡牌属性!M161-1),INDEX(新属性投放!S$25:S$28,卡牌属性!M161-1)))*INDEX($G$5:$G$42,L161),2)</f>
        <v>2047.75</v>
      </c>
      <c r="W161" s="29" t="s">
        <v>179</v>
      </c>
      <c r="X161" s="14">
        <f>ROUND((IF(Q161=1,INDEX(新属性投放!$L$14:$L$34,卡牌属性!R161),INDEX(新属性投放!$L$42:$L$62,卡牌属性!R161))*INDEX($G$5:$G$42,L161)+IF(Q161=1,INDEX(新属性投放!T$20:T$23,卡牌属性!M161-1),INDEX(新属性投放!T$25:T$28,卡牌属性!M161-1)))*SQRT(INDEX($I$5:$I$42,L161)),2)</f>
        <v>12750.5</v>
      </c>
      <c r="Y161" s="29" t="s">
        <v>177</v>
      </c>
      <c r="Z161" s="14">
        <f>ROUND(IF(Q161=1,INDEX(新属性投放!$D$14:$D$34,卡牌属性!R161),INDEX(新属性投放!$D$42:$D$62,卡牌属性!R161))*INDEX($G$5:$G$42,L161)/SQRT(INDEX($I$5:$I$42,L161)),2)</f>
        <v>103.34</v>
      </c>
      <c r="AA161" s="29" t="s">
        <v>178</v>
      </c>
      <c r="AB161" s="14">
        <f>ROUND(IF(Q161=1,INDEX(新属性投放!$E$14:$E$34,卡牌属性!R161),INDEX(新属性投放!$E$42:$E$62,卡牌属性!R161))*INDEX($G$5:$G$42,L161),2)</f>
        <v>51.67</v>
      </c>
      <c r="AC161" s="29" t="s">
        <v>179</v>
      </c>
      <c r="AD161" s="14">
        <f>ROUND(IF(Q161=1,INDEX(新属性投放!$F$14:$F$34,卡牌属性!R161),INDEX(新属性投放!$F$42:$F$62,卡牌属性!R161))*INDEX($G$5:$G$42,L161)*SQRT(INDEX($I$5:$I$42,L161)),2)</f>
        <v>310.02</v>
      </c>
      <c r="AF161" s="14">
        <f t="shared" si="45"/>
        <v>1033</v>
      </c>
      <c r="AG161" s="14">
        <f t="shared" si="46"/>
        <v>516</v>
      </c>
      <c r="AH161" s="14">
        <f t="shared" si="47"/>
        <v>3100</v>
      </c>
      <c r="AJ161" s="14">
        <f t="shared" si="48"/>
        <v>4318</v>
      </c>
      <c r="AK161" s="14">
        <f t="shared" si="49"/>
        <v>2158</v>
      </c>
      <c r="AL161" s="14">
        <f t="shared" si="50"/>
        <v>12956</v>
      </c>
    </row>
    <row r="162" spans="11:38" ht="16.5" x14ac:dyDescent="0.2">
      <c r="K162" s="13">
        <v>159</v>
      </c>
      <c r="L162" s="13">
        <f t="shared" si="39"/>
        <v>8</v>
      </c>
      <c r="M162" s="13">
        <f t="shared" si="40"/>
        <v>2</v>
      </c>
      <c r="N162" s="14">
        <f t="shared" si="41"/>
        <v>1101008</v>
      </c>
      <c r="O162" s="14" t="str">
        <f t="shared" si="42"/>
        <v>黑尔·坎普12突</v>
      </c>
      <c r="P162" s="29" t="s">
        <v>341</v>
      </c>
      <c r="Q162" s="14">
        <f t="shared" si="43"/>
        <v>1</v>
      </c>
      <c r="R162" s="14">
        <f t="shared" si="44"/>
        <v>12</v>
      </c>
      <c r="S162" s="14" t="s">
        <v>39</v>
      </c>
      <c r="T162" s="14">
        <f>ROUND(((IF(Q162=1,INDEX(新属性投放!$J$14:$J$34,卡牌属性!R162),INDEX(新属性投放!$J$42:$J$62,卡牌属性!R162)))*INDEX($G$5:$G$42,L162)+IF(Q162=1,INDEX(新属性投放!R$20:R$23,卡牌属性!M162-1),INDEX(新属性投放!R$25:R$28,卡牌属性!M162-1)))/SQRT(INDEX($I$5:$I$42,L162)),2)</f>
        <v>5474.9</v>
      </c>
      <c r="U162" s="29" t="s">
        <v>178</v>
      </c>
      <c r="V162" s="14">
        <f>ROUND((IF(Q162=1,INDEX(新属性投放!$K$14:$K$34,卡牌属性!R162),INDEX(新属性投放!$K$42:$K$62,卡牌属性!R162))+IF(Q162=1,INDEX(新属性投放!S$20:S$23,卡牌属性!M162-1),INDEX(新属性投放!S$25:S$28,卡牌属性!M162-1)))*INDEX($G$5:$G$42,L162),2)</f>
        <v>2693.45</v>
      </c>
      <c r="W162" s="29" t="s">
        <v>179</v>
      </c>
      <c r="X162" s="14">
        <f>ROUND((IF(Q162=1,INDEX(新属性投放!$L$14:$L$34,卡牌属性!R162),INDEX(新属性投放!$L$42:$L$62,卡牌属性!R162))*INDEX($G$5:$G$42,L162)+IF(Q162=1,INDEX(新属性投放!T$20:T$23,卡牌属性!M162-1),INDEX(新属性投放!T$25:T$28,卡牌属性!M162-1)))*SQRT(INDEX($I$5:$I$42,L162)),2)</f>
        <v>16624.7</v>
      </c>
      <c r="Y162" s="29" t="s">
        <v>177</v>
      </c>
      <c r="Z162" s="14">
        <f>ROUND(IF(Q162=1,INDEX(新属性投放!$D$14:$D$34,卡牌属性!R162),INDEX(新属性投放!$D$42:$D$62,卡牌属性!R162))*INDEX($G$5:$G$42,L162)/SQRT(INDEX($I$5:$I$42,L162)),2)</f>
        <v>135.62</v>
      </c>
      <c r="AA162" s="29" t="s">
        <v>178</v>
      </c>
      <c r="AB162" s="14">
        <f>ROUND(IF(Q162=1,INDEX(新属性投放!$E$14:$E$34,卡牌属性!R162),INDEX(新属性投放!$E$42:$E$62,卡牌属性!R162))*INDEX($G$5:$G$42,L162),2)</f>
        <v>67.81</v>
      </c>
      <c r="AC162" s="29" t="s">
        <v>179</v>
      </c>
      <c r="AD162" s="14">
        <f>ROUND(IF(Q162=1,INDEX(新属性投放!$F$14:$F$34,卡牌属性!R162),INDEX(新属性投放!$F$42:$F$62,卡牌属性!R162))*INDEX($G$5:$G$42,L162)*SQRT(INDEX($I$5:$I$42,L162)),2)</f>
        <v>406.86</v>
      </c>
      <c r="AF162" s="14">
        <f t="shared" si="45"/>
        <v>1356</v>
      </c>
      <c r="AG162" s="14">
        <f t="shared" si="46"/>
        <v>678</v>
      </c>
      <c r="AH162" s="14">
        <f t="shared" si="47"/>
        <v>4068</v>
      </c>
      <c r="AJ162" s="14">
        <f t="shared" si="48"/>
        <v>5674</v>
      </c>
      <c r="AK162" s="14">
        <f t="shared" si="49"/>
        <v>2836</v>
      </c>
      <c r="AL162" s="14">
        <f t="shared" si="50"/>
        <v>17024</v>
      </c>
    </row>
    <row r="163" spans="11:38" ht="16.5" x14ac:dyDescent="0.2">
      <c r="K163" s="13">
        <v>160</v>
      </c>
      <c r="L163" s="13">
        <f t="shared" si="39"/>
        <v>8</v>
      </c>
      <c r="M163" s="13">
        <f t="shared" si="40"/>
        <v>2</v>
      </c>
      <c r="N163" s="14">
        <f t="shared" si="41"/>
        <v>1101008</v>
      </c>
      <c r="O163" s="14" t="str">
        <f t="shared" si="42"/>
        <v>黑尔·坎普13突</v>
      </c>
      <c r="P163" s="29" t="s">
        <v>341</v>
      </c>
      <c r="Q163" s="14">
        <f t="shared" si="43"/>
        <v>1</v>
      </c>
      <c r="R163" s="14">
        <f t="shared" si="44"/>
        <v>13</v>
      </c>
      <c r="S163" s="14" t="s">
        <v>39</v>
      </c>
      <c r="T163" s="14">
        <f>ROUND(((IF(Q163=1,INDEX(新属性投放!$J$14:$J$34,卡牌属性!R163),INDEX(新属性投放!$J$42:$J$62,卡牌属性!R163)))*INDEX($G$5:$G$42,L163)+IF(Q163=1,INDEX(新属性投放!R$20:R$23,卡牌属性!M163-1),INDEX(新属性投放!R$25:R$28,卡牌属性!M163-1)))/SQRT(INDEX($I$5:$I$42,L163)),2)</f>
        <v>7170.1</v>
      </c>
      <c r="U163" s="29" t="s">
        <v>178</v>
      </c>
      <c r="V163" s="14">
        <f>ROUND((IF(Q163=1,INDEX(新属性投放!$K$14:$K$34,卡牌属性!R163),INDEX(新属性投放!$K$42:$K$62,卡牌属性!R163))+IF(Q163=1,INDEX(新属性投放!S$20:S$23,卡牌属性!M163-1),INDEX(新属性投放!S$25:S$28,卡牌属性!M163-1)))*INDEX($G$5:$G$42,L163),2)</f>
        <v>3541.55</v>
      </c>
      <c r="W163" s="29" t="s">
        <v>179</v>
      </c>
      <c r="X163" s="14">
        <f>ROUND((IF(Q163=1,INDEX(新属性投放!$L$14:$L$34,卡牌属性!R163),INDEX(新属性投放!$L$42:$L$62,卡牌属性!R163))*INDEX($G$5:$G$42,L163)+IF(Q163=1,INDEX(新属性投放!T$20:T$23,卡牌属性!M163-1),INDEX(新属性投放!T$25:T$28,卡牌属性!M163-1)))*SQRT(INDEX($I$5:$I$42,L163)),2)</f>
        <v>21710.3</v>
      </c>
      <c r="Y163" s="29" t="s">
        <v>177</v>
      </c>
      <c r="Z163" s="14">
        <f>ROUND(IF(Q163=1,INDEX(新属性投放!$D$14:$D$34,卡牌属性!R163),INDEX(新属性投放!$D$42:$D$62,卡牌属性!R163))*INDEX($G$5:$G$42,L163)/SQRT(INDEX($I$5:$I$42,L163)),2)</f>
        <v>178</v>
      </c>
      <c r="AA163" s="29" t="s">
        <v>178</v>
      </c>
      <c r="AB163" s="14">
        <f>ROUND(IF(Q163=1,INDEX(新属性投放!$E$14:$E$34,卡牌属性!R163),INDEX(新属性投放!$E$42:$E$62,卡牌属性!R163))*INDEX($G$5:$G$42,L163),2)</f>
        <v>89</v>
      </c>
      <c r="AC163" s="29" t="s">
        <v>179</v>
      </c>
      <c r="AD163" s="14">
        <f>ROUND(IF(Q163=1,INDEX(新属性投放!$F$14:$F$34,卡牌属性!R163),INDEX(新属性投放!$F$42:$F$62,卡牌属性!R163))*INDEX($G$5:$G$42,L163)*SQRT(INDEX($I$5:$I$42,L163)),2)</f>
        <v>534</v>
      </c>
      <c r="AF163" s="14">
        <f t="shared" si="45"/>
        <v>1780</v>
      </c>
      <c r="AG163" s="14">
        <f t="shared" si="46"/>
        <v>890</v>
      </c>
      <c r="AH163" s="14">
        <f t="shared" si="47"/>
        <v>5340</v>
      </c>
      <c r="AJ163" s="14">
        <f t="shared" si="48"/>
        <v>7454</v>
      </c>
      <c r="AK163" s="14">
        <f t="shared" si="49"/>
        <v>3726</v>
      </c>
      <c r="AL163" s="14">
        <f t="shared" si="50"/>
        <v>22364</v>
      </c>
    </row>
    <row r="164" spans="11:38" ht="16.5" x14ac:dyDescent="0.2">
      <c r="K164" s="13">
        <v>161</v>
      </c>
      <c r="L164" s="13">
        <f t="shared" si="39"/>
        <v>8</v>
      </c>
      <c r="M164" s="13">
        <f t="shared" si="40"/>
        <v>2</v>
      </c>
      <c r="N164" s="14">
        <f t="shared" si="41"/>
        <v>1101008</v>
      </c>
      <c r="O164" s="14" t="str">
        <f t="shared" si="42"/>
        <v>黑尔·坎普14突</v>
      </c>
      <c r="P164" s="29" t="s">
        <v>341</v>
      </c>
      <c r="Q164" s="14">
        <f t="shared" si="43"/>
        <v>1</v>
      </c>
      <c r="R164" s="14">
        <f t="shared" si="44"/>
        <v>14</v>
      </c>
      <c r="S164" s="14" t="s">
        <v>39</v>
      </c>
      <c r="T164" s="14">
        <f>ROUND(((IF(Q164=1,INDEX(新属性投放!$J$14:$J$34,卡牌属性!R164),INDEX(新属性投放!$J$42:$J$62,卡牌属性!R164)))*INDEX($G$5:$G$42,L164)+IF(Q164=1,INDEX(新属性投放!R$20:R$23,卡牌属性!M164-1),INDEX(新属性投放!R$25:R$28,卡牌属性!M164-1)))/SQRT(INDEX($I$5:$I$42,L164)),2)</f>
        <v>9395.1</v>
      </c>
      <c r="U164" s="29" t="s">
        <v>178</v>
      </c>
      <c r="V164" s="14">
        <f>ROUND((IF(Q164=1,INDEX(新属性投放!$K$14:$K$34,卡牌属性!R164),INDEX(新属性投放!$K$42:$K$62,卡牌属性!R164))+IF(Q164=1,INDEX(新属性投放!S$20:S$23,卡牌属性!M164-1),INDEX(新属性投放!S$25:S$28,卡牌属性!M164-1)))*INDEX($G$5:$G$42,L164),2)</f>
        <v>4654.55</v>
      </c>
      <c r="W164" s="29" t="s">
        <v>179</v>
      </c>
      <c r="X164" s="14">
        <f>ROUND((IF(Q164=1,INDEX(新属性投放!$L$14:$L$34,卡牌属性!R164),INDEX(新属性投放!$L$42:$L$62,卡牌属性!R164))*INDEX($G$5:$G$42,L164)+IF(Q164=1,INDEX(新属性投放!T$20:T$23,卡牌属性!M164-1),INDEX(新属性投放!T$25:T$28,卡牌属性!M164-1)))*SQRT(INDEX($I$5:$I$42,L164)),2)</f>
        <v>28385.3</v>
      </c>
      <c r="Y164" s="29" t="s">
        <v>177</v>
      </c>
      <c r="Z164" s="14">
        <f>ROUND(IF(Q164=1,INDEX(新属性投放!$D$14:$D$34,卡牌属性!R164),INDEX(新属性投放!$D$42:$D$62,卡牌属性!R164))*INDEX($G$5:$G$42,L164)/SQRT(INDEX($I$5:$I$42,L164)),2)</f>
        <v>233.63</v>
      </c>
      <c r="AA164" s="29" t="s">
        <v>178</v>
      </c>
      <c r="AB164" s="14">
        <f>ROUND(IF(Q164=1,INDEX(新属性投放!$E$14:$E$34,卡牌属性!R164),INDEX(新属性投放!$E$42:$E$62,卡牌属性!R164))*INDEX($G$5:$G$42,L164),2)</f>
        <v>116.82</v>
      </c>
      <c r="AC164" s="29" t="s">
        <v>179</v>
      </c>
      <c r="AD164" s="14">
        <f>ROUND(IF(Q164=1,INDEX(新属性投放!$F$14:$F$34,卡牌属性!R164),INDEX(新属性投放!$F$42:$F$62,卡牌属性!R164))*INDEX($G$5:$G$42,L164)*SQRT(INDEX($I$5:$I$42,L164)),2)</f>
        <v>700.89</v>
      </c>
      <c r="AF164" s="14">
        <f t="shared" si="45"/>
        <v>2336</v>
      </c>
      <c r="AG164" s="14">
        <f t="shared" si="46"/>
        <v>1168</v>
      </c>
      <c r="AH164" s="14">
        <f t="shared" si="47"/>
        <v>7008</v>
      </c>
      <c r="AJ164" s="14">
        <f t="shared" si="48"/>
        <v>9790</v>
      </c>
      <c r="AK164" s="14">
        <f t="shared" si="49"/>
        <v>4894</v>
      </c>
      <c r="AL164" s="14">
        <f t="shared" si="50"/>
        <v>29372</v>
      </c>
    </row>
    <row r="165" spans="11:38" ht="16.5" x14ac:dyDescent="0.2">
      <c r="K165" s="13">
        <v>162</v>
      </c>
      <c r="L165" s="13">
        <f t="shared" si="39"/>
        <v>8</v>
      </c>
      <c r="M165" s="13">
        <f t="shared" si="40"/>
        <v>2</v>
      </c>
      <c r="N165" s="14">
        <f t="shared" si="41"/>
        <v>1101008</v>
      </c>
      <c r="O165" s="14" t="str">
        <f t="shared" si="42"/>
        <v>黑尔·坎普15突</v>
      </c>
      <c r="P165" s="29" t="s">
        <v>341</v>
      </c>
      <c r="Q165" s="14">
        <f t="shared" si="43"/>
        <v>1</v>
      </c>
      <c r="R165" s="14">
        <f t="shared" si="44"/>
        <v>15</v>
      </c>
      <c r="S165" s="14" t="s">
        <v>39</v>
      </c>
      <c r="T165" s="14">
        <f>ROUND(((IF(Q165=1,INDEX(新属性投放!$J$14:$J$34,卡牌属性!R165),INDEX(新属性投放!$J$42:$J$62,卡牌属性!R165)))*INDEX($G$5:$G$42,L165)+IF(Q165=1,INDEX(新属性投放!R$20:R$23,卡牌属性!M165-1),INDEX(新属性投放!R$25:R$28,卡牌属性!M165-1)))/SQRT(INDEX($I$5:$I$42,L165)),2)</f>
        <v>12315.4</v>
      </c>
      <c r="U165" s="29" t="s">
        <v>178</v>
      </c>
      <c r="V165" s="14">
        <f>ROUND((IF(Q165=1,INDEX(新属性投放!$K$14:$K$34,卡牌属性!R165),INDEX(新属性投放!$K$42:$K$62,卡牌属性!R165))+IF(Q165=1,INDEX(新属性投放!S$20:S$23,卡牌属性!M165-1),INDEX(新属性投放!S$25:S$28,卡牌属性!M165-1)))*INDEX($G$5:$G$42,L165),2)</f>
        <v>6114.7</v>
      </c>
      <c r="W165" s="29" t="s">
        <v>179</v>
      </c>
      <c r="X165" s="14">
        <f>ROUND((IF(Q165=1,INDEX(新属性投放!$L$14:$L$34,卡牌属性!R165),INDEX(新属性投放!$L$42:$L$62,卡牌属性!R165))*INDEX($G$5:$G$42,L165)+IF(Q165=1,INDEX(新属性投放!T$20:T$23,卡牌属性!M165-1),INDEX(新属性投放!T$25:T$28,卡牌属性!M165-1)))*SQRT(INDEX($I$5:$I$42,L165)),2)</f>
        <v>37146.199999999997</v>
      </c>
      <c r="Y165" s="29" t="s">
        <v>177</v>
      </c>
      <c r="Z165" s="14">
        <f>ROUND(IF(Q165=1,INDEX(新属性投放!$D$14:$D$34,卡牌属性!R165),INDEX(新属性投放!$D$42:$D$62,卡牌属性!R165))*INDEX($G$5:$G$42,L165)/SQRT(INDEX($I$5:$I$42,L165)),2)</f>
        <v>306.64</v>
      </c>
      <c r="AA165" s="29" t="s">
        <v>178</v>
      </c>
      <c r="AB165" s="14">
        <f>ROUND(IF(Q165=1,INDEX(新属性投放!$E$14:$E$34,卡牌属性!R165),INDEX(新属性投放!$E$42:$E$62,卡牌属性!R165))*INDEX($G$5:$G$42,L165),2)</f>
        <v>153.32</v>
      </c>
      <c r="AC165" s="29" t="s">
        <v>179</v>
      </c>
      <c r="AD165" s="14">
        <f>ROUND(IF(Q165=1,INDEX(新属性投放!$F$14:$F$34,卡牌属性!R165),INDEX(新属性投放!$F$42:$F$62,卡牌属性!R165))*INDEX($G$5:$G$42,L165)*SQRT(INDEX($I$5:$I$42,L165)),2)</f>
        <v>919.92</v>
      </c>
      <c r="AF165" s="14">
        <f t="shared" si="45"/>
        <v>3066</v>
      </c>
      <c r="AG165" s="14">
        <f t="shared" si="46"/>
        <v>1533</v>
      </c>
      <c r="AH165" s="14">
        <f t="shared" si="47"/>
        <v>9199</v>
      </c>
      <c r="AJ165" s="14">
        <f t="shared" si="48"/>
        <v>12856</v>
      </c>
      <c r="AK165" s="14">
        <f t="shared" si="49"/>
        <v>6427</v>
      </c>
      <c r="AL165" s="14">
        <f t="shared" si="50"/>
        <v>38571</v>
      </c>
    </row>
    <row r="166" spans="11:38" ht="16.5" x14ac:dyDescent="0.2">
      <c r="K166" s="13">
        <v>163</v>
      </c>
      <c r="L166" s="13">
        <f t="shared" si="39"/>
        <v>8</v>
      </c>
      <c r="M166" s="13">
        <f t="shared" si="40"/>
        <v>2</v>
      </c>
      <c r="N166" s="14">
        <f t="shared" si="41"/>
        <v>1101008</v>
      </c>
      <c r="O166" s="14" t="str">
        <f t="shared" si="42"/>
        <v>黑尔·坎普16突</v>
      </c>
      <c r="P166" s="29" t="s">
        <v>341</v>
      </c>
      <c r="Q166" s="14">
        <f t="shared" si="43"/>
        <v>1</v>
      </c>
      <c r="R166" s="14">
        <f t="shared" si="44"/>
        <v>16</v>
      </c>
      <c r="S166" s="14" t="s">
        <v>39</v>
      </c>
      <c r="T166" s="14">
        <f>ROUND(((IF(Q166=1,INDEX(新属性投放!$J$14:$J$34,卡牌属性!R166),INDEX(新属性投放!$J$42:$J$62,卡牌属性!R166)))*INDEX($G$5:$G$42,L166)+IF(Q166=1,INDEX(新属性投放!R$20:R$23,卡牌属性!M166-1),INDEX(新属性投放!R$25:R$28,卡牌属性!M166-1)))/SQRT(INDEX($I$5:$I$42,L166)),2)</f>
        <v>16148.8</v>
      </c>
      <c r="U166" s="29" t="s">
        <v>178</v>
      </c>
      <c r="V166" s="14">
        <f>ROUND((IF(Q166=1,INDEX(新属性投放!$K$14:$K$34,卡牌属性!R166),INDEX(新属性投放!$K$42:$K$62,卡牌属性!R166))+IF(Q166=1,INDEX(新属性投放!S$20:S$23,卡牌属性!M166-1),INDEX(新属性投放!S$25:S$28,卡牌属性!M166-1)))*INDEX($G$5:$G$42,L166),2)</f>
        <v>8030.9</v>
      </c>
      <c r="W166" s="29" t="s">
        <v>179</v>
      </c>
      <c r="X166" s="14">
        <f>ROUND((IF(Q166=1,INDEX(新属性投放!$L$14:$L$34,卡牌属性!R166),INDEX(新属性投放!$L$42:$L$62,卡牌属性!R166))*INDEX($G$5:$G$42,L166)+IF(Q166=1,INDEX(新属性投放!T$20:T$23,卡牌属性!M166-1),INDEX(新属性投放!T$25:T$28,卡牌属性!M166-1)))*SQRT(INDEX($I$5:$I$42,L166)),2)</f>
        <v>48646.400000000001</v>
      </c>
      <c r="Y166" s="29" t="s">
        <v>177</v>
      </c>
      <c r="Z166" s="14">
        <f>ROUND(IF(Q166=1,INDEX(新属性投放!$D$14:$D$34,卡牌属性!R166),INDEX(新属性投放!$D$42:$D$62,卡牌属性!R166))*INDEX($G$5:$G$42,L166)/SQRT(INDEX($I$5:$I$42,L166)),2)</f>
        <v>402.47</v>
      </c>
      <c r="AA166" s="29" t="s">
        <v>178</v>
      </c>
      <c r="AB166" s="14">
        <f>ROUND(IF(Q166=1,INDEX(新属性投放!$E$14:$E$34,卡牌属性!R166),INDEX(新属性投放!$E$42:$E$62,卡牌属性!R166))*INDEX($G$5:$G$42,L166),2)</f>
        <v>201.24</v>
      </c>
      <c r="AC166" s="29" t="s">
        <v>179</v>
      </c>
      <c r="AD166" s="14">
        <f>ROUND(IF(Q166=1,INDEX(新属性投放!$F$14:$F$34,卡牌属性!R166),INDEX(新属性投放!$F$42:$F$62,卡牌属性!R166))*INDEX($G$5:$G$42,L166)*SQRT(INDEX($I$5:$I$42,L166)),2)</f>
        <v>1207.4100000000001</v>
      </c>
      <c r="AF166" s="14">
        <f t="shared" si="45"/>
        <v>4024</v>
      </c>
      <c r="AG166" s="14">
        <f t="shared" si="46"/>
        <v>2012</v>
      </c>
      <c r="AH166" s="14">
        <f t="shared" si="47"/>
        <v>12074</v>
      </c>
      <c r="AJ166" s="14">
        <f t="shared" si="48"/>
        <v>16880</v>
      </c>
      <c r="AK166" s="14">
        <f t="shared" si="49"/>
        <v>8439</v>
      </c>
      <c r="AL166" s="14">
        <f t="shared" si="50"/>
        <v>50645</v>
      </c>
    </row>
    <row r="167" spans="11:38" ht="16.5" x14ac:dyDescent="0.2">
      <c r="K167" s="13">
        <v>164</v>
      </c>
      <c r="L167" s="13">
        <f t="shared" si="39"/>
        <v>8</v>
      </c>
      <c r="M167" s="13">
        <f t="shared" si="40"/>
        <v>2</v>
      </c>
      <c r="N167" s="14">
        <f t="shared" si="41"/>
        <v>1101008</v>
      </c>
      <c r="O167" s="14" t="str">
        <f t="shared" si="42"/>
        <v>黑尔·坎普17突</v>
      </c>
      <c r="P167" s="29" t="s">
        <v>341</v>
      </c>
      <c r="Q167" s="14">
        <f t="shared" si="43"/>
        <v>1</v>
      </c>
      <c r="R167" s="14">
        <f t="shared" si="44"/>
        <v>17</v>
      </c>
      <c r="S167" s="14" t="s">
        <v>39</v>
      </c>
      <c r="T167" s="14">
        <f>ROUND(((IF(Q167=1,INDEX(新属性投放!$J$14:$J$34,卡牌属性!R167),INDEX(新属性投放!$J$42:$J$62,卡牌属性!R167)))*INDEX($G$5:$G$42,L167)+IF(Q167=1,INDEX(新属性投放!R$20:R$23,卡牌属性!M167-1),INDEX(新属性投放!R$25:R$28,卡牌属性!M167-1)))/SQRT(INDEX($I$5:$I$42,L167)),2)</f>
        <v>21179.5</v>
      </c>
      <c r="U167" s="29" t="s">
        <v>178</v>
      </c>
      <c r="V167" s="14">
        <f>ROUND((IF(Q167=1,INDEX(新属性投放!$K$14:$K$34,卡牌属性!R167),INDEX(新属性投放!$K$42:$K$62,卡牌属性!R167))+IF(Q167=1,INDEX(新属性投放!S$20:S$23,卡牌属性!M167-1),INDEX(新属性投放!S$25:S$28,卡牌属性!M167-1)))*INDEX($G$5:$G$42,L167),2)</f>
        <v>10546.25</v>
      </c>
      <c r="W167" s="29" t="s">
        <v>179</v>
      </c>
      <c r="X167" s="14">
        <f>ROUND((IF(Q167=1,INDEX(新属性投放!$L$14:$L$34,卡牌属性!R167),INDEX(新属性投放!$L$42:$L$62,卡牌属性!R167))*INDEX($G$5:$G$42,L167)+IF(Q167=1,INDEX(新属性投放!T$20:T$23,卡牌属性!M167-1),INDEX(新属性投放!T$25:T$28,卡牌属性!M167-1)))*SQRT(INDEX($I$5:$I$42,L167)),2)</f>
        <v>63738.5</v>
      </c>
      <c r="Y167" s="29" t="s">
        <v>177</v>
      </c>
      <c r="Z167" s="14">
        <f>ROUND(IF(Q167=1,INDEX(新属性投放!$D$14:$D$34,卡牌属性!R167),INDEX(新属性投放!$D$42:$D$62,卡牌属性!R167))*INDEX($G$5:$G$42,L167)/SQRT(INDEX($I$5:$I$42,L167)),2)</f>
        <v>528.24</v>
      </c>
      <c r="AA167" s="29" t="s">
        <v>178</v>
      </c>
      <c r="AB167" s="14">
        <f>ROUND(IF(Q167=1,INDEX(新属性投放!$E$14:$E$34,卡牌属性!R167),INDEX(新属性投放!$E$42:$E$62,卡牌属性!R167))*INDEX($G$5:$G$42,L167),2)</f>
        <v>264.12</v>
      </c>
      <c r="AC167" s="29" t="s">
        <v>179</v>
      </c>
      <c r="AD167" s="14">
        <f>ROUND(IF(Q167=1,INDEX(新属性投放!$F$14:$F$34,卡牌属性!R167),INDEX(新属性投放!$F$42:$F$62,卡牌属性!R167))*INDEX($G$5:$G$42,L167)*SQRT(INDEX($I$5:$I$42,L167)),2)</f>
        <v>1584.72</v>
      </c>
      <c r="AF167" s="14">
        <f t="shared" si="45"/>
        <v>5282</v>
      </c>
      <c r="AG167" s="14">
        <f t="shared" si="46"/>
        <v>2641</v>
      </c>
      <c r="AH167" s="14">
        <f t="shared" si="47"/>
        <v>15847</v>
      </c>
      <c r="AJ167" s="14">
        <f t="shared" si="48"/>
        <v>22162</v>
      </c>
      <c r="AK167" s="14">
        <f t="shared" si="49"/>
        <v>11080</v>
      </c>
      <c r="AL167" s="14">
        <f t="shared" si="50"/>
        <v>66492</v>
      </c>
    </row>
    <row r="168" spans="11:38" ht="16.5" x14ac:dyDescent="0.2">
      <c r="K168" s="13">
        <v>165</v>
      </c>
      <c r="L168" s="13">
        <f t="shared" si="39"/>
        <v>8</v>
      </c>
      <c r="M168" s="13">
        <f t="shared" si="40"/>
        <v>2</v>
      </c>
      <c r="N168" s="14">
        <f t="shared" si="41"/>
        <v>1101008</v>
      </c>
      <c r="O168" s="14" t="str">
        <f t="shared" si="42"/>
        <v>黑尔·坎普18突</v>
      </c>
      <c r="P168" s="29" t="s">
        <v>341</v>
      </c>
      <c r="Q168" s="14">
        <f t="shared" si="43"/>
        <v>1</v>
      </c>
      <c r="R168" s="14">
        <f t="shared" si="44"/>
        <v>18</v>
      </c>
      <c r="S168" s="14" t="s">
        <v>39</v>
      </c>
      <c r="T168" s="14">
        <f>ROUND(((IF(Q168=1,INDEX(新属性投放!$J$14:$J$34,卡牌属性!R168),INDEX(新属性投放!$J$42:$J$62,卡牌属性!R168)))*INDEX($G$5:$G$42,L168)+IF(Q168=1,INDEX(新属性投放!R$20:R$23,卡牌属性!M168-1),INDEX(新属性投放!R$25:R$28,卡牌属性!M168-1)))/SQRT(INDEX($I$5:$I$42,L168)),2)</f>
        <v>27782.9</v>
      </c>
      <c r="U168" s="29" t="s">
        <v>178</v>
      </c>
      <c r="V168" s="14">
        <f>ROUND((IF(Q168=1,INDEX(新属性投放!$K$14:$K$34,卡牌属性!R168),INDEX(新属性投放!$K$42:$K$62,卡牌属性!R168))+IF(Q168=1,INDEX(新属性投放!S$20:S$23,卡牌属性!M168-1),INDEX(新属性投放!S$25:S$28,卡牌属性!M168-1)))*INDEX($G$5:$G$42,L168),2)</f>
        <v>13847.45</v>
      </c>
      <c r="W168" s="29" t="s">
        <v>179</v>
      </c>
      <c r="X168" s="14">
        <f>ROUND((IF(Q168=1,INDEX(新属性投放!$L$14:$L$34,卡牌属性!R168),INDEX(新属性投放!$L$42:$L$62,卡牌属性!R168))*INDEX($G$5:$G$42,L168)+IF(Q168=1,INDEX(新属性投放!T$20:T$23,卡牌属性!M168-1),INDEX(新属性投放!T$25:T$28,卡牌属性!M168-1)))*SQRT(INDEX($I$5:$I$42,L168)),2)</f>
        <v>83548.7</v>
      </c>
      <c r="Y168" s="29" t="s">
        <v>177</v>
      </c>
      <c r="Z168" s="14">
        <f>ROUND(IF(Q168=1,INDEX(新属性投放!$D$14:$D$34,卡牌属性!R168),INDEX(新属性投放!$D$42:$D$62,卡牌属性!R168))*INDEX($G$5:$G$42,L168)/SQRT(INDEX($I$5:$I$42,L168)),2)</f>
        <v>693.32</v>
      </c>
      <c r="AA168" s="29" t="s">
        <v>178</v>
      </c>
      <c r="AB168" s="14">
        <f>ROUND(IF(Q168=1,INDEX(新属性投放!$E$14:$E$34,卡牌属性!R168),INDEX(新属性投放!$E$42:$E$62,卡牌属性!R168))*INDEX($G$5:$G$42,L168),2)</f>
        <v>346.66</v>
      </c>
      <c r="AC168" s="29" t="s">
        <v>179</v>
      </c>
      <c r="AD168" s="14">
        <f>ROUND(IF(Q168=1,INDEX(新属性投放!$F$14:$F$34,卡牌属性!R168),INDEX(新属性投放!$F$42:$F$62,卡牌属性!R168))*INDEX($G$5:$G$42,L168)*SQRT(INDEX($I$5:$I$42,L168)),2)</f>
        <v>2079.96</v>
      </c>
      <c r="AF168" s="14">
        <f t="shared" si="45"/>
        <v>6933</v>
      </c>
      <c r="AG168" s="14">
        <f t="shared" si="46"/>
        <v>3466</v>
      </c>
      <c r="AH168" s="14">
        <f t="shared" si="47"/>
        <v>20799</v>
      </c>
      <c r="AJ168" s="14">
        <f t="shared" si="48"/>
        <v>29095</v>
      </c>
      <c r="AK168" s="14">
        <f t="shared" si="49"/>
        <v>14546</v>
      </c>
      <c r="AL168" s="14">
        <f t="shared" si="50"/>
        <v>87291</v>
      </c>
    </row>
    <row r="169" spans="11:38" ht="16.5" x14ac:dyDescent="0.2">
      <c r="K169" s="13">
        <v>166</v>
      </c>
      <c r="L169" s="13">
        <f t="shared" si="39"/>
        <v>8</v>
      </c>
      <c r="M169" s="13">
        <f t="shared" si="40"/>
        <v>2</v>
      </c>
      <c r="N169" s="14">
        <f t="shared" si="41"/>
        <v>1101008</v>
      </c>
      <c r="O169" s="14" t="str">
        <f t="shared" si="42"/>
        <v>黑尔·坎普19突</v>
      </c>
      <c r="P169" s="29" t="s">
        <v>341</v>
      </c>
      <c r="Q169" s="14">
        <f t="shared" si="43"/>
        <v>1</v>
      </c>
      <c r="R169" s="14">
        <f t="shared" si="44"/>
        <v>19</v>
      </c>
      <c r="S169" s="14" t="s">
        <v>39</v>
      </c>
      <c r="T169" s="14">
        <f>ROUND(((IF(Q169=1,INDEX(新属性投放!$J$14:$J$34,卡牌属性!R169),INDEX(新属性投放!$J$42:$J$62,卡牌属性!R169)))*INDEX($G$5:$G$42,L169)+IF(Q169=1,INDEX(新属性投放!R$20:R$23,卡牌属性!M169-1),INDEX(新属性投放!R$25:R$28,卡牌属性!M169-1)))/SQRT(INDEX($I$5:$I$42,L169)),2)</f>
        <v>36449.1</v>
      </c>
      <c r="U169" s="29" t="s">
        <v>178</v>
      </c>
      <c r="V169" s="14">
        <f>ROUND((IF(Q169=1,INDEX(新属性投放!$K$14:$K$34,卡牌属性!R169),INDEX(新属性投放!$K$42:$K$62,卡牌属性!R169))+IF(Q169=1,INDEX(新属性投放!S$20:S$23,卡牌属性!M169-1),INDEX(新属性投放!S$25:S$28,卡牌属性!M169-1)))*INDEX($G$5:$G$42,L169),2)</f>
        <v>18181.05</v>
      </c>
      <c r="W169" s="29" t="s">
        <v>179</v>
      </c>
      <c r="X169" s="14">
        <f>ROUND((IF(Q169=1,INDEX(新属性投放!$L$14:$L$34,卡牌属性!R169),INDEX(新属性投放!$L$42:$L$62,卡牌属性!R169))*INDEX($G$5:$G$42,L169)+IF(Q169=1,INDEX(新属性投放!T$20:T$23,卡牌属性!M169-1),INDEX(新属性投放!T$25:T$28,卡牌属性!M169-1)))*SQRT(INDEX($I$5:$I$42,L169)),2)</f>
        <v>109547.3</v>
      </c>
      <c r="Y169" s="29" t="s">
        <v>177</v>
      </c>
      <c r="Z169" s="14">
        <f>ROUND(IF(Q169=1,INDEX(新属性投放!$D$14:$D$34,卡牌属性!R169),INDEX(新属性投放!$D$42:$D$62,卡牌属性!R169))*INDEX($G$5:$G$42,L169)/SQRT(INDEX($I$5:$I$42,L169)),2)</f>
        <v>909.98</v>
      </c>
      <c r="AA169" s="29" t="s">
        <v>178</v>
      </c>
      <c r="AB169" s="14">
        <f>ROUND(IF(Q169=1,INDEX(新属性投放!$E$14:$E$34,卡牌属性!R169),INDEX(新属性投放!$E$42:$E$62,卡牌属性!R169))*INDEX($G$5:$G$42,L169),2)</f>
        <v>454.99</v>
      </c>
      <c r="AC169" s="29" t="s">
        <v>179</v>
      </c>
      <c r="AD169" s="14">
        <f>ROUND(IF(Q169=1,INDEX(新属性投放!$F$14:$F$34,卡牌属性!R169),INDEX(新属性投放!$F$42:$F$62,卡牌属性!R169))*INDEX($G$5:$G$42,L169)*SQRT(INDEX($I$5:$I$42,L169)),2)</f>
        <v>2729.94</v>
      </c>
      <c r="AF169" s="14">
        <f t="shared" si="45"/>
        <v>9099</v>
      </c>
      <c r="AG169" s="14">
        <f t="shared" si="46"/>
        <v>4549</v>
      </c>
      <c r="AH169" s="14">
        <f t="shared" si="47"/>
        <v>27299</v>
      </c>
      <c r="AJ169" s="14">
        <f t="shared" si="48"/>
        <v>38194</v>
      </c>
      <c r="AK169" s="14">
        <f t="shared" si="49"/>
        <v>19095</v>
      </c>
      <c r="AL169" s="14">
        <f t="shared" si="50"/>
        <v>114590</v>
      </c>
    </row>
    <row r="170" spans="11:38" ht="16.5" x14ac:dyDescent="0.2">
      <c r="K170" s="13">
        <v>167</v>
      </c>
      <c r="L170" s="13">
        <f t="shared" si="39"/>
        <v>8</v>
      </c>
      <c r="M170" s="13">
        <f t="shared" si="40"/>
        <v>2</v>
      </c>
      <c r="N170" s="14">
        <f t="shared" si="41"/>
        <v>1101008</v>
      </c>
      <c r="O170" s="14" t="str">
        <f t="shared" si="42"/>
        <v>黑尔·坎普20突</v>
      </c>
      <c r="P170" s="29" t="s">
        <v>341</v>
      </c>
      <c r="Q170" s="14">
        <f t="shared" si="43"/>
        <v>1</v>
      </c>
      <c r="R170" s="14">
        <f t="shared" si="44"/>
        <v>20</v>
      </c>
      <c r="S170" s="14" t="s">
        <v>39</v>
      </c>
      <c r="T170" s="14">
        <f>ROUND(((IF(Q170=1,INDEX(新属性投放!$J$14:$J$34,卡牌属性!R170),INDEX(新属性投放!$J$42:$J$62,卡牌属性!R170)))*INDEX($G$5:$G$42,L170)+IF(Q170=1,INDEX(新属性投放!R$20:R$23,卡牌属性!M170-1),INDEX(新属性投放!R$25:R$28,卡牌属性!M170-1)))/SQRT(INDEX($I$5:$I$42,L170)),2)</f>
        <v>47823.9</v>
      </c>
      <c r="U170" s="29" t="s">
        <v>178</v>
      </c>
      <c r="V170" s="14">
        <f>ROUND((IF(Q170=1,INDEX(新属性投放!$K$14:$K$34,卡牌属性!R170),INDEX(新属性投放!$K$42:$K$62,卡牌属性!R170))+IF(Q170=1,INDEX(新属性投放!S$20:S$23,卡牌属性!M170-1),INDEX(新属性投放!S$25:S$28,卡牌属性!M170-1)))*INDEX($G$5:$G$42,L170),2)</f>
        <v>23867.95</v>
      </c>
      <c r="W170" s="29" t="s">
        <v>179</v>
      </c>
      <c r="X170" s="14">
        <f>ROUND((IF(Q170=1,INDEX(新属性投放!$L$14:$L$34,卡牌属性!R170),INDEX(新属性投放!$L$42:$L$62,卡牌属性!R170))*INDEX($G$5:$G$42,L170)+IF(Q170=1,INDEX(新属性投放!T$20:T$23,卡牌属性!M170-1),INDEX(新属性投放!T$25:T$28,卡牌属性!M170-1)))*SQRT(INDEX($I$5:$I$42,L170)),2)</f>
        <v>143671.70000000001</v>
      </c>
      <c r="Y170" s="29" t="s">
        <v>177</v>
      </c>
      <c r="Z170" s="14">
        <f>ROUND(IF(Q170=1,INDEX(新属性投放!$D$14:$D$34,卡牌属性!R170),INDEX(新属性投放!$D$42:$D$62,卡牌属性!R170))*INDEX($G$5:$G$42,L170)/SQRT(INDEX($I$5:$I$42,L170)),2)</f>
        <v>1194.3499999999999</v>
      </c>
      <c r="AA170" s="29" t="s">
        <v>178</v>
      </c>
      <c r="AB170" s="14">
        <f>ROUND(IF(Q170=1,INDEX(新属性投放!$E$14:$E$34,卡牌属性!R170),INDEX(新属性投放!$E$42:$E$62,卡牌属性!R170))*INDEX($G$5:$G$42,L170),2)</f>
        <v>597.17999999999995</v>
      </c>
      <c r="AC170" s="29" t="s">
        <v>179</v>
      </c>
      <c r="AD170" s="14">
        <f>ROUND(IF(Q170=1,INDEX(新属性投放!$F$14:$F$34,卡牌属性!R170),INDEX(新属性投放!$F$42:$F$62,卡牌属性!R170))*INDEX($G$5:$G$42,L170)*SQRT(INDEX($I$5:$I$42,L170)),2)</f>
        <v>3583.05</v>
      </c>
      <c r="AF170" s="14">
        <f t="shared" si="45"/>
        <v>11943</v>
      </c>
      <c r="AG170" s="14">
        <f t="shared" si="46"/>
        <v>5971</v>
      </c>
      <c r="AH170" s="14">
        <f t="shared" si="47"/>
        <v>35830</v>
      </c>
      <c r="AJ170" s="14">
        <f t="shared" si="48"/>
        <v>50137</v>
      </c>
      <c r="AK170" s="14">
        <f t="shared" si="49"/>
        <v>25066</v>
      </c>
      <c r="AL170" s="14">
        <f t="shared" si="50"/>
        <v>150420</v>
      </c>
    </row>
    <row r="171" spans="11:38" ht="16.5" x14ac:dyDescent="0.2">
      <c r="K171" s="13">
        <v>168</v>
      </c>
      <c r="L171" s="13">
        <f t="shared" si="39"/>
        <v>8</v>
      </c>
      <c r="M171" s="13">
        <f t="shared" si="40"/>
        <v>2</v>
      </c>
      <c r="N171" s="14">
        <f t="shared" si="41"/>
        <v>1101008</v>
      </c>
      <c r="O171" s="14" t="str">
        <f t="shared" si="42"/>
        <v>黑尔·坎普21突</v>
      </c>
      <c r="P171" s="29" t="s">
        <v>341</v>
      </c>
      <c r="Q171" s="14">
        <f t="shared" si="43"/>
        <v>1</v>
      </c>
      <c r="R171" s="14">
        <f t="shared" si="44"/>
        <v>21</v>
      </c>
      <c r="S171" s="14" t="s">
        <v>39</v>
      </c>
      <c r="T171" s="14">
        <f>ROUND(((IF(Q171=1,INDEX(新属性投放!$J$14:$J$34,卡牌属性!R171),INDEX(新属性投放!$J$42:$J$62,卡牌属性!R171)))*INDEX($G$5:$G$42,L171)+IF(Q171=1,INDEX(新属性投放!R$20:R$23,卡牌属性!M171-1),INDEX(新属性投放!R$25:R$28,卡牌属性!M171-1)))/SQRT(INDEX($I$5:$I$42,L171)),2)</f>
        <v>62753.4</v>
      </c>
      <c r="U171" s="29" t="s">
        <v>178</v>
      </c>
      <c r="V171" s="14">
        <f>ROUND((IF(Q171=1,INDEX(新属性投放!$K$14:$K$34,卡牌属性!R171),INDEX(新属性投放!$K$42:$K$62,卡牌属性!R171))+IF(Q171=1,INDEX(新属性投放!S$20:S$23,卡牌属性!M171-1),INDEX(新属性投放!S$25:S$28,卡牌属性!M171-1)))*INDEX($G$5:$G$42,L171),2)</f>
        <v>31332.7</v>
      </c>
      <c r="W171" s="29" t="s">
        <v>179</v>
      </c>
      <c r="X171" s="14">
        <f>ROUND((IF(Q171=1,INDEX(新属性投放!$L$14:$L$34,卡牌属性!R171),INDEX(新属性投放!$L$42:$L$62,卡牌属性!R171))*INDEX($G$5:$G$42,L171)+IF(Q171=1,INDEX(新属性投放!T$20:T$23,卡牌属性!M171-1),INDEX(新属性投放!T$25:T$28,卡牌属性!M171-1)))*SQRT(INDEX($I$5:$I$42,L171)),2)</f>
        <v>188460.2</v>
      </c>
      <c r="Y171" s="29" t="s">
        <v>177</v>
      </c>
      <c r="Z171" s="14">
        <f>ROUND(IF(Q171=1,INDEX(新属性投放!$D$14:$D$34,卡牌属性!R171),INDEX(新属性投放!$D$42:$D$62,卡牌属性!R171))*INDEX($G$5:$G$42,L171)/SQRT(INDEX($I$5:$I$42,L171)),2)</f>
        <v>1567.59</v>
      </c>
      <c r="AA171" s="29" t="s">
        <v>178</v>
      </c>
      <c r="AB171" s="14">
        <f>ROUND(IF(Q171=1,INDEX(新属性投放!$E$14:$E$34,卡牌属性!R171),INDEX(新属性投放!$E$42:$E$62,卡牌属性!R171))*INDEX($G$5:$G$42,L171),2)</f>
        <v>783.8</v>
      </c>
      <c r="AC171" s="29" t="s">
        <v>179</v>
      </c>
      <c r="AD171" s="14">
        <f>ROUND(IF(Q171=1,INDEX(新属性投放!$F$14:$F$34,卡牌属性!R171),INDEX(新属性投放!$F$42:$F$62,卡牌属性!R171))*INDEX($G$5:$G$42,L171)*SQRT(INDEX($I$5:$I$42,L171)),2)</f>
        <v>4702.7700000000004</v>
      </c>
      <c r="AF171" s="14">
        <f t="shared" si="45"/>
        <v>15675</v>
      </c>
      <c r="AG171" s="14">
        <f t="shared" si="46"/>
        <v>7838</v>
      </c>
      <c r="AH171" s="14">
        <f t="shared" si="47"/>
        <v>47027</v>
      </c>
      <c r="AJ171" s="14">
        <f t="shared" si="48"/>
        <v>65812</v>
      </c>
      <c r="AK171" s="14">
        <f t="shared" si="49"/>
        <v>32904</v>
      </c>
      <c r="AL171" s="14">
        <f t="shared" si="50"/>
        <v>197447</v>
      </c>
    </row>
    <row r="172" spans="11:38" ht="16.5" x14ac:dyDescent="0.2">
      <c r="K172" s="13">
        <v>169</v>
      </c>
      <c r="L172" s="13">
        <f t="shared" si="39"/>
        <v>9</v>
      </c>
      <c r="M172" s="13">
        <f t="shared" si="40"/>
        <v>3</v>
      </c>
      <c r="N172" s="14">
        <f t="shared" si="41"/>
        <v>1101009</v>
      </c>
      <c r="O172" s="14" t="str">
        <f t="shared" si="42"/>
        <v>北落师门1突</v>
      </c>
      <c r="P172" s="29" t="s">
        <v>341</v>
      </c>
      <c r="Q172" s="14">
        <f t="shared" si="43"/>
        <v>1</v>
      </c>
      <c r="R172" s="14">
        <f t="shared" si="44"/>
        <v>1</v>
      </c>
      <c r="S172" s="14" t="s">
        <v>39</v>
      </c>
      <c r="T172" s="14">
        <f>ROUND(((IF(Q172=1,INDEX(新属性投放!$J$14:$J$34,卡牌属性!R172),INDEX(新属性投放!$J$42:$J$62,卡牌属性!R172)))*INDEX($G$5:$G$42,L172)+IF(Q172=1,INDEX(新属性投放!R$20:R$23,卡牌属性!M172-1),INDEX(新属性投放!R$25:R$28,卡牌属性!M172-1)))/SQRT(INDEX($I$5:$I$42,L172)),2)</f>
        <v>157.5</v>
      </c>
      <c r="U172" s="29" t="s">
        <v>178</v>
      </c>
      <c r="V172" s="14">
        <f>ROUND((IF(Q172=1,INDEX(新属性投放!$K$14:$K$34,卡牌属性!R172),INDEX(新属性投放!$K$42:$K$62,卡牌属性!R172))+IF(Q172=1,INDEX(新属性投放!S$20:S$23,卡牌属性!M172-1),INDEX(新属性投放!S$25:S$28,卡牌属性!M172-1)))*INDEX($G$5:$G$42,L172),2)</f>
        <v>0</v>
      </c>
      <c r="W172" s="29" t="s">
        <v>179</v>
      </c>
      <c r="X172" s="14">
        <f>ROUND((IF(Q172=1,INDEX(新属性投放!$L$14:$L$34,卡牌属性!R172),INDEX(新属性投放!$L$42:$L$62,卡牌属性!R172))*INDEX($G$5:$G$42,L172)+IF(Q172=1,INDEX(新属性投放!T$20:T$23,卡牌属性!M172-1),INDEX(新属性投放!T$25:T$28,卡牌属性!M172-1)))*SQRT(INDEX($I$5:$I$42,L172)),2)</f>
        <v>1037.5</v>
      </c>
      <c r="Y172" s="29" t="s">
        <v>177</v>
      </c>
      <c r="Z172" s="14">
        <f>ROUND(IF(Q172=1,INDEX(新属性投放!$D$14:$D$34,卡牌属性!R172),INDEX(新属性投放!$D$42:$D$62,卡牌属性!R172))*INDEX($G$5:$G$42,L172)/SQRT(INDEX($I$5:$I$42,L172)),2)</f>
        <v>11.5</v>
      </c>
      <c r="AA172" s="29" t="s">
        <v>178</v>
      </c>
      <c r="AB172" s="14">
        <f>ROUND(IF(Q172=1,INDEX(新属性投放!$E$14:$E$34,卡牌属性!R172),INDEX(新属性投放!$E$42:$E$62,卡牌属性!R172))*INDEX($G$5:$G$42,L172),2)</f>
        <v>5.75</v>
      </c>
      <c r="AC172" s="29" t="s">
        <v>179</v>
      </c>
      <c r="AD172" s="14">
        <f>ROUND(IF(Q172=1,INDEX(新属性投放!$F$14:$F$34,卡牌属性!R172),INDEX(新属性投放!$F$42:$F$62,卡牌属性!R172))*INDEX($G$5:$G$42,L172)*SQRT(INDEX($I$5:$I$42,L172)),2)</f>
        <v>34.5</v>
      </c>
      <c r="AF172" s="14">
        <f t="shared" si="45"/>
        <v>115</v>
      </c>
      <c r="AG172" s="14">
        <f t="shared" si="46"/>
        <v>57</v>
      </c>
      <c r="AH172" s="14">
        <f t="shared" si="47"/>
        <v>345</v>
      </c>
      <c r="AJ172" s="14">
        <f>AF172</f>
        <v>115</v>
      </c>
      <c r="AK172" s="14">
        <f>AG172</f>
        <v>57</v>
      </c>
      <c r="AL172" s="14">
        <f>AH172</f>
        <v>345</v>
      </c>
    </row>
    <row r="173" spans="11:38" ht="16.5" x14ac:dyDescent="0.2">
      <c r="K173" s="13">
        <v>170</v>
      </c>
      <c r="L173" s="13">
        <f t="shared" si="39"/>
        <v>9</v>
      </c>
      <c r="M173" s="13">
        <f t="shared" si="40"/>
        <v>3</v>
      </c>
      <c r="N173" s="14">
        <f t="shared" si="41"/>
        <v>1101009</v>
      </c>
      <c r="O173" s="14" t="str">
        <f t="shared" si="42"/>
        <v>北落师门2突</v>
      </c>
      <c r="P173" s="29" t="s">
        <v>341</v>
      </c>
      <c r="Q173" s="14">
        <f t="shared" si="43"/>
        <v>1</v>
      </c>
      <c r="R173" s="14">
        <f t="shared" si="44"/>
        <v>2</v>
      </c>
      <c r="S173" s="14" t="s">
        <v>39</v>
      </c>
      <c r="T173" s="14">
        <f>ROUND(((IF(Q173=1,INDEX(新属性投放!$J$14:$J$34,卡牌属性!R173),INDEX(新属性投放!$J$42:$J$62,卡牌属性!R173)))*INDEX($G$5:$G$42,L173)+IF(Q173=1,INDEX(新属性投放!R$20:R$23,卡牌属性!M173-1),INDEX(新属性投放!R$25:R$28,卡牌属性!M173-1)))/SQRT(INDEX($I$5:$I$42,L173)),2)</f>
        <v>272.5</v>
      </c>
      <c r="U173" s="29" t="s">
        <v>178</v>
      </c>
      <c r="V173" s="14">
        <f>ROUND((IF(Q173=1,INDEX(新属性投放!$K$14:$K$34,卡牌属性!R173),INDEX(新属性投放!$K$42:$K$62,卡牌属性!R173))+IF(Q173=1,INDEX(新属性投放!S$20:S$23,卡牌属性!M173-1),INDEX(新属性投放!S$25:S$28,卡牌属性!M173-1)))*INDEX($G$5:$G$42,L173),2)</f>
        <v>64.400000000000006</v>
      </c>
      <c r="W173" s="29" t="s">
        <v>179</v>
      </c>
      <c r="X173" s="14">
        <f>ROUND((IF(Q173=1,INDEX(新属性投放!$L$14:$L$34,卡牌属性!R173),INDEX(新属性投放!$L$42:$L$62,卡牌属性!R173))*INDEX($G$5:$G$42,L173)+IF(Q173=1,INDEX(新属性投放!T$20:T$23,卡牌属性!M173-1),INDEX(新属性投放!T$25:T$28,卡牌属性!M173-1)))*SQRT(INDEX($I$5:$I$42,L173)),2)</f>
        <v>1382.5</v>
      </c>
      <c r="Y173" s="29" t="s">
        <v>177</v>
      </c>
      <c r="Z173" s="14">
        <f>ROUND(IF(Q173=1,INDEX(新属性投放!$D$14:$D$34,卡牌属性!R173),INDEX(新属性投放!$D$42:$D$62,卡牌属性!R173))*INDEX($G$5:$G$42,L173)/SQRT(INDEX($I$5:$I$42,L173)),2)</f>
        <v>11.5</v>
      </c>
      <c r="AA173" s="29" t="s">
        <v>178</v>
      </c>
      <c r="AB173" s="14">
        <f>ROUND(IF(Q173=1,INDEX(新属性投放!$E$14:$E$34,卡牌属性!R173),INDEX(新属性投放!$E$42:$E$62,卡牌属性!R173))*INDEX($G$5:$G$42,L173),2)</f>
        <v>5.75</v>
      </c>
      <c r="AC173" s="29" t="s">
        <v>179</v>
      </c>
      <c r="AD173" s="14">
        <f>ROUND(IF(Q173=1,INDEX(新属性投放!$F$14:$F$34,卡牌属性!R173),INDEX(新属性投放!$F$42:$F$62,卡牌属性!R173))*INDEX($G$5:$G$42,L173)*SQRT(INDEX($I$5:$I$42,L173)),2)</f>
        <v>34.5</v>
      </c>
      <c r="AF173" s="14">
        <f t="shared" si="45"/>
        <v>115</v>
      </c>
      <c r="AG173" s="14">
        <f t="shared" si="46"/>
        <v>57</v>
      </c>
      <c r="AH173" s="14">
        <f t="shared" si="47"/>
        <v>345</v>
      </c>
      <c r="AJ173" s="14">
        <f t="shared" ref="AJ173:AJ192" si="51">AJ172+AF173</f>
        <v>230</v>
      </c>
      <c r="AK173" s="14">
        <f t="shared" ref="AK173:AK192" si="52">AK172+AG173</f>
        <v>114</v>
      </c>
      <c r="AL173" s="14">
        <f t="shared" ref="AL173:AL192" si="53">AL172+AH173</f>
        <v>690</v>
      </c>
    </row>
    <row r="174" spans="11:38" ht="16.5" x14ac:dyDescent="0.2">
      <c r="K174" s="13">
        <v>171</v>
      </c>
      <c r="L174" s="13">
        <f t="shared" si="39"/>
        <v>9</v>
      </c>
      <c r="M174" s="13">
        <f t="shared" si="40"/>
        <v>3</v>
      </c>
      <c r="N174" s="14">
        <f t="shared" si="41"/>
        <v>1101009</v>
      </c>
      <c r="O174" s="14" t="str">
        <f t="shared" si="42"/>
        <v>北落师门3突</v>
      </c>
      <c r="P174" s="29" t="s">
        <v>341</v>
      </c>
      <c r="Q174" s="14">
        <f t="shared" si="43"/>
        <v>1</v>
      </c>
      <c r="R174" s="14">
        <f t="shared" si="44"/>
        <v>3</v>
      </c>
      <c r="S174" s="14" t="s">
        <v>39</v>
      </c>
      <c r="T174" s="14">
        <f>ROUND(((IF(Q174=1,INDEX(新属性投放!$J$14:$J$34,卡牌属性!R174),INDEX(新属性投放!$J$42:$J$62,卡牌属性!R174)))*INDEX($G$5:$G$42,L174)+IF(Q174=1,INDEX(新属性投放!R$20:R$23,卡牌属性!M174-1),INDEX(新属性投放!R$25:R$28,卡牌属性!M174-1)))/SQRT(INDEX($I$5:$I$42,L174)),2)</f>
        <v>416.25</v>
      </c>
      <c r="U174" s="29" t="s">
        <v>178</v>
      </c>
      <c r="V174" s="14">
        <f>ROUND((IF(Q174=1,INDEX(新属性投放!$K$14:$K$34,卡牌属性!R174),INDEX(新属性投放!$K$42:$K$62,卡牌属性!R174))+IF(Q174=1,INDEX(新属性投放!S$20:S$23,卡牌属性!M174-1),INDEX(新属性投放!S$25:S$28,卡牌属性!M174-1)))*INDEX($G$5:$G$42,L174),2)</f>
        <v>136.85</v>
      </c>
      <c r="W174" s="29" t="s">
        <v>179</v>
      </c>
      <c r="X174" s="14">
        <f>ROUND((IF(Q174=1,INDEX(新属性投放!$L$14:$L$34,卡牌属性!R174),INDEX(新属性投放!$L$42:$L$62,卡牌属性!R174))*INDEX($G$5:$G$42,L174)+IF(Q174=1,INDEX(新属性投放!T$20:T$23,卡牌属性!M174-1),INDEX(新属性投放!T$25:T$28,卡牌属性!M174-1)))*SQRT(INDEX($I$5:$I$42,L174)),2)</f>
        <v>1813.75</v>
      </c>
      <c r="Y174" s="29" t="s">
        <v>177</v>
      </c>
      <c r="Z174" s="14">
        <f>ROUND(IF(Q174=1,INDEX(新属性投放!$D$14:$D$34,卡牌属性!R174),INDEX(新属性投放!$D$42:$D$62,卡牌属性!R174))*INDEX($G$5:$G$42,L174)/SQRT(INDEX($I$5:$I$42,L174)),2)</f>
        <v>17.25</v>
      </c>
      <c r="AA174" s="29" t="s">
        <v>178</v>
      </c>
      <c r="AB174" s="14">
        <f>ROUND(IF(Q174=1,INDEX(新属性投放!$E$14:$E$34,卡牌属性!R174),INDEX(新属性投放!$E$42:$E$62,卡牌属性!R174))*INDEX($G$5:$G$42,L174),2)</f>
        <v>8.6300000000000008</v>
      </c>
      <c r="AC174" s="29" t="s">
        <v>179</v>
      </c>
      <c r="AD174" s="14">
        <f>ROUND(IF(Q174=1,INDEX(新属性投放!$F$14:$F$34,卡牌属性!R174),INDEX(新属性投放!$F$42:$F$62,卡牌属性!R174))*INDEX($G$5:$G$42,L174)*SQRT(INDEX($I$5:$I$42,L174)),2)</f>
        <v>51.75</v>
      </c>
      <c r="AF174" s="14">
        <f t="shared" si="45"/>
        <v>172</v>
      </c>
      <c r="AG174" s="14">
        <f t="shared" si="46"/>
        <v>86</v>
      </c>
      <c r="AH174" s="14">
        <f t="shared" si="47"/>
        <v>517</v>
      </c>
      <c r="AJ174" s="14">
        <f t="shared" si="51"/>
        <v>402</v>
      </c>
      <c r="AK174" s="14">
        <f t="shared" si="52"/>
        <v>200</v>
      </c>
      <c r="AL174" s="14">
        <f t="shared" si="53"/>
        <v>1207</v>
      </c>
    </row>
    <row r="175" spans="11:38" ht="16.5" x14ac:dyDescent="0.2">
      <c r="K175" s="13">
        <v>172</v>
      </c>
      <c r="L175" s="13">
        <f t="shared" si="39"/>
        <v>9</v>
      </c>
      <c r="M175" s="13">
        <f t="shared" si="40"/>
        <v>3</v>
      </c>
      <c r="N175" s="14">
        <f t="shared" si="41"/>
        <v>1101009</v>
      </c>
      <c r="O175" s="14" t="str">
        <f t="shared" si="42"/>
        <v>北落师门4突</v>
      </c>
      <c r="P175" s="29" t="s">
        <v>341</v>
      </c>
      <c r="Q175" s="14">
        <f t="shared" si="43"/>
        <v>1</v>
      </c>
      <c r="R175" s="14">
        <f t="shared" si="44"/>
        <v>4</v>
      </c>
      <c r="S175" s="14" t="s">
        <v>39</v>
      </c>
      <c r="T175" s="14">
        <f>ROUND(((IF(Q175=1,INDEX(新属性投放!$J$14:$J$34,卡牌属性!R175),INDEX(新属性投放!$J$42:$J$62,卡牌属性!R175)))*INDEX($G$5:$G$42,L175)+IF(Q175=1,INDEX(新属性投放!R$20:R$23,卡牌属性!M175-1),INDEX(新属性投放!R$25:R$28,卡牌属性!M175-1)))/SQRT(INDEX($I$5:$I$42,L175)),2)</f>
        <v>632.45000000000005</v>
      </c>
      <c r="U175" s="29" t="s">
        <v>178</v>
      </c>
      <c r="V175" s="14">
        <f>ROUND((IF(Q175=1,INDEX(新属性投放!$K$14:$K$34,卡牌属性!R175),INDEX(新属性投放!$K$42:$K$62,卡牌属性!R175))+IF(Q175=1,INDEX(新属性投放!S$20:S$23,卡牌属性!M175-1),INDEX(新属性投放!S$25:S$28,卡牌属性!M175-1)))*INDEX($G$5:$G$42,L175),2)</f>
        <v>244.95</v>
      </c>
      <c r="W175" s="29" t="s">
        <v>179</v>
      </c>
      <c r="X175" s="14">
        <f>ROUND((IF(Q175=1,INDEX(新属性投放!$L$14:$L$34,卡牌属性!R175),INDEX(新属性投放!$L$42:$L$62,卡牌属性!R175))*INDEX($G$5:$G$42,L175)+IF(Q175=1,INDEX(新属性投放!T$20:T$23,卡牌属性!M175-1),INDEX(新属性投放!T$25:T$28,卡牌属性!M175-1)))*SQRT(INDEX($I$5:$I$42,L175)),2)</f>
        <v>2462.35</v>
      </c>
      <c r="Y175" s="29" t="s">
        <v>177</v>
      </c>
      <c r="Z175" s="14">
        <f>ROUND(IF(Q175=1,INDEX(新属性投放!$D$14:$D$34,卡牌属性!R175),INDEX(新属性投放!$D$42:$D$62,卡牌属性!R175))*INDEX($G$5:$G$42,L175)/SQRT(INDEX($I$5:$I$42,L175)),2)</f>
        <v>23</v>
      </c>
      <c r="AA175" s="29" t="s">
        <v>178</v>
      </c>
      <c r="AB175" s="14">
        <f>ROUND(IF(Q175=1,INDEX(新属性投放!$E$14:$E$34,卡牌属性!R175),INDEX(新属性投放!$E$42:$E$62,卡牌属性!R175))*INDEX($G$5:$G$42,L175),2)</f>
        <v>11.5</v>
      </c>
      <c r="AC175" s="29" t="s">
        <v>179</v>
      </c>
      <c r="AD175" s="14">
        <f>ROUND(IF(Q175=1,INDEX(新属性投放!$F$14:$F$34,卡牌属性!R175),INDEX(新属性投放!$F$42:$F$62,卡牌属性!R175))*INDEX($G$5:$G$42,L175)*SQRT(INDEX($I$5:$I$42,L175)),2)</f>
        <v>69</v>
      </c>
      <c r="AF175" s="14">
        <f t="shared" si="45"/>
        <v>230</v>
      </c>
      <c r="AG175" s="14">
        <f t="shared" si="46"/>
        <v>115</v>
      </c>
      <c r="AH175" s="14">
        <f t="shared" si="47"/>
        <v>690</v>
      </c>
      <c r="AJ175" s="14">
        <f t="shared" si="51"/>
        <v>632</v>
      </c>
      <c r="AK175" s="14">
        <f t="shared" si="52"/>
        <v>315</v>
      </c>
      <c r="AL175" s="14">
        <f t="shared" si="53"/>
        <v>1897</v>
      </c>
    </row>
    <row r="176" spans="11:38" ht="16.5" x14ac:dyDescent="0.2">
      <c r="K176" s="13">
        <v>173</v>
      </c>
      <c r="L176" s="13">
        <f t="shared" si="39"/>
        <v>9</v>
      </c>
      <c r="M176" s="13">
        <f t="shared" si="40"/>
        <v>3</v>
      </c>
      <c r="N176" s="14">
        <f t="shared" si="41"/>
        <v>1101009</v>
      </c>
      <c r="O176" s="14" t="str">
        <f t="shared" si="42"/>
        <v>北落师门5突</v>
      </c>
      <c r="P176" s="29" t="s">
        <v>341</v>
      </c>
      <c r="Q176" s="14">
        <f t="shared" si="43"/>
        <v>1</v>
      </c>
      <c r="R176" s="14">
        <f t="shared" si="44"/>
        <v>5</v>
      </c>
      <c r="S176" s="14" t="s">
        <v>39</v>
      </c>
      <c r="T176" s="14">
        <f>ROUND(((IF(Q176=1,INDEX(新属性投放!$J$14:$J$34,卡牌属性!R176),INDEX(新属性投放!$J$42:$J$62,卡牌属性!R176)))*INDEX($G$5:$G$42,L176)+IF(Q176=1,INDEX(新属性投放!R$20:R$23,卡牌属性!M176-1),INDEX(新属性投放!R$25:R$28,卡牌属性!M176-1)))/SQRT(INDEX($I$5:$I$42,L176)),2)</f>
        <v>919.95</v>
      </c>
      <c r="U176" s="29" t="s">
        <v>178</v>
      </c>
      <c r="V176" s="14">
        <f>ROUND((IF(Q176=1,INDEX(新属性投放!$K$14:$K$34,卡牌属性!R176),INDEX(新属性投放!$K$42:$K$62,卡牌属性!R176))+IF(Q176=1,INDEX(新属性投放!S$20:S$23,卡牌属性!M176-1),INDEX(新属性投放!S$25:S$28,卡牌属性!M176-1)))*INDEX($G$5:$G$42,L176),2)</f>
        <v>388.7</v>
      </c>
      <c r="W176" s="29" t="s">
        <v>179</v>
      </c>
      <c r="X176" s="14">
        <f>ROUND((IF(Q176=1,INDEX(新属性投放!$L$14:$L$34,卡牌属性!R176),INDEX(新属性投放!$L$42:$L$62,卡牌属性!R176))*INDEX($G$5:$G$42,L176)+IF(Q176=1,INDEX(新属性投放!T$20:T$23,卡牌属性!M176-1),INDEX(新属性投放!T$25:T$28,卡牌属性!M176-1)))*SQRT(INDEX($I$5:$I$42,L176)),2)</f>
        <v>3324.85</v>
      </c>
      <c r="Y176" s="29" t="s">
        <v>177</v>
      </c>
      <c r="Z176" s="14">
        <f>ROUND(IF(Q176=1,INDEX(新属性投放!$D$14:$D$34,卡牌属性!R176),INDEX(新属性投放!$D$42:$D$62,卡牌属性!R176))*INDEX($G$5:$G$42,L176)/SQRT(INDEX($I$5:$I$42,L176)),2)</f>
        <v>28.75</v>
      </c>
      <c r="AA176" s="29" t="s">
        <v>178</v>
      </c>
      <c r="AB176" s="14">
        <f>ROUND(IF(Q176=1,INDEX(新属性投放!$E$14:$E$34,卡牌属性!R176),INDEX(新属性投放!$E$42:$E$62,卡牌属性!R176))*INDEX($G$5:$G$42,L176),2)</f>
        <v>14.38</v>
      </c>
      <c r="AC176" s="29" t="s">
        <v>179</v>
      </c>
      <c r="AD176" s="14">
        <f>ROUND(IF(Q176=1,INDEX(新属性投放!$F$14:$F$34,卡牌属性!R176),INDEX(新属性投放!$F$42:$F$62,卡牌属性!R176))*INDEX($G$5:$G$42,L176)*SQRT(INDEX($I$5:$I$42,L176)),2)</f>
        <v>86.25</v>
      </c>
      <c r="AF176" s="14">
        <f t="shared" si="45"/>
        <v>287</v>
      </c>
      <c r="AG176" s="14">
        <f t="shared" si="46"/>
        <v>143</v>
      </c>
      <c r="AH176" s="14">
        <f t="shared" si="47"/>
        <v>862</v>
      </c>
      <c r="AJ176" s="14">
        <f t="shared" si="51"/>
        <v>919</v>
      </c>
      <c r="AK176" s="14">
        <f t="shared" si="52"/>
        <v>458</v>
      </c>
      <c r="AL176" s="14">
        <f t="shared" si="53"/>
        <v>2759</v>
      </c>
    </row>
    <row r="177" spans="11:38" ht="16.5" x14ac:dyDescent="0.2">
      <c r="K177" s="13">
        <v>174</v>
      </c>
      <c r="L177" s="13">
        <f t="shared" si="39"/>
        <v>9</v>
      </c>
      <c r="M177" s="13">
        <f t="shared" si="40"/>
        <v>3</v>
      </c>
      <c r="N177" s="14">
        <f t="shared" si="41"/>
        <v>1101009</v>
      </c>
      <c r="O177" s="14" t="str">
        <f t="shared" si="42"/>
        <v>北落师门6突</v>
      </c>
      <c r="P177" s="29" t="s">
        <v>341</v>
      </c>
      <c r="Q177" s="14">
        <f t="shared" si="43"/>
        <v>1</v>
      </c>
      <c r="R177" s="14">
        <f t="shared" si="44"/>
        <v>6</v>
      </c>
      <c r="S177" s="14" t="s">
        <v>39</v>
      </c>
      <c r="T177" s="14">
        <f>ROUND(((IF(Q177=1,INDEX(新属性投放!$J$14:$J$34,卡牌属性!R177),INDEX(新属性投放!$J$42:$J$62,卡牌属性!R177)))*INDEX($G$5:$G$42,L177)+IF(Q177=1,INDEX(新属性投放!R$20:R$23,卡牌属性!M177-1),INDEX(新属性投放!R$25:R$28,卡牌属性!M177-1)))/SQRT(INDEX($I$5:$I$42,L177)),2)</f>
        <v>1279.9000000000001</v>
      </c>
      <c r="U177" s="29" t="s">
        <v>178</v>
      </c>
      <c r="V177" s="14">
        <f>ROUND((IF(Q177=1,INDEX(新属性投放!$K$14:$K$34,卡牌属性!R177),INDEX(新属性投放!$K$42:$K$62,卡牌属性!R177))+IF(Q177=1,INDEX(新属性投放!S$20:S$23,卡牌属性!M177-1),INDEX(新属性投放!S$25:S$28,卡牌属性!M177-1)))*INDEX($G$5:$G$42,L177),2)</f>
        <v>568.1</v>
      </c>
      <c r="W177" s="29" t="s">
        <v>179</v>
      </c>
      <c r="X177" s="14">
        <f>ROUND((IF(Q177=1,INDEX(新属性投放!$L$14:$L$34,卡牌属性!R177),INDEX(新属性投放!$L$42:$L$62,卡牌属性!R177))*INDEX($G$5:$G$42,L177)+IF(Q177=1,INDEX(新属性投放!T$20:T$23,卡牌属性!M177-1),INDEX(新属性投放!T$25:T$28,卡牌属性!M177-1)))*SQRT(INDEX($I$5:$I$42,L177)),2)</f>
        <v>4404.7</v>
      </c>
      <c r="Y177" s="29" t="s">
        <v>177</v>
      </c>
      <c r="Z177" s="14">
        <f>ROUND(IF(Q177=1,INDEX(新属性投放!$D$14:$D$34,卡牌属性!R177),INDEX(新属性投放!$D$42:$D$62,卡牌属性!R177))*INDEX($G$5:$G$42,L177)/SQRT(INDEX($I$5:$I$42,L177)),2)</f>
        <v>34.5</v>
      </c>
      <c r="AA177" s="29" t="s">
        <v>178</v>
      </c>
      <c r="AB177" s="14">
        <f>ROUND(IF(Q177=1,INDEX(新属性投放!$E$14:$E$34,卡牌属性!R177),INDEX(新属性投放!$E$42:$E$62,卡牌属性!R177))*INDEX($G$5:$G$42,L177),2)</f>
        <v>17.25</v>
      </c>
      <c r="AC177" s="29" t="s">
        <v>179</v>
      </c>
      <c r="AD177" s="14">
        <f>ROUND(IF(Q177=1,INDEX(新属性投放!$F$14:$F$34,卡牌属性!R177),INDEX(新属性投放!$F$42:$F$62,卡牌属性!R177))*INDEX($G$5:$G$42,L177)*SQRT(INDEX($I$5:$I$42,L177)),2)</f>
        <v>103.5</v>
      </c>
      <c r="AF177" s="14">
        <f t="shared" si="45"/>
        <v>345</v>
      </c>
      <c r="AG177" s="14">
        <f t="shared" si="46"/>
        <v>172</v>
      </c>
      <c r="AH177" s="14">
        <f t="shared" si="47"/>
        <v>1035</v>
      </c>
      <c r="AJ177" s="14">
        <f t="shared" si="51"/>
        <v>1264</v>
      </c>
      <c r="AK177" s="14">
        <f t="shared" si="52"/>
        <v>630</v>
      </c>
      <c r="AL177" s="14">
        <f t="shared" si="53"/>
        <v>3794</v>
      </c>
    </row>
    <row r="178" spans="11:38" ht="16.5" x14ac:dyDescent="0.2">
      <c r="K178" s="13">
        <v>175</v>
      </c>
      <c r="L178" s="13">
        <f t="shared" si="39"/>
        <v>9</v>
      </c>
      <c r="M178" s="13">
        <f t="shared" si="40"/>
        <v>3</v>
      </c>
      <c r="N178" s="14">
        <f t="shared" si="41"/>
        <v>1101009</v>
      </c>
      <c r="O178" s="14" t="str">
        <f t="shared" si="42"/>
        <v>北落师门7突</v>
      </c>
      <c r="P178" s="29" t="s">
        <v>341</v>
      </c>
      <c r="Q178" s="14">
        <f t="shared" si="43"/>
        <v>1</v>
      </c>
      <c r="R178" s="14">
        <f t="shared" si="44"/>
        <v>7</v>
      </c>
      <c r="S178" s="14" t="s">
        <v>39</v>
      </c>
      <c r="T178" s="14">
        <f>ROUND(((IF(Q178=1,INDEX(新属性投放!$J$14:$J$34,卡牌属性!R178),INDEX(新属性投放!$J$42:$J$62,卡牌属性!R178)))*INDEX($G$5:$G$42,L178)+IF(Q178=1,INDEX(新属性投放!R$20:R$23,卡牌属性!M178-1),INDEX(新属性投放!R$25:R$28,卡牌属性!M178-1)))/SQRT(INDEX($I$5:$I$42,L178)),2)</f>
        <v>1711.15</v>
      </c>
      <c r="U178" s="29" t="s">
        <v>178</v>
      </c>
      <c r="V178" s="14">
        <f>ROUND((IF(Q178=1,INDEX(新属性投放!$K$14:$K$34,卡牌属性!R178),INDEX(新属性投放!$K$42:$K$62,卡牌属性!R178))+IF(Q178=1,INDEX(新属性投放!S$20:S$23,卡牌属性!M178-1),INDEX(新属性投放!S$25:S$28,卡牌属性!M178-1)))*INDEX($G$5:$G$42,L178),2)</f>
        <v>784.3</v>
      </c>
      <c r="W178" s="29" t="s">
        <v>179</v>
      </c>
      <c r="X178" s="14">
        <f>ROUND((IF(Q178=1,INDEX(新属性投放!$L$14:$L$34,卡牌属性!R178),INDEX(新属性投放!$L$42:$L$62,卡牌属性!R178))*INDEX($G$5:$G$42,L178)+IF(Q178=1,INDEX(新属性投放!T$20:T$23,卡牌属性!M178-1),INDEX(新属性投放!T$25:T$28,卡牌属性!M178-1)))*SQRT(INDEX($I$5:$I$42,L178)),2)</f>
        <v>5698.45</v>
      </c>
      <c r="Y178" s="29" t="s">
        <v>177</v>
      </c>
      <c r="Z178" s="14">
        <f>ROUND(IF(Q178=1,INDEX(新属性投放!$D$14:$D$34,卡牌属性!R178),INDEX(新属性投放!$D$42:$D$62,卡牌属性!R178))*INDEX($G$5:$G$42,L178)/SQRT(INDEX($I$5:$I$42,L178)),2)</f>
        <v>40.25</v>
      </c>
      <c r="AA178" s="29" t="s">
        <v>178</v>
      </c>
      <c r="AB178" s="14">
        <f>ROUND(IF(Q178=1,INDEX(新属性投放!$E$14:$E$34,卡牌属性!R178),INDEX(新属性投放!$E$42:$E$62,卡牌属性!R178))*INDEX($G$5:$G$42,L178),2)</f>
        <v>20.13</v>
      </c>
      <c r="AC178" s="29" t="s">
        <v>179</v>
      </c>
      <c r="AD178" s="14">
        <f>ROUND(IF(Q178=1,INDEX(新属性投放!$F$14:$F$34,卡牌属性!R178),INDEX(新属性投放!$F$42:$F$62,卡牌属性!R178))*INDEX($G$5:$G$42,L178)*SQRT(INDEX($I$5:$I$42,L178)),2)</f>
        <v>120.75</v>
      </c>
      <c r="AF178" s="14">
        <f t="shared" si="45"/>
        <v>402</v>
      </c>
      <c r="AG178" s="14">
        <f t="shared" si="46"/>
        <v>201</v>
      </c>
      <c r="AH178" s="14">
        <f t="shared" si="47"/>
        <v>1207</v>
      </c>
      <c r="AJ178" s="14">
        <f t="shared" si="51"/>
        <v>1666</v>
      </c>
      <c r="AK178" s="14">
        <f t="shared" si="52"/>
        <v>831</v>
      </c>
      <c r="AL178" s="14">
        <f t="shared" si="53"/>
        <v>5001</v>
      </c>
    </row>
    <row r="179" spans="11:38" ht="16.5" x14ac:dyDescent="0.2">
      <c r="K179" s="13">
        <v>176</v>
      </c>
      <c r="L179" s="13">
        <f t="shared" si="39"/>
        <v>9</v>
      </c>
      <c r="M179" s="13">
        <f t="shared" si="40"/>
        <v>3</v>
      </c>
      <c r="N179" s="14">
        <f t="shared" si="41"/>
        <v>1101009</v>
      </c>
      <c r="O179" s="14" t="str">
        <f t="shared" si="42"/>
        <v>北落师门8突</v>
      </c>
      <c r="P179" s="29" t="s">
        <v>341</v>
      </c>
      <c r="Q179" s="14">
        <f t="shared" si="43"/>
        <v>1</v>
      </c>
      <c r="R179" s="14">
        <f t="shared" si="44"/>
        <v>8</v>
      </c>
      <c r="S179" s="14" t="s">
        <v>39</v>
      </c>
      <c r="T179" s="14">
        <f>ROUND(((IF(Q179=1,INDEX(新属性投放!$J$14:$J$34,卡牌属性!R179),INDEX(新属性投放!$J$42:$J$62,卡牌属性!R179)))*INDEX($G$5:$G$42,L179)+IF(Q179=1,INDEX(新属性投放!R$20:R$23,卡牌属性!M179-1),INDEX(新属性投放!R$25:R$28,卡牌属性!M179-1)))/SQRT(INDEX($I$5:$I$42,L179)),2)</f>
        <v>2214.85</v>
      </c>
      <c r="U179" s="29" t="s">
        <v>178</v>
      </c>
      <c r="V179" s="14">
        <f>ROUND((IF(Q179=1,INDEX(新属性投放!$K$14:$K$34,卡牌属性!R179),INDEX(新属性投放!$K$42:$K$62,卡牌属性!R179))+IF(Q179=1,INDEX(新属性投放!S$20:S$23,卡牌属性!M179-1),INDEX(新属性投放!S$25:S$28,卡牌属性!M179-1)))*INDEX($G$5:$G$42,L179),2)</f>
        <v>1036.1500000000001</v>
      </c>
      <c r="W179" s="29" t="s">
        <v>179</v>
      </c>
      <c r="X179" s="14">
        <f>ROUND((IF(Q179=1,INDEX(新属性投放!$L$14:$L$34,卡牌属性!R179),INDEX(新属性投放!$L$42:$L$62,卡牌属性!R179))*INDEX($G$5:$G$42,L179)+IF(Q179=1,INDEX(新属性投放!T$20:T$23,卡牌属性!M179-1),INDEX(新属性投放!T$25:T$28,卡牌属性!M179-1)))*SQRT(INDEX($I$5:$I$42,L179)),2)</f>
        <v>7209.55</v>
      </c>
      <c r="Y179" s="29" t="s">
        <v>177</v>
      </c>
      <c r="Z179" s="14">
        <f>ROUND(IF(Q179=1,INDEX(新属性投放!$D$14:$D$34,卡牌属性!R179),INDEX(新属性投放!$D$42:$D$62,卡牌属性!R179))*INDEX($G$5:$G$42,L179)/SQRT(INDEX($I$5:$I$42,L179)),2)</f>
        <v>51.75</v>
      </c>
      <c r="AA179" s="29" t="s">
        <v>178</v>
      </c>
      <c r="AB179" s="14">
        <f>ROUND(IF(Q179=1,INDEX(新属性投放!$E$14:$E$34,卡牌属性!R179),INDEX(新属性投放!$E$42:$E$62,卡牌属性!R179))*INDEX($G$5:$G$42,L179),2)</f>
        <v>25.88</v>
      </c>
      <c r="AC179" s="29" t="s">
        <v>179</v>
      </c>
      <c r="AD179" s="14">
        <f>ROUND(IF(Q179=1,INDEX(新属性投放!$F$14:$F$34,卡牌属性!R179),INDEX(新属性投放!$F$42:$F$62,卡牌属性!R179))*INDEX($G$5:$G$42,L179)*SQRT(INDEX($I$5:$I$42,L179)),2)</f>
        <v>155.25</v>
      </c>
      <c r="AF179" s="14">
        <f t="shared" si="45"/>
        <v>517</v>
      </c>
      <c r="AG179" s="14">
        <f t="shared" si="46"/>
        <v>258</v>
      </c>
      <c r="AH179" s="14">
        <f t="shared" si="47"/>
        <v>1552</v>
      </c>
      <c r="AJ179" s="14">
        <f t="shared" si="51"/>
        <v>2183</v>
      </c>
      <c r="AK179" s="14">
        <f t="shared" si="52"/>
        <v>1089</v>
      </c>
      <c r="AL179" s="14">
        <f t="shared" si="53"/>
        <v>6553</v>
      </c>
    </row>
    <row r="180" spans="11:38" ht="16.5" x14ac:dyDescent="0.2">
      <c r="K180" s="13">
        <v>177</v>
      </c>
      <c r="L180" s="13">
        <f t="shared" si="39"/>
        <v>9</v>
      </c>
      <c r="M180" s="13">
        <f t="shared" si="40"/>
        <v>3</v>
      </c>
      <c r="N180" s="14">
        <f t="shared" si="41"/>
        <v>1101009</v>
      </c>
      <c r="O180" s="14" t="str">
        <f t="shared" si="42"/>
        <v>北落师门9突</v>
      </c>
      <c r="P180" s="29" t="s">
        <v>341</v>
      </c>
      <c r="Q180" s="14">
        <f t="shared" si="43"/>
        <v>1</v>
      </c>
      <c r="R180" s="14">
        <f t="shared" si="44"/>
        <v>9</v>
      </c>
      <c r="S180" s="14" t="s">
        <v>39</v>
      </c>
      <c r="T180" s="14">
        <f>ROUND(((IF(Q180=1,INDEX(新属性投放!$J$14:$J$34,卡牌属性!R180),INDEX(新属性投放!$J$42:$J$62,卡牌属性!R180)))*INDEX($G$5:$G$42,L180)+IF(Q180=1,INDEX(新属性投放!R$20:R$23,卡牌属性!M180-1),INDEX(新属性投放!R$25:R$28,卡牌属性!M180-1)))/SQRT(INDEX($I$5:$I$42,L180)),2)</f>
        <v>2862.3</v>
      </c>
      <c r="U180" s="29" t="s">
        <v>178</v>
      </c>
      <c r="V180" s="14">
        <f>ROUND((IF(Q180=1,INDEX(新属性投放!$K$14:$K$34,卡牌属性!R180),INDEX(新属性投放!$K$42:$K$62,卡牌属性!R180))+IF(Q180=1,INDEX(新属性投放!S$20:S$23,卡牌属性!M180-1),INDEX(新属性投放!S$25:S$28,卡牌属性!M180-1)))*INDEX($G$5:$G$42,L180),2)</f>
        <v>1359.3</v>
      </c>
      <c r="W180" s="29" t="s">
        <v>179</v>
      </c>
      <c r="X180" s="14">
        <f>ROUND((IF(Q180=1,INDEX(新属性投放!$L$14:$L$34,卡牌属性!R180),INDEX(新属性投放!$L$42:$L$62,卡牌属性!R180))*INDEX($G$5:$G$42,L180)+IF(Q180=1,INDEX(新属性投放!T$20:T$23,卡牌属性!M180-1),INDEX(新属性投放!T$25:T$28,卡牌属性!M180-1)))*SQRT(INDEX($I$5:$I$42,L180)),2)</f>
        <v>9151.9</v>
      </c>
      <c r="Y180" s="29" t="s">
        <v>177</v>
      </c>
      <c r="Z180" s="14">
        <f>ROUND(IF(Q180=1,INDEX(新属性投放!$D$14:$D$34,卡牌属性!R180),INDEX(新属性投放!$D$42:$D$62,卡牌属性!R180))*INDEX($G$5:$G$42,L180)/SQRT(INDEX($I$5:$I$42,L180)),2)</f>
        <v>69.06</v>
      </c>
      <c r="AA180" s="29" t="s">
        <v>178</v>
      </c>
      <c r="AB180" s="14">
        <f>ROUND(IF(Q180=1,INDEX(新属性投放!$E$14:$E$34,卡牌属性!R180),INDEX(新属性投放!$E$42:$E$62,卡牌属性!R180))*INDEX($G$5:$G$42,L180),2)</f>
        <v>34.53</v>
      </c>
      <c r="AC180" s="29" t="s">
        <v>179</v>
      </c>
      <c r="AD180" s="14">
        <f>ROUND(IF(Q180=1,INDEX(新属性投放!$F$14:$F$34,卡牌属性!R180),INDEX(新属性投放!$F$42:$F$62,卡牌属性!R180))*INDEX($G$5:$G$42,L180)*SQRT(INDEX($I$5:$I$42,L180)),2)</f>
        <v>207.17</v>
      </c>
      <c r="AF180" s="14">
        <f t="shared" si="45"/>
        <v>690</v>
      </c>
      <c r="AG180" s="14">
        <f t="shared" si="46"/>
        <v>345</v>
      </c>
      <c r="AH180" s="14">
        <f t="shared" si="47"/>
        <v>2071</v>
      </c>
      <c r="AJ180" s="14">
        <f t="shared" si="51"/>
        <v>2873</v>
      </c>
      <c r="AK180" s="14">
        <f t="shared" si="52"/>
        <v>1434</v>
      </c>
      <c r="AL180" s="14">
        <f t="shared" si="53"/>
        <v>8624</v>
      </c>
    </row>
    <row r="181" spans="11:38" ht="16.5" x14ac:dyDescent="0.2">
      <c r="K181" s="13">
        <v>178</v>
      </c>
      <c r="L181" s="13">
        <f t="shared" si="39"/>
        <v>9</v>
      </c>
      <c r="M181" s="13">
        <f t="shared" si="40"/>
        <v>3</v>
      </c>
      <c r="N181" s="14">
        <f t="shared" si="41"/>
        <v>1101009</v>
      </c>
      <c r="O181" s="14" t="str">
        <f t="shared" si="42"/>
        <v>北落师门10突</v>
      </c>
      <c r="P181" s="29" t="s">
        <v>341</v>
      </c>
      <c r="Q181" s="14">
        <f t="shared" si="43"/>
        <v>1</v>
      </c>
      <c r="R181" s="14">
        <f t="shared" si="44"/>
        <v>10</v>
      </c>
      <c r="S181" s="14" t="s">
        <v>39</v>
      </c>
      <c r="T181" s="14">
        <f>ROUND(((IF(Q181=1,INDEX(新属性投放!$J$14:$J$34,卡牌属性!R181),INDEX(新属性投放!$J$42:$J$62,卡牌属性!R181)))*INDEX($G$5:$G$42,L181)+IF(Q181=1,INDEX(新属性投放!R$20:R$23,卡牌属性!M181-1),INDEX(新属性投放!R$25:R$28,卡牌属性!M181-1)))/SQRT(INDEX($I$5:$I$42,L181)),2)</f>
        <v>3725.38</v>
      </c>
      <c r="U181" s="29" t="s">
        <v>178</v>
      </c>
      <c r="V181" s="14">
        <f>ROUND((IF(Q181=1,INDEX(新属性投放!$K$14:$K$34,卡牌属性!R181),INDEX(新属性投放!$K$42:$K$62,卡牌属性!R181))+IF(Q181=1,INDEX(新属性投放!S$20:S$23,卡牌属性!M181-1),INDEX(新属性投放!S$25:S$28,卡牌属性!M181-1)))*INDEX($G$5:$G$42,L181),2)</f>
        <v>1790.84</v>
      </c>
      <c r="W181" s="29" t="s">
        <v>179</v>
      </c>
      <c r="X181" s="14">
        <f>ROUND((IF(Q181=1,INDEX(新属性投放!$L$14:$L$34,卡牌属性!R181),INDEX(新属性投放!$L$42:$L$62,卡牌属性!R181))*INDEX($G$5:$G$42,L181)+IF(Q181=1,INDEX(新属性投放!T$20:T$23,卡牌属性!M181-1),INDEX(新属性投放!T$25:T$28,卡牌属性!M181-1)))*SQRT(INDEX($I$5:$I$42,L181)),2)</f>
        <v>11741.13</v>
      </c>
      <c r="Y181" s="29" t="s">
        <v>177</v>
      </c>
      <c r="Z181" s="14">
        <f>ROUND(IF(Q181=1,INDEX(新属性投放!$D$14:$D$34,卡牌属性!R181),INDEX(新属性投放!$D$42:$D$62,卡牌属性!R181))*INDEX($G$5:$G$42,L181)/SQRT(INDEX($I$5:$I$42,L181)),2)</f>
        <v>90.28</v>
      </c>
      <c r="AA181" s="29" t="s">
        <v>178</v>
      </c>
      <c r="AB181" s="14">
        <f>ROUND(IF(Q181=1,INDEX(新属性投放!$E$14:$E$34,卡牌属性!R181),INDEX(新属性投放!$E$42:$E$62,卡牌属性!R181))*INDEX($G$5:$G$42,L181),2)</f>
        <v>45.14</v>
      </c>
      <c r="AC181" s="29" t="s">
        <v>179</v>
      </c>
      <c r="AD181" s="14">
        <f>ROUND(IF(Q181=1,INDEX(新属性投放!$F$14:$F$34,卡牌属性!R181),INDEX(新属性投放!$F$42:$F$62,卡牌属性!R181))*INDEX($G$5:$G$42,L181)*SQRT(INDEX($I$5:$I$42,L181)),2)</f>
        <v>270.83</v>
      </c>
      <c r="AF181" s="14">
        <f t="shared" si="45"/>
        <v>902</v>
      </c>
      <c r="AG181" s="14">
        <f t="shared" si="46"/>
        <v>451</v>
      </c>
      <c r="AH181" s="14">
        <f t="shared" si="47"/>
        <v>2708</v>
      </c>
      <c r="AJ181" s="14">
        <f t="shared" si="51"/>
        <v>3775</v>
      </c>
      <c r="AK181" s="14">
        <f t="shared" si="52"/>
        <v>1885</v>
      </c>
      <c r="AL181" s="14">
        <f t="shared" si="53"/>
        <v>11332</v>
      </c>
    </row>
    <row r="182" spans="11:38" ht="16.5" x14ac:dyDescent="0.2">
      <c r="K182" s="13">
        <v>179</v>
      </c>
      <c r="L182" s="13">
        <f t="shared" si="39"/>
        <v>9</v>
      </c>
      <c r="M182" s="13">
        <f t="shared" si="40"/>
        <v>3</v>
      </c>
      <c r="N182" s="14">
        <f t="shared" si="41"/>
        <v>1101009</v>
      </c>
      <c r="O182" s="14" t="str">
        <f t="shared" si="42"/>
        <v>北落师门11突</v>
      </c>
      <c r="P182" s="29" t="s">
        <v>341</v>
      </c>
      <c r="Q182" s="14">
        <f t="shared" si="43"/>
        <v>1</v>
      </c>
      <c r="R182" s="14">
        <f t="shared" si="44"/>
        <v>11</v>
      </c>
      <c r="S182" s="14" t="s">
        <v>39</v>
      </c>
      <c r="T182" s="14">
        <f>ROUND(((IF(Q182=1,INDEX(新属性投放!$J$14:$J$34,卡牌属性!R182),INDEX(新属性投放!$J$42:$J$62,卡牌属性!R182)))*INDEX($G$5:$G$42,L182)+IF(Q182=1,INDEX(新属性投放!R$20:R$23,卡牌属性!M182-1),INDEX(新属性投放!R$25:R$28,卡牌属性!M182-1)))/SQRT(INDEX($I$5:$I$42,L182)),2)</f>
        <v>4853.53</v>
      </c>
      <c r="U182" s="29" t="s">
        <v>178</v>
      </c>
      <c r="V182" s="14">
        <f>ROUND((IF(Q182=1,INDEX(新属性投放!$K$14:$K$34,卡牌属性!R182),INDEX(新属性投放!$K$42:$K$62,卡牌属性!R182))+IF(Q182=1,INDEX(新属性投放!S$20:S$23,卡牌属性!M182-1),INDEX(新属性投放!S$25:S$28,卡牌属性!M182-1)))*INDEX($G$5:$G$42,L182),2)</f>
        <v>2354.91</v>
      </c>
      <c r="W182" s="29" t="s">
        <v>179</v>
      </c>
      <c r="X182" s="14">
        <f>ROUND((IF(Q182=1,INDEX(新属性投放!$L$14:$L$34,卡牌属性!R182),INDEX(新属性投放!$L$42:$L$62,卡牌属性!R182))*INDEX($G$5:$G$42,L182)+IF(Q182=1,INDEX(新属性投放!T$20:T$23,卡牌属性!M182-1),INDEX(新属性投放!T$25:T$28,卡牌属性!M182-1)))*SQRT(INDEX($I$5:$I$42,L182)),2)</f>
        <v>15125.58</v>
      </c>
      <c r="Y182" s="29" t="s">
        <v>177</v>
      </c>
      <c r="Z182" s="14">
        <f>ROUND(IF(Q182=1,INDEX(新属性投放!$D$14:$D$34,卡牌属性!R182),INDEX(新属性投放!$D$42:$D$62,卡牌属性!R182))*INDEX($G$5:$G$42,L182)/SQRT(INDEX($I$5:$I$42,L182)),2)</f>
        <v>118.84</v>
      </c>
      <c r="AA182" s="29" t="s">
        <v>178</v>
      </c>
      <c r="AB182" s="14">
        <f>ROUND(IF(Q182=1,INDEX(新属性投放!$E$14:$E$34,卡牌属性!R182),INDEX(新属性投放!$E$42:$E$62,卡牌属性!R182))*INDEX($G$5:$G$42,L182),2)</f>
        <v>59.42</v>
      </c>
      <c r="AC182" s="29" t="s">
        <v>179</v>
      </c>
      <c r="AD182" s="14">
        <f>ROUND(IF(Q182=1,INDEX(新属性投放!$F$14:$F$34,卡牌属性!R182),INDEX(新属性投放!$F$42:$F$62,卡牌属性!R182))*INDEX($G$5:$G$42,L182)*SQRT(INDEX($I$5:$I$42,L182)),2)</f>
        <v>356.52</v>
      </c>
      <c r="AF182" s="14">
        <f t="shared" si="45"/>
        <v>1188</v>
      </c>
      <c r="AG182" s="14">
        <f t="shared" si="46"/>
        <v>594</v>
      </c>
      <c r="AH182" s="14">
        <f t="shared" si="47"/>
        <v>3565</v>
      </c>
      <c r="AJ182" s="14">
        <f t="shared" si="51"/>
        <v>4963</v>
      </c>
      <c r="AK182" s="14">
        <f t="shared" si="52"/>
        <v>2479</v>
      </c>
      <c r="AL182" s="14">
        <f t="shared" si="53"/>
        <v>14897</v>
      </c>
    </row>
    <row r="183" spans="11:38" ht="16.5" x14ac:dyDescent="0.2">
      <c r="K183" s="13">
        <v>180</v>
      </c>
      <c r="L183" s="13">
        <f t="shared" si="39"/>
        <v>9</v>
      </c>
      <c r="M183" s="13">
        <f t="shared" si="40"/>
        <v>3</v>
      </c>
      <c r="N183" s="14">
        <f t="shared" si="41"/>
        <v>1101009</v>
      </c>
      <c r="O183" s="14" t="str">
        <f t="shared" si="42"/>
        <v>北落师门12突</v>
      </c>
      <c r="P183" s="29" t="s">
        <v>341</v>
      </c>
      <c r="Q183" s="14">
        <f t="shared" si="43"/>
        <v>1</v>
      </c>
      <c r="R183" s="14">
        <f t="shared" si="44"/>
        <v>12</v>
      </c>
      <c r="S183" s="14" t="s">
        <v>39</v>
      </c>
      <c r="T183" s="14">
        <f>ROUND(((IF(Q183=1,INDEX(新属性投放!$J$14:$J$34,卡牌属性!R183),INDEX(新属性投放!$J$42:$J$62,卡牌属性!R183)))*INDEX($G$5:$G$42,L183)+IF(Q183=1,INDEX(新属性投放!R$20:R$23,卡牌属性!M183-1),INDEX(新属性投放!R$25:R$28,卡牌属性!M183-1)))/SQRT(INDEX($I$5:$I$42,L183)),2)</f>
        <v>6338.64</v>
      </c>
      <c r="U183" s="29" t="s">
        <v>178</v>
      </c>
      <c r="V183" s="14">
        <f>ROUND((IF(Q183=1,INDEX(新属性投放!$K$14:$K$34,卡牌属性!R183),INDEX(新属性投放!$K$42:$K$62,卡牌属性!R183))+IF(Q183=1,INDEX(新属性投放!S$20:S$23,卡牌属性!M183-1),INDEX(新属性投放!S$25:S$28,卡牌属性!M183-1)))*INDEX($G$5:$G$42,L183),2)</f>
        <v>3097.47</v>
      </c>
      <c r="W183" s="29" t="s">
        <v>179</v>
      </c>
      <c r="X183" s="14">
        <f>ROUND((IF(Q183=1,INDEX(新属性投放!$L$14:$L$34,卡牌属性!R183),INDEX(新属性投放!$L$42:$L$62,卡牌属性!R183))*INDEX($G$5:$G$42,L183)+IF(Q183=1,INDEX(新属性投放!T$20:T$23,卡牌属性!M183-1),INDEX(新属性投放!T$25:T$28,卡牌属性!M183-1)))*SQRT(INDEX($I$5:$I$42,L183)),2)</f>
        <v>19580.91</v>
      </c>
      <c r="Y183" s="29" t="s">
        <v>177</v>
      </c>
      <c r="Z183" s="14">
        <f>ROUND(IF(Q183=1,INDEX(新属性投放!$D$14:$D$34,卡牌属性!R183),INDEX(新属性投放!$D$42:$D$62,卡牌属性!R183))*INDEX($G$5:$G$42,L183)/SQRT(INDEX($I$5:$I$42,L183)),2)</f>
        <v>155.96</v>
      </c>
      <c r="AA183" s="29" t="s">
        <v>178</v>
      </c>
      <c r="AB183" s="14">
        <f>ROUND(IF(Q183=1,INDEX(新属性投放!$E$14:$E$34,卡牌属性!R183),INDEX(新属性投放!$E$42:$E$62,卡牌属性!R183))*INDEX($G$5:$G$42,L183),2)</f>
        <v>77.98</v>
      </c>
      <c r="AC183" s="29" t="s">
        <v>179</v>
      </c>
      <c r="AD183" s="14">
        <f>ROUND(IF(Q183=1,INDEX(新属性投放!$F$14:$F$34,卡牌属性!R183),INDEX(新属性投放!$F$42:$F$62,卡牌属性!R183))*INDEX($G$5:$G$42,L183)*SQRT(INDEX($I$5:$I$42,L183)),2)</f>
        <v>467.89</v>
      </c>
      <c r="AF183" s="14">
        <f t="shared" si="45"/>
        <v>1559</v>
      </c>
      <c r="AG183" s="14">
        <f t="shared" si="46"/>
        <v>779</v>
      </c>
      <c r="AH183" s="14">
        <f t="shared" si="47"/>
        <v>4678</v>
      </c>
      <c r="AJ183" s="14">
        <f t="shared" si="51"/>
        <v>6522</v>
      </c>
      <c r="AK183" s="14">
        <f t="shared" si="52"/>
        <v>3258</v>
      </c>
      <c r="AL183" s="14">
        <f t="shared" si="53"/>
        <v>19575</v>
      </c>
    </row>
    <row r="184" spans="11:38" ht="16.5" x14ac:dyDescent="0.2">
      <c r="K184" s="13">
        <v>181</v>
      </c>
      <c r="L184" s="13">
        <f t="shared" si="39"/>
        <v>9</v>
      </c>
      <c r="M184" s="13">
        <f t="shared" si="40"/>
        <v>3</v>
      </c>
      <c r="N184" s="14">
        <f t="shared" si="41"/>
        <v>1101009</v>
      </c>
      <c r="O184" s="14" t="str">
        <f t="shared" si="42"/>
        <v>北落师门13突</v>
      </c>
      <c r="P184" s="29" t="s">
        <v>341</v>
      </c>
      <c r="Q184" s="14">
        <f t="shared" si="43"/>
        <v>1</v>
      </c>
      <c r="R184" s="14">
        <f t="shared" si="44"/>
        <v>13</v>
      </c>
      <c r="S184" s="14" t="s">
        <v>39</v>
      </c>
      <c r="T184" s="14">
        <f>ROUND(((IF(Q184=1,INDEX(新属性投放!$J$14:$J$34,卡牌属性!R184),INDEX(新属性投放!$J$42:$J$62,卡牌属性!R184)))*INDEX($G$5:$G$42,L184)+IF(Q184=1,INDEX(新属性投放!R$20:R$23,卡牌属性!M184-1),INDEX(新属性投放!R$25:R$28,卡牌属性!M184-1)))/SQRT(INDEX($I$5:$I$42,L184)),2)</f>
        <v>8288.1200000000008</v>
      </c>
      <c r="U184" s="29" t="s">
        <v>178</v>
      </c>
      <c r="V184" s="14">
        <f>ROUND((IF(Q184=1,INDEX(新属性投放!$K$14:$K$34,卡牌属性!R184),INDEX(新属性投放!$K$42:$K$62,卡牌属性!R184))+IF(Q184=1,INDEX(新属性投放!S$20:S$23,卡牌属性!M184-1),INDEX(新属性投放!S$25:S$28,卡牌属性!M184-1)))*INDEX($G$5:$G$42,L184),2)</f>
        <v>4072.78</v>
      </c>
      <c r="W184" s="29" t="s">
        <v>179</v>
      </c>
      <c r="X184" s="14">
        <f>ROUND((IF(Q184=1,INDEX(新属性投放!$L$14:$L$34,卡牌属性!R184),INDEX(新属性投放!$L$42:$L$62,卡牌属性!R184))*INDEX($G$5:$G$42,L184)+IF(Q184=1,INDEX(新属性投放!T$20:T$23,卡牌属性!M184-1),INDEX(新属性投放!T$25:T$28,卡牌属性!M184-1)))*SQRT(INDEX($I$5:$I$42,L184)),2)</f>
        <v>25429.35</v>
      </c>
      <c r="Y184" s="29" t="s">
        <v>177</v>
      </c>
      <c r="Z184" s="14">
        <f>ROUND(IF(Q184=1,INDEX(新属性投放!$D$14:$D$34,卡牌属性!R184),INDEX(新属性投放!$D$42:$D$62,卡牌属性!R184))*INDEX($G$5:$G$42,L184)/SQRT(INDEX($I$5:$I$42,L184)),2)</f>
        <v>204.7</v>
      </c>
      <c r="AA184" s="29" t="s">
        <v>178</v>
      </c>
      <c r="AB184" s="14">
        <f>ROUND(IF(Q184=1,INDEX(新属性投放!$E$14:$E$34,卡牌属性!R184),INDEX(新属性投放!$E$42:$E$62,卡牌属性!R184))*INDEX($G$5:$G$42,L184),2)</f>
        <v>102.35</v>
      </c>
      <c r="AC184" s="29" t="s">
        <v>179</v>
      </c>
      <c r="AD184" s="14">
        <f>ROUND(IF(Q184=1,INDEX(新属性投放!$F$14:$F$34,卡牌属性!R184),INDEX(新属性投放!$F$42:$F$62,卡牌属性!R184))*INDEX($G$5:$G$42,L184)*SQRT(INDEX($I$5:$I$42,L184)),2)</f>
        <v>614.1</v>
      </c>
      <c r="AF184" s="14">
        <f t="shared" si="45"/>
        <v>2047</v>
      </c>
      <c r="AG184" s="14">
        <f t="shared" si="46"/>
        <v>1023</v>
      </c>
      <c r="AH184" s="14">
        <f t="shared" si="47"/>
        <v>6141</v>
      </c>
      <c r="AJ184" s="14">
        <f t="shared" si="51"/>
        <v>8569</v>
      </c>
      <c r="AK184" s="14">
        <f t="shared" si="52"/>
        <v>4281</v>
      </c>
      <c r="AL184" s="14">
        <f t="shared" si="53"/>
        <v>25716</v>
      </c>
    </row>
    <row r="185" spans="11:38" ht="16.5" x14ac:dyDescent="0.2">
      <c r="K185" s="13">
        <v>182</v>
      </c>
      <c r="L185" s="13">
        <f t="shared" si="39"/>
        <v>9</v>
      </c>
      <c r="M185" s="13">
        <f t="shared" si="40"/>
        <v>3</v>
      </c>
      <c r="N185" s="14">
        <f t="shared" si="41"/>
        <v>1101009</v>
      </c>
      <c r="O185" s="14" t="str">
        <f t="shared" si="42"/>
        <v>北落师门14突</v>
      </c>
      <c r="P185" s="29" t="s">
        <v>341</v>
      </c>
      <c r="Q185" s="14">
        <f t="shared" si="43"/>
        <v>1</v>
      </c>
      <c r="R185" s="14">
        <f t="shared" si="44"/>
        <v>14</v>
      </c>
      <c r="S185" s="14" t="s">
        <v>39</v>
      </c>
      <c r="T185" s="14">
        <f>ROUND(((IF(Q185=1,INDEX(新属性投放!$J$14:$J$34,卡牌属性!R185),INDEX(新属性投放!$J$42:$J$62,卡牌属性!R185)))*INDEX($G$5:$G$42,L185)+IF(Q185=1,INDEX(新属性投放!R$20:R$23,卡牌属性!M185-1),INDEX(新属性投放!R$25:R$28,卡牌属性!M185-1)))/SQRT(INDEX($I$5:$I$42,L185)),2)</f>
        <v>10846.87</v>
      </c>
      <c r="U185" s="29" t="s">
        <v>178</v>
      </c>
      <c r="V185" s="14">
        <f>ROUND((IF(Q185=1,INDEX(新属性投放!$K$14:$K$34,卡牌属性!R185),INDEX(新属性投放!$K$42:$K$62,卡牌属性!R185))+IF(Q185=1,INDEX(新属性投放!S$20:S$23,卡牌属性!M185-1),INDEX(新属性投放!S$25:S$28,卡牌属性!M185-1)))*INDEX($G$5:$G$42,L185),2)</f>
        <v>5352.73</v>
      </c>
      <c r="W185" s="29" t="s">
        <v>179</v>
      </c>
      <c r="X185" s="14">
        <f>ROUND((IF(Q185=1,INDEX(新属性投放!$L$14:$L$34,卡牌属性!R185),INDEX(新属性投放!$L$42:$L$62,卡牌属性!R185))*INDEX($G$5:$G$42,L185)+IF(Q185=1,INDEX(新属性投放!T$20:T$23,卡牌属性!M185-1),INDEX(新属性投放!T$25:T$28,卡牌属性!M185-1)))*SQRT(INDEX($I$5:$I$42,L185)),2)</f>
        <v>33105.599999999999</v>
      </c>
      <c r="Y185" s="29" t="s">
        <v>177</v>
      </c>
      <c r="Z185" s="14">
        <f>ROUND(IF(Q185=1,INDEX(新属性投放!$D$14:$D$34,卡牌属性!R185),INDEX(新属性投放!$D$42:$D$62,卡牌属性!R185))*INDEX($G$5:$G$42,L185)/SQRT(INDEX($I$5:$I$42,L185)),2)</f>
        <v>268.67</v>
      </c>
      <c r="AA185" s="29" t="s">
        <v>178</v>
      </c>
      <c r="AB185" s="14">
        <f>ROUND(IF(Q185=1,INDEX(新属性投放!$E$14:$E$34,卡牌属性!R185),INDEX(新属性投放!$E$42:$E$62,卡牌属性!R185))*INDEX($G$5:$G$42,L185),2)</f>
        <v>134.34</v>
      </c>
      <c r="AC185" s="29" t="s">
        <v>179</v>
      </c>
      <c r="AD185" s="14">
        <f>ROUND(IF(Q185=1,INDEX(新属性投放!$F$14:$F$34,卡牌属性!R185),INDEX(新属性投放!$F$42:$F$62,卡牌属性!R185))*INDEX($G$5:$G$42,L185)*SQRT(INDEX($I$5:$I$42,L185)),2)</f>
        <v>806.02</v>
      </c>
      <c r="AF185" s="14">
        <f t="shared" si="45"/>
        <v>2686</v>
      </c>
      <c r="AG185" s="14">
        <f t="shared" si="46"/>
        <v>1343</v>
      </c>
      <c r="AH185" s="14">
        <f t="shared" si="47"/>
        <v>8060</v>
      </c>
      <c r="AJ185" s="14">
        <f t="shared" si="51"/>
        <v>11255</v>
      </c>
      <c r="AK185" s="14">
        <f t="shared" si="52"/>
        <v>5624</v>
      </c>
      <c r="AL185" s="14">
        <f t="shared" si="53"/>
        <v>33776</v>
      </c>
    </row>
    <row r="186" spans="11:38" ht="16.5" x14ac:dyDescent="0.2">
      <c r="K186" s="13">
        <v>183</v>
      </c>
      <c r="L186" s="13">
        <f t="shared" si="39"/>
        <v>9</v>
      </c>
      <c r="M186" s="13">
        <f t="shared" si="40"/>
        <v>3</v>
      </c>
      <c r="N186" s="14">
        <f t="shared" si="41"/>
        <v>1101009</v>
      </c>
      <c r="O186" s="14" t="str">
        <f t="shared" si="42"/>
        <v>北落师门15突</v>
      </c>
      <c r="P186" s="29" t="s">
        <v>341</v>
      </c>
      <c r="Q186" s="14">
        <f t="shared" si="43"/>
        <v>1</v>
      </c>
      <c r="R186" s="14">
        <f t="shared" si="44"/>
        <v>15</v>
      </c>
      <c r="S186" s="14" t="s">
        <v>39</v>
      </c>
      <c r="T186" s="14">
        <f>ROUND(((IF(Q186=1,INDEX(新属性投放!$J$14:$J$34,卡牌属性!R186),INDEX(新属性投放!$J$42:$J$62,卡牌属性!R186)))*INDEX($G$5:$G$42,L186)+IF(Q186=1,INDEX(新属性投放!R$20:R$23,卡牌属性!M186-1),INDEX(新属性投放!R$25:R$28,卡牌属性!M186-1)))/SQRT(INDEX($I$5:$I$42,L186)),2)</f>
        <v>14205.21</v>
      </c>
      <c r="U186" s="29" t="s">
        <v>178</v>
      </c>
      <c r="V186" s="14">
        <f>ROUND((IF(Q186=1,INDEX(新属性投放!$K$14:$K$34,卡牌属性!R186),INDEX(新属性投放!$K$42:$K$62,卡牌属性!R186))+IF(Q186=1,INDEX(新属性投放!S$20:S$23,卡牌属性!M186-1),INDEX(新属性投放!S$25:S$28,卡牌属性!M186-1)))*INDEX($G$5:$G$42,L186),2)</f>
        <v>7031.91</v>
      </c>
      <c r="W186" s="29" t="s">
        <v>179</v>
      </c>
      <c r="X186" s="14">
        <f>ROUND((IF(Q186=1,INDEX(新属性投放!$L$14:$L$34,卡牌属性!R186),INDEX(新属性投放!$L$42:$L$62,卡牌属性!R186))*INDEX($G$5:$G$42,L186)+IF(Q186=1,INDEX(新属性投放!T$20:T$23,卡牌属性!M186-1),INDEX(新属性投放!T$25:T$28,卡牌属性!M186-1)))*SQRT(INDEX($I$5:$I$42,L186)),2)</f>
        <v>43180.63</v>
      </c>
      <c r="Y186" s="29" t="s">
        <v>177</v>
      </c>
      <c r="Z186" s="14">
        <f>ROUND(IF(Q186=1,INDEX(新属性投放!$D$14:$D$34,卡牌属性!R186),INDEX(新属性投放!$D$42:$D$62,卡牌属性!R186))*INDEX($G$5:$G$42,L186)/SQRT(INDEX($I$5:$I$42,L186)),2)</f>
        <v>352.64</v>
      </c>
      <c r="AA186" s="29" t="s">
        <v>178</v>
      </c>
      <c r="AB186" s="14">
        <f>ROUND(IF(Q186=1,INDEX(新属性投放!$E$14:$E$34,卡牌属性!R186),INDEX(新属性投放!$E$42:$E$62,卡牌属性!R186))*INDEX($G$5:$G$42,L186),2)</f>
        <v>176.32</v>
      </c>
      <c r="AC186" s="29" t="s">
        <v>179</v>
      </c>
      <c r="AD186" s="14">
        <f>ROUND(IF(Q186=1,INDEX(新属性投放!$F$14:$F$34,卡牌属性!R186),INDEX(新属性投放!$F$42:$F$62,卡牌属性!R186))*INDEX($G$5:$G$42,L186)*SQRT(INDEX($I$5:$I$42,L186)),2)</f>
        <v>1057.9100000000001</v>
      </c>
      <c r="AF186" s="14">
        <f t="shared" si="45"/>
        <v>3526</v>
      </c>
      <c r="AG186" s="14">
        <f t="shared" si="46"/>
        <v>1763</v>
      </c>
      <c r="AH186" s="14">
        <f t="shared" si="47"/>
        <v>10579</v>
      </c>
      <c r="AJ186" s="14">
        <f t="shared" si="51"/>
        <v>14781</v>
      </c>
      <c r="AK186" s="14">
        <f t="shared" si="52"/>
        <v>7387</v>
      </c>
      <c r="AL186" s="14">
        <f t="shared" si="53"/>
        <v>44355</v>
      </c>
    </row>
    <row r="187" spans="11:38" ht="16.5" x14ac:dyDescent="0.2">
      <c r="K187" s="13">
        <v>184</v>
      </c>
      <c r="L187" s="13">
        <f t="shared" si="39"/>
        <v>9</v>
      </c>
      <c r="M187" s="13">
        <f t="shared" si="40"/>
        <v>3</v>
      </c>
      <c r="N187" s="14">
        <f t="shared" si="41"/>
        <v>1101009</v>
      </c>
      <c r="O187" s="14" t="str">
        <f t="shared" si="42"/>
        <v>北落师门16突</v>
      </c>
      <c r="P187" s="29" t="s">
        <v>341</v>
      </c>
      <c r="Q187" s="14">
        <f t="shared" si="43"/>
        <v>1</v>
      </c>
      <c r="R187" s="14">
        <f t="shared" si="44"/>
        <v>16</v>
      </c>
      <c r="S187" s="14" t="s">
        <v>39</v>
      </c>
      <c r="T187" s="14">
        <f>ROUND(((IF(Q187=1,INDEX(新属性投放!$J$14:$J$34,卡牌属性!R187),INDEX(新属性投放!$J$42:$J$62,卡牌属性!R187)))*INDEX($G$5:$G$42,L187)+IF(Q187=1,INDEX(新属性投放!R$20:R$23,卡牌属性!M187-1),INDEX(新属性投放!R$25:R$28,卡牌属性!M187-1)))/SQRT(INDEX($I$5:$I$42,L187)),2)</f>
        <v>18613.62</v>
      </c>
      <c r="U187" s="29" t="s">
        <v>178</v>
      </c>
      <c r="V187" s="14">
        <f>ROUND((IF(Q187=1,INDEX(新属性投放!$K$14:$K$34,卡牌属性!R187),INDEX(新属性投放!$K$42:$K$62,卡牌属性!R187))+IF(Q187=1,INDEX(新属性投放!S$20:S$23,卡牌属性!M187-1),INDEX(新属性投放!S$25:S$28,卡牌属性!M187-1)))*INDEX($G$5:$G$42,L187),2)</f>
        <v>9235.5400000000009</v>
      </c>
      <c r="W187" s="29" t="s">
        <v>179</v>
      </c>
      <c r="X187" s="14">
        <f>ROUND((IF(Q187=1,INDEX(新属性投放!$L$14:$L$34,卡牌属性!R187),INDEX(新属性投放!$L$42:$L$62,卡牌属性!R187))*INDEX($G$5:$G$42,L187)+IF(Q187=1,INDEX(新属性投放!T$20:T$23,卡牌属性!M187-1),INDEX(新属性投放!T$25:T$28,卡牌属性!M187-1)))*SQRT(INDEX($I$5:$I$42,L187)),2)</f>
        <v>56405.86</v>
      </c>
      <c r="Y187" s="29" t="s">
        <v>177</v>
      </c>
      <c r="Z187" s="14">
        <f>ROUND(IF(Q187=1,INDEX(新属性投放!$D$14:$D$34,卡牌属性!R187),INDEX(新属性投放!$D$42:$D$62,卡牌属性!R187))*INDEX($G$5:$G$42,L187)/SQRT(INDEX($I$5:$I$42,L187)),2)</f>
        <v>462.84</v>
      </c>
      <c r="AA187" s="29" t="s">
        <v>178</v>
      </c>
      <c r="AB187" s="14">
        <f>ROUND(IF(Q187=1,INDEX(新属性投放!$E$14:$E$34,卡牌属性!R187),INDEX(新属性投放!$E$42:$E$62,卡牌属性!R187))*INDEX($G$5:$G$42,L187),2)</f>
        <v>231.42</v>
      </c>
      <c r="AC187" s="29" t="s">
        <v>179</v>
      </c>
      <c r="AD187" s="14">
        <f>ROUND(IF(Q187=1,INDEX(新属性投放!$F$14:$F$34,卡牌属性!R187),INDEX(新属性投放!$F$42:$F$62,卡牌属性!R187))*INDEX($G$5:$G$42,L187)*SQRT(INDEX($I$5:$I$42,L187)),2)</f>
        <v>1388.52</v>
      </c>
      <c r="AF187" s="14">
        <f t="shared" si="45"/>
        <v>4628</v>
      </c>
      <c r="AG187" s="14">
        <f t="shared" si="46"/>
        <v>2314</v>
      </c>
      <c r="AH187" s="14">
        <f t="shared" si="47"/>
        <v>13885</v>
      </c>
      <c r="AJ187" s="14">
        <f t="shared" si="51"/>
        <v>19409</v>
      </c>
      <c r="AK187" s="14">
        <f t="shared" si="52"/>
        <v>9701</v>
      </c>
      <c r="AL187" s="14">
        <f t="shared" si="53"/>
        <v>58240</v>
      </c>
    </row>
    <row r="188" spans="11:38" ht="16.5" x14ac:dyDescent="0.2">
      <c r="K188" s="13">
        <v>185</v>
      </c>
      <c r="L188" s="13">
        <f t="shared" si="39"/>
        <v>9</v>
      </c>
      <c r="M188" s="13">
        <f t="shared" si="40"/>
        <v>3</v>
      </c>
      <c r="N188" s="14">
        <f t="shared" si="41"/>
        <v>1101009</v>
      </c>
      <c r="O188" s="14" t="str">
        <f t="shared" si="42"/>
        <v>北落师门17突</v>
      </c>
      <c r="P188" s="29" t="s">
        <v>341</v>
      </c>
      <c r="Q188" s="14">
        <f t="shared" si="43"/>
        <v>1</v>
      </c>
      <c r="R188" s="14">
        <f t="shared" si="44"/>
        <v>17</v>
      </c>
      <c r="S188" s="14" t="s">
        <v>39</v>
      </c>
      <c r="T188" s="14">
        <f>ROUND(((IF(Q188=1,INDEX(新属性投放!$J$14:$J$34,卡牌属性!R188),INDEX(新属性投放!$J$42:$J$62,卡牌属性!R188)))*INDEX($G$5:$G$42,L188)+IF(Q188=1,INDEX(新属性投放!R$20:R$23,卡牌属性!M188-1),INDEX(新属性投放!R$25:R$28,卡牌属性!M188-1)))/SQRT(INDEX($I$5:$I$42,L188)),2)</f>
        <v>24398.93</v>
      </c>
      <c r="U188" s="29" t="s">
        <v>178</v>
      </c>
      <c r="V188" s="14">
        <f>ROUND((IF(Q188=1,INDEX(新属性投放!$K$14:$K$34,卡牌属性!R188),INDEX(新属性投放!$K$42:$K$62,卡牌属性!R188))+IF(Q188=1,INDEX(新属性投放!S$20:S$23,卡牌属性!M188-1),INDEX(新属性投放!S$25:S$28,卡牌属性!M188-1)))*INDEX($G$5:$G$42,L188),2)</f>
        <v>12128.19</v>
      </c>
      <c r="W188" s="29" t="s">
        <v>179</v>
      </c>
      <c r="X188" s="14">
        <f>ROUND((IF(Q188=1,INDEX(新属性投放!$L$14:$L$34,卡牌属性!R188),INDEX(新属性投放!$L$42:$L$62,卡牌属性!R188))*INDEX($G$5:$G$42,L188)+IF(Q188=1,INDEX(新属性投放!T$20:T$23,卡牌属性!M188-1),INDEX(新属性投放!T$25:T$28,卡牌属性!M188-1)))*SQRT(INDEX($I$5:$I$42,L188)),2)</f>
        <v>73761.78</v>
      </c>
      <c r="Y188" s="29" t="s">
        <v>177</v>
      </c>
      <c r="Z188" s="14">
        <f>ROUND(IF(Q188=1,INDEX(新属性投放!$D$14:$D$34,卡牌属性!R188),INDEX(新属性投放!$D$42:$D$62,卡牌属性!R188))*INDEX($G$5:$G$42,L188)/SQRT(INDEX($I$5:$I$42,L188)),2)</f>
        <v>607.48</v>
      </c>
      <c r="AA188" s="29" t="s">
        <v>178</v>
      </c>
      <c r="AB188" s="14">
        <f>ROUND(IF(Q188=1,INDEX(新属性投放!$E$14:$E$34,卡牌属性!R188),INDEX(新属性投放!$E$42:$E$62,卡牌属性!R188))*INDEX($G$5:$G$42,L188),2)</f>
        <v>303.74</v>
      </c>
      <c r="AC188" s="29" t="s">
        <v>179</v>
      </c>
      <c r="AD188" s="14">
        <f>ROUND(IF(Q188=1,INDEX(新属性投放!$F$14:$F$34,卡牌属性!R188),INDEX(新属性投放!$F$42:$F$62,卡牌属性!R188))*INDEX($G$5:$G$42,L188)*SQRT(INDEX($I$5:$I$42,L188)),2)</f>
        <v>1822.43</v>
      </c>
      <c r="AF188" s="14">
        <f t="shared" si="45"/>
        <v>6074</v>
      </c>
      <c r="AG188" s="14">
        <f t="shared" si="46"/>
        <v>3037</v>
      </c>
      <c r="AH188" s="14">
        <f t="shared" si="47"/>
        <v>18224</v>
      </c>
      <c r="AJ188" s="14">
        <f t="shared" si="51"/>
        <v>25483</v>
      </c>
      <c r="AK188" s="14">
        <f t="shared" si="52"/>
        <v>12738</v>
      </c>
      <c r="AL188" s="14">
        <f t="shared" si="53"/>
        <v>76464</v>
      </c>
    </row>
    <row r="189" spans="11:38" ht="16.5" x14ac:dyDescent="0.2">
      <c r="K189" s="13">
        <v>186</v>
      </c>
      <c r="L189" s="13">
        <f t="shared" si="39"/>
        <v>9</v>
      </c>
      <c r="M189" s="13">
        <f t="shared" si="40"/>
        <v>3</v>
      </c>
      <c r="N189" s="14">
        <f t="shared" si="41"/>
        <v>1101009</v>
      </c>
      <c r="O189" s="14" t="str">
        <f t="shared" si="42"/>
        <v>北落师门18突</v>
      </c>
      <c r="P189" s="29" t="s">
        <v>341</v>
      </c>
      <c r="Q189" s="14">
        <f t="shared" si="43"/>
        <v>1</v>
      </c>
      <c r="R189" s="14">
        <f t="shared" si="44"/>
        <v>18</v>
      </c>
      <c r="S189" s="14" t="s">
        <v>39</v>
      </c>
      <c r="T189" s="14">
        <f>ROUND(((IF(Q189=1,INDEX(新属性投放!$J$14:$J$34,卡牌属性!R189),INDEX(新属性投放!$J$42:$J$62,卡牌属性!R189)))*INDEX($G$5:$G$42,L189)+IF(Q189=1,INDEX(新属性投放!R$20:R$23,卡牌属性!M189-1),INDEX(新属性投放!R$25:R$28,卡牌属性!M189-1)))/SQRT(INDEX($I$5:$I$42,L189)),2)</f>
        <v>31992.84</v>
      </c>
      <c r="U189" s="29" t="s">
        <v>178</v>
      </c>
      <c r="V189" s="14">
        <f>ROUND((IF(Q189=1,INDEX(新属性投放!$K$14:$K$34,卡牌属性!R189),INDEX(新属性投放!$K$42:$K$62,卡牌属性!R189))+IF(Q189=1,INDEX(新属性投放!S$20:S$23,卡牌属性!M189-1),INDEX(新属性投放!S$25:S$28,卡牌属性!M189-1)))*INDEX($G$5:$G$42,L189),2)</f>
        <v>15924.57</v>
      </c>
      <c r="W189" s="29" t="s">
        <v>179</v>
      </c>
      <c r="X189" s="14">
        <f>ROUND((IF(Q189=1,INDEX(新属性投放!$L$14:$L$34,卡牌属性!R189),INDEX(新属性投放!$L$42:$L$62,卡牌属性!R189))*INDEX($G$5:$G$42,L189)+IF(Q189=1,INDEX(新属性投放!T$20:T$23,卡牌属性!M189-1),INDEX(新属性投放!T$25:T$28,卡牌属性!M189-1)))*SQRT(INDEX($I$5:$I$42,L189)),2)</f>
        <v>96543.51</v>
      </c>
      <c r="Y189" s="29" t="s">
        <v>177</v>
      </c>
      <c r="Z189" s="14">
        <f>ROUND(IF(Q189=1,INDEX(新属性投放!$D$14:$D$34,卡牌属性!R189),INDEX(新属性投放!$D$42:$D$62,卡牌属性!R189))*INDEX($G$5:$G$42,L189)/SQRT(INDEX($I$5:$I$42,L189)),2)</f>
        <v>797.32</v>
      </c>
      <c r="AA189" s="29" t="s">
        <v>178</v>
      </c>
      <c r="AB189" s="14">
        <f>ROUND(IF(Q189=1,INDEX(新属性投放!$E$14:$E$34,卡牌属性!R189),INDEX(新属性投放!$E$42:$E$62,卡牌属性!R189))*INDEX($G$5:$G$42,L189),2)</f>
        <v>398.66</v>
      </c>
      <c r="AC189" s="29" t="s">
        <v>179</v>
      </c>
      <c r="AD189" s="14">
        <f>ROUND(IF(Q189=1,INDEX(新属性投放!$F$14:$F$34,卡牌属性!R189),INDEX(新属性投放!$F$42:$F$62,卡牌属性!R189))*INDEX($G$5:$G$42,L189)*SQRT(INDEX($I$5:$I$42,L189)),2)</f>
        <v>2391.9499999999998</v>
      </c>
      <c r="AF189" s="14">
        <f t="shared" si="45"/>
        <v>7973</v>
      </c>
      <c r="AG189" s="14">
        <f t="shared" si="46"/>
        <v>3986</v>
      </c>
      <c r="AH189" s="14">
        <f t="shared" si="47"/>
        <v>23919</v>
      </c>
      <c r="AJ189" s="14">
        <f t="shared" si="51"/>
        <v>33456</v>
      </c>
      <c r="AK189" s="14">
        <f t="shared" si="52"/>
        <v>16724</v>
      </c>
      <c r="AL189" s="14">
        <f t="shared" si="53"/>
        <v>100383</v>
      </c>
    </row>
    <row r="190" spans="11:38" ht="16.5" x14ac:dyDescent="0.2">
      <c r="K190" s="13">
        <v>187</v>
      </c>
      <c r="L190" s="13">
        <f t="shared" si="39"/>
        <v>9</v>
      </c>
      <c r="M190" s="13">
        <f t="shared" si="40"/>
        <v>3</v>
      </c>
      <c r="N190" s="14">
        <f t="shared" si="41"/>
        <v>1101009</v>
      </c>
      <c r="O190" s="14" t="str">
        <f t="shared" si="42"/>
        <v>北落师门19突</v>
      </c>
      <c r="P190" s="29" t="s">
        <v>341</v>
      </c>
      <c r="Q190" s="14">
        <f t="shared" si="43"/>
        <v>1</v>
      </c>
      <c r="R190" s="14">
        <f t="shared" si="44"/>
        <v>19</v>
      </c>
      <c r="S190" s="14" t="s">
        <v>39</v>
      </c>
      <c r="T190" s="14">
        <f>ROUND(((IF(Q190=1,INDEX(新属性投放!$J$14:$J$34,卡牌属性!R190),INDEX(新属性投放!$J$42:$J$62,卡牌属性!R190)))*INDEX($G$5:$G$42,L190)+IF(Q190=1,INDEX(新属性投放!R$20:R$23,卡牌属性!M190-1),INDEX(新属性投放!R$25:R$28,卡牌属性!M190-1)))/SQRT(INDEX($I$5:$I$42,L190)),2)</f>
        <v>41958.97</v>
      </c>
      <c r="U190" s="29" t="s">
        <v>178</v>
      </c>
      <c r="V190" s="14">
        <f>ROUND((IF(Q190=1,INDEX(新属性投放!$K$14:$K$34,卡牌属性!R190),INDEX(新属性投放!$K$42:$K$62,卡牌属性!R190))+IF(Q190=1,INDEX(新属性投放!S$20:S$23,卡牌属性!M190-1),INDEX(新属性投放!S$25:S$28,卡牌属性!M190-1)))*INDEX($G$5:$G$42,L190),2)</f>
        <v>20908.21</v>
      </c>
      <c r="W190" s="29" t="s">
        <v>179</v>
      </c>
      <c r="X190" s="14">
        <f>ROUND((IF(Q190=1,INDEX(新属性投放!$L$14:$L$34,卡牌属性!R190),INDEX(新属性投放!$L$42:$L$62,卡牌属性!R190))*INDEX($G$5:$G$42,L190)+IF(Q190=1,INDEX(新属性投放!T$20:T$23,卡牌属性!M190-1),INDEX(新属性投放!T$25:T$28,卡牌属性!M190-1)))*SQRT(INDEX($I$5:$I$42,L190)),2)</f>
        <v>126441.9</v>
      </c>
      <c r="Y190" s="29" t="s">
        <v>177</v>
      </c>
      <c r="Z190" s="14">
        <f>ROUND(IF(Q190=1,INDEX(新属性投放!$D$14:$D$34,卡牌属性!R190),INDEX(新属性投放!$D$42:$D$62,卡牌属性!R190))*INDEX($G$5:$G$42,L190)/SQRT(INDEX($I$5:$I$42,L190)),2)</f>
        <v>1046.48</v>
      </c>
      <c r="AA190" s="29" t="s">
        <v>178</v>
      </c>
      <c r="AB190" s="14">
        <f>ROUND(IF(Q190=1,INDEX(新属性投放!$E$14:$E$34,卡牌属性!R190),INDEX(新属性投放!$E$42:$E$62,卡牌属性!R190))*INDEX($G$5:$G$42,L190),2)</f>
        <v>523.24</v>
      </c>
      <c r="AC190" s="29" t="s">
        <v>179</v>
      </c>
      <c r="AD190" s="14">
        <f>ROUND(IF(Q190=1,INDEX(新属性投放!$F$14:$F$34,卡牌属性!R190),INDEX(新属性投放!$F$42:$F$62,卡牌属性!R190))*INDEX($G$5:$G$42,L190)*SQRT(INDEX($I$5:$I$42,L190)),2)</f>
        <v>3139.43</v>
      </c>
      <c r="AF190" s="14">
        <f t="shared" si="45"/>
        <v>10464</v>
      </c>
      <c r="AG190" s="14">
        <f t="shared" si="46"/>
        <v>5232</v>
      </c>
      <c r="AH190" s="14">
        <f t="shared" si="47"/>
        <v>31394</v>
      </c>
      <c r="AJ190" s="14">
        <f t="shared" si="51"/>
        <v>43920</v>
      </c>
      <c r="AK190" s="14">
        <f t="shared" si="52"/>
        <v>21956</v>
      </c>
      <c r="AL190" s="14">
        <f t="shared" si="53"/>
        <v>131777</v>
      </c>
    </row>
    <row r="191" spans="11:38" ht="16.5" x14ac:dyDescent="0.2">
      <c r="K191" s="13">
        <v>188</v>
      </c>
      <c r="L191" s="13">
        <f t="shared" si="39"/>
        <v>9</v>
      </c>
      <c r="M191" s="13">
        <f t="shared" si="40"/>
        <v>3</v>
      </c>
      <c r="N191" s="14">
        <f t="shared" si="41"/>
        <v>1101009</v>
      </c>
      <c r="O191" s="14" t="str">
        <f t="shared" si="42"/>
        <v>北落师门20突</v>
      </c>
      <c r="P191" s="29" t="s">
        <v>341</v>
      </c>
      <c r="Q191" s="14">
        <f t="shared" si="43"/>
        <v>1</v>
      </c>
      <c r="R191" s="14">
        <f t="shared" si="44"/>
        <v>20</v>
      </c>
      <c r="S191" s="14" t="s">
        <v>39</v>
      </c>
      <c r="T191" s="14">
        <f>ROUND(((IF(Q191=1,INDEX(新属性投放!$J$14:$J$34,卡牌属性!R191),INDEX(新属性投放!$J$42:$J$62,卡牌属性!R191)))*INDEX($G$5:$G$42,L191)+IF(Q191=1,INDEX(新属性投放!R$20:R$23,卡牌属性!M191-1),INDEX(新属性投放!R$25:R$28,卡牌属性!M191-1)))/SQRT(INDEX($I$5:$I$42,L191)),2)</f>
        <v>55039.99</v>
      </c>
      <c r="U191" s="29" t="s">
        <v>178</v>
      </c>
      <c r="V191" s="14">
        <f>ROUND((IF(Q191=1,INDEX(新属性投放!$K$14:$K$34,卡牌属性!R191),INDEX(新属性投放!$K$42:$K$62,卡牌属性!R191))+IF(Q191=1,INDEX(新属性投放!S$20:S$23,卡牌属性!M191-1),INDEX(新属性投放!S$25:S$28,卡牌属性!M191-1)))*INDEX($G$5:$G$42,L191),2)</f>
        <v>27448.14</v>
      </c>
      <c r="W191" s="29" t="s">
        <v>179</v>
      </c>
      <c r="X191" s="14">
        <f>ROUND((IF(Q191=1,INDEX(新属性投放!$L$14:$L$34,卡牌属性!R191),INDEX(新属性投放!$L$42:$L$62,卡牌属性!R191))*INDEX($G$5:$G$42,L191)+IF(Q191=1,INDEX(新属性投放!T$20:T$23,卡牌属性!M191-1),INDEX(新属性投放!T$25:T$28,卡牌属性!M191-1)))*SQRT(INDEX($I$5:$I$42,L191)),2)</f>
        <v>165684.96</v>
      </c>
      <c r="Y191" s="29" t="s">
        <v>177</v>
      </c>
      <c r="Z191" s="14">
        <f>ROUND(IF(Q191=1,INDEX(新属性投放!$D$14:$D$34,卡牌属性!R191),INDEX(新属性投放!$D$42:$D$62,卡牌属性!R191))*INDEX($G$5:$G$42,L191)/SQRT(INDEX($I$5:$I$42,L191)),2)</f>
        <v>1373.5</v>
      </c>
      <c r="AA191" s="29" t="s">
        <v>178</v>
      </c>
      <c r="AB191" s="14">
        <f>ROUND(IF(Q191=1,INDEX(新属性投放!$E$14:$E$34,卡牌属性!R191),INDEX(新属性投放!$E$42:$E$62,卡牌属性!R191))*INDEX($G$5:$G$42,L191),2)</f>
        <v>686.75</v>
      </c>
      <c r="AC191" s="29" t="s">
        <v>179</v>
      </c>
      <c r="AD191" s="14">
        <f>ROUND(IF(Q191=1,INDEX(新属性投放!$F$14:$F$34,卡牌属性!R191),INDEX(新属性投放!$F$42:$F$62,卡牌属性!R191))*INDEX($G$5:$G$42,L191)*SQRT(INDEX($I$5:$I$42,L191)),2)</f>
        <v>4120.51</v>
      </c>
      <c r="AF191" s="14">
        <f t="shared" si="45"/>
        <v>13735</v>
      </c>
      <c r="AG191" s="14">
        <f t="shared" si="46"/>
        <v>6867</v>
      </c>
      <c r="AH191" s="14">
        <f t="shared" si="47"/>
        <v>41205</v>
      </c>
      <c r="AJ191" s="14">
        <f t="shared" si="51"/>
        <v>57655</v>
      </c>
      <c r="AK191" s="14">
        <f t="shared" si="52"/>
        <v>28823</v>
      </c>
      <c r="AL191" s="14">
        <f t="shared" si="53"/>
        <v>172982</v>
      </c>
    </row>
    <row r="192" spans="11:38" ht="16.5" x14ac:dyDescent="0.2">
      <c r="K192" s="13">
        <v>189</v>
      </c>
      <c r="L192" s="13">
        <f t="shared" si="39"/>
        <v>9</v>
      </c>
      <c r="M192" s="13">
        <f t="shared" si="40"/>
        <v>3</v>
      </c>
      <c r="N192" s="14">
        <f t="shared" si="41"/>
        <v>1101009</v>
      </c>
      <c r="O192" s="14" t="str">
        <f t="shared" si="42"/>
        <v>北落师门21突</v>
      </c>
      <c r="P192" s="29" t="s">
        <v>341</v>
      </c>
      <c r="Q192" s="14">
        <f t="shared" si="43"/>
        <v>1</v>
      </c>
      <c r="R192" s="14">
        <f t="shared" si="44"/>
        <v>21</v>
      </c>
      <c r="S192" s="14" t="s">
        <v>39</v>
      </c>
      <c r="T192" s="14">
        <f>ROUND(((IF(Q192=1,INDEX(新属性投放!$J$14:$J$34,卡牌属性!R192),INDEX(新属性投放!$J$42:$J$62,卡牌属性!R192)))*INDEX($G$5:$G$42,L192)+IF(Q192=1,INDEX(新属性投放!R$20:R$23,卡牌属性!M192-1),INDEX(新属性投放!R$25:R$28,卡牌属性!M192-1)))/SQRT(INDEX($I$5:$I$42,L192)),2)</f>
        <v>72208.91</v>
      </c>
      <c r="U192" s="29" t="s">
        <v>178</v>
      </c>
      <c r="V192" s="14">
        <f>ROUND((IF(Q192=1,INDEX(新属性投放!$K$14:$K$34,卡牌属性!R192),INDEX(新属性投放!$K$42:$K$62,卡牌属性!R192))+IF(Q192=1,INDEX(新属性投放!S$20:S$23,卡牌属性!M192-1),INDEX(新属性投放!S$25:S$28,卡牌属性!M192-1)))*INDEX($G$5:$G$42,L192),2)</f>
        <v>36032.61</v>
      </c>
      <c r="W192" s="29" t="s">
        <v>179</v>
      </c>
      <c r="X192" s="14">
        <f>ROUND((IF(Q192=1,INDEX(新属性投放!$L$14:$L$34,卡牌属性!R192),INDEX(新属性投放!$L$42:$L$62,卡牌属性!R192))*INDEX($G$5:$G$42,L192)+IF(Q192=1,INDEX(新属性投放!T$20:T$23,卡牌属性!M192-1),INDEX(新属性投放!T$25:T$28,卡牌属性!M192-1)))*SQRT(INDEX($I$5:$I$42,L192)),2)</f>
        <v>217191.73</v>
      </c>
      <c r="Y192" s="29" t="s">
        <v>177</v>
      </c>
      <c r="Z192" s="14">
        <f>ROUND(IF(Q192=1,INDEX(新属性投放!$D$14:$D$34,卡牌属性!R192),INDEX(新属性投放!$D$42:$D$62,卡牌属性!R192))*INDEX($G$5:$G$42,L192)/SQRT(INDEX($I$5:$I$42,L192)),2)</f>
        <v>1802.73</v>
      </c>
      <c r="AA192" s="29" t="s">
        <v>178</v>
      </c>
      <c r="AB192" s="14">
        <f>ROUND(IF(Q192=1,INDEX(新属性投放!$E$14:$E$34,卡牌属性!R192),INDEX(新属性投放!$E$42:$E$62,卡牌属性!R192))*INDEX($G$5:$G$42,L192),2)</f>
        <v>901.36</v>
      </c>
      <c r="AC192" s="29" t="s">
        <v>179</v>
      </c>
      <c r="AD192" s="14">
        <f>ROUND(IF(Q192=1,INDEX(新属性投放!$F$14:$F$34,卡牌属性!R192),INDEX(新属性投放!$F$42:$F$62,卡牌属性!R192))*INDEX($G$5:$G$42,L192)*SQRT(INDEX($I$5:$I$42,L192)),2)</f>
        <v>5408.19</v>
      </c>
      <c r="AF192" s="14">
        <f t="shared" si="45"/>
        <v>18027</v>
      </c>
      <c r="AG192" s="14">
        <f t="shared" si="46"/>
        <v>9013</v>
      </c>
      <c r="AH192" s="14">
        <f t="shared" si="47"/>
        <v>54081</v>
      </c>
      <c r="AJ192" s="14">
        <f t="shared" si="51"/>
        <v>75682</v>
      </c>
      <c r="AK192" s="14">
        <f t="shared" si="52"/>
        <v>37836</v>
      </c>
      <c r="AL192" s="14">
        <f t="shared" si="53"/>
        <v>227063</v>
      </c>
    </row>
    <row r="193" spans="11:38" ht="16.5" x14ac:dyDescent="0.2">
      <c r="K193" s="13">
        <v>190</v>
      </c>
      <c r="L193" s="13">
        <f t="shared" si="39"/>
        <v>10</v>
      </c>
      <c r="M193" s="13">
        <f t="shared" si="40"/>
        <v>4</v>
      </c>
      <c r="N193" s="14">
        <f t="shared" si="41"/>
        <v>1101010</v>
      </c>
      <c r="O193" s="14" t="str">
        <f t="shared" si="42"/>
        <v>盖文1突</v>
      </c>
      <c r="P193" s="29" t="s">
        <v>341</v>
      </c>
      <c r="Q193" s="14">
        <f t="shared" si="43"/>
        <v>1</v>
      </c>
      <c r="R193" s="14">
        <f t="shared" si="44"/>
        <v>1</v>
      </c>
      <c r="S193" s="14" t="s">
        <v>39</v>
      </c>
      <c r="T193" s="14">
        <f>ROUND(((IF(Q193=1,INDEX(新属性投放!$J$14:$J$34,卡牌属性!R193),INDEX(新属性投放!$J$42:$J$62,卡牌属性!R193)))*INDEX($G$5:$G$42,L193)+IF(Q193=1,INDEX(新属性投放!R$20:R$23,卡牌属性!M193-1),INDEX(新属性投放!R$25:R$28,卡牌属性!M193-1)))/SQRT(INDEX($I$5:$I$42,L193)),2)</f>
        <v>215</v>
      </c>
      <c r="U193" s="29" t="s">
        <v>178</v>
      </c>
      <c r="V193" s="14">
        <f>ROUND((IF(Q193=1,INDEX(新属性投放!$K$14:$K$34,卡牌属性!R193),INDEX(新属性投放!$K$42:$K$62,卡牌属性!R193))+IF(Q193=1,INDEX(新属性投放!S$20:S$23,卡牌属性!M193-1),INDEX(新属性投放!S$25:S$28,卡牌属性!M193-1)))*INDEX($G$5:$G$42,L193),2)</f>
        <v>0</v>
      </c>
      <c r="W193" s="29" t="s">
        <v>179</v>
      </c>
      <c r="X193" s="14">
        <f>ROUND((IF(Q193=1,INDEX(新属性投放!$L$14:$L$34,卡牌属性!R193),INDEX(新属性投放!$L$42:$L$62,卡牌属性!R193))*INDEX($G$5:$G$42,L193)+IF(Q193=1,INDEX(新属性投放!T$20:T$23,卡牌属性!M193-1),INDEX(新属性投放!T$25:T$28,卡牌属性!M193-1)))*SQRT(INDEX($I$5:$I$42,L193)),2)</f>
        <v>1075</v>
      </c>
      <c r="Y193" s="29" t="s">
        <v>177</v>
      </c>
      <c r="Z193" s="14">
        <f>ROUND(IF(Q193=1,INDEX(新属性投放!$D$14:$D$34,卡牌属性!R193),INDEX(新属性投放!$D$42:$D$62,卡牌属性!R193))*INDEX($G$5:$G$42,L193)/SQRT(INDEX($I$5:$I$42,L193)),2)</f>
        <v>13</v>
      </c>
      <c r="AA193" s="29" t="s">
        <v>178</v>
      </c>
      <c r="AB193" s="14">
        <f>ROUND(IF(Q193=1,INDEX(新属性投放!$E$14:$E$34,卡牌属性!R193),INDEX(新属性投放!$E$42:$E$62,卡牌属性!R193))*INDEX($G$5:$G$42,L193),2)</f>
        <v>6.5</v>
      </c>
      <c r="AC193" s="29" t="s">
        <v>179</v>
      </c>
      <c r="AD193" s="14">
        <f>ROUND(IF(Q193=1,INDEX(新属性投放!$F$14:$F$34,卡牌属性!R193),INDEX(新属性投放!$F$42:$F$62,卡牌属性!R193))*INDEX($G$5:$G$42,L193)*SQRT(INDEX($I$5:$I$42,L193)),2)</f>
        <v>39</v>
      </c>
      <c r="AF193" s="14">
        <f t="shared" si="45"/>
        <v>130</v>
      </c>
      <c r="AG193" s="14">
        <f t="shared" si="46"/>
        <v>65</v>
      </c>
      <c r="AH193" s="14">
        <f t="shared" si="47"/>
        <v>390</v>
      </c>
      <c r="AJ193" s="14">
        <f>AF193</f>
        <v>130</v>
      </c>
      <c r="AK193" s="14">
        <f>AG193</f>
        <v>65</v>
      </c>
      <c r="AL193" s="14">
        <f>AH193</f>
        <v>390</v>
      </c>
    </row>
    <row r="194" spans="11:38" ht="16.5" x14ac:dyDescent="0.2">
      <c r="K194" s="13">
        <v>191</v>
      </c>
      <c r="L194" s="13">
        <f t="shared" si="39"/>
        <v>10</v>
      </c>
      <c r="M194" s="13">
        <f t="shared" si="40"/>
        <v>4</v>
      </c>
      <c r="N194" s="14">
        <f t="shared" si="41"/>
        <v>1101010</v>
      </c>
      <c r="O194" s="14" t="str">
        <f t="shared" si="42"/>
        <v>盖文2突</v>
      </c>
      <c r="P194" s="29" t="s">
        <v>341</v>
      </c>
      <c r="Q194" s="14">
        <f t="shared" si="43"/>
        <v>1</v>
      </c>
      <c r="R194" s="14">
        <f t="shared" si="44"/>
        <v>2</v>
      </c>
      <c r="S194" s="14" t="s">
        <v>39</v>
      </c>
      <c r="T194" s="14">
        <f>ROUND(((IF(Q194=1,INDEX(新属性投放!$J$14:$J$34,卡牌属性!R194),INDEX(新属性投放!$J$42:$J$62,卡牌属性!R194)))*INDEX($G$5:$G$42,L194)+IF(Q194=1,INDEX(新属性投放!R$20:R$23,卡牌属性!M194-1),INDEX(新属性投放!R$25:R$28,卡牌属性!M194-1)))/SQRT(INDEX($I$5:$I$42,L194)),2)</f>
        <v>345</v>
      </c>
      <c r="U194" s="29" t="s">
        <v>178</v>
      </c>
      <c r="V194" s="14">
        <f>ROUND((IF(Q194=1,INDEX(新属性投放!$K$14:$K$34,卡牌属性!R194),INDEX(新属性投放!$K$42:$K$62,卡牌属性!R194))+IF(Q194=1,INDEX(新属性投放!S$20:S$23,卡牌属性!M194-1),INDEX(新属性投放!S$25:S$28,卡牌属性!M194-1)))*INDEX($G$5:$G$42,L194),2)</f>
        <v>72.8</v>
      </c>
      <c r="W194" s="29" t="s">
        <v>179</v>
      </c>
      <c r="X194" s="14">
        <f>ROUND((IF(Q194=1,INDEX(新属性投放!$L$14:$L$34,卡牌属性!R194),INDEX(新属性投放!$L$42:$L$62,卡牌属性!R194))*INDEX($G$5:$G$42,L194)+IF(Q194=1,INDEX(新属性投放!T$20:T$23,卡牌属性!M194-1),INDEX(新属性投放!T$25:T$28,卡牌属性!M194-1)))*SQRT(INDEX($I$5:$I$42,L194)),2)</f>
        <v>1465</v>
      </c>
      <c r="Y194" s="29" t="s">
        <v>177</v>
      </c>
      <c r="Z194" s="14">
        <f>ROUND(IF(Q194=1,INDEX(新属性投放!$D$14:$D$34,卡牌属性!R194),INDEX(新属性投放!$D$42:$D$62,卡牌属性!R194))*INDEX($G$5:$G$42,L194)/SQRT(INDEX($I$5:$I$42,L194)),2)</f>
        <v>13</v>
      </c>
      <c r="AA194" s="29" t="s">
        <v>178</v>
      </c>
      <c r="AB194" s="14">
        <f>ROUND(IF(Q194=1,INDEX(新属性投放!$E$14:$E$34,卡牌属性!R194),INDEX(新属性投放!$E$42:$E$62,卡牌属性!R194))*INDEX($G$5:$G$42,L194),2)</f>
        <v>6.5</v>
      </c>
      <c r="AC194" s="29" t="s">
        <v>179</v>
      </c>
      <c r="AD194" s="14">
        <f>ROUND(IF(Q194=1,INDEX(新属性投放!$F$14:$F$34,卡牌属性!R194),INDEX(新属性投放!$F$42:$F$62,卡牌属性!R194))*INDEX($G$5:$G$42,L194)*SQRT(INDEX($I$5:$I$42,L194)),2)</f>
        <v>39</v>
      </c>
      <c r="AF194" s="14">
        <f t="shared" si="45"/>
        <v>130</v>
      </c>
      <c r="AG194" s="14">
        <f t="shared" si="46"/>
        <v>65</v>
      </c>
      <c r="AH194" s="14">
        <f t="shared" si="47"/>
        <v>390</v>
      </c>
      <c r="AJ194" s="14">
        <f t="shared" ref="AJ194:AJ213" si="54">AJ193+AF194</f>
        <v>260</v>
      </c>
      <c r="AK194" s="14">
        <f t="shared" ref="AK194:AK213" si="55">AK193+AG194</f>
        <v>130</v>
      </c>
      <c r="AL194" s="14">
        <f t="shared" ref="AL194:AL213" si="56">AL193+AH194</f>
        <v>780</v>
      </c>
    </row>
    <row r="195" spans="11:38" ht="16.5" x14ac:dyDescent="0.2">
      <c r="K195" s="13">
        <v>192</v>
      </c>
      <c r="L195" s="13">
        <f t="shared" si="39"/>
        <v>10</v>
      </c>
      <c r="M195" s="13">
        <f t="shared" si="40"/>
        <v>4</v>
      </c>
      <c r="N195" s="14">
        <f t="shared" si="41"/>
        <v>1101010</v>
      </c>
      <c r="O195" s="14" t="str">
        <f t="shared" si="42"/>
        <v>盖文3突</v>
      </c>
      <c r="P195" s="29" t="s">
        <v>341</v>
      </c>
      <c r="Q195" s="14">
        <f t="shared" si="43"/>
        <v>1</v>
      </c>
      <c r="R195" s="14">
        <f t="shared" si="44"/>
        <v>3</v>
      </c>
      <c r="S195" s="14" t="s">
        <v>39</v>
      </c>
      <c r="T195" s="14">
        <f>ROUND(((IF(Q195=1,INDEX(新属性投放!$J$14:$J$34,卡牌属性!R195),INDEX(新属性投放!$J$42:$J$62,卡牌属性!R195)))*INDEX($G$5:$G$42,L195)+IF(Q195=1,INDEX(新属性投放!R$20:R$23,卡牌属性!M195-1),INDEX(新属性投放!R$25:R$28,卡牌属性!M195-1)))/SQRT(INDEX($I$5:$I$42,L195)),2)</f>
        <v>507.5</v>
      </c>
      <c r="U195" s="29" t="s">
        <v>178</v>
      </c>
      <c r="V195" s="14">
        <f>ROUND((IF(Q195=1,INDEX(新属性投放!$K$14:$K$34,卡牌属性!R195),INDEX(新属性投放!$K$42:$K$62,卡牌属性!R195))+IF(Q195=1,INDEX(新属性投放!S$20:S$23,卡牌属性!M195-1),INDEX(新属性投放!S$25:S$28,卡牌属性!M195-1)))*INDEX($G$5:$G$42,L195),2)</f>
        <v>154.69999999999999</v>
      </c>
      <c r="W195" s="29" t="s">
        <v>179</v>
      </c>
      <c r="X195" s="14">
        <f>ROUND((IF(Q195=1,INDEX(新属性投放!$L$14:$L$34,卡牌属性!R195),INDEX(新属性投放!$L$42:$L$62,卡牌属性!R195))*INDEX($G$5:$G$42,L195)+IF(Q195=1,INDEX(新属性投放!T$20:T$23,卡牌属性!M195-1),INDEX(新属性投放!T$25:T$28,卡牌属性!M195-1)))*SQRT(INDEX($I$5:$I$42,L195)),2)</f>
        <v>1952.5</v>
      </c>
      <c r="Y195" s="29" t="s">
        <v>177</v>
      </c>
      <c r="Z195" s="14">
        <f>ROUND(IF(Q195=1,INDEX(新属性投放!$D$14:$D$34,卡牌属性!R195),INDEX(新属性投放!$D$42:$D$62,卡牌属性!R195))*INDEX($G$5:$G$42,L195)/SQRT(INDEX($I$5:$I$42,L195)),2)</f>
        <v>19.5</v>
      </c>
      <c r="AA195" s="29" t="s">
        <v>178</v>
      </c>
      <c r="AB195" s="14">
        <f>ROUND(IF(Q195=1,INDEX(新属性投放!$E$14:$E$34,卡牌属性!R195),INDEX(新属性投放!$E$42:$E$62,卡牌属性!R195))*INDEX($G$5:$G$42,L195),2)</f>
        <v>9.75</v>
      </c>
      <c r="AC195" s="29" t="s">
        <v>179</v>
      </c>
      <c r="AD195" s="14">
        <f>ROUND(IF(Q195=1,INDEX(新属性投放!$F$14:$F$34,卡牌属性!R195),INDEX(新属性投放!$F$42:$F$62,卡牌属性!R195))*INDEX($G$5:$G$42,L195)*SQRT(INDEX($I$5:$I$42,L195)),2)</f>
        <v>58.5</v>
      </c>
      <c r="AF195" s="14">
        <f t="shared" si="45"/>
        <v>195</v>
      </c>
      <c r="AG195" s="14">
        <f t="shared" si="46"/>
        <v>97</v>
      </c>
      <c r="AH195" s="14">
        <f t="shared" si="47"/>
        <v>585</v>
      </c>
      <c r="AJ195" s="14">
        <f t="shared" si="54"/>
        <v>455</v>
      </c>
      <c r="AK195" s="14">
        <f t="shared" si="55"/>
        <v>227</v>
      </c>
      <c r="AL195" s="14">
        <f t="shared" si="56"/>
        <v>1365</v>
      </c>
    </row>
    <row r="196" spans="11:38" ht="16.5" x14ac:dyDescent="0.2">
      <c r="K196" s="13">
        <v>193</v>
      </c>
      <c r="L196" s="13">
        <f t="shared" si="39"/>
        <v>10</v>
      </c>
      <c r="M196" s="13">
        <f t="shared" si="40"/>
        <v>4</v>
      </c>
      <c r="N196" s="14">
        <f t="shared" si="41"/>
        <v>1101010</v>
      </c>
      <c r="O196" s="14" t="str">
        <f t="shared" si="42"/>
        <v>盖文4突</v>
      </c>
      <c r="P196" s="29" t="s">
        <v>341</v>
      </c>
      <c r="Q196" s="14">
        <f t="shared" si="43"/>
        <v>1</v>
      </c>
      <c r="R196" s="14">
        <f t="shared" si="44"/>
        <v>4</v>
      </c>
      <c r="S196" s="14" t="s">
        <v>39</v>
      </c>
      <c r="T196" s="14">
        <f>ROUND(((IF(Q196=1,INDEX(新属性投放!$J$14:$J$34,卡牌属性!R196),INDEX(新属性投放!$J$42:$J$62,卡牌属性!R196)))*INDEX($G$5:$G$42,L196)+IF(Q196=1,INDEX(新属性投放!R$20:R$23,卡牌属性!M196-1),INDEX(新属性投放!R$25:R$28,卡牌属性!M196-1)))/SQRT(INDEX($I$5:$I$42,L196)),2)</f>
        <v>751.9</v>
      </c>
      <c r="U196" s="29" t="s">
        <v>178</v>
      </c>
      <c r="V196" s="14">
        <f>ROUND((IF(Q196=1,INDEX(新属性投放!$K$14:$K$34,卡牌属性!R196),INDEX(新属性投放!$K$42:$K$62,卡牌属性!R196))+IF(Q196=1,INDEX(新属性投放!S$20:S$23,卡牌属性!M196-1),INDEX(新属性投放!S$25:S$28,卡牌属性!M196-1)))*INDEX($G$5:$G$42,L196),2)</f>
        <v>276.89999999999998</v>
      </c>
      <c r="W196" s="29" t="s">
        <v>179</v>
      </c>
      <c r="X196" s="14">
        <f>ROUND((IF(Q196=1,INDEX(新属性投放!$L$14:$L$34,卡牌属性!R196),INDEX(新属性投放!$L$42:$L$62,卡牌属性!R196))*INDEX($G$5:$G$42,L196)+IF(Q196=1,INDEX(新属性投放!T$20:T$23,卡牌属性!M196-1),INDEX(新属性投放!T$25:T$28,卡牌属性!M196-1)))*SQRT(INDEX($I$5:$I$42,L196)),2)</f>
        <v>2685.7</v>
      </c>
      <c r="Y196" s="29" t="s">
        <v>177</v>
      </c>
      <c r="Z196" s="14">
        <f>ROUND(IF(Q196=1,INDEX(新属性投放!$D$14:$D$34,卡牌属性!R196),INDEX(新属性投放!$D$42:$D$62,卡牌属性!R196))*INDEX($G$5:$G$42,L196)/SQRT(INDEX($I$5:$I$42,L196)),2)</f>
        <v>26</v>
      </c>
      <c r="AA196" s="29" t="s">
        <v>178</v>
      </c>
      <c r="AB196" s="14">
        <f>ROUND(IF(Q196=1,INDEX(新属性投放!$E$14:$E$34,卡牌属性!R196),INDEX(新属性投放!$E$42:$E$62,卡牌属性!R196))*INDEX($G$5:$G$42,L196),2)</f>
        <v>13</v>
      </c>
      <c r="AC196" s="29" t="s">
        <v>179</v>
      </c>
      <c r="AD196" s="14">
        <f>ROUND(IF(Q196=1,INDEX(新属性投放!$F$14:$F$34,卡牌属性!R196),INDEX(新属性投放!$F$42:$F$62,卡牌属性!R196))*INDEX($G$5:$G$42,L196)*SQRT(INDEX($I$5:$I$42,L196)),2)</f>
        <v>78</v>
      </c>
      <c r="AF196" s="14">
        <f t="shared" si="45"/>
        <v>260</v>
      </c>
      <c r="AG196" s="14">
        <f t="shared" si="46"/>
        <v>130</v>
      </c>
      <c r="AH196" s="14">
        <f t="shared" si="47"/>
        <v>780</v>
      </c>
      <c r="AJ196" s="14">
        <f t="shared" si="54"/>
        <v>715</v>
      </c>
      <c r="AK196" s="14">
        <f t="shared" si="55"/>
        <v>357</v>
      </c>
      <c r="AL196" s="14">
        <f t="shared" si="56"/>
        <v>2145</v>
      </c>
    </row>
    <row r="197" spans="11:38" ht="16.5" x14ac:dyDescent="0.2">
      <c r="K197" s="13">
        <v>194</v>
      </c>
      <c r="L197" s="13">
        <f t="shared" ref="L197:L260" si="57">MATCH(K197-1,$F$4:$F$41,1)</f>
        <v>10</v>
      </c>
      <c r="M197" s="13">
        <f t="shared" ref="M197:M260" si="58">INDEX($D$5:$D$42,L197)</f>
        <v>4</v>
      </c>
      <c r="N197" s="14">
        <f t="shared" ref="N197:N260" si="59">INDEX($A$4:$A$42,L197+1)</f>
        <v>1101010</v>
      </c>
      <c r="O197" s="14" t="str">
        <f t="shared" ref="O197:O260" si="60">INDEX($B$4:$B$42,MATCH(N197,$A$4:$A$42,0))&amp;R197&amp;"突"</f>
        <v>盖文5突</v>
      </c>
      <c r="P197" s="29" t="s">
        <v>341</v>
      </c>
      <c r="Q197" s="14">
        <f t="shared" ref="Q197:Q260" si="61">INDEX($C$4:$C$42,L197+1)</f>
        <v>1</v>
      </c>
      <c r="R197" s="14">
        <f t="shared" ref="R197:R260" si="62">K197-INDEX($F$4:$F$42,L197)</f>
        <v>5</v>
      </c>
      <c r="S197" s="14" t="s">
        <v>39</v>
      </c>
      <c r="T197" s="14">
        <f>ROUND(((IF(Q197=1,INDEX(新属性投放!$J$14:$J$34,卡牌属性!R197),INDEX(新属性投放!$J$42:$J$62,卡牌属性!R197)))*INDEX($G$5:$G$42,L197)+IF(Q197=1,INDEX(新属性投放!R$20:R$23,卡牌属性!M197-1),INDEX(新属性投放!R$25:R$28,卡牌属性!M197-1)))/SQRT(INDEX($I$5:$I$42,L197)),2)</f>
        <v>1076.9000000000001</v>
      </c>
      <c r="U197" s="29" t="s">
        <v>178</v>
      </c>
      <c r="V197" s="14">
        <f>ROUND((IF(Q197=1,INDEX(新属性投放!$K$14:$K$34,卡牌属性!R197),INDEX(新属性投放!$K$42:$K$62,卡牌属性!R197))+IF(Q197=1,INDEX(新属性投放!S$20:S$23,卡牌属性!M197-1),INDEX(新属性投放!S$25:S$28,卡牌属性!M197-1)))*INDEX($G$5:$G$42,L197),2)</f>
        <v>439.4</v>
      </c>
      <c r="W197" s="29" t="s">
        <v>179</v>
      </c>
      <c r="X197" s="14">
        <f>ROUND((IF(Q197=1,INDEX(新属性投放!$L$14:$L$34,卡牌属性!R197),INDEX(新属性投放!$L$42:$L$62,卡牌属性!R197))*INDEX($G$5:$G$42,L197)+IF(Q197=1,INDEX(新属性投放!T$20:T$23,卡牌属性!M197-1),INDEX(新属性投放!T$25:T$28,卡牌属性!M197-1)))*SQRT(INDEX($I$5:$I$42,L197)),2)</f>
        <v>3660.7</v>
      </c>
      <c r="Y197" s="29" t="s">
        <v>177</v>
      </c>
      <c r="Z197" s="14">
        <f>ROUND(IF(Q197=1,INDEX(新属性投放!$D$14:$D$34,卡牌属性!R197),INDEX(新属性投放!$D$42:$D$62,卡牌属性!R197))*INDEX($G$5:$G$42,L197)/SQRT(INDEX($I$5:$I$42,L197)),2)</f>
        <v>32.5</v>
      </c>
      <c r="AA197" s="29" t="s">
        <v>178</v>
      </c>
      <c r="AB197" s="14">
        <f>ROUND(IF(Q197=1,INDEX(新属性投放!$E$14:$E$34,卡牌属性!R197),INDEX(新属性投放!$E$42:$E$62,卡牌属性!R197))*INDEX($G$5:$G$42,L197),2)</f>
        <v>16.25</v>
      </c>
      <c r="AC197" s="29" t="s">
        <v>179</v>
      </c>
      <c r="AD197" s="14">
        <f>ROUND(IF(Q197=1,INDEX(新属性投放!$F$14:$F$34,卡牌属性!R197),INDEX(新属性投放!$F$42:$F$62,卡牌属性!R197))*INDEX($G$5:$G$42,L197)*SQRT(INDEX($I$5:$I$42,L197)),2)</f>
        <v>97.5</v>
      </c>
      <c r="AF197" s="14">
        <f t="shared" ref="AF197:AF260" si="63">INT(Z197*AF$2*10)</f>
        <v>325</v>
      </c>
      <c r="AG197" s="14">
        <f t="shared" ref="AG197:AG260" si="64">INT(AB197*AF$2*10)</f>
        <v>162</v>
      </c>
      <c r="AH197" s="14">
        <f t="shared" ref="AH197:AH260" si="65">INT(AD197*AF$2*10)</f>
        <v>975</v>
      </c>
      <c r="AJ197" s="14">
        <f t="shared" si="54"/>
        <v>1040</v>
      </c>
      <c r="AK197" s="14">
        <f t="shared" si="55"/>
        <v>519</v>
      </c>
      <c r="AL197" s="14">
        <f t="shared" si="56"/>
        <v>3120</v>
      </c>
    </row>
    <row r="198" spans="11:38" ht="16.5" x14ac:dyDescent="0.2">
      <c r="K198" s="13">
        <v>195</v>
      </c>
      <c r="L198" s="13">
        <f t="shared" si="57"/>
        <v>10</v>
      </c>
      <c r="M198" s="13">
        <f t="shared" si="58"/>
        <v>4</v>
      </c>
      <c r="N198" s="14">
        <f t="shared" si="59"/>
        <v>1101010</v>
      </c>
      <c r="O198" s="14" t="str">
        <f t="shared" si="60"/>
        <v>盖文6突</v>
      </c>
      <c r="P198" s="29" t="s">
        <v>341</v>
      </c>
      <c r="Q198" s="14">
        <f t="shared" si="61"/>
        <v>1</v>
      </c>
      <c r="R198" s="14">
        <f t="shared" si="62"/>
        <v>6</v>
      </c>
      <c r="S198" s="14" t="s">
        <v>39</v>
      </c>
      <c r="T198" s="14">
        <f>ROUND(((IF(Q198=1,INDEX(新属性投放!$J$14:$J$34,卡牌属性!R198),INDEX(新属性投放!$J$42:$J$62,卡牌属性!R198)))*INDEX($G$5:$G$42,L198)+IF(Q198=1,INDEX(新属性投放!R$20:R$23,卡牌属性!M198-1),INDEX(新属性投放!R$25:R$28,卡牌属性!M198-1)))/SQRT(INDEX($I$5:$I$42,L198)),2)</f>
        <v>1483.8</v>
      </c>
      <c r="U198" s="29" t="s">
        <v>178</v>
      </c>
      <c r="V198" s="14">
        <f>ROUND((IF(Q198=1,INDEX(新属性投放!$K$14:$K$34,卡牌属性!R198),INDEX(新属性投放!$K$42:$K$62,卡牌属性!R198))+IF(Q198=1,INDEX(新属性投放!S$20:S$23,卡牌属性!M198-1),INDEX(新属性投放!S$25:S$28,卡牌属性!M198-1)))*INDEX($G$5:$G$42,L198),2)</f>
        <v>642.20000000000005</v>
      </c>
      <c r="W198" s="29" t="s">
        <v>179</v>
      </c>
      <c r="X198" s="14">
        <f>ROUND((IF(Q198=1,INDEX(新属性投放!$L$14:$L$34,卡牌属性!R198),INDEX(新属性投放!$L$42:$L$62,卡牌属性!R198))*INDEX($G$5:$G$42,L198)+IF(Q198=1,INDEX(新属性投放!T$20:T$23,卡牌属性!M198-1),INDEX(新属性投放!T$25:T$28,卡牌属性!M198-1)))*SQRT(INDEX($I$5:$I$42,L198)),2)</f>
        <v>4881.3999999999996</v>
      </c>
      <c r="Y198" s="29" t="s">
        <v>177</v>
      </c>
      <c r="Z198" s="14">
        <f>ROUND(IF(Q198=1,INDEX(新属性投放!$D$14:$D$34,卡牌属性!R198),INDEX(新属性投放!$D$42:$D$62,卡牌属性!R198))*INDEX($G$5:$G$42,L198)/SQRT(INDEX($I$5:$I$42,L198)),2)</f>
        <v>39</v>
      </c>
      <c r="AA198" s="29" t="s">
        <v>178</v>
      </c>
      <c r="AB198" s="14">
        <f>ROUND(IF(Q198=1,INDEX(新属性投放!$E$14:$E$34,卡牌属性!R198),INDEX(新属性投放!$E$42:$E$62,卡牌属性!R198))*INDEX($G$5:$G$42,L198),2)</f>
        <v>19.5</v>
      </c>
      <c r="AC198" s="29" t="s">
        <v>179</v>
      </c>
      <c r="AD198" s="14">
        <f>ROUND(IF(Q198=1,INDEX(新属性投放!$F$14:$F$34,卡牌属性!R198),INDEX(新属性投放!$F$42:$F$62,卡牌属性!R198))*INDEX($G$5:$G$42,L198)*SQRT(INDEX($I$5:$I$42,L198)),2)</f>
        <v>117</v>
      </c>
      <c r="AF198" s="14">
        <f t="shared" si="63"/>
        <v>390</v>
      </c>
      <c r="AG198" s="14">
        <f t="shared" si="64"/>
        <v>195</v>
      </c>
      <c r="AH198" s="14">
        <f t="shared" si="65"/>
        <v>1170</v>
      </c>
      <c r="AJ198" s="14">
        <f t="shared" si="54"/>
        <v>1430</v>
      </c>
      <c r="AK198" s="14">
        <f t="shared" si="55"/>
        <v>714</v>
      </c>
      <c r="AL198" s="14">
        <f t="shared" si="56"/>
        <v>4290</v>
      </c>
    </row>
    <row r="199" spans="11:38" ht="16.5" x14ac:dyDescent="0.2">
      <c r="K199" s="13">
        <v>196</v>
      </c>
      <c r="L199" s="13">
        <f t="shared" si="57"/>
        <v>10</v>
      </c>
      <c r="M199" s="13">
        <f t="shared" si="58"/>
        <v>4</v>
      </c>
      <c r="N199" s="14">
        <f t="shared" si="59"/>
        <v>1101010</v>
      </c>
      <c r="O199" s="14" t="str">
        <f t="shared" si="60"/>
        <v>盖文7突</v>
      </c>
      <c r="P199" s="29" t="s">
        <v>341</v>
      </c>
      <c r="Q199" s="14">
        <f t="shared" si="61"/>
        <v>1</v>
      </c>
      <c r="R199" s="14">
        <f t="shared" si="62"/>
        <v>7</v>
      </c>
      <c r="S199" s="14" t="s">
        <v>39</v>
      </c>
      <c r="T199" s="14">
        <f>ROUND(((IF(Q199=1,INDEX(新属性投放!$J$14:$J$34,卡牌属性!R199),INDEX(新属性投放!$J$42:$J$62,卡牌属性!R199)))*INDEX($G$5:$G$42,L199)+IF(Q199=1,INDEX(新属性投放!R$20:R$23,卡牌属性!M199-1),INDEX(新属性投放!R$25:R$28,卡牌属性!M199-1)))/SQRT(INDEX($I$5:$I$42,L199)),2)</f>
        <v>1971.3</v>
      </c>
      <c r="U199" s="29" t="s">
        <v>178</v>
      </c>
      <c r="V199" s="14">
        <f>ROUND((IF(Q199=1,INDEX(新属性投放!$K$14:$K$34,卡牌属性!R199),INDEX(新属性投放!$K$42:$K$62,卡牌属性!R199))+IF(Q199=1,INDEX(新属性投放!S$20:S$23,卡牌属性!M199-1),INDEX(新属性投放!S$25:S$28,卡牌属性!M199-1)))*INDEX($G$5:$G$42,L199),2)</f>
        <v>886.6</v>
      </c>
      <c r="W199" s="29" t="s">
        <v>179</v>
      </c>
      <c r="X199" s="14">
        <f>ROUND((IF(Q199=1,INDEX(新属性投放!$L$14:$L$34,卡牌属性!R199),INDEX(新属性投放!$L$42:$L$62,卡牌属性!R199))*INDEX($G$5:$G$42,L199)+IF(Q199=1,INDEX(新属性投放!T$20:T$23,卡牌属性!M199-1),INDEX(新属性投放!T$25:T$28,卡牌属性!M199-1)))*SQRT(INDEX($I$5:$I$42,L199)),2)</f>
        <v>6343.9</v>
      </c>
      <c r="Y199" s="29" t="s">
        <v>177</v>
      </c>
      <c r="Z199" s="14">
        <f>ROUND(IF(Q199=1,INDEX(新属性投放!$D$14:$D$34,卡牌属性!R199),INDEX(新属性投放!$D$42:$D$62,卡牌属性!R199))*INDEX($G$5:$G$42,L199)/SQRT(INDEX($I$5:$I$42,L199)),2)</f>
        <v>45.5</v>
      </c>
      <c r="AA199" s="29" t="s">
        <v>178</v>
      </c>
      <c r="AB199" s="14">
        <f>ROUND(IF(Q199=1,INDEX(新属性投放!$E$14:$E$34,卡牌属性!R199),INDEX(新属性投放!$E$42:$E$62,卡牌属性!R199))*INDEX($G$5:$G$42,L199),2)</f>
        <v>22.75</v>
      </c>
      <c r="AC199" s="29" t="s">
        <v>179</v>
      </c>
      <c r="AD199" s="14">
        <f>ROUND(IF(Q199=1,INDEX(新属性投放!$F$14:$F$34,卡牌属性!R199),INDEX(新属性投放!$F$42:$F$62,卡牌属性!R199))*INDEX($G$5:$G$42,L199)*SQRT(INDEX($I$5:$I$42,L199)),2)</f>
        <v>136.5</v>
      </c>
      <c r="AF199" s="14">
        <f t="shared" si="63"/>
        <v>455</v>
      </c>
      <c r="AG199" s="14">
        <f t="shared" si="64"/>
        <v>227</v>
      </c>
      <c r="AH199" s="14">
        <f t="shared" si="65"/>
        <v>1365</v>
      </c>
      <c r="AJ199" s="14">
        <f t="shared" si="54"/>
        <v>1885</v>
      </c>
      <c r="AK199" s="14">
        <f t="shared" si="55"/>
        <v>941</v>
      </c>
      <c r="AL199" s="14">
        <f t="shared" si="56"/>
        <v>5655</v>
      </c>
    </row>
    <row r="200" spans="11:38" ht="16.5" x14ac:dyDescent="0.2">
      <c r="K200" s="13">
        <v>197</v>
      </c>
      <c r="L200" s="13">
        <f t="shared" si="57"/>
        <v>10</v>
      </c>
      <c r="M200" s="13">
        <f t="shared" si="58"/>
        <v>4</v>
      </c>
      <c r="N200" s="14">
        <f t="shared" si="59"/>
        <v>1101010</v>
      </c>
      <c r="O200" s="14" t="str">
        <f t="shared" si="60"/>
        <v>盖文8突</v>
      </c>
      <c r="P200" s="29" t="s">
        <v>341</v>
      </c>
      <c r="Q200" s="14">
        <f t="shared" si="61"/>
        <v>1</v>
      </c>
      <c r="R200" s="14">
        <f t="shared" si="62"/>
        <v>8</v>
      </c>
      <c r="S200" s="14" t="s">
        <v>39</v>
      </c>
      <c r="T200" s="14">
        <f>ROUND(((IF(Q200=1,INDEX(新属性投放!$J$14:$J$34,卡牌属性!R200),INDEX(新属性投放!$J$42:$J$62,卡牌属性!R200)))*INDEX($G$5:$G$42,L200)+IF(Q200=1,INDEX(新属性投放!R$20:R$23,卡牌属性!M200-1),INDEX(新属性投放!R$25:R$28,卡牌属性!M200-1)))/SQRT(INDEX($I$5:$I$42,L200)),2)</f>
        <v>2540.6999999999998</v>
      </c>
      <c r="U200" s="29" t="s">
        <v>178</v>
      </c>
      <c r="V200" s="14">
        <f>ROUND((IF(Q200=1,INDEX(新属性投放!$K$14:$K$34,卡牌属性!R200),INDEX(新属性投放!$K$42:$K$62,卡牌属性!R200))+IF(Q200=1,INDEX(新属性投放!S$20:S$23,卡牌属性!M200-1),INDEX(新属性投放!S$25:S$28,卡牌属性!M200-1)))*INDEX($G$5:$G$42,L200),2)</f>
        <v>1171.3</v>
      </c>
      <c r="W200" s="29" t="s">
        <v>179</v>
      </c>
      <c r="X200" s="14">
        <f>ROUND((IF(Q200=1,INDEX(新属性投放!$L$14:$L$34,卡牌属性!R200),INDEX(新属性投放!$L$42:$L$62,卡牌属性!R200))*INDEX($G$5:$G$42,L200)+IF(Q200=1,INDEX(新属性投放!T$20:T$23,卡牌属性!M200-1),INDEX(新属性投放!T$25:T$28,卡牌属性!M200-1)))*SQRT(INDEX($I$5:$I$42,L200)),2)</f>
        <v>8052.1</v>
      </c>
      <c r="Y200" s="29" t="s">
        <v>177</v>
      </c>
      <c r="Z200" s="14">
        <f>ROUND(IF(Q200=1,INDEX(新属性投放!$D$14:$D$34,卡牌属性!R200),INDEX(新属性投放!$D$42:$D$62,卡牌属性!R200))*INDEX($G$5:$G$42,L200)/SQRT(INDEX($I$5:$I$42,L200)),2)</f>
        <v>58.5</v>
      </c>
      <c r="AA200" s="29" t="s">
        <v>178</v>
      </c>
      <c r="AB200" s="14">
        <f>ROUND(IF(Q200=1,INDEX(新属性投放!$E$14:$E$34,卡牌属性!R200),INDEX(新属性投放!$E$42:$E$62,卡牌属性!R200))*INDEX($G$5:$G$42,L200),2)</f>
        <v>29.25</v>
      </c>
      <c r="AC200" s="29" t="s">
        <v>179</v>
      </c>
      <c r="AD200" s="14">
        <f>ROUND(IF(Q200=1,INDEX(新属性投放!$F$14:$F$34,卡牌属性!R200),INDEX(新属性投放!$F$42:$F$62,卡牌属性!R200))*INDEX($G$5:$G$42,L200)*SQRT(INDEX($I$5:$I$42,L200)),2)</f>
        <v>175.5</v>
      </c>
      <c r="AF200" s="14">
        <f t="shared" si="63"/>
        <v>585</v>
      </c>
      <c r="AG200" s="14">
        <f t="shared" si="64"/>
        <v>292</v>
      </c>
      <c r="AH200" s="14">
        <f t="shared" si="65"/>
        <v>1755</v>
      </c>
      <c r="AJ200" s="14">
        <f t="shared" si="54"/>
        <v>2470</v>
      </c>
      <c r="AK200" s="14">
        <f t="shared" si="55"/>
        <v>1233</v>
      </c>
      <c r="AL200" s="14">
        <f t="shared" si="56"/>
        <v>7410</v>
      </c>
    </row>
    <row r="201" spans="11:38" ht="16.5" x14ac:dyDescent="0.2">
      <c r="K201" s="13">
        <v>198</v>
      </c>
      <c r="L201" s="13">
        <f t="shared" si="57"/>
        <v>10</v>
      </c>
      <c r="M201" s="13">
        <f t="shared" si="58"/>
        <v>4</v>
      </c>
      <c r="N201" s="14">
        <f t="shared" si="59"/>
        <v>1101010</v>
      </c>
      <c r="O201" s="14" t="str">
        <f t="shared" si="60"/>
        <v>盖文9突</v>
      </c>
      <c r="P201" s="29" t="s">
        <v>341</v>
      </c>
      <c r="Q201" s="14">
        <f t="shared" si="61"/>
        <v>1</v>
      </c>
      <c r="R201" s="14">
        <f t="shared" si="62"/>
        <v>9</v>
      </c>
      <c r="S201" s="14" t="s">
        <v>39</v>
      </c>
      <c r="T201" s="14">
        <f>ROUND(((IF(Q201=1,INDEX(新属性投放!$J$14:$J$34,卡牌属性!R201),INDEX(新属性投放!$J$42:$J$62,卡牌属性!R201)))*INDEX($G$5:$G$42,L201)+IF(Q201=1,INDEX(新属性投放!R$20:R$23,卡牌属性!M201-1),INDEX(新属性投放!R$25:R$28,卡牌属性!M201-1)))/SQRT(INDEX($I$5:$I$42,L201)),2)</f>
        <v>3272.6</v>
      </c>
      <c r="U201" s="29" t="s">
        <v>178</v>
      </c>
      <c r="V201" s="14">
        <f>ROUND((IF(Q201=1,INDEX(新属性投放!$K$14:$K$34,卡牌属性!R201),INDEX(新属性投放!$K$42:$K$62,卡牌属性!R201))+IF(Q201=1,INDEX(新属性投放!S$20:S$23,卡牌属性!M201-1),INDEX(新属性投放!S$25:S$28,卡牌属性!M201-1)))*INDEX($G$5:$G$42,L201),2)</f>
        <v>1536.6</v>
      </c>
      <c r="W201" s="29" t="s">
        <v>179</v>
      </c>
      <c r="X201" s="14">
        <f>ROUND((IF(Q201=1,INDEX(新属性投放!$L$14:$L$34,卡牌属性!R201),INDEX(新属性投放!$L$42:$L$62,卡牌属性!R201))*INDEX($G$5:$G$42,L201)+IF(Q201=1,INDEX(新属性投放!T$20:T$23,卡牌属性!M201-1),INDEX(新属性投放!T$25:T$28,卡牌属性!M201-1)))*SQRT(INDEX($I$5:$I$42,L201)),2)</f>
        <v>10247.799999999999</v>
      </c>
      <c r="Y201" s="29" t="s">
        <v>177</v>
      </c>
      <c r="Z201" s="14">
        <f>ROUND(IF(Q201=1,INDEX(新属性投放!$D$14:$D$34,卡牌属性!R201),INDEX(新属性投放!$D$42:$D$62,卡牌属性!R201))*INDEX($G$5:$G$42,L201)/SQRT(INDEX($I$5:$I$42,L201)),2)</f>
        <v>78.069999999999993</v>
      </c>
      <c r="AA201" s="29" t="s">
        <v>178</v>
      </c>
      <c r="AB201" s="14">
        <f>ROUND(IF(Q201=1,INDEX(新属性投放!$E$14:$E$34,卡牌属性!R201),INDEX(新属性投放!$E$42:$E$62,卡牌属性!R201))*INDEX($G$5:$G$42,L201),2)</f>
        <v>39.03</v>
      </c>
      <c r="AC201" s="29" t="s">
        <v>179</v>
      </c>
      <c r="AD201" s="14">
        <f>ROUND(IF(Q201=1,INDEX(新属性投放!$F$14:$F$34,卡牌属性!R201),INDEX(新属性投放!$F$42:$F$62,卡牌属性!R201))*INDEX($G$5:$G$42,L201)*SQRT(INDEX($I$5:$I$42,L201)),2)</f>
        <v>234.2</v>
      </c>
      <c r="AF201" s="14">
        <f t="shared" si="63"/>
        <v>780</v>
      </c>
      <c r="AG201" s="14">
        <f t="shared" si="64"/>
        <v>390</v>
      </c>
      <c r="AH201" s="14">
        <f t="shared" si="65"/>
        <v>2342</v>
      </c>
      <c r="AJ201" s="14">
        <f t="shared" si="54"/>
        <v>3250</v>
      </c>
      <c r="AK201" s="14">
        <f t="shared" si="55"/>
        <v>1623</v>
      </c>
      <c r="AL201" s="14">
        <f t="shared" si="56"/>
        <v>9752</v>
      </c>
    </row>
    <row r="202" spans="11:38" ht="16.5" x14ac:dyDescent="0.2">
      <c r="K202" s="13">
        <v>199</v>
      </c>
      <c r="L202" s="13">
        <f t="shared" si="57"/>
        <v>10</v>
      </c>
      <c r="M202" s="13">
        <f t="shared" si="58"/>
        <v>4</v>
      </c>
      <c r="N202" s="14">
        <f t="shared" si="59"/>
        <v>1101010</v>
      </c>
      <c r="O202" s="14" t="str">
        <f t="shared" si="60"/>
        <v>盖文10突</v>
      </c>
      <c r="P202" s="29" t="s">
        <v>341</v>
      </c>
      <c r="Q202" s="14">
        <f t="shared" si="61"/>
        <v>1</v>
      </c>
      <c r="R202" s="14">
        <f t="shared" si="62"/>
        <v>10</v>
      </c>
      <c r="S202" s="14" t="s">
        <v>39</v>
      </c>
      <c r="T202" s="14">
        <f>ROUND(((IF(Q202=1,INDEX(新属性投放!$J$14:$J$34,卡牌属性!R202),INDEX(新属性投放!$J$42:$J$62,卡牌属性!R202)))*INDEX($G$5:$G$42,L202)+IF(Q202=1,INDEX(新属性投放!R$20:R$23,卡牌属性!M202-1),INDEX(新属性投放!R$25:R$28,卡牌属性!M202-1)))/SQRT(INDEX($I$5:$I$42,L202)),2)</f>
        <v>4248.25</v>
      </c>
      <c r="U202" s="29" t="s">
        <v>178</v>
      </c>
      <c r="V202" s="14">
        <f>ROUND((IF(Q202=1,INDEX(新属性投放!$K$14:$K$34,卡牌属性!R202),INDEX(新属性投放!$K$42:$K$62,卡牌属性!R202))+IF(Q202=1,INDEX(新属性投放!S$20:S$23,卡牌属性!M202-1),INDEX(新属性投放!S$25:S$28,卡牌属性!M202-1)))*INDEX($G$5:$G$42,L202),2)</f>
        <v>2024.43</v>
      </c>
      <c r="W202" s="29" t="s">
        <v>179</v>
      </c>
      <c r="X202" s="14">
        <f>ROUND((IF(Q202=1,INDEX(新属性投放!$L$14:$L$34,卡牌属性!R202),INDEX(新属性投放!$L$42:$L$62,卡牌属性!R202))*INDEX($G$5:$G$42,L202)+IF(Q202=1,INDEX(新属性投放!T$20:T$23,卡牌属性!M202-1),INDEX(新属性投放!T$25:T$28,卡牌属性!M202-1)))*SQRT(INDEX($I$5:$I$42,L202)),2)</f>
        <v>13174.75</v>
      </c>
      <c r="Y202" s="29" t="s">
        <v>177</v>
      </c>
      <c r="Z202" s="14">
        <f>ROUND(IF(Q202=1,INDEX(新属性投放!$D$14:$D$34,卡牌属性!R202),INDEX(新属性投放!$D$42:$D$62,卡牌属性!R202))*INDEX($G$5:$G$42,L202)/SQRT(INDEX($I$5:$I$42,L202)),2)</f>
        <v>102.05</v>
      </c>
      <c r="AA202" s="29" t="s">
        <v>178</v>
      </c>
      <c r="AB202" s="14">
        <f>ROUND(IF(Q202=1,INDEX(新属性投放!$E$14:$E$34,卡牌属性!R202),INDEX(新属性投放!$E$42:$E$62,卡牌属性!R202))*INDEX($G$5:$G$42,L202),2)</f>
        <v>51.03</v>
      </c>
      <c r="AC202" s="29" t="s">
        <v>179</v>
      </c>
      <c r="AD202" s="14">
        <f>ROUND(IF(Q202=1,INDEX(新属性投放!$F$14:$F$34,卡牌属性!R202),INDEX(新属性投放!$F$42:$F$62,卡牌属性!R202))*INDEX($G$5:$G$42,L202)*SQRT(INDEX($I$5:$I$42,L202)),2)</f>
        <v>306.14999999999998</v>
      </c>
      <c r="AF202" s="14">
        <f t="shared" si="63"/>
        <v>1020</v>
      </c>
      <c r="AG202" s="14">
        <f t="shared" si="64"/>
        <v>510</v>
      </c>
      <c r="AH202" s="14">
        <f t="shared" si="65"/>
        <v>3061</v>
      </c>
      <c r="AJ202" s="14">
        <f t="shared" si="54"/>
        <v>4270</v>
      </c>
      <c r="AK202" s="14">
        <f t="shared" si="55"/>
        <v>2133</v>
      </c>
      <c r="AL202" s="14">
        <f t="shared" si="56"/>
        <v>12813</v>
      </c>
    </row>
    <row r="203" spans="11:38" ht="16.5" x14ac:dyDescent="0.2">
      <c r="K203" s="13">
        <v>200</v>
      </c>
      <c r="L203" s="13">
        <f t="shared" si="57"/>
        <v>10</v>
      </c>
      <c r="M203" s="13">
        <f t="shared" si="58"/>
        <v>4</v>
      </c>
      <c r="N203" s="14">
        <f t="shared" si="59"/>
        <v>1101010</v>
      </c>
      <c r="O203" s="14" t="str">
        <f t="shared" si="60"/>
        <v>盖文11突</v>
      </c>
      <c r="P203" s="29" t="s">
        <v>341</v>
      </c>
      <c r="Q203" s="14">
        <f t="shared" si="61"/>
        <v>1</v>
      </c>
      <c r="R203" s="14">
        <f t="shared" si="62"/>
        <v>11</v>
      </c>
      <c r="S203" s="14" t="s">
        <v>39</v>
      </c>
      <c r="T203" s="14">
        <f>ROUND(((IF(Q203=1,INDEX(新属性投放!$J$14:$J$34,卡牌属性!R203),INDEX(新属性投放!$J$42:$J$62,卡牌属性!R203)))*INDEX($G$5:$G$42,L203)+IF(Q203=1,INDEX(新属性投放!R$20:R$23,卡牌属性!M203-1),INDEX(新属性投放!R$25:R$28,卡牌属性!M203-1)))/SQRT(INDEX($I$5:$I$42,L203)),2)</f>
        <v>5523.55</v>
      </c>
      <c r="U203" s="29" t="s">
        <v>178</v>
      </c>
      <c r="V203" s="14">
        <f>ROUND((IF(Q203=1,INDEX(新属性投放!$K$14:$K$34,卡牌属性!R203),INDEX(新属性投放!$K$42:$K$62,卡牌属性!R203))+IF(Q203=1,INDEX(新属性投放!S$20:S$23,卡牌属性!M203-1),INDEX(新属性投放!S$25:S$28,卡牌属性!M203-1)))*INDEX($G$5:$G$42,L203),2)</f>
        <v>2662.08</v>
      </c>
      <c r="W203" s="29" t="s">
        <v>179</v>
      </c>
      <c r="X203" s="14">
        <f>ROUND((IF(Q203=1,INDEX(新属性投放!$L$14:$L$34,卡牌属性!R203),INDEX(新属性投放!$L$42:$L$62,卡牌属性!R203))*INDEX($G$5:$G$42,L203)+IF(Q203=1,INDEX(新属性投放!T$20:T$23,卡牌属性!M203-1),INDEX(新属性投放!T$25:T$28,卡牌属性!M203-1)))*SQRT(INDEX($I$5:$I$42,L203)),2)</f>
        <v>17000.650000000001</v>
      </c>
      <c r="Y203" s="29" t="s">
        <v>177</v>
      </c>
      <c r="Z203" s="14">
        <f>ROUND(IF(Q203=1,INDEX(新属性投放!$D$14:$D$34,卡牌属性!R203),INDEX(新属性投放!$D$42:$D$62,卡牌属性!R203))*INDEX($G$5:$G$42,L203)/SQRT(INDEX($I$5:$I$42,L203)),2)</f>
        <v>134.34</v>
      </c>
      <c r="AA203" s="29" t="s">
        <v>178</v>
      </c>
      <c r="AB203" s="14">
        <f>ROUND(IF(Q203=1,INDEX(新属性投放!$E$14:$E$34,卡牌属性!R203),INDEX(新属性投放!$E$42:$E$62,卡牌属性!R203))*INDEX($G$5:$G$42,L203),2)</f>
        <v>67.17</v>
      </c>
      <c r="AC203" s="29" t="s">
        <v>179</v>
      </c>
      <c r="AD203" s="14">
        <f>ROUND(IF(Q203=1,INDEX(新属性投放!$F$14:$F$34,卡牌属性!R203),INDEX(新属性投放!$F$42:$F$62,卡牌属性!R203))*INDEX($G$5:$G$42,L203)*SQRT(INDEX($I$5:$I$42,L203)),2)</f>
        <v>403.03</v>
      </c>
      <c r="AF203" s="14">
        <f t="shared" si="63"/>
        <v>1343</v>
      </c>
      <c r="AG203" s="14">
        <f t="shared" si="64"/>
        <v>671</v>
      </c>
      <c r="AH203" s="14">
        <f t="shared" si="65"/>
        <v>4030</v>
      </c>
      <c r="AJ203" s="14">
        <f t="shared" si="54"/>
        <v>5613</v>
      </c>
      <c r="AK203" s="14">
        <f t="shared" si="55"/>
        <v>2804</v>
      </c>
      <c r="AL203" s="14">
        <f t="shared" si="56"/>
        <v>16843</v>
      </c>
    </row>
    <row r="204" spans="11:38" ht="16.5" x14ac:dyDescent="0.2">
      <c r="K204" s="13">
        <v>201</v>
      </c>
      <c r="L204" s="13">
        <f t="shared" si="57"/>
        <v>10</v>
      </c>
      <c r="M204" s="13">
        <f t="shared" si="58"/>
        <v>4</v>
      </c>
      <c r="N204" s="14">
        <f t="shared" si="59"/>
        <v>1101010</v>
      </c>
      <c r="O204" s="14" t="str">
        <f t="shared" si="60"/>
        <v>盖文12突</v>
      </c>
      <c r="P204" s="29" t="s">
        <v>341</v>
      </c>
      <c r="Q204" s="14">
        <f t="shared" si="61"/>
        <v>1</v>
      </c>
      <c r="R204" s="14">
        <f t="shared" si="62"/>
        <v>12</v>
      </c>
      <c r="S204" s="14" t="s">
        <v>39</v>
      </c>
      <c r="T204" s="14">
        <f>ROUND(((IF(Q204=1,INDEX(新属性投放!$J$14:$J$34,卡牌属性!R204),INDEX(新属性投放!$J$42:$J$62,卡牌属性!R204)))*INDEX($G$5:$G$42,L204)+IF(Q204=1,INDEX(新属性投放!R$20:R$23,卡牌属性!M204-1),INDEX(新属性投放!R$25:R$28,卡牌属性!M204-1)))/SQRT(INDEX($I$5:$I$42,L204)),2)</f>
        <v>7202.37</v>
      </c>
      <c r="U204" s="29" t="s">
        <v>178</v>
      </c>
      <c r="V204" s="14">
        <f>ROUND((IF(Q204=1,INDEX(新属性投放!$K$14:$K$34,卡牌属性!R204),INDEX(新属性投放!$K$42:$K$62,卡牌属性!R204))+IF(Q204=1,INDEX(新属性投放!S$20:S$23,卡牌属性!M204-1),INDEX(新属性投放!S$25:S$28,卡牌属性!M204-1)))*INDEX($G$5:$G$42,L204),2)</f>
        <v>3501.49</v>
      </c>
      <c r="W204" s="29" t="s">
        <v>179</v>
      </c>
      <c r="X204" s="14">
        <f>ROUND((IF(Q204=1,INDEX(新属性投放!$L$14:$L$34,卡牌属性!R204),INDEX(新属性投放!$L$42:$L$62,卡牌属性!R204))*INDEX($G$5:$G$42,L204)+IF(Q204=1,INDEX(新属性投放!T$20:T$23,卡牌属性!M204-1),INDEX(新属性投放!T$25:T$28,卡牌属性!M204-1)))*SQRT(INDEX($I$5:$I$42,L204)),2)</f>
        <v>22037.11</v>
      </c>
      <c r="Y204" s="29" t="s">
        <v>177</v>
      </c>
      <c r="Z204" s="14">
        <f>ROUND(IF(Q204=1,INDEX(新属性投放!$D$14:$D$34,卡牌属性!R204),INDEX(新属性投放!$D$42:$D$62,卡牌属性!R204))*INDEX($G$5:$G$42,L204)/SQRT(INDEX($I$5:$I$42,L204)),2)</f>
        <v>176.31</v>
      </c>
      <c r="AA204" s="29" t="s">
        <v>178</v>
      </c>
      <c r="AB204" s="14">
        <f>ROUND(IF(Q204=1,INDEX(新属性投放!$E$14:$E$34,卡牌属性!R204),INDEX(新属性投放!$E$42:$E$62,卡牌属性!R204))*INDEX($G$5:$G$42,L204),2)</f>
        <v>88.15</v>
      </c>
      <c r="AC204" s="29" t="s">
        <v>179</v>
      </c>
      <c r="AD204" s="14">
        <f>ROUND(IF(Q204=1,INDEX(新属性投放!$F$14:$F$34,卡牌属性!R204),INDEX(新属性投放!$F$42:$F$62,卡牌属性!R204))*INDEX($G$5:$G$42,L204)*SQRT(INDEX($I$5:$I$42,L204)),2)</f>
        <v>528.91999999999996</v>
      </c>
      <c r="AF204" s="14">
        <f t="shared" si="63"/>
        <v>1763</v>
      </c>
      <c r="AG204" s="14">
        <f t="shared" si="64"/>
        <v>881</v>
      </c>
      <c r="AH204" s="14">
        <f t="shared" si="65"/>
        <v>5289</v>
      </c>
      <c r="AJ204" s="14">
        <f t="shared" si="54"/>
        <v>7376</v>
      </c>
      <c r="AK204" s="14">
        <f t="shared" si="55"/>
        <v>3685</v>
      </c>
      <c r="AL204" s="14">
        <f t="shared" si="56"/>
        <v>22132</v>
      </c>
    </row>
    <row r="205" spans="11:38" ht="16.5" x14ac:dyDescent="0.2">
      <c r="K205" s="13">
        <v>202</v>
      </c>
      <c r="L205" s="13">
        <f t="shared" si="57"/>
        <v>10</v>
      </c>
      <c r="M205" s="13">
        <f t="shared" si="58"/>
        <v>4</v>
      </c>
      <c r="N205" s="14">
        <f t="shared" si="59"/>
        <v>1101010</v>
      </c>
      <c r="O205" s="14" t="str">
        <f t="shared" si="60"/>
        <v>盖文13突</v>
      </c>
      <c r="P205" s="29" t="s">
        <v>341</v>
      </c>
      <c r="Q205" s="14">
        <f t="shared" si="61"/>
        <v>1</v>
      </c>
      <c r="R205" s="14">
        <f t="shared" si="62"/>
        <v>13</v>
      </c>
      <c r="S205" s="14" t="s">
        <v>39</v>
      </c>
      <c r="T205" s="14">
        <f>ROUND(((IF(Q205=1,INDEX(新属性投放!$J$14:$J$34,卡牌属性!R205),INDEX(新属性投放!$J$42:$J$62,卡牌属性!R205)))*INDEX($G$5:$G$42,L205)+IF(Q205=1,INDEX(新属性投放!R$20:R$23,卡牌属性!M205-1),INDEX(新属性投放!R$25:R$28,卡牌属性!M205-1)))/SQRT(INDEX($I$5:$I$42,L205)),2)</f>
        <v>9406.1299999999992</v>
      </c>
      <c r="U205" s="29" t="s">
        <v>178</v>
      </c>
      <c r="V205" s="14">
        <f>ROUND((IF(Q205=1,INDEX(新属性投放!$K$14:$K$34,卡牌属性!R205),INDEX(新属性投放!$K$42:$K$62,卡牌属性!R205))+IF(Q205=1,INDEX(新属性投放!S$20:S$23,卡牌属性!M205-1),INDEX(新属性投放!S$25:S$28,卡牌属性!M205-1)))*INDEX($G$5:$G$42,L205),2)</f>
        <v>4604.0200000000004</v>
      </c>
      <c r="W205" s="29" t="s">
        <v>179</v>
      </c>
      <c r="X205" s="14">
        <f>ROUND((IF(Q205=1,INDEX(新属性投放!$L$14:$L$34,卡牌属性!R205),INDEX(新属性投放!$L$42:$L$62,卡牌属性!R205))*INDEX($G$5:$G$42,L205)+IF(Q205=1,INDEX(新属性投放!T$20:T$23,卡牌属性!M205-1),INDEX(新属性投放!T$25:T$28,卡牌属性!M205-1)))*SQRT(INDEX($I$5:$I$42,L205)),2)</f>
        <v>28648.39</v>
      </c>
      <c r="Y205" s="29" t="s">
        <v>177</v>
      </c>
      <c r="Z205" s="14">
        <f>ROUND(IF(Q205=1,INDEX(新属性投放!$D$14:$D$34,卡牌属性!R205),INDEX(新属性投放!$D$42:$D$62,卡牌属性!R205))*INDEX($G$5:$G$42,L205)/SQRT(INDEX($I$5:$I$42,L205)),2)</f>
        <v>231.4</v>
      </c>
      <c r="AA205" s="29" t="s">
        <v>178</v>
      </c>
      <c r="AB205" s="14">
        <f>ROUND(IF(Q205=1,INDEX(新属性投放!$E$14:$E$34,卡牌属性!R205),INDEX(新属性投放!$E$42:$E$62,卡牌属性!R205))*INDEX($G$5:$G$42,L205),2)</f>
        <v>115.7</v>
      </c>
      <c r="AC205" s="29" t="s">
        <v>179</v>
      </c>
      <c r="AD205" s="14">
        <f>ROUND(IF(Q205=1,INDEX(新属性投放!$F$14:$F$34,卡牌属性!R205),INDEX(新属性投放!$F$42:$F$62,卡牌属性!R205))*INDEX($G$5:$G$42,L205)*SQRT(INDEX($I$5:$I$42,L205)),2)</f>
        <v>694.2</v>
      </c>
      <c r="AF205" s="14">
        <f t="shared" si="63"/>
        <v>2314</v>
      </c>
      <c r="AG205" s="14">
        <f t="shared" si="64"/>
        <v>1157</v>
      </c>
      <c r="AH205" s="14">
        <f t="shared" si="65"/>
        <v>6942</v>
      </c>
      <c r="AJ205" s="14">
        <f t="shared" si="54"/>
        <v>9690</v>
      </c>
      <c r="AK205" s="14">
        <f t="shared" si="55"/>
        <v>4842</v>
      </c>
      <c r="AL205" s="14">
        <f t="shared" si="56"/>
        <v>29074</v>
      </c>
    </row>
    <row r="206" spans="11:38" ht="16.5" x14ac:dyDescent="0.2">
      <c r="K206" s="13">
        <v>203</v>
      </c>
      <c r="L206" s="13">
        <f t="shared" si="57"/>
        <v>10</v>
      </c>
      <c r="M206" s="13">
        <f t="shared" si="58"/>
        <v>4</v>
      </c>
      <c r="N206" s="14">
        <f t="shared" si="59"/>
        <v>1101010</v>
      </c>
      <c r="O206" s="14" t="str">
        <f t="shared" si="60"/>
        <v>盖文14突</v>
      </c>
      <c r="P206" s="29" t="s">
        <v>341</v>
      </c>
      <c r="Q206" s="14">
        <f t="shared" si="61"/>
        <v>1</v>
      </c>
      <c r="R206" s="14">
        <f t="shared" si="62"/>
        <v>14</v>
      </c>
      <c r="S206" s="14" t="s">
        <v>39</v>
      </c>
      <c r="T206" s="14">
        <f>ROUND(((IF(Q206=1,INDEX(新属性投放!$J$14:$J$34,卡牌属性!R206),INDEX(新属性投放!$J$42:$J$62,卡牌属性!R206)))*INDEX($G$5:$G$42,L206)+IF(Q206=1,INDEX(新属性投放!R$20:R$23,卡牌属性!M206-1),INDEX(新属性投放!R$25:R$28,卡牌属性!M206-1)))/SQRT(INDEX($I$5:$I$42,L206)),2)</f>
        <v>12298.63</v>
      </c>
      <c r="U206" s="29" t="s">
        <v>178</v>
      </c>
      <c r="V206" s="14">
        <f>ROUND((IF(Q206=1,INDEX(新属性投放!$K$14:$K$34,卡牌属性!R206),INDEX(新属性投放!$K$42:$K$62,卡牌属性!R206))+IF(Q206=1,INDEX(新属性投放!S$20:S$23,卡牌属性!M206-1),INDEX(新属性投放!S$25:S$28,卡牌属性!M206-1)))*INDEX($G$5:$G$42,L206),2)</f>
        <v>6050.92</v>
      </c>
      <c r="W206" s="29" t="s">
        <v>179</v>
      </c>
      <c r="X206" s="14">
        <f>ROUND((IF(Q206=1,INDEX(新属性投放!$L$14:$L$34,卡牌属性!R206),INDEX(新属性投放!$L$42:$L$62,卡牌属性!R206))*INDEX($G$5:$G$42,L206)+IF(Q206=1,INDEX(新属性投放!T$20:T$23,卡牌属性!M206-1),INDEX(新属性投放!T$25:T$28,卡牌属性!M206-1)))*SQRT(INDEX($I$5:$I$42,L206)),2)</f>
        <v>37325.89</v>
      </c>
      <c r="Y206" s="29" t="s">
        <v>177</v>
      </c>
      <c r="Z206" s="14">
        <f>ROUND(IF(Q206=1,INDEX(新属性投放!$D$14:$D$34,卡牌属性!R206),INDEX(新属性投放!$D$42:$D$62,卡牌属性!R206))*INDEX($G$5:$G$42,L206)/SQRT(INDEX($I$5:$I$42,L206)),2)</f>
        <v>303.72000000000003</v>
      </c>
      <c r="AA206" s="29" t="s">
        <v>178</v>
      </c>
      <c r="AB206" s="14">
        <f>ROUND(IF(Q206=1,INDEX(新属性投放!$E$14:$E$34,卡牌属性!R206),INDEX(新属性投放!$E$42:$E$62,卡牌属性!R206))*INDEX($G$5:$G$42,L206),2)</f>
        <v>151.86000000000001</v>
      </c>
      <c r="AC206" s="29" t="s">
        <v>179</v>
      </c>
      <c r="AD206" s="14">
        <f>ROUND(IF(Q206=1,INDEX(新属性投放!$F$14:$F$34,卡牌属性!R206),INDEX(新属性投放!$F$42:$F$62,卡牌属性!R206))*INDEX($G$5:$G$42,L206)*SQRT(INDEX($I$5:$I$42,L206)),2)</f>
        <v>911.16</v>
      </c>
      <c r="AF206" s="14">
        <f t="shared" si="63"/>
        <v>3037</v>
      </c>
      <c r="AG206" s="14">
        <f t="shared" si="64"/>
        <v>1518</v>
      </c>
      <c r="AH206" s="14">
        <f t="shared" si="65"/>
        <v>9111</v>
      </c>
      <c r="AJ206" s="14">
        <f t="shared" si="54"/>
        <v>12727</v>
      </c>
      <c r="AK206" s="14">
        <f t="shared" si="55"/>
        <v>6360</v>
      </c>
      <c r="AL206" s="14">
        <f t="shared" si="56"/>
        <v>38185</v>
      </c>
    </row>
    <row r="207" spans="11:38" ht="16.5" x14ac:dyDescent="0.2">
      <c r="K207" s="13">
        <v>204</v>
      </c>
      <c r="L207" s="13">
        <f t="shared" si="57"/>
        <v>10</v>
      </c>
      <c r="M207" s="13">
        <f t="shared" si="58"/>
        <v>4</v>
      </c>
      <c r="N207" s="14">
        <f t="shared" si="59"/>
        <v>1101010</v>
      </c>
      <c r="O207" s="14" t="str">
        <f t="shared" si="60"/>
        <v>盖文15突</v>
      </c>
      <c r="P207" s="29" t="s">
        <v>341</v>
      </c>
      <c r="Q207" s="14">
        <f t="shared" si="61"/>
        <v>1</v>
      </c>
      <c r="R207" s="14">
        <f t="shared" si="62"/>
        <v>15</v>
      </c>
      <c r="S207" s="14" t="s">
        <v>39</v>
      </c>
      <c r="T207" s="14">
        <f>ROUND(((IF(Q207=1,INDEX(新属性投放!$J$14:$J$34,卡牌属性!R207),INDEX(新属性投放!$J$42:$J$62,卡牌属性!R207)))*INDEX($G$5:$G$42,L207)+IF(Q207=1,INDEX(新属性投放!R$20:R$23,卡牌属性!M207-1),INDEX(新属性投放!R$25:R$28,卡牌属性!M207-1)))/SQRT(INDEX($I$5:$I$42,L207)),2)</f>
        <v>16095.02</v>
      </c>
      <c r="U207" s="29" t="s">
        <v>178</v>
      </c>
      <c r="V207" s="14">
        <f>ROUND((IF(Q207=1,INDEX(新属性投放!$K$14:$K$34,卡牌属性!R207),INDEX(新属性投放!$K$42:$K$62,卡牌属性!R207))+IF(Q207=1,INDEX(新属性投放!S$20:S$23,卡牌属性!M207-1),INDEX(新属性投放!S$25:S$28,卡牌属性!M207-1)))*INDEX($G$5:$G$42,L207),2)</f>
        <v>7949.11</v>
      </c>
      <c r="W207" s="29" t="s">
        <v>179</v>
      </c>
      <c r="X207" s="14">
        <f>ROUND((IF(Q207=1,INDEX(新属性投放!$L$14:$L$34,卡牌属性!R207),INDEX(新属性投放!$L$42:$L$62,卡牌属性!R207))*INDEX($G$5:$G$42,L207)+IF(Q207=1,INDEX(新属性投放!T$20:T$23,卡牌属性!M207-1),INDEX(新属性投放!T$25:T$28,卡牌属性!M207-1)))*SQRT(INDEX($I$5:$I$42,L207)),2)</f>
        <v>48715.06</v>
      </c>
      <c r="Y207" s="29" t="s">
        <v>177</v>
      </c>
      <c r="Z207" s="14">
        <f>ROUND(IF(Q207=1,INDEX(新属性投放!$D$14:$D$34,卡牌属性!R207),INDEX(新属性投放!$D$42:$D$62,卡牌属性!R207))*INDEX($G$5:$G$42,L207)/SQRT(INDEX($I$5:$I$42,L207)),2)</f>
        <v>398.63</v>
      </c>
      <c r="AA207" s="29" t="s">
        <v>178</v>
      </c>
      <c r="AB207" s="14">
        <f>ROUND(IF(Q207=1,INDEX(新属性投放!$E$14:$E$34,卡牌属性!R207),INDEX(新属性投放!$E$42:$E$62,卡牌属性!R207))*INDEX($G$5:$G$42,L207),2)</f>
        <v>199.32</v>
      </c>
      <c r="AC207" s="29" t="s">
        <v>179</v>
      </c>
      <c r="AD207" s="14">
        <f>ROUND(IF(Q207=1,INDEX(新属性投放!$F$14:$F$34,卡牌属性!R207),INDEX(新属性投放!$F$42:$F$62,卡牌属性!R207))*INDEX($G$5:$G$42,L207)*SQRT(INDEX($I$5:$I$42,L207)),2)</f>
        <v>1195.9000000000001</v>
      </c>
      <c r="AF207" s="14">
        <f t="shared" si="63"/>
        <v>3986</v>
      </c>
      <c r="AG207" s="14">
        <f t="shared" si="64"/>
        <v>1993</v>
      </c>
      <c r="AH207" s="14">
        <f t="shared" si="65"/>
        <v>11959</v>
      </c>
      <c r="AJ207" s="14">
        <f t="shared" si="54"/>
        <v>16713</v>
      </c>
      <c r="AK207" s="14">
        <f t="shared" si="55"/>
        <v>8353</v>
      </c>
      <c r="AL207" s="14">
        <f t="shared" si="56"/>
        <v>50144</v>
      </c>
    </row>
    <row r="208" spans="11:38" ht="16.5" x14ac:dyDescent="0.2">
      <c r="K208" s="13">
        <v>205</v>
      </c>
      <c r="L208" s="13">
        <f t="shared" si="57"/>
        <v>10</v>
      </c>
      <c r="M208" s="13">
        <f t="shared" si="58"/>
        <v>4</v>
      </c>
      <c r="N208" s="14">
        <f t="shared" si="59"/>
        <v>1101010</v>
      </c>
      <c r="O208" s="14" t="str">
        <f t="shared" si="60"/>
        <v>盖文16突</v>
      </c>
      <c r="P208" s="29" t="s">
        <v>341</v>
      </c>
      <c r="Q208" s="14">
        <f t="shared" si="61"/>
        <v>1</v>
      </c>
      <c r="R208" s="14">
        <f t="shared" si="62"/>
        <v>16</v>
      </c>
      <c r="S208" s="14" t="s">
        <v>39</v>
      </c>
      <c r="T208" s="14">
        <f>ROUND(((IF(Q208=1,INDEX(新属性投放!$J$14:$J$34,卡牌属性!R208),INDEX(新属性投放!$J$42:$J$62,卡牌属性!R208)))*INDEX($G$5:$G$42,L208)+IF(Q208=1,INDEX(新属性投放!R$20:R$23,卡牌属性!M208-1),INDEX(新属性投放!R$25:R$28,卡牌属性!M208-1)))/SQRT(INDEX($I$5:$I$42,L208)),2)</f>
        <v>21078.44</v>
      </c>
      <c r="U208" s="29" t="s">
        <v>178</v>
      </c>
      <c r="V208" s="14">
        <f>ROUND((IF(Q208=1,INDEX(新属性投放!$K$14:$K$34,卡牌属性!R208),INDEX(新属性投放!$K$42:$K$62,卡牌属性!R208))+IF(Q208=1,INDEX(新属性投放!S$20:S$23,卡牌属性!M208-1),INDEX(新属性投放!S$25:S$28,卡牌属性!M208-1)))*INDEX($G$5:$G$42,L208),2)</f>
        <v>10440.17</v>
      </c>
      <c r="W208" s="29" t="s">
        <v>179</v>
      </c>
      <c r="X208" s="14">
        <f>ROUND((IF(Q208=1,INDEX(新属性投放!$L$14:$L$34,卡牌属性!R208),INDEX(新属性投放!$L$42:$L$62,卡牌属性!R208))*INDEX($G$5:$G$42,L208)+IF(Q208=1,INDEX(新属性投放!T$20:T$23,卡牌属性!M208-1),INDEX(新属性投放!T$25:T$28,卡牌属性!M208-1)))*SQRT(INDEX($I$5:$I$42,L208)),2)</f>
        <v>63665.32</v>
      </c>
      <c r="Y208" s="29" t="s">
        <v>177</v>
      </c>
      <c r="Z208" s="14">
        <f>ROUND(IF(Q208=1,INDEX(新属性投放!$D$14:$D$34,卡牌属性!R208),INDEX(新属性投放!$D$42:$D$62,卡牌属性!R208))*INDEX($G$5:$G$42,L208)/SQRT(INDEX($I$5:$I$42,L208)),2)</f>
        <v>523.21</v>
      </c>
      <c r="AA208" s="29" t="s">
        <v>178</v>
      </c>
      <c r="AB208" s="14">
        <f>ROUND(IF(Q208=1,INDEX(新属性投放!$E$14:$E$34,卡牌属性!R208),INDEX(新属性投放!$E$42:$E$62,卡牌属性!R208))*INDEX($G$5:$G$42,L208),2)</f>
        <v>261.61</v>
      </c>
      <c r="AC208" s="29" t="s">
        <v>179</v>
      </c>
      <c r="AD208" s="14">
        <f>ROUND(IF(Q208=1,INDEX(新属性投放!$F$14:$F$34,卡牌属性!R208),INDEX(新属性投放!$F$42:$F$62,卡牌属性!R208))*INDEX($G$5:$G$42,L208)*SQRT(INDEX($I$5:$I$42,L208)),2)</f>
        <v>1569.63</v>
      </c>
      <c r="AF208" s="14">
        <f t="shared" si="63"/>
        <v>5232</v>
      </c>
      <c r="AG208" s="14">
        <f t="shared" si="64"/>
        <v>2616</v>
      </c>
      <c r="AH208" s="14">
        <f t="shared" si="65"/>
        <v>15696</v>
      </c>
      <c r="AJ208" s="14">
        <f t="shared" si="54"/>
        <v>21945</v>
      </c>
      <c r="AK208" s="14">
        <f t="shared" si="55"/>
        <v>10969</v>
      </c>
      <c r="AL208" s="14">
        <f t="shared" si="56"/>
        <v>65840</v>
      </c>
    </row>
    <row r="209" spans="11:38" ht="16.5" x14ac:dyDescent="0.2">
      <c r="K209" s="13">
        <v>206</v>
      </c>
      <c r="L209" s="13">
        <f t="shared" si="57"/>
        <v>10</v>
      </c>
      <c r="M209" s="13">
        <f t="shared" si="58"/>
        <v>4</v>
      </c>
      <c r="N209" s="14">
        <f t="shared" si="59"/>
        <v>1101010</v>
      </c>
      <c r="O209" s="14" t="str">
        <f t="shared" si="60"/>
        <v>盖文17突</v>
      </c>
      <c r="P209" s="29" t="s">
        <v>341</v>
      </c>
      <c r="Q209" s="14">
        <f t="shared" si="61"/>
        <v>1</v>
      </c>
      <c r="R209" s="14">
        <f t="shared" si="62"/>
        <v>17</v>
      </c>
      <c r="S209" s="14" t="s">
        <v>39</v>
      </c>
      <c r="T209" s="14">
        <f>ROUND(((IF(Q209=1,INDEX(新属性投放!$J$14:$J$34,卡牌属性!R209),INDEX(新属性投放!$J$42:$J$62,卡牌属性!R209)))*INDEX($G$5:$G$42,L209)+IF(Q209=1,INDEX(新属性投放!R$20:R$23,卡牌属性!M209-1),INDEX(新属性投放!R$25:R$28,卡牌属性!M209-1)))/SQRT(INDEX($I$5:$I$42,L209)),2)</f>
        <v>27618.35</v>
      </c>
      <c r="U209" s="29" t="s">
        <v>178</v>
      </c>
      <c r="V209" s="14">
        <f>ROUND((IF(Q209=1,INDEX(新属性投放!$K$14:$K$34,卡牌属性!R209),INDEX(新属性投放!$K$42:$K$62,卡牌属性!R209))+IF(Q209=1,INDEX(新属性投放!S$20:S$23,卡牌属性!M209-1),INDEX(新属性投放!S$25:S$28,卡牌属性!M209-1)))*INDEX($G$5:$G$42,L209),2)</f>
        <v>13710.13</v>
      </c>
      <c r="W209" s="29" t="s">
        <v>179</v>
      </c>
      <c r="X209" s="14">
        <f>ROUND((IF(Q209=1,INDEX(新属性投放!$L$14:$L$34,卡牌属性!R209),INDEX(新属性投放!$L$42:$L$62,卡牌属性!R209))*INDEX($G$5:$G$42,L209)+IF(Q209=1,INDEX(新属性投放!T$20:T$23,卡牌属性!M209-1),INDEX(新属性投放!T$25:T$28,卡牌属性!M209-1)))*SQRT(INDEX($I$5:$I$42,L209)),2)</f>
        <v>83285.05</v>
      </c>
      <c r="Y209" s="29" t="s">
        <v>177</v>
      </c>
      <c r="Z209" s="14">
        <f>ROUND(IF(Q209=1,INDEX(新属性投放!$D$14:$D$34,卡牌属性!R209),INDEX(新属性投放!$D$42:$D$62,卡牌属性!R209))*INDEX($G$5:$G$42,L209)/SQRT(INDEX($I$5:$I$42,L209)),2)</f>
        <v>686.71</v>
      </c>
      <c r="AA209" s="29" t="s">
        <v>178</v>
      </c>
      <c r="AB209" s="14">
        <f>ROUND(IF(Q209=1,INDEX(新属性投放!$E$14:$E$34,卡牌属性!R209),INDEX(新属性投放!$E$42:$E$62,卡牌属性!R209))*INDEX($G$5:$G$42,L209),2)</f>
        <v>343.36</v>
      </c>
      <c r="AC209" s="29" t="s">
        <v>179</v>
      </c>
      <c r="AD209" s="14">
        <f>ROUND(IF(Q209=1,INDEX(新属性投放!$F$14:$F$34,卡牌属性!R209),INDEX(新属性投放!$F$42:$F$62,卡牌属性!R209))*INDEX($G$5:$G$42,L209)*SQRT(INDEX($I$5:$I$42,L209)),2)</f>
        <v>2060.14</v>
      </c>
      <c r="AF209" s="14">
        <f t="shared" si="63"/>
        <v>6867</v>
      </c>
      <c r="AG209" s="14">
        <f t="shared" si="64"/>
        <v>3433</v>
      </c>
      <c r="AH209" s="14">
        <f t="shared" si="65"/>
        <v>20601</v>
      </c>
      <c r="AJ209" s="14">
        <f t="shared" si="54"/>
        <v>28812</v>
      </c>
      <c r="AK209" s="14">
        <f t="shared" si="55"/>
        <v>14402</v>
      </c>
      <c r="AL209" s="14">
        <f t="shared" si="56"/>
        <v>86441</v>
      </c>
    </row>
    <row r="210" spans="11:38" ht="16.5" x14ac:dyDescent="0.2">
      <c r="K210" s="13">
        <v>207</v>
      </c>
      <c r="L210" s="13">
        <f t="shared" si="57"/>
        <v>10</v>
      </c>
      <c r="M210" s="13">
        <f t="shared" si="58"/>
        <v>4</v>
      </c>
      <c r="N210" s="14">
        <f t="shared" si="59"/>
        <v>1101010</v>
      </c>
      <c r="O210" s="14" t="str">
        <f t="shared" si="60"/>
        <v>盖文18突</v>
      </c>
      <c r="P210" s="29" t="s">
        <v>341</v>
      </c>
      <c r="Q210" s="14">
        <f t="shared" si="61"/>
        <v>1</v>
      </c>
      <c r="R210" s="14">
        <f t="shared" si="62"/>
        <v>18</v>
      </c>
      <c r="S210" s="14" t="s">
        <v>39</v>
      </c>
      <c r="T210" s="14">
        <f>ROUND(((IF(Q210=1,INDEX(新属性投放!$J$14:$J$34,卡牌属性!R210),INDEX(新属性投放!$J$42:$J$62,卡牌属性!R210)))*INDEX($G$5:$G$42,L210)+IF(Q210=1,INDEX(新属性投放!R$20:R$23,卡牌属性!M210-1),INDEX(新属性投放!R$25:R$28,卡牌属性!M210-1)))/SQRT(INDEX($I$5:$I$42,L210)),2)</f>
        <v>36202.769999999997</v>
      </c>
      <c r="U210" s="29" t="s">
        <v>178</v>
      </c>
      <c r="V210" s="14">
        <f>ROUND((IF(Q210=1,INDEX(新属性投放!$K$14:$K$34,卡牌属性!R210),INDEX(新属性投放!$K$42:$K$62,卡牌属性!R210))+IF(Q210=1,INDEX(新属性投放!S$20:S$23,卡牌属性!M210-1),INDEX(新属性投放!S$25:S$28,卡牌属性!M210-1)))*INDEX($G$5:$G$42,L210),2)</f>
        <v>18001.689999999999</v>
      </c>
      <c r="W210" s="29" t="s">
        <v>179</v>
      </c>
      <c r="X210" s="14">
        <f>ROUND((IF(Q210=1,INDEX(新属性投放!$L$14:$L$34,卡牌属性!R210),INDEX(新属性投放!$L$42:$L$62,卡牌属性!R210))*INDEX($G$5:$G$42,L210)+IF(Q210=1,INDEX(新属性投放!T$20:T$23,卡牌属性!M210-1),INDEX(新属性投放!T$25:T$28,卡牌属性!M210-1)))*SQRT(INDEX($I$5:$I$42,L210)),2)</f>
        <v>109038.31</v>
      </c>
      <c r="Y210" s="29" t="s">
        <v>177</v>
      </c>
      <c r="Z210" s="14">
        <f>ROUND(IF(Q210=1,INDEX(新属性投放!$D$14:$D$34,卡牌属性!R210),INDEX(新属性投放!$D$42:$D$62,卡牌属性!R210))*INDEX($G$5:$G$42,L210)/SQRT(INDEX($I$5:$I$42,L210)),2)</f>
        <v>901.32</v>
      </c>
      <c r="AA210" s="29" t="s">
        <v>178</v>
      </c>
      <c r="AB210" s="14">
        <f>ROUND(IF(Q210=1,INDEX(新属性投放!$E$14:$E$34,卡牌属性!R210),INDEX(新属性投放!$E$42:$E$62,卡牌属性!R210))*INDEX($G$5:$G$42,L210),2)</f>
        <v>450.66</v>
      </c>
      <c r="AC210" s="29" t="s">
        <v>179</v>
      </c>
      <c r="AD210" s="14">
        <f>ROUND(IF(Q210=1,INDEX(新属性投放!$F$14:$F$34,卡牌属性!R210),INDEX(新属性投放!$F$42:$F$62,卡牌属性!R210))*INDEX($G$5:$G$42,L210)*SQRT(INDEX($I$5:$I$42,L210)),2)</f>
        <v>2703.95</v>
      </c>
      <c r="AF210" s="14">
        <f t="shared" si="63"/>
        <v>9013</v>
      </c>
      <c r="AG210" s="14">
        <f t="shared" si="64"/>
        <v>4506</v>
      </c>
      <c r="AH210" s="14">
        <f t="shared" si="65"/>
        <v>27039</v>
      </c>
      <c r="AJ210" s="14">
        <f t="shared" si="54"/>
        <v>37825</v>
      </c>
      <c r="AK210" s="14">
        <f t="shared" si="55"/>
        <v>18908</v>
      </c>
      <c r="AL210" s="14">
        <f t="shared" si="56"/>
        <v>113480</v>
      </c>
    </row>
    <row r="211" spans="11:38" ht="16.5" x14ac:dyDescent="0.2">
      <c r="K211" s="13">
        <v>208</v>
      </c>
      <c r="L211" s="13">
        <f t="shared" si="57"/>
        <v>10</v>
      </c>
      <c r="M211" s="13">
        <f t="shared" si="58"/>
        <v>4</v>
      </c>
      <c r="N211" s="14">
        <f t="shared" si="59"/>
        <v>1101010</v>
      </c>
      <c r="O211" s="14" t="str">
        <f t="shared" si="60"/>
        <v>盖文19突</v>
      </c>
      <c r="P211" s="29" t="s">
        <v>341</v>
      </c>
      <c r="Q211" s="14">
        <f t="shared" si="61"/>
        <v>1</v>
      </c>
      <c r="R211" s="14">
        <f t="shared" si="62"/>
        <v>19</v>
      </c>
      <c r="S211" s="14" t="s">
        <v>39</v>
      </c>
      <c r="T211" s="14">
        <f>ROUND(((IF(Q211=1,INDEX(新属性投放!$J$14:$J$34,卡牌属性!R211),INDEX(新属性投放!$J$42:$J$62,卡牌属性!R211)))*INDEX($G$5:$G$42,L211)+IF(Q211=1,INDEX(新属性投放!R$20:R$23,卡牌属性!M211-1),INDEX(新属性投放!R$25:R$28,卡牌属性!M211-1)))/SQRT(INDEX($I$5:$I$42,L211)),2)</f>
        <v>47468.83</v>
      </c>
      <c r="U211" s="29" t="s">
        <v>178</v>
      </c>
      <c r="V211" s="14">
        <f>ROUND((IF(Q211=1,INDEX(新属性投放!$K$14:$K$34,卡牌属性!R211),INDEX(新属性投放!$K$42:$K$62,卡牌属性!R211))+IF(Q211=1,INDEX(新属性投放!S$20:S$23,卡牌属性!M211-1),INDEX(新属性投放!S$25:S$28,卡牌属性!M211-1)))*INDEX($G$5:$G$42,L211),2)</f>
        <v>23635.37</v>
      </c>
      <c r="W211" s="29" t="s">
        <v>179</v>
      </c>
      <c r="X211" s="14">
        <f>ROUND((IF(Q211=1,INDEX(新属性投放!$L$14:$L$34,卡牌属性!R211),INDEX(新属性投放!$L$42:$L$62,卡牌属性!R211))*INDEX($G$5:$G$42,L211)+IF(Q211=1,INDEX(新属性投放!T$20:T$23,卡牌属性!M211-1),INDEX(新属性投放!T$25:T$28,卡牌属性!M211-1)))*SQRT(INDEX($I$5:$I$42,L211)),2)</f>
        <v>142836.49</v>
      </c>
      <c r="Y211" s="29" t="s">
        <v>177</v>
      </c>
      <c r="Z211" s="14">
        <f>ROUND(IF(Q211=1,INDEX(新属性投放!$D$14:$D$34,卡牌属性!R211),INDEX(新属性投放!$D$42:$D$62,卡牌属性!R211))*INDEX($G$5:$G$42,L211)/SQRT(INDEX($I$5:$I$42,L211)),2)</f>
        <v>1182.97</v>
      </c>
      <c r="AA211" s="29" t="s">
        <v>178</v>
      </c>
      <c r="AB211" s="14">
        <f>ROUND(IF(Q211=1,INDEX(新属性投放!$E$14:$E$34,卡牌属性!R211),INDEX(新属性投放!$E$42:$E$62,卡牌属性!R211))*INDEX($G$5:$G$42,L211),2)</f>
        <v>591.49</v>
      </c>
      <c r="AC211" s="29" t="s">
        <v>179</v>
      </c>
      <c r="AD211" s="14">
        <f>ROUND(IF(Q211=1,INDEX(新属性投放!$F$14:$F$34,卡牌属性!R211),INDEX(新属性投放!$F$42:$F$62,卡牌属性!R211))*INDEX($G$5:$G$42,L211)*SQRT(INDEX($I$5:$I$42,L211)),2)</f>
        <v>3548.92</v>
      </c>
      <c r="AF211" s="14">
        <f t="shared" si="63"/>
        <v>11829</v>
      </c>
      <c r="AG211" s="14">
        <f t="shared" si="64"/>
        <v>5914</v>
      </c>
      <c r="AH211" s="14">
        <f t="shared" si="65"/>
        <v>35489</v>
      </c>
      <c r="AJ211" s="14">
        <f t="shared" si="54"/>
        <v>49654</v>
      </c>
      <c r="AK211" s="14">
        <f t="shared" si="55"/>
        <v>24822</v>
      </c>
      <c r="AL211" s="14">
        <f t="shared" si="56"/>
        <v>148969</v>
      </c>
    </row>
    <row r="212" spans="11:38" ht="16.5" x14ac:dyDescent="0.2">
      <c r="K212" s="13">
        <v>209</v>
      </c>
      <c r="L212" s="13">
        <f t="shared" si="57"/>
        <v>10</v>
      </c>
      <c r="M212" s="13">
        <f t="shared" si="58"/>
        <v>4</v>
      </c>
      <c r="N212" s="14">
        <f t="shared" si="59"/>
        <v>1101010</v>
      </c>
      <c r="O212" s="14" t="str">
        <f t="shared" si="60"/>
        <v>盖文20突</v>
      </c>
      <c r="P212" s="29" t="s">
        <v>341</v>
      </c>
      <c r="Q212" s="14">
        <f t="shared" si="61"/>
        <v>1</v>
      </c>
      <c r="R212" s="14">
        <f t="shared" si="62"/>
        <v>20</v>
      </c>
      <c r="S212" s="14" t="s">
        <v>39</v>
      </c>
      <c r="T212" s="14">
        <f>ROUND(((IF(Q212=1,INDEX(新属性投放!$J$14:$J$34,卡牌属性!R212),INDEX(新属性投放!$J$42:$J$62,卡牌属性!R212)))*INDEX($G$5:$G$42,L212)+IF(Q212=1,INDEX(新属性投放!R$20:R$23,卡牌属性!M212-1),INDEX(新属性投放!R$25:R$28,卡牌属性!M212-1)))/SQRT(INDEX($I$5:$I$42,L212)),2)</f>
        <v>62256.07</v>
      </c>
      <c r="U212" s="29" t="s">
        <v>178</v>
      </c>
      <c r="V212" s="14">
        <f>ROUND((IF(Q212=1,INDEX(新属性投放!$K$14:$K$34,卡牌属性!R212),INDEX(新属性投放!$K$42:$K$62,卡牌属性!R212))+IF(Q212=1,INDEX(新属性投放!S$20:S$23,卡牌属性!M212-1),INDEX(新属性投放!S$25:S$28,卡牌属性!M212-1)))*INDEX($G$5:$G$42,L212),2)</f>
        <v>31028.34</v>
      </c>
      <c r="W212" s="29" t="s">
        <v>179</v>
      </c>
      <c r="X212" s="14">
        <f>ROUND((IF(Q212=1,INDEX(新属性投放!$L$14:$L$34,卡牌属性!R212),INDEX(新属性投放!$L$42:$L$62,卡牌属性!R212))*INDEX($G$5:$G$42,L212)+IF(Q212=1,INDEX(新属性投放!T$20:T$23,卡牌属性!M212-1),INDEX(新属性投放!T$25:T$28,卡牌属性!M212-1)))*SQRT(INDEX($I$5:$I$42,L212)),2)</f>
        <v>187198.21</v>
      </c>
      <c r="Y212" s="29" t="s">
        <v>177</v>
      </c>
      <c r="Z212" s="14">
        <f>ROUND(IF(Q212=1,INDEX(新属性投放!$D$14:$D$34,卡牌属性!R212),INDEX(新属性投放!$D$42:$D$62,卡牌属性!R212))*INDEX($G$5:$G$42,L212)/SQRT(INDEX($I$5:$I$42,L212)),2)</f>
        <v>1552.66</v>
      </c>
      <c r="AA212" s="29" t="s">
        <v>178</v>
      </c>
      <c r="AB212" s="14">
        <f>ROUND(IF(Q212=1,INDEX(新属性投放!$E$14:$E$34,卡牌属性!R212),INDEX(新属性投放!$E$42:$E$62,卡牌属性!R212))*INDEX($G$5:$G$42,L212),2)</f>
        <v>776.33</v>
      </c>
      <c r="AC212" s="29" t="s">
        <v>179</v>
      </c>
      <c r="AD212" s="14">
        <f>ROUND(IF(Q212=1,INDEX(新属性投放!$F$14:$F$34,卡牌属性!R212),INDEX(新属性投放!$F$42:$F$62,卡牌属性!R212))*INDEX($G$5:$G$42,L212)*SQRT(INDEX($I$5:$I$42,L212)),2)</f>
        <v>4657.97</v>
      </c>
      <c r="AF212" s="14">
        <f t="shared" si="63"/>
        <v>15526</v>
      </c>
      <c r="AG212" s="14">
        <f t="shared" si="64"/>
        <v>7763</v>
      </c>
      <c r="AH212" s="14">
        <f t="shared" si="65"/>
        <v>46579</v>
      </c>
      <c r="AJ212" s="14">
        <f t="shared" si="54"/>
        <v>65180</v>
      </c>
      <c r="AK212" s="14">
        <f t="shared" si="55"/>
        <v>32585</v>
      </c>
      <c r="AL212" s="14">
        <f t="shared" si="56"/>
        <v>195548</v>
      </c>
    </row>
    <row r="213" spans="11:38" ht="16.5" x14ac:dyDescent="0.2">
      <c r="K213" s="13">
        <v>210</v>
      </c>
      <c r="L213" s="13">
        <f t="shared" si="57"/>
        <v>10</v>
      </c>
      <c r="M213" s="13">
        <f t="shared" si="58"/>
        <v>4</v>
      </c>
      <c r="N213" s="14">
        <f t="shared" si="59"/>
        <v>1101010</v>
      </c>
      <c r="O213" s="14" t="str">
        <f t="shared" si="60"/>
        <v>盖文21突</v>
      </c>
      <c r="P213" s="29" t="s">
        <v>341</v>
      </c>
      <c r="Q213" s="14">
        <f t="shared" si="61"/>
        <v>1</v>
      </c>
      <c r="R213" s="14">
        <f t="shared" si="62"/>
        <v>21</v>
      </c>
      <c r="S213" s="14" t="s">
        <v>39</v>
      </c>
      <c r="T213" s="14">
        <f>ROUND(((IF(Q213=1,INDEX(新属性投放!$J$14:$J$34,卡牌属性!R213),INDEX(新属性投放!$J$42:$J$62,卡牌属性!R213)))*INDEX($G$5:$G$42,L213)+IF(Q213=1,INDEX(新属性投放!R$20:R$23,卡牌属性!M213-1),INDEX(新属性投放!R$25:R$28,卡牌属性!M213-1)))/SQRT(INDEX($I$5:$I$42,L213)),2)</f>
        <v>81664.42</v>
      </c>
      <c r="U213" s="29" t="s">
        <v>178</v>
      </c>
      <c r="V213" s="14">
        <f>ROUND((IF(Q213=1,INDEX(新属性投放!$K$14:$K$34,卡牌属性!R213),INDEX(新属性投放!$K$42:$K$62,卡牌属性!R213))+IF(Q213=1,INDEX(新属性投放!S$20:S$23,卡牌属性!M213-1),INDEX(新属性投放!S$25:S$28,卡牌属性!M213-1)))*INDEX($G$5:$G$42,L213),2)</f>
        <v>40732.51</v>
      </c>
      <c r="W213" s="29" t="s">
        <v>179</v>
      </c>
      <c r="X213" s="14">
        <f>ROUND((IF(Q213=1,INDEX(新属性投放!$L$14:$L$34,卡牌属性!R213),INDEX(新属性投放!$L$42:$L$62,卡牌属性!R213))*INDEX($G$5:$G$42,L213)+IF(Q213=1,INDEX(新属性投放!T$20:T$23,卡牌属性!M213-1),INDEX(新属性投放!T$25:T$28,卡牌属性!M213-1)))*SQRT(INDEX($I$5:$I$42,L213)),2)</f>
        <v>245423.26</v>
      </c>
      <c r="Y213" s="29" t="s">
        <v>177</v>
      </c>
      <c r="Z213" s="14">
        <f>ROUND(IF(Q213=1,INDEX(新属性投放!$D$14:$D$34,卡牌属性!R213),INDEX(新属性投放!$D$42:$D$62,卡牌属性!R213))*INDEX($G$5:$G$42,L213)/SQRT(INDEX($I$5:$I$42,L213)),2)</f>
        <v>2037.87</v>
      </c>
      <c r="AA213" s="29" t="s">
        <v>178</v>
      </c>
      <c r="AB213" s="14">
        <f>ROUND(IF(Q213=1,INDEX(新属性投放!$E$14:$E$34,卡牌属性!R213),INDEX(新属性投放!$E$42:$E$62,卡牌属性!R213))*INDEX($G$5:$G$42,L213),2)</f>
        <v>1018.93</v>
      </c>
      <c r="AC213" s="29" t="s">
        <v>179</v>
      </c>
      <c r="AD213" s="14">
        <f>ROUND(IF(Q213=1,INDEX(新属性投放!$F$14:$F$34,卡牌属性!R213),INDEX(新属性投放!$F$42:$F$62,卡牌属性!R213))*INDEX($G$5:$G$42,L213)*SQRT(INDEX($I$5:$I$42,L213)),2)</f>
        <v>6113.6</v>
      </c>
      <c r="AF213" s="14">
        <f t="shared" si="63"/>
        <v>20378</v>
      </c>
      <c r="AG213" s="14">
        <f t="shared" si="64"/>
        <v>10189</v>
      </c>
      <c r="AH213" s="14">
        <f t="shared" si="65"/>
        <v>61136</v>
      </c>
      <c r="AJ213" s="14">
        <f t="shared" si="54"/>
        <v>85558</v>
      </c>
      <c r="AK213" s="14">
        <f t="shared" si="55"/>
        <v>42774</v>
      </c>
      <c r="AL213" s="14">
        <f t="shared" si="56"/>
        <v>256684</v>
      </c>
    </row>
    <row r="214" spans="11:38" ht="16.5" x14ac:dyDescent="0.2">
      <c r="K214" s="13">
        <v>211</v>
      </c>
      <c r="L214" s="13">
        <f t="shared" si="57"/>
        <v>11</v>
      </c>
      <c r="M214" s="13">
        <f t="shared" si="58"/>
        <v>3</v>
      </c>
      <c r="N214" s="14">
        <f t="shared" si="59"/>
        <v>1101011</v>
      </c>
      <c r="O214" s="14" t="str">
        <f t="shared" si="60"/>
        <v>阎风吒1突</v>
      </c>
      <c r="P214" s="29" t="s">
        <v>341</v>
      </c>
      <c r="Q214" s="14">
        <f t="shared" si="61"/>
        <v>1</v>
      </c>
      <c r="R214" s="14">
        <f t="shared" si="62"/>
        <v>1</v>
      </c>
      <c r="S214" s="14" t="s">
        <v>39</v>
      </c>
      <c r="T214" s="14">
        <f>ROUND(((IF(Q214=1,INDEX(新属性投放!$J$14:$J$34,卡牌属性!R214),INDEX(新属性投放!$J$42:$J$62,卡牌属性!R214)))*INDEX($G$5:$G$42,L214)+IF(Q214=1,INDEX(新属性投放!R$20:R$23,卡牌属性!M214-1),INDEX(新属性投放!R$25:R$28,卡牌属性!M214-1)))/SQRT(INDEX($I$5:$I$42,L214)),2)</f>
        <v>157.5</v>
      </c>
      <c r="U214" s="29" t="s">
        <v>178</v>
      </c>
      <c r="V214" s="14">
        <f>ROUND((IF(Q214=1,INDEX(新属性投放!$K$14:$K$34,卡牌属性!R214),INDEX(新属性投放!$K$42:$K$62,卡牌属性!R214))+IF(Q214=1,INDEX(新属性投放!S$20:S$23,卡牌属性!M214-1),INDEX(新属性投放!S$25:S$28,卡牌属性!M214-1)))*INDEX($G$5:$G$42,L214),2)</f>
        <v>0</v>
      </c>
      <c r="W214" s="29" t="s">
        <v>179</v>
      </c>
      <c r="X214" s="14">
        <f>ROUND((IF(Q214=1,INDEX(新属性投放!$L$14:$L$34,卡牌属性!R214),INDEX(新属性投放!$L$42:$L$62,卡牌属性!R214))*INDEX($G$5:$G$42,L214)+IF(Q214=1,INDEX(新属性投放!T$20:T$23,卡牌属性!M214-1),INDEX(新属性投放!T$25:T$28,卡牌属性!M214-1)))*SQRT(INDEX($I$5:$I$42,L214)),2)</f>
        <v>1037.5</v>
      </c>
      <c r="Y214" s="29" t="s">
        <v>177</v>
      </c>
      <c r="Z214" s="14">
        <f>ROUND(IF(Q214=1,INDEX(新属性投放!$D$14:$D$34,卡牌属性!R214),INDEX(新属性投放!$D$42:$D$62,卡牌属性!R214))*INDEX($G$5:$G$42,L214)/SQRT(INDEX($I$5:$I$42,L214)),2)</f>
        <v>11.5</v>
      </c>
      <c r="AA214" s="29" t="s">
        <v>178</v>
      </c>
      <c r="AB214" s="14">
        <f>ROUND(IF(Q214=1,INDEX(新属性投放!$E$14:$E$34,卡牌属性!R214),INDEX(新属性投放!$E$42:$E$62,卡牌属性!R214))*INDEX($G$5:$G$42,L214),2)</f>
        <v>5.75</v>
      </c>
      <c r="AC214" s="29" t="s">
        <v>179</v>
      </c>
      <c r="AD214" s="14">
        <f>ROUND(IF(Q214=1,INDEX(新属性投放!$F$14:$F$34,卡牌属性!R214),INDEX(新属性投放!$F$42:$F$62,卡牌属性!R214))*INDEX($G$5:$G$42,L214)*SQRT(INDEX($I$5:$I$42,L214)),2)</f>
        <v>34.5</v>
      </c>
      <c r="AF214" s="14">
        <f t="shared" si="63"/>
        <v>115</v>
      </c>
      <c r="AG214" s="14">
        <f t="shared" si="64"/>
        <v>57</v>
      </c>
      <c r="AH214" s="14">
        <f t="shared" si="65"/>
        <v>345</v>
      </c>
      <c r="AJ214" s="14">
        <f>AF214</f>
        <v>115</v>
      </c>
      <c r="AK214" s="14">
        <f>AG214</f>
        <v>57</v>
      </c>
      <c r="AL214" s="14">
        <f>AH214</f>
        <v>345</v>
      </c>
    </row>
    <row r="215" spans="11:38" ht="16.5" x14ac:dyDescent="0.2">
      <c r="K215" s="13">
        <v>212</v>
      </c>
      <c r="L215" s="13">
        <f t="shared" si="57"/>
        <v>11</v>
      </c>
      <c r="M215" s="13">
        <f t="shared" si="58"/>
        <v>3</v>
      </c>
      <c r="N215" s="14">
        <f t="shared" si="59"/>
        <v>1101011</v>
      </c>
      <c r="O215" s="14" t="str">
        <f t="shared" si="60"/>
        <v>阎风吒2突</v>
      </c>
      <c r="P215" s="29" t="s">
        <v>341</v>
      </c>
      <c r="Q215" s="14">
        <f t="shared" si="61"/>
        <v>1</v>
      </c>
      <c r="R215" s="14">
        <f t="shared" si="62"/>
        <v>2</v>
      </c>
      <c r="S215" s="14" t="s">
        <v>39</v>
      </c>
      <c r="T215" s="14">
        <f>ROUND(((IF(Q215=1,INDEX(新属性投放!$J$14:$J$34,卡牌属性!R215),INDEX(新属性投放!$J$42:$J$62,卡牌属性!R215)))*INDEX($G$5:$G$42,L215)+IF(Q215=1,INDEX(新属性投放!R$20:R$23,卡牌属性!M215-1),INDEX(新属性投放!R$25:R$28,卡牌属性!M215-1)))/SQRT(INDEX($I$5:$I$42,L215)),2)</f>
        <v>272.5</v>
      </c>
      <c r="U215" s="29" t="s">
        <v>178</v>
      </c>
      <c r="V215" s="14">
        <f>ROUND((IF(Q215=1,INDEX(新属性投放!$K$14:$K$34,卡牌属性!R215),INDEX(新属性投放!$K$42:$K$62,卡牌属性!R215))+IF(Q215=1,INDEX(新属性投放!S$20:S$23,卡牌属性!M215-1),INDEX(新属性投放!S$25:S$28,卡牌属性!M215-1)))*INDEX($G$5:$G$42,L215),2)</f>
        <v>64.400000000000006</v>
      </c>
      <c r="W215" s="29" t="s">
        <v>179</v>
      </c>
      <c r="X215" s="14">
        <f>ROUND((IF(Q215=1,INDEX(新属性投放!$L$14:$L$34,卡牌属性!R215),INDEX(新属性投放!$L$42:$L$62,卡牌属性!R215))*INDEX($G$5:$G$42,L215)+IF(Q215=1,INDEX(新属性投放!T$20:T$23,卡牌属性!M215-1),INDEX(新属性投放!T$25:T$28,卡牌属性!M215-1)))*SQRT(INDEX($I$5:$I$42,L215)),2)</f>
        <v>1382.5</v>
      </c>
      <c r="Y215" s="29" t="s">
        <v>177</v>
      </c>
      <c r="Z215" s="14">
        <f>ROUND(IF(Q215=1,INDEX(新属性投放!$D$14:$D$34,卡牌属性!R215),INDEX(新属性投放!$D$42:$D$62,卡牌属性!R215))*INDEX($G$5:$G$42,L215)/SQRT(INDEX($I$5:$I$42,L215)),2)</f>
        <v>11.5</v>
      </c>
      <c r="AA215" s="29" t="s">
        <v>178</v>
      </c>
      <c r="AB215" s="14">
        <f>ROUND(IF(Q215=1,INDEX(新属性投放!$E$14:$E$34,卡牌属性!R215),INDEX(新属性投放!$E$42:$E$62,卡牌属性!R215))*INDEX($G$5:$G$42,L215),2)</f>
        <v>5.75</v>
      </c>
      <c r="AC215" s="29" t="s">
        <v>179</v>
      </c>
      <c r="AD215" s="14">
        <f>ROUND(IF(Q215=1,INDEX(新属性投放!$F$14:$F$34,卡牌属性!R215),INDEX(新属性投放!$F$42:$F$62,卡牌属性!R215))*INDEX($G$5:$G$42,L215)*SQRT(INDEX($I$5:$I$42,L215)),2)</f>
        <v>34.5</v>
      </c>
      <c r="AF215" s="14">
        <f t="shared" si="63"/>
        <v>115</v>
      </c>
      <c r="AG215" s="14">
        <f t="shared" si="64"/>
        <v>57</v>
      </c>
      <c r="AH215" s="14">
        <f t="shared" si="65"/>
        <v>345</v>
      </c>
      <c r="AJ215" s="14">
        <f t="shared" ref="AJ215:AJ234" si="66">AJ214+AF215</f>
        <v>230</v>
      </c>
      <c r="AK215" s="14">
        <f t="shared" ref="AK215:AK234" si="67">AK214+AG215</f>
        <v>114</v>
      </c>
      <c r="AL215" s="14">
        <f t="shared" ref="AL215:AL234" si="68">AL214+AH215</f>
        <v>690</v>
      </c>
    </row>
    <row r="216" spans="11:38" ht="16.5" x14ac:dyDescent="0.2">
      <c r="K216" s="13">
        <v>213</v>
      </c>
      <c r="L216" s="13">
        <f t="shared" si="57"/>
        <v>11</v>
      </c>
      <c r="M216" s="13">
        <f t="shared" si="58"/>
        <v>3</v>
      </c>
      <c r="N216" s="14">
        <f t="shared" si="59"/>
        <v>1101011</v>
      </c>
      <c r="O216" s="14" t="str">
        <f t="shared" si="60"/>
        <v>阎风吒3突</v>
      </c>
      <c r="P216" s="29" t="s">
        <v>341</v>
      </c>
      <c r="Q216" s="14">
        <f t="shared" si="61"/>
        <v>1</v>
      </c>
      <c r="R216" s="14">
        <f t="shared" si="62"/>
        <v>3</v>
      </c>
      <c r="S216" s="14" t="s">
        <v>39</v>
      </c>
      <c r="T216" s="14">
        <f>ROUND(((IF(Q216=1,INDEX(新属性投放!$J$14:$J$34,卡牌属性!R216),INDEX(新属性投放!$J$42:$J$62,卡牌属性!R216)))*INDEX($G$5:$G$42,L216)+IF(Q216=1,INDEX(新属性投放!R$20:R$23,卡牌属性!M216-1),INDEX(新属性投放!R$25:R$28,卡牌属性!M216-1)))/SQRT(INDEX($I$5:$I$42,L216)),2)</f>
        <v>416.25</v>
      </c>
      <c r="U216" s="29" t="s">
        <v>178</v>
      </c>
      <c r="V216" s="14">
        <f>ROUND((IF(Q216=1,INDEX(新属性投放!$K$14:$K$34,卡牌属性!R216),INDEX(新属性投放!$K$42:$K$62,卡牌属性!R216))+IF(Q216=1,INDEX(新属性投放!S$20:S$23,卡牌属性!M216-1),INDEX(新属性投放!S$25:S$28,卡牌属性!M216-1)))*INDEX($G$5:$G$42,L216),2)</f>
        <v>136.85</v>
      </c>
      <c r="W216" s="29" t="s">
        <v>179</v>
      </c>
      <c r="X216" s="14">
        <f>ROUND((IF(Q216=1,INDEX(新属性投放!$L$14:$L$34,卡牌属性!R216),INDEX(新属性投放!$L$42:$L$62,卡牌属性!R216))*INDEX($G$5:$G$42,L216)+IF(Q216=1,INDEX(新属性投放!T$20:T$23,卡牌属性!M216-1),INDEX(新属性投放!T$25:T$28,卡牌属性!M216-1)))*SQRT(INDEX($I$5:$I$42,L216)),2)</f>
        <v>1813.75</v>
      </c>
      <c r="Y216" s="29" t="s">
        <v>177</v>
      </c>
      <c r="Z216" s="14">
        <f>ROUND(IF(Q216=1,INDEX(新属性投放!$D$14:$D$34,卡牌属性!R216),INDEX(新属性投放!$D$42:$D$62,卡牌属性!R216))*INDEX($G$5:$G$42,L216)/SQRT(INDEX($I$5:$I$42,L216)),2)</f>
        <v>17.25</v>
      </c>
      <c r="AA216" s="29" t="s">
        <v>178</v>
      </c>
      <c r="AB216" s="14">
        <f>ROUND(IF(Q216=1,INDEX(新属性投放!$E$14:$E$34,卡牌属性!R216),INDEX(新属性投放!$E$42:$E$62,卡牌属性!R216))*INDEX($G$5:$G$42,L216),2)</f>
        <v>8.6300000000000008</v>
      </c>
      <c r="AC216" s="29" t="s">
        <v>179</v>
      </c>
      <c r="AD216" s="14">
        <f>ROUND(IF(Q216=1,INDEX(新属性投放!$F$14:$F$34,卡牌属性!R216),INDEX(新属性投放!$F$42:$F$62,卡牌属性!R216))*INDEX($G$5:$G$42,L216)*SQRT(INDEX($I$5:$I$42,L216)),2)</f>
        <v>51.75</v>
      </c>
      <c r="AF216" s="14">
        <f t="shared" si="63"/>
        <v>172</v>
      </c>
      <c r="AG216" s="14">
        <f t="shared" si="64"/>
        <v>86</v>
      </c>
      <c r="AH216" s="14">
        <f t="shared" si="65"/>
        <v>517</v>
      </c>
      <c r="AJ216" s="14">
        <f t="shared" si="66"/>
        <v>402</v>
      </c>
      <c r="AK216" s="14">
        <f t="shared" si="67"/>
        <v>200</v>
      </c>
      <c r="AL216" s="14">
        <f t="shared" si="68"/>
        <v>1207</v>
      </c>
    </row>
    <row r="217" spans="11:38" ht="16.5" x14ac:dyDescent="0.2">
      <c r="K217" s="13">
        <v>214</v>
      </c>
      <c r="L217" s="13">
        <f t="shared" si="57"/>
        <v>11</v>
      </c>
      <c r="M217" s="13">
        <f t="shared" si="58"/>
        <v>3</v>
      </c>
      <c r="N217" s="14">
        <f t="shared" si="59"/>
        <v>1101011</v>
      </c>
      <c r="O217" s="14" t="str">
        <f t="shared" si="60"/>
        <v>阎风吒4突</v>
      </c>
      <c r="P217" s="29" t="s">
        <v>341</v>
      </c>
      <c r="Q217" s="14">
        <f t="shared" si="61"/>
        <v>1</v>
      </c>
      <c r="R217" s="14">
        <f t="shared" si="62"/>
        <v>4</v>
      </c>
      <c r="S217" s="14" t="s">
        <v>39</v>
      </c>
      <c r="T217" s="14">
        <f>ROUND(((IF(Q217=1,INDEX(新属性投放!$J$14:$J$34,卡牌属性!R217),INDEX(新属性投放!$J$42:$J$62,卡牌属性!R217)))*INDEX($G$5:$G$42,L217)+IF(Q217=1,INDEX(新属性投放!R$20:R$23,卡牌属性!M217-1),INDEX(新属性投放!R$25:R$28,卡牌属性!M217-1)))/SQRT(INDEX($I$5:$I$42,L217)),2)</f>
        <v>632.45000000000005</v>
      </c>
      <c r="U217" s="29" t="s">
        <v>178</v>
      </c>
      <c r="V217" s="14">
        <f>ROUND((IF(Q217=1,INDEX(新属性投放!$K$14:$K$34,卡牌属性!R217),INDEX(新属性投放!$K$42:$K$62,卡牌属性!R217))+IF(Q217=1,INDEX(新属性投放!S$20:S$23,卡牌属性!M217-1),INDEX(新属性投放!S$25:S$28,卡牌属性!M217-1)))*INDEX($G$5:$G$42,L217),2)</f>
        <v>244.95</v>
      </c>
      <c r="W217" s="29" t="s">
        <v>179</v>
      </c>
      <c r="X217" s="14">
        <f>ROUND((IF(Q217=1,INDEX(新属性投放!$L$14:$L$34,卡牌属性!R217),INDEX(新属性投放!$L$42:$L$62,卡牌属性!R217))*INDEX($G$5:$G$42,L217)+IF(Q217=1,INDEX(新属性投放!T$20:T$23,卡牌属性!M217-1),INDEX(新属性投放!T$25:T$28,卡牌属性!M217-1)))*SQRT(INDEX($I$5:$I$42,L217)),2)</f>
        <v>2462.35</v>
      </c>
      <c r="Y217" s="29" t="s">
        <v>177</v>
      </c>
      <c r="Z217" s="14">
        <f>ROUND(IF(Q217=1,INDEX(新属性投放!$D$14:$D$34,卡牌属性!R217),INDEX(新属性投放!$D$42:$D$62,卡牌属性!R217))*INDEX($G$5:$G$42,L217)/SQRT(INDEX($I$5:$I$42,L217)),2)</f>
        <v>23</v>
      </c>
      <c r="AA217" s="29" t="s">
        <v>178</v>
      </c>
      <c r="AB217" s="14">
        <f>ROUND(IF(Q217=1,INDEX(新属性投放!$E$14:$E$34,卡牌属性!R217),INDEX(新属性投放!$E$42:$E$62,卡牌属性!R217))*INDEX($G$5:$G$42,L217),2)</f>
        <v>11.5</v>
      </c>
      <c r="AC217" s="29" t="s">
        <v>179</v>
      </c>
      <c r="AD217" s="14">
        <f>ROUND(IF(Q217=1,INDEX(新属性投放!$F$14:$F$34,卡牌属性!R217),INDEX(新属性投放!$F$42:$F$62,卡牌属性!R217))*INDEX($G$5:$G$42,L217)*SQRT(INDEX($I$5:$I$42,L217)),2)</f>
        <v>69</v>
      </c>
      <c r="AF217" s="14">
        <f t="shared" si="63"/>
        <v>230</v>
      </c>
      <c r="AG217" s="14">
        <f t="shared" si="64"/>
        <v>115</v>
      </c>
      <c r="AH217" s="14">
        <f t="shared" si="65"/>
        <v>690</v>
      </c>
      <c r="AJ217" s="14">
        <f t="shared" si="66"/>
        <v>632</v>
      </c>
      <c r="AK217" s="14">
        <f t="shared" si="67"/>
        <v>315</v>
      </c>
      <c r="AL217" s="14">
        <f t="shared" si="68"/>
        <v>1897</v>
      </c>
    </row>
    <row r="218" spans="11:38" ht="16.5" x14ac:dyDescent="0.2">
      <c r="K218" s="13">
        <v>215</v>
      </c>
      <c r="L218" s="13">
        <f t="shared" si="57"/>
        <v>11</v>
      </c>
      <c r="M218" s="13">
        <f t="shared" si="58"/>
        <v>3</v>
      </c>
      <c r="N218" s="14">
        <f t="shared" si="59"/>
        <v>1101011</v>
      </c>
      <c r="O218" s="14" t="str">
        <f t="shared" si="60"/>
        <v>阎风吒5突</v>
      </c>
      <c r="P218" s="29" t="s">
        <v>341</v>
      </c>
      <c r="Q218" s="14">
        <f t="shared" si="61"/>
        <v>1</v>
      </c>
      <c r="R218" s="14">
        <f t="shared" si="62"/>
        <v>5</v>
      </c>
      <c r="S218" s="14" t="s">
        <v>39</v>
      </c>
      <c r="T218" s="14">
        <f>ROUND(((IF(Q218=1,INDEX(新属性投放!$J$14:$J$34,卡牌属性!R218),INDEX(新属性投放!$J$42:$J$62,卡牌属性!R218)))*INDEX($G$5:$G$42,L218)+IF(Q218=1,INDEX(新属性投放!R$20:R$23,卡牌属性!M218-1),INDEX(新属性投放!R$25:R$28,卡牌属性!M218-1)))/SQRT(INDEX($I$5:$I$42,L218)),2)</f>
        <v>919.95</v>
      </c>
      <c r="U218" s="29" t="s">
        <v>178</v>
      </c>
      <c r="V218" s="14">
        <f>ROUND((IF(Q218=1,INDEX(新属性投放!$K$14:$K$34,卡牌属性!R218),INDEX(新属性投放!$K$42:$K$62,卡牌属性!R218))+IF(Q218=1,INDEX(新属性投放!S$20:S$23,卡牌属性!M218-1),INDEX(新属性投放!S$25:S$28,卡牌属性!M218-1)))*INDEX($G$5:$G$42,L218),2)</f>
        <v>388.7</v>
      </c>
      <c r="W218" s="29" t="s">
        <v>179</v>
      </c>
      <c r="X218" s="14">
        <f>ROUND((IF(Q218=1,INDEX(新属性投放!$L$14:$L$34,卡牌属性!R218),INDEX(新属性投放!$L$42:$L$62,卡牌属性!R218))*INDEX($G$5:$G$42,L218)+IF(Q218=1,INDEX(新属性投放!T$20:T$23,卡牌属性!M218-1),INDEX(新属性投放!T$25:T$28,卡牌属性!M218-1)))*SQRT(INDEX($I$5:$I$42,L218)),2)</f>
        <v>3324.85</v>
      </c>
      <c r="Y218" s="29" t="s">
        <v>177</v>
      </c>
      <c r="Z218" s="14">
        <f>ROUND(IF(Q218=1,INDEX(新属性投放!$D$14:$D$34,卡牌属性!R218),INDEX(新属性投放!$D$42:$D$62,卡牌属性!R218))*INDEX($G$5:$G$42,L218)/SQRT(INDEX($I$5:$I$42,L218)),2)</f>
        <v>28.75</v>
      </c>
      <c r="AA218" s="29" t="s">
        <v>178</v>
      </c>
      <c r="AB218" s="14">
        <f>ROUND(IF(Q218=1,INDEX(新属性投放!$E$14:$E$34,卡牌属性!R218),INDEX(新属性投放!$E$42:$E$62,卡牌属性!R218))*INDEX($G$5:$G$42,L218),2)</f>
        <v>14.38</v>
      </c>
      <c r="AC218" s="29" t="s">
        <v>179</v>
      </c>
      <c r="AD218" s="14">
        <f>ROUND(IF(Q218=1,INDEX(新属性投放!$F$14:$F$34,卡牌属性!R218),INDEX(新属性投放!$F$42:$F$62,卡牌属性!R218))*INDEX($G$5:$G$42,L218)*SQRT(INDEX($I$5:$I$42,L218)),2)</f>
        <v>86.25</v>
      </c>
      <c r="AF218" s="14">
        <f t="shared" si="63"/>
        <v>287</v>
      </c>
      <c r="AG218" s="14">
        <f t="shared" si="64"/>
        <v>143</v>
      </c>
      <c r="AH218" s="14">
        <f t="shared" si="65"/>
        <v>862</v>
      </c>
      <c r="AJ218" s="14">
        <f t="shared" si="66"/>
        <v>919</v>
      </c>
      <c r="AK218" s="14">
        <f t="shared" si="67"/>
        <v>458</v>
      </c>
      <c r="AL218" s="14">
        <f t="shared" si="68"/>
        <v>2759</v>
      </c>
    </row>
    <row r="219" spans="11:38" ht="16.5" x14ac:dyDescent="0.2">
      <c r="K219" s="13">
        <v>216</v>
      </c>
      <c r="L219" s="13">
        <f t="shared" si="57"/>
        <v>11</v>
      </c>
      <c r="M219" s="13">
        <f t="shared" si="58"/>
        <v>3</v>
      </c>
      <c r="N219" s="14">
        <f t="shared" si="59"/>
        <v>1101011</v>
      </c>
      <c r="O219" s="14" t="str">
        <f t="shared" si="60"/>
        <v>阎风吒6突</v>
      </c>
      <c r="P219" s="29" t="s">
        <v>341</v>
      </c>
      <c r="Q219" s="14">
        <f t="shared" si="61"/>
        <v>1</v>
      </c>
      <c r="R219" s="14">
        <f t="shared" si="62"/>
        <v>6</v>
      </c>
      <c r="S219" s="14" t="s">
        <v>39</v>
      </c>
      <c r="T219" s="14">
        <f>ROUND(((IF(Q219=1,INDEX(新属性投放!$J$14:$J$34,卡牌属性!R219),INDEX(新属性投放!$J$42:$J$62,卡牌属性!R219)))*INDEX($G$5:$G$42,L219)+IF(Q219=1,INDEX(新属性投放!R$20:R$23,卡牌属性!M219-1),INDEX(新属性投放!R$25:R$28,卡牌属性!M219-1)))/SQRT(INDEX($I$5:$I$42,L219)),2)</f>
        <v>1279.9000000000001</v>
      </c>
      <c r="U219" s="29" t="s">
        <v>178</v>
      </c>
      <c r="V219" s="14">
        <f>ROUND((IF(Q219=1,INDEX(新属性投放!$K$14:$K$34,卡牌属性!R219),INDEX(新属性投放!$K$42:$K$62,卡牌属性!R219))+IF(Q219=1,INDEX(新属性投放!S$20:S$23,卡牌属性!M219-1),INDEX(新属性投放!S$25:S$28,卡牌属性!M219-1)))*INDEX($G$5:$G$42,L219),2)</f>
        <v>568.1</v>
      </c>
      <c r="W219" s="29" t="s">
        <v>179</v>
      </c>
      <c r="X219" s="14">
        <f>ROUND((IF(Q219=1,INDEX(新属性投放!$L$14:$L$34,卡牌属性!R219),INDEX(新属性投放!$L$42:$L$62,卡牌属性!R219))*INDEX($G$5:$G$42,L219)+IF(Q219=1,INDEX(新属性投放!T$20:T$23,卡牌属性!M219-1),INDEX(新属性投放!T$25:T$28,卡牌属性!M219-1)))*SQRT(INDEX($I$5:$I$42,L219)),2)</f>
        <v>4404.7</v>
      </c>
      <c r="Y219" s="29" t="s">
        <v>177</v>
      </c>
      <c r="Z219" s="14">
        <f>ROUND(IF(Q219=1,INDEX(新属性投放!$D$14:$D$34,卡牌属性!R219),INDEX(新属性投放!$D$42:$D$62,卡牌属性!R219))*INDEX($G$5:$G$42,L219)/SQRT(INDEX($I$5:$I$42,L219)),2)</f>
        <v>34.5</v>
      </c>
      <c r="AA219" s="29" t="s">
        <v>178</v>
      </c>
      <c r="AB219" s="14">
        <f>ROUND(IF(Q219=1,INDEX(新属性投放!$E$14:$E$34,卡牌属性!R219),INDEX(新属性投放!$E$42:$E$62,卡牌属性!R219))*INDEX($G$5:$G$42,L219),2)</f>
        <v>17.25</v>
      </c>
      <c r="AC219" s="29" t="s">
        <v>179</v>
      </c>
      <c r="AD219" s="14">
        <f>ROUND(IF(Q219=1,INDEX(新属性投放!$F$14:$F$34,卡牌属性!R219),INDEX(新属性投放!$F$42:$F$62,卡牌属性!R219))*INDEX($G$5:$G$42,L219)*SQRT(INDEX($I$5:$I$42,L219)),2)</f>
        <v>103.5</v>
      </c>
      <c r="AF219" s="14">
        <f t="shared" si="63"/>
        <v>345</v>
      </c>
      <c r="AG219" s="14">
        <f t="shared" si="64"/>
        <v>172</v>
      </c>
      <c r="AH219" s="14">
        <f t="shared" si="65"/>
        <v>1035</v>
      </c>
      <c r="AJ219" s="14">
        <f t="shared" si="66"/>
        <v>1264</v>
      </c>
      <c r="AK219" s="14">
        <f t="shared" si="67"/>
        <v>630</v>
      </c>
      <c r="AL219" s="14">
        <f t="shared" si="68"/>
        <v>3794</v>
      </c>
    </row>
    <row r="220" spans="11:38" ht="16.5" x14ac:dyDescent="0.2">
      <c r="K220" s="13">
        <v>217</v>
      </c>
      <c r="L220" s="13">
        <f t="shared" si="57"/>
        <v>11</v>
      </c>
      <c r="M220" s="13">
        <f t="shared" si="58"/>
        <v>3</v>
      </c>
      <c r="N220" s="14">
        <f t="shared" si="59"/>
        <v>1101011</v>
      </c>
      <c r="O220" s="14" t="str">
        <f t="shared" si="60"/>
        <v>阎风吒7突</v>
      </c>
      <c r="P220" s="29" t="s">
        <v>341</v>
      </c>
      <c r="Q220" s="14">
        <f t="shared" si="61"/>
        <v>1</v>
      </c>
      <c r="R220" s="14">
        <f t="shared" si="62"/>
        <v>7</v>
      </c>
      <c r="S220" s="14" t="s">
        <v>39</v>
      </c>
      <c r="T220" s="14">
        <f>ROUND(((IF(Q220=1,INDEX(新属性投放!$J$14:$J$34,卡牌属性!R220),INDEX(新属性投放!$J$42:$J$62,卡牌属性!R220)))*INDEX($G$5:$G$42,L220)+IF(Q220=1,INDEX(新属性投放!R$20:R$23,卡牌属性!M220-1),INDEX(新属性投放!R$25:R$28,卡牌属性!M220-1)))/SQRT(INDEX($I$5:$I$42,L220)),2)</f>
        <v>1711.15</v>
      </c>
      <c r="U220" s="29" t="s">
        <v>178</v>
      </c>
      <c r="V220" s="14">
        <f>ROUND((IF(Q220=1,INDEX(新属性投放!$K$14:$K$34,卡牌属性!R220),INDEX(新属性投放!$K$42:$K$62,卡牌属性!R220))+IF(Q220=1,INDEX(新属性投放!S$20:S$23,卡牌属性!M220-1),INDEX(新属性投放!S$25:S$28,卡牌属性!M220-1)))*INDEX($G$5:$G$42,L220),2)</f>
        <v>784.3</v>
      </c>
      <c r="W220" s="29" t="s">
        <v>179</v>
      </c>
      <c r="X220" s="14">
        <f>ROUND((IF(Q220=1,INDEX(新属性投放!$L$14:$L$34,卡牌属性!R220),INDEX(新属性投放!$L$42:$L$62,卡牌属性!R220))*INDEX($G$5:$G$42,L220)+IF(Q220=1,INDEX(新属性投放!T$20:T$23,卡牌属性!M220-1),INDEX(新属性投放!T$25:T$28,卡牌属性!M220-1)))*SQRT(INDEX($I$5:$I$42,L220)),2)</f>
        <v>5698.45</v>
      </c>
      <c r="Y220" s="29" t="s">
        <v>177</v>
      </c>
      <c r="Z220" s="14">
        <f>ROUND(IF(Q220=1,INDEX(新属性投放!$D$14:$D$34,卡牌属性!R220),INDEX(新属性投放!$D$42:$D$62,卡牌属性!R220))*INDEX($G$5:$G$42,L220)/SQRT(INDEX($I$5:$I$42,L220)),2)</f>
        <v>40.25</v>
      </c>
      <c r="AA220" s="29" t="s">
        <v>178</v>
      </c>
      <c r="AB220" s="14">
        <f>ROUND(IF(Q220=1,INDEX(新属性投放!$E$14:$E$34,卡牌属性!R220),INDEX(新属性投放!$E$42:$E$62,卡牌属性!R220))*INDEX($G$5:$G$42,L220),2)</f>
        <v>20.13</v>
      </c>
      <c r="AC220" s="29" t="s">
        <v>179</v>
      </c>
      <c r="AD220" s="14">
        <f>ROUND(IF(Q220=1,INDEX(新属性投放!$F$14:$F$34,卡牌属性!R220),INDEX(新属性投放!$F$42:$F$62,卡牌属性!R220))*INDEX($G$5:$G$42,L220)*SQRT(INDEX($I$5:$I$42,L220)),2)</f>
        <v>120.75</v>
      </c>
      <c r="AF220" s="14">
        <f t="shared" si="63"/>
        <v>402</v>
      </c>
      <c r="AG220" s="14">
        <f t="shared" si="64"/>
        <v>201</v>
      </c>
      <c r="AH220" s="14">
        <f t="shared" si="65"/>
        <v>1207</v>
      </c>
      <c r="AJ220" s="14">
        <f t="shared" si="66"/>
        <v>1666</v>
      </c>
      <c r="AK220" s="14">
        <f t="shared" si="67"/>
        <v>831</v>
      </c>
      <c r="AL220" s="14">
        <f t="shared" si="68"/>
        <v>5001</v>
      </c>
    </row>
    <row r="221" spans="11:38" ht="16.5" x14ac:dyDescent="0.2">
      <c r="K221" s="13">
        <v>218</v>
      </c>
      <c r="L221" s="13">
        <f t="shared" si="57"/>
        <v>11</v>
      </c>
      <c r="M221" s="13">
        <f t="shared" si="58"/>
        <v>3</v>
      </c>
      <c r="N221" s="14">
        <f t="shared" si="59"/>
        <v>1101011</v>
      </c>
      <c r="O221" s="14" t="str">
        <f t="shared" si="60"/>
        <v>阎风吒8突</v>
      </c>
      <c r="P221" s="29" t="s">
        <v>341</v>
      </c>
      <c r="Q221" s="14">
        <f t="shared" si="61"/>
        <v>1</v>
      </c>
      <c r="R221" s="14">
        <f t="shared" si="62"/>
        <v>8</v>
      </c>
      <c r="S221" s="14" t="s">
        <v>39</v>
      </c>
      <c r="T221" s="14">
        <f>ROUND(((IF(Q221=1,INDEX(新属性投放!$J$14:$J$34,卡牌属性!R221),INDEX(新属性投放!$J$42:$J$62,卡牌属性!R221)))*INDEX($G$5:$G$42,L221)+IF(Q221=1,INDEX(新属性投放!R$20:R$23,卡牌属性!M221-1),INDEX(新属性投放!R$25:R$28,卡牌属性!M221-1)))/SQRT(INDEX($I$5:$I$42,L221)),2)</f>
        <v>2214.85</v>
      </c>
      <c r="U221" s="29" t="s">
        <v>178</v>
      </c>
      <c r="V221" s="14">
        <f>ROUND((IF(Q221=1,INDEX(新属性投放!$K$14:$K$34,卡牌属性!R221),INDEX(新属性投放!$K$42:$K$62,卡牌属性!R221))+IF(Q221=1,INDEX(新属性投放!S$20:S$23,卡牌属性!M221-1),INDEX(新属性投放!S$25:S$28,卡牌属性!M221-1)))*INDEX($G$5:$G$42,L221),2)</f>
        <v>1036.1500000000001</v>
      </c>
      <c r="W221" s="29" t="s">
        <v>179</v>
      </c>
      <c r="X221" s="14">
        <f>ROUND((IF(Q221=1,INDEX(新属性投放!$L$14:$L$34,卡牌属性!R221),INDEX(新属性投放!$L$42:$L$62,卡牌属性!R221))*INDEX($G$5:$G$42,L221)+IF(Q221=1,INDEX(新属性投放!T$20:T$23,卡牌属性!M221-1),INDEX(新属性投放!T$25:T$28,卡牌属性!M221-1)))*SQRT(INDEX($I$5:$I$42,L221)),2)</f>
        <v>7209.55</v>
      </c>
      <c r="Y221" s="29" t="s">
        <v>177</v>
      </c>
      <c r="Z221" s="14">
        <f>ROUND(IF(Q221=1,INDEX(新属性投放!$D$14:$D$34,卡牌属性!R221),INDEX(新属性投放!$D$42:$D$62,卡牌属性!R221))*INDEX($G$5:$G$42,L221)/SQRT(INDEX($I$5:$I$42,L221)),2)</f>
        <v>51.75</v>
      </c>
      <c r="AA221" s="29" t="s">
        <v>178</v>
      </c>
      <c r="AB221" s="14">
        <f>ROUND(IF(Q221=1,INDEX(新属性投放!$E$14:$E$34,卡牌属性!R221),INDEX(新属性投放!$E$42:$E$62,卡牌属性!R221))*INDEX($G$5:$G$42,L221),2)</f>
        <v>25.88</v>
      </c>
      <c r="AC221" s="29" t="s">
        <v>179</v>
      </c>
      <c r="AD221" s="14">
        <f>ROUND(IF(Q221=1,INDEX(新属性投放!$F$14:$F$34,卡牌属性!R221),INDEX(新属性投放!$F$42:$F$62,卡牌属性!R221))*INDEX($G$5:$G$42,L221)*SQRT(INDEX($I$5:$I$42,L221)),2)</f>
        <v>155.25</v>
      </c>
      <c r="AF221" s="14">
        <f t="shared" si="63"/>
        <v>517</v>
      </c>
      <c r="AG221" s="14">
        <f t="shared" si="64"/>
        <v>258</v>
      </c>
      <c r="AH221" s="14">
        <f t="shared" si="65"/>
        <v>1552</v>
      </c>
      <c r="AJ221" s="14">
        <f t="shared" si="66"/>
        <v>2183</v>
      </c>
      <c r="AK221" s="14">
        <f t="shared" si="67"/>
        <v>1089</v>
      </c>
      <c r="AL221" s="14">
        <f t="shared" si="68"/>
        <v>6553</v>
      </c>
    </row>
    <row r="222" spans="11:38" ht="16.5" x14ac:dyDescent="0.2">
      <c r="K222" s="13">
        <v>219</v>
      </c>
      <c r="L222" s="13">
        <f t="shared" si="57"/>
        <v>11</v>
      </c>
      <c r="M222" s="13">
        <f t="shared" si="58"/>
        <v>3</v>
      </c>
      <c r="N222" s="14">
        <f t="shared" si="59"/>
        <v>1101011</v>
      </c>
      <c r="O222" s="14" t="str">
        <f t="shared" si="60"/>
        <v>阎风吒9突</v>
      </c>
      <c r="P222" s="29" t="s">
        <v>341</v>
      </c>
      <c r="Q222" s="14">
        <f t="shared" si="61"/>
        <v>1</v>
      </c>
      <c r="R222" s="14">
        <f t="shared" si="62"/>
        <v>9</v>
      </c>
      <c r="S222" s="14" t="s">
        <v>39</v>
      </c>
      <c r="T222" s="14">
        <f>ROUND(((IF(Q222=1,INDEX(新属性投放!$J$14:$J$34,卡牌属性!R222),INDEX(新属性投放!$J$42:$J$62,卡牌属性!R222)))*INDEX($G$5:$G$42,L222)+IF(Q222=1,INDEX(新属性投放!R$20:R$23,卡牌属性!M222-1),INDEX(新属性投放!R$25:R$28,卡牌属性!M222-1)))/SQRT(INDEX($I$5:$I$42,L222)),2)</f>
        <v>2862.3</v>
      </c>
      <c r="U222" s="29" t="s">
        <v>178</v>
      </c>
      <c r="V222" s="14">
        <f>ROUND((IF(Q222=1,INDEX(新属性投放!$K$14:$K$34,卡牌属性!R222),INDEX(新属性投放!$K$42:$K$62,卡牌属性!R222))+IF(Q222=1,INDEX(新属性投放!S$20:S$23,卡牌属性!M222-1),INDEX(新属性投放!S$25:S$28,卡牌属性!M222-1)))*INDEX($G$5:$G$42,L222),2)</f>
        <v>1359.3</v>
      </c>
      <c r="W222" s="29" t="s">
        <v>179</v>
      </c>
      <c r="X222" s="14">
        <f>ROUND((IF(Q222=1,INDEX(新属性投放!$L$14:$L$34,卡牌属性!R222),INDEX(新属性投放!$L$42:$L$62,卡牌属性!R222))*INDEX($G$5:$G$42,L222)+IF(Q222=1,INDEX(新属性投放!T$20:T$23,卡牌属性!M222-1),INDEX(新属性投放!T$25:T$28,卡牌属性!M222-1)))*SQRT(INDEX($I$5:$I$42,L222)),2)</f>
        <v>9151.9</v>
      </c>
      <c r="Y222" s="29" t="s">
        <v>177</v>
      </c>
      <c r="Z222" s="14">
        <f>ROUND(IF(Q222=1,INDEX(新属性投放!$D$14:$D$34,卡牌属性!R222),INDEX(新属性投放!$D$42:$D$62,卡牌属性!R222))*INDEX($G$5:$G$42,L222)/SQRT(INDEX($I$5:$I$42,L222)),2)</f>
        <v>69.06</v>
      </c>
      <c r="AA222" s="29" t="s">
        <v>178</v>
      </c>
      <c r="AB222" s="14">
        <f>ROUND(IF(Q222=1,INDEX(新属性投放!$E$14:$E$34,卡牌属性!R222),INDEX(新属性投放!$E$42:$E$62,卡牌属性!R222))*INDEX($G$5:$G$42,L222),2)</f>
        <v>34.53</v>
      </c>
      <c r="AC222" s="29" t="s">
        <v>179</v>
      </c>
      <c r="AD222" s="14">
        <f>ROUND(IF(Q222=1,INDEX(新属性投放!$F$14:$F$34,卡牌属性!R222),INDEX(新属性投放!$F$42:$F$62,卡牌属性!R222))*INDEX($G$5:$G$42,L222)*SQRT(INDEX($I$5:$I$42,L222)),2)</f>
        <v>207.17</v>
      </c>
      <c r="AF222" s="14">
        <f t="shared" si="63"/>
        <v>690</v>
      </c>
      <c r="AG222" s="14">
        <f t="shared" si="64"/>
        <v>345</v>
      </c>
      <c r="AH222" s="14">
        <f t="shared" si="65"/>
        <v>2071</v>
      </c>
      <c r="AJ222" s="14">
        <f t="shared" si="66"/>
        <v>2873</v>
      </c>
      <c r="AK222" s="14">
        <f t="shared" si="67"/>
        <v>1434</v>
      </c>
      <c r="AL222" s="14">
        <f t="shared" si="68"/>
        <v>8624</v>
      </c>
    </row>
    <row r="223" spans="11:38" ht="16.5" x14ac:dyDescent="0.2">
      <c r="K223" s="13">
        <v>220</v>
      </c>
      <c r="L223" s="13">
        <f t="shared" si="57"/>
        <v>11</v>
      </c>
      <c r="M223" s="13">
        <f t="shared" si="58"/>
        <v>3</v>
      </c>
      <c r="N223" s="14">
        <f t="shared" si="59"/>
        <v>1101011</v>
      </c>
      <c r="O223" s="14" t="str">
        <f t="shared" si="60"/>
        <v>阎风吒10突</v>
      </c>
      <c r="P223" s="29" t="s">
        <v>341</v>
      </c>
      <c r="Q223" s="14">
        <f t="shared" si="61"/>
        <v>1</v>
      </c>
      <c r="R223" s="14">
        <f t="shared" si="62"/>
        <v>10</v>
      </c>
      <c r="S223" s="14" t="s">
        <v>39</v>
      </c>
      <c r="T223" s="14">
        <f>ROUND(((IF(Q223=1,INDEX(新属性投放!$J$14:$J$34,卡牌属性!R223),INDEX(新属性投放!$J$42:$J$62,卡牌属性!R223)))*INDEX($G$5:$G$42,L223)+IF(Q223=1,INDEX(新属性投放!R$20:R$23,卡牌属性!M223-1),INDEX(新属性投放!R$25:R$28,卡牌属性!M223-1)))/SQRT(INDEX($I$5:$I$42,L223)),2)</f>
        <v>3725.38</v>
      </c>
      <c r="U223" s="29" t="s">
        <v>178</v>
      </c>
      <c r="V223" s="14">
        <f>ROUND((IF(Q223=1,INDEX(新属性投放!$K$14:$K$34,卡牌属性!R223),INDEX(新属性投放!$K$42:$K$62,卡牌属性!R223))+IF(Q223=1,INDEX(新属性投放!S$20:S$23,卡牌属性!M223-1),INDEX(新属性投放!S$25:S$28,卡牌属性!M223-1)))*INDEX($G$5:$G$42,L223),2)</f>
        <v>1790.84</v>
      </c>
      <c r="W223" s="29" t="s">
        <v>179</v>
      </c>
      <c r="X223" s="14">
        <f>ROUND((IF(Q223=1,INDEX(新属性投放!$L$14:$L$34,卡牌属性!R223),INDEX(新属性投放!$L$42:$L$62,卡牌属性!R223))*INDEX($G$5:$G$42,L223)+IF(Q223=1,INDEX(新属性投放!T$20:T$23,卡牌属性!M223-1),INDEX(新属性投放!T$25:T$28,卡牌属性!M223-1)))*SQRT(INDEX($I$5:$I$42,L223)),2)</f>
        <v>11741.13</v>
      </c>
      <c r="Y223" s="29" t="s">
        <v>177</v>
      </c>
      <c r="Z223" s="14">
        <f>ROUND(IF(Q223=1,INDEX(新属性投放!$D$14:$D$34,卡牌属性!R223),INDEX(新属性投放!$D$42:$D$62,卡牌属性!R223))*INDEX($G$5:$G$42,L223)/SQRT(INDEX($I$5:$I$42,L223)),2)</f>
        <v>90.28</v>
      </c>
      <c r="AA223" s="29" t="s">
        <v>178</v>
      </c>
      <c r="AB223" s="14">
        <f>ROUND(IF(Q223=1,INDEX(新属性投放!$E$14:$E$34,卡牌属性!R223),INDEX(新属性投放!$E$42:$E$62,卡牌属性!R223))*INDEX($G$5:$G$42,L223),2)</f>
        <v>45.14</v>
      </c>
      <c r="AC223" s="29" t="s">
        <v>179</v>
      </c>
      <c r="AD223" s="14">
        <f>ROUND(IF(Q223=1,INDEX(新属性投放!$F$14:$F$34,卡牌属性!R223),INDEX(新属性投放!$F$42:$F$62,卡牌属性!R223))*INDEX($G$5:$G$42,L223)*SQRT(INDEX($I$5:$I$42,L223)),2)</f>
        <v>270.83</v>
      </c>
      <c r="AF223" s="14">
        <f t="shared" si="63"/>
        <v>902</v>
      </c>
      <c r="AG223" s="14">
        <f t="shared" si="64"/>
        <v>451</v>
      </c>
      <c r="AH223" s="14">
        <f t="shared" si="65"/>
        <v>2708</v>
      </c>
      <c r="AJ223" s="14">
        <f t="shared" si="66"/>
        <v>3775</v>
      </c>
      <c r="AK223" s="14">
        <f t="shared" si="67"/>
        <v>1885</v>
      </c>
      <c r="AL223" s="14">
        <f t="shared" si="68"/>
        <v>11332</v>
      </c>
    </row>
    <row r="224" spans="11:38" ht="16.5" x14ac:dyDescent="0.2">
      <c r="K224" s="13">
        <v>221</v>
      </c>
      <c r="L224" s="13">
        <f t="shared" si="57"/>
        <v>11</v>
      </c>
      <c r="M224" s="13">
        <f t="shared" si="58"/>
        <v>3</v>
      </c>
      <c r="N224" s="14">
        <f t="shared" si="59"/>
        <v>1101011</v>
      </c>
      <c r="O224" s="14" t="str">
        <f t="shared" si="60"/>
        <v>阎风吒11突</v>
      </c>
      <c r="P224" s="29" t="s">
        <v>341</v>
      </c>
      <c r="Q224" s="14">
        <f t="shared" si="61"/>
        <v>1</v>
      </c>
      <c r="R224" s="14">
        <f t="shared" si="62"/>
        <v>11</v>
      </c>
      <c r="S224" s="14" t="s">
        <v>39</v>
      </c>
      <c r="T224" s="14">
        <f>ROUND(((IF(Q224=1,INDEX(新属性投放!$J$14:$J$34,卡牌属性!R224),INDEX(新属性投放!$J$42:$J$62,卡牌属性!R224)))*INDEX($G$5:$G$42,L224)+IF(Q224=1,INDEX(新属性投放!R$20:R$23,卡牌属性!M224-1),INDEX(新属性投放!R$25:R$28,卡牌属性!M224-1)))/SQRT(INDEX($I$5:$I$42,L224)),2)</f>
        <v>4853.53</v>
      </c>
      <c r="U224" s="29" t="s">
        <v>178</v>
      </c>
      <c r="V224" s="14">
        <f>ROUND((IF(Q224=1,INDEX(新属性投放!$K$14:$K$34,卡牌属性!R224),INDEX(新属性投放!$K$42:$K$62,卡牌属性!R224))+IF(Q224=1,INDEX(新属性投放!S$20:S$23,卡牌属性!M224-1),INDEX(新属性投放!S$25:S$28,卡牌属性!M224-1)))*INDEX($G$5:$G$42,L224),2)</f>
        <v>2354.91</v>
      </c>
      <c r="W224" s="29" t="s">
        <v>179</v>
      </c>
      <c r="X224" s="14">
        <f>ROUND((IF(Q224=1,INDEX(新属性投放!$L$14:$L$34,卡牌属性!R224),INDEX(新属性投放!$L$42:$L$62,卡牌属性!R224))*INDEX($G$5:$G$42,L224)+IF(Q224=1,INDEX(新属性投放!T$20:T$23,卡牌属性!M224-1),INDEX(新属性投放!T$25:T$28,卡牌属性!M224-1)))*SQRT(INDEX($I$5:$I$42,L224)),2)</f>
        <v>15125.58</v>
      </c>
      <c r="Y224" s="29" t="s">
        <v>177</v>
      </c>
      <c r="Z224" s="14">
        <f>ROUND(IF(Q224=1,INDEX(新属性投放!$D$14:$D$34,卡牌属性!R224),INDEX(新属性投放!$D$42:$D$62,卡牌属性!R224))*INDEX($G$5:$G$42,L224)/SQRT(INDEX($I$5:$I$42,L224)),2)</f>
        <v>118.84</v>
      </c>
      <c r="AA224" s="29" t="s">
        <v>178</v>
      </c>
      <c r="AB224" s="14">
        <f>ROUND(IF(Q224=1,INDEX(新属性投放!$E$14:$E$34,卡牌属性!R224),INDEX(新属性投放!$E$42:$E$62,卡牌属性!R224))*INDEX($G$5:$G$42,L224),2)</f>
        <v>59.42</v>
      </c>
      <c r="AC224" s="29" t="s">
        <v>179</v>
      </c>
      <c r="AD224" s="14">
        <f>ROUND(IF(Q224=1,INDEX(新属性投放!$F$14:$F$34,卡牌属性!R224),INDEX(新属性投放!$F$42:$F$62,卡牌属性!R224))*INDEX($G$5:$G$42,L224)*SQRT(INDEX($I$5:$I$42,L224)),2)</f>
        <v>356.52</v>
      </c>
      <c r="AF224" s="14">
        <f t="shared" si="63"/>
        <v>1188</v>
      </c>
      <c r="AG224" s="14">
        <f t="shared" si="64"/>
        <v>594</v>
      </c>
      <c r="AH224" s="14">
        <f t="shared" si="65"/>
        <v>3565</v>
      </c>
      <c r="AJ224" s="14">
        <f t="shared" si="66"/>
        <v>4963</v>
      </c>
      <c r="AK224" s="14">
        <f t="shared" si="67"/>
        <v>2479</v>
      </c>
      <c r="AL224" s="14">
        <f t="shared" si="68"/>
        <v>14897</v>
      </c>
    </row>
    <row r="225" spans="11:38" ht="16.5" x14ac:dyDescent="0.2">
      <c r="K225" s="13">
        <v>222</v>
      </c>
      <c r="L225" s="13">
        <f t="shared" si="57"/>
        <v>11</v>
      </c>
      <c r="M225" s="13">
        <f t="shared" si="58"/>
        <v>3</v>
      </c>
      <c r="N225" s="14">
        <f t="shared" si="59"/>
        <v>1101011</v>
      </c>
      <c r="O225" s="14" t="str">
        <f t="shared" si="60"/>
        <v>阎风吒12突</v>
      </c>
      <c r="P225" s="29" t="s">
        <v>341</v>
      </c>
      <c r="Q225" s="14">
        <f t="shared" si="61"/>
        <v>1</v>
      </c>
      <c r="R225" s="14">
        <f t="shared" si="62"/>
        <v>12</v>
      </c>
      <c r="S225" s="14" t="s">
        <v>39</v>
      </c>
      <c r="T225" s="14">
        <f>ROUND(((IF(Q225=1,INDEX(新属性投放!$J$14:$J$34,卡牌属性!R225),INDEX(新属性投放!$J$42:$J$62,卡牌属性!R225)))*INDEX($G$5:$G$42,L225)+IF(Q225=1,INDEX(新属性投放!R$20:R$23,卡牌属性!M225-1),INDEX(新属性投放!R$25:R$28,卡牌属性!M225-1)))/SQRT(INDEX($I$5:$I$42,L225)),2)</f>
        <v>6338.64</v>
      </c>
      <c r="U225" s="29" t="s">
        <v>178</v>
      </c>
      <c r="V225" s="14">
        <f>ROUND((IF(Q225=1,INDEX(新属性投放!$K$14:$K$34,卡牌属性!R225),INDEX(新属性投放!$K$42:$K$62,卡牌属性!R225))+IF(Q225=1,INDEX(新属性投放!S$20:S$23,卡牌属性!M225-1),INDEX(新属性投放!S$25:S$28,卡牌属性!M225-1)))*INDEX($G$5:$G$42,L225),2)</f>
        <v>3097.47</v>
      </c>
      <c r="W225" s="29" t="s">
        <v>179</v>
      </c>
      <c r="X225" s="14">
        <f>ROUND((IF(Q225=1,INDEX(新属性投放!$L$14:$L$34,卡牌属性!R225),INDEX(新属性投放!$L$42:$L$62,卡牌属性!R225))*INDEX($G$5:$G$42,L225)+IF(Q225=1,INDEX(新属性投放!T$20:T$23,卡牌属性!M225-1),INDEX(新属性投放!T$25:T$28,卡牌属性!M225-1)))*SQRT(INDEX($I$5:$I$42,L225)),2)</f>
        <v>19580.91</v>
      </c>
      <c r="Y225" s="29" t="s">
        <v>177</v>
      </c>
      <c r="Z225" s="14">
        <f>ROUND(IF(Q225=1,INDEX(新属性投放!$D$14:$D$34,卡牌属性!R225),INDEX(新属性投放!$D$42:$D$62,卡牌属性!R225))*INDEX($G$5:$G$42,L225)/SQRT(INDEX($I$5:$I$42,L225)),2)</f>
        <v>155.96</v>
      </c>
      <c r="AA225" s="29" t="s">
        <v>178</v>
      </c>
      <c r="AB225" s="14">
        <f>ROUND(IF(Q225=1,INDEX(新属性投放!$E$14:$E$34,卡牌属性!R225),INDEX(新属性投放!$E$42:$E$62,卡牌属性!R225))*INDEX($G$5:$G$42,L225),2)</f>
        <v>77.98</v>
      </c>
      <c r="AC225" s="29" t="s">
        <v>179</v>
      </c>
      <c r="AD225" s="14">
        <f>ROUND(IF(Q225=1,INDEX(新属性投放!$F$14:$F$34,卡牌属性!R225),INDEX(新属性投放!$F$42:$F$62,卡牌属性!R225))*INDEX($G$5:$G$42,L225)*SQRT(INDEX($I$5:$I$42,L225)),2)</f>
        <v>467.89</v>
      </c>
      <c r="AF225" s="14">
        <f t="shared" si="63"/>
        <v>1559</v>
      </c>
      <c r="AG225" s="14">
        <f t="shared" si="64"/>
        <v>779</v>
      </c>
      <c r="AH225" s="14">
        <f t="shared" si="65"/>
        <v>4678</v>
      </c>
      <c r="AJ225" s="14">
        <f t="shared" si="66"/>
        <v>6522</v>
      </c>
      <c r="AK225" s="14">
        <f t="shared" si="67"/>
        <v>3258</v>
      </c>
      <c r="AL225" s="14">
        <f t="shared" si="68"/>
        <v>19575</v>
      </c>
    </row>
    <row r="226" spans="11:38" ht="16.5" x14ac:dyDescent="0.2">
      <c r="K226" s="13">
        <v>223</v>
      </c>
      <c r="L226" s="13">
        <f t="shared" si="57"/>
        <v>11</v>
      </c>
      <c r="M226" s="13">
        <f t="shared" si="58"/>
        <v>3</v>
      </c>
      <c r="N226" s="14">
        <f t="shared" si="59"/>
        <v>1101011</v>
      </c>
      <c r="O226" s="14" t="str">
        <f t="shared" si="60"/>
        <v>阎风吒13突</v>
      </c>
      <c r="P226" s="29" t="s">
        <v>341</v>
      </c>
      <c r="Q226" s="14">
        <f t="shared" si="61"/>
        <v>1</v>
      </c>
      <c r="R226" s="14">
        <f t="shared" si="62"/>
        <v>13</v>
      </c>
      <c r="S226" s="14" t="s">
        <v>39</v>
      </c>
      <c r="T226" s="14">
        <f>ROUND(((IF(Q226=1,INDEX(新属性投放!$J$14:$J$34,卡牌属性!R226),INDEX(新属性投放!$J$42:$J$62,卡牌属性!R226)))*INDEX($G$5:$G$42,L226)+IF(Q226=1,INDEX(新属性投放!R$20:R$23,卡牌属性!M226-1),INDEX(新属性投放!R$25:R$28,卡牌属性!M226-1)))/SQRT(INDEX($I$5:$I$42,L226)),2)</f>
        <v>8288.1200000000008</v>
      </c>
      <c r="U226" s="29" t="s">
        <v>178</v>
      </c>
      <c r="V226" s="14">
        <f>ROUND((IF(Q226=1,INDEX(新属性投放!$K$14:$K$34,卡牌属性!R226),INDEX(新属性投放!$K$42:$K$62,卡牌属性!R226))+IF(Q226=1,INDEX(新属性投放!S$20:S$23,卡牌属性!M226-1),INDEX(新属性投放!S$25:S$28,卡牌属性!M226-1)))*INDEX($G$5:$G$42,L226),2)</f>
        <v>4072.78</v>
      </c>
      <c r="W226" s="29" t="s">
        <v>179</v>
      </c>
      <c r="X226" s="14">
        <f>ROUND((IF(Q226=1,INDEX(新属性投放!$L$14:$L$34,卡牌属性!R226),INDEX(新属性投放!$L$42:$L$62,卡牌属性!R226))*INDEX($G$5:$G$42,L226)+IF(Q226=1,INDEX(新属性投放!T$20:T$23,卡牌属性!M226-1),INDEX(新属性投放!T$25:T$28,卡牌属性!M226-1)))*SQRT(INDEX($I$5:$I$42,L226)),2)</f>
        <v>25429.35</v>
      </c>
      <c r="Y226" s="29" t="s">
        <v>177</v>
      </c>
      <c r="Z226" s="14">
        <f>ROUND(IF(Q226=1,INDEX(新属性投放!$D$14:$D$34,卡牌属性!R226),INDEX(新属性投放!$D$42:$D$62,卡牌属性!R226))*INDEX($G$5:$G$42,L226)/SQRT(INDEX($I$5:$I$42,L226)),2)</f>
        <v>204.7</v>
      </c>
      <c r="AA226" s="29" t="s">
        <v>178</v>
      </c>
      <c r="AB226" s="14">
        <f>ROUND(IF(Q226=1,INDEX(新属性投放!$E$14:$E$34,卡牌属性!R226),INDEX(新属性投放!$E$42:$E$62,卡牌属性!R226))*INDEX($G$5:$G$42,L226),2)</f>
        <v>102.35</v>
      </c>
      <c r="AC226" s="29" t="s">
        <v>179</v>
      </c>
      <c r="AD226" s="14">
        <f>ROUND(IF(Q226=1,INDEX(新属性投放!$F$14:$F$34,卡牌属性!R226),INDEX(新属性投放!$F$42:$F$62,卡牌属性!R226))*INDEX($G$5:$G$42,L226)*SQRT(INDEX($I$5:$I$42,L226)),2)</f>
        <v>614.1</v>
      </c>
      <c r="AF226" s="14">
        <f t="shared" si="63"/>
        <v>2047</v>
      </c>
      <c r="AG226" s="14">
        <f t="shared" si="64"/>
        <v>1023</v>
      </c>
      <c r="AH226" s="14">
        <f t="shared" si="65"/>
        <v>6141</v>
      </c>
      <c r="AJ226" s="14">
        <f t="shared" si="66"/>
        <v>8569</v>
      </c>
      <c r="AK226" s="14">
        <f t="shared" si="67"/>
        <v>4281</v>
      </c>
      <c r="AL226" s="14">
        <f t="shared" si="68"/>
        <v>25716</v>
      </c>
    </row>
    <row r="227" spans="11:38" ht="16.5" x14ac:dyDescent="0.2">
      <c r="K227" s="13">
        <v>224</v>
      </c>
      <c r="L227" s="13">
        <f t="shared" si="57"/>
        <v>11</v>
      </c>
      <c r="M227" s="13">
        <f t="shared" si="58"/>
        <v>3</v>
      </c>
      <c r="N227" s="14">
        <f t="shared" si="59"/>
        <v>1101011</v>
      </c>
      <c r="O227" s="14" t="str">
        <f t="shared" si="60"/>
        <v>阎风吒14突</v>
      </c>
      <c r="P227" s="29" t="s">
        <v>341</v>
      </c>
      <c r="Q227" s="14">
        <f t="shared" si="61"/>
        <v>1</v>
      </c>
      <c r="R227" s="14">
        <f t="shared" si="62"/>
        <v>14</v>
      </c>
      <c r="S227" s="14" t="s">
        <v>39</v>
      </c>
      <c r="T227" s="14">
        <f>ROUND(((IF(Q227=1,INDEX(新属性投放!$J$14:$J$34,卡牌属性!R227),INDEX(新属性投放!$J$42:$J$62,卡牌属性!R227)))*INDEX($G$5:$G$42,L227)+IF(Q227=1,INDEX(新属性投放!R$20:R$23,卡牌属性!M227-1),INDEX(新属性投放!R$25:R$28,卡牌属性!M227-1)))/SQRT(INDEX($I$5:$I$42,L227)),2)</f>
        <v>10846.87</v>
      </c>
      <c r="U227" s="29" t="s">
        <v>178</v>
      </c>
      <c r="V227" s="14">
        <f>ROUND((IF(Q227=1,INDEX(新属性投放!$K$14:$K$34,卡牌属性!R227),INDEX(新属性投放!$K$42:$K$62,卡牌属性!R227))+IF(Q227=1,INDEX(新属性投放!S$20:S$23,卡牌属性!M227-1),INDEX(新属性投放!S$25:S$28,卡牌属性!M227-1)))*INDEX($G$5:$G$42,L227),2)</f>
        <v>5352.73</v>
      </c>
      <c r="W227" s="29" t="s">
        <v>179</v>
      </c>
      <c r="X227" s="14">
        <f>ROUND((IF(Q227=1,INDEX(新属性投放!$L$14:$L$34,卡牌属性!R227),INDEX(新属性投放!$L$42:$L$62,卡牌属性!R227))*INDEX($G$5:$G$42,L227)+IF(Q227=1,INDEX(新属性投放!T$20:T$23,卡牌属性!M227-1),INDEX(新属性投放!T$25:T$28,卡牌属性!M227-1)))*SQRT(INDEX($I$5:$I$42,L227)),2)</f>
        <v>33105.599999999999</v>
      </c>
      <c r="Y227" s="29" t="s">
        <v>177</v>
      </c>
      <c r="Z227" s="14">
        <f>ROUND(IF(Q227=1,INDEX(新属性投放!$D$14:$D$34,卡牌属性!R227),INDEX(新属性投放!$D$42:$D$62,卡牌属性!R227))*INDEX($G$5:$G$42,L227)/SQRT(INDEX($I$5:$I$42,L227)),2)</f>
        <v>268.67</v>
      </c>
      <c r="AA227" s="29" t="s">
        <v>178</v>
      </c>
      <c r="AB227" s="14">
        <f>ROUND(IF(Q227=1,INDEX(新属性投放!$E$14:$E$34,卡牌属性!R227),INDEX(新属性投放!$E$42:$E$62,卡牌属性!R227))*INDEX($G$5:$G$42,L227),2)</f>
        <v>134.34</v>
      </c>
      <c r="AC227" s="29" t="s">
        <v>179</v>
      </c>
      <c r="AD227" s="14">
        <f>ROUND(IF(Q227=1,INDEX(新属性投放!$F$14:$F$34,卡牌属性!R227),INDEX(新属性投放!$F$42:$F$62,卡牌属性!R227))*INDEX($G$5:$G$42,L227)*SQRT(INDEX($I$5:$I$42,L227)),2)</f>
        <v>806.02</v>
      </c>
      <c r="AF227" s="14">
        <f t="shared" si="63"/>
        <v>2686</v>
      </c>
      <c r="AG227" s="14">
        <f t="shared" si="64"/>
        <v>1343</v>
      </c>
      <c r="AH227" s="14">
        <f t="shared" si="65"/>
        <v>8060</v>
      </c>
      <c r="AJ227" s="14">
        <f t="shared" si="66"/>
        <v>11255</v>
      </c>
      <c r="AK227" s="14">
        <f t="shared" si="67"/>
        <v>5624</v>
      </c>
      <c r="AL227" s="14">
        <f t="shared" si="68"/>
        <v>33776</v>
      </c>
    </row>
    <row r="228" spans="11:38" ht="16.5" x14ac:dyDescent="0.2">
      <c r="K228" s="13">
        <v>225</v>
      </c>
      <c r="L228" s="13">
        <f t="shared" si="57"/>
        <v>11</v>
      </c>
      <c r="M228" s="13">
        <f t="shared" si="58"/>
        <v>3</v>
      </c>
      <c r="N228" s="14">
        <f t="shared" si="59"/>
        <v>1101011</v>
      </c>
      <c r="O228" s="14" t="str">
        <f t="shared" si="60"/>
        <v>阎风吒15突</v>
      </c>
      <c r="P228" s="29" t="s">
        <v>341</v>
      </c>
      <c r="Q228" s="14">
        <f t="shared" si="61"/>
        <v>1</v>
      </c>
      <c r="R228" s="14">
        <f t="shared" si="62"/>
        <v>15</v>
      </c>
      <c r="S228" s="14" t="s">
        <v>39</v>
      </c>
      <c r="T228" s="14">
        <f>ROUND(((IF(Q228=1,INDEX(新属性投放!$J$14:$J$34,卡牌属性!R228),INDEX(新属性投放!$J$42:$J$62,卡牌属性!R228)))*INDEX($G$5:$G$42,L228)+IF(Q228=1,INDEX(新属性投放!R$20:R$23,卡牌属性!M228-1),INDEX(新属性投放!R$25:R$28,卡牌属性!M228-1)))/SQRT(INDEX($I$5:$I$42,L228)),2)</f>
        <v>14205.21</v>
      </c>
      <c r="U228" s="29" t="s">
        <v>178</v>
      </c>
      <c r="V228" s="14">
        <f>ROUND((IF(Q228=1,INDEX(新属性投放!$K$14:$K$34,卡牌属性!R228),INDEX(新属性投放!$K$42:$K$62,卡牌属性!R228))+IF(Q228=1,INDEX(新属性投放!S$20:S$23,卡牌属性!M228-1),INDEX(新属性投放!S$25:S$28,卡牌属性!M228-1)))*INDEX($G$5:$G$42,L228),2)</f>
        <v>7031.91</v>
      </c>
      <c r="W228" s="29" t="s">
        <v>179</v>
      </c>
      <c r="X228" s="14">
        <f>ROUND((IF(Q228=1,INDEX(新属性投放!$L$14:$L$34,卡牌属性!R228),INDEX(新属性投放!$L$42:$L$62,卡牌属性!R228))*INDEX($G$5:$G$42,L228)+IF(Q228=1,INDEX(新属性投放!T$20:T$23,卡牌属性!M228-1),INDEX(新属性投放!T$25:T$28,卡牌属性!M228-1)))*SQRT(INDEX($I$5:$I$42,L228)),2)</f>
        <v>43180.63</v>
      </c>
      <c r="Y228" s="29" t="s">
        <v>177</v>
      </c>
      <c r="Z228" s="14">
        <f>ROUND(IF(Q228=1,INDEX(新属性投放!$D$14:$D$34,卡牌属性!R228),INDEX(新属性投放!$D$42:$D$62,卡牌属性!R228))*INDEX($G$5:$G$42,L228)/SQRT(INDEX($I$5:$I$42,L228)),2)</f>
        <v>352.64</v>
      </c>
      <c r="AA228" s="29" t="s">
        <v>178</v>
      </c>
      <c r="AB228" s="14">
        <f>ROUND(IF(Q228=1,INDEX(新属性投放!$E$14:$E$34,卡牌属性!R228),INDEX(新属性投放!$E$42:$E$62,卡牌属性!R228))*INDEX($G$5:$G$42,L228),2)</f>
        <v>176.32</v>
      </c>
      <c r="AC228" s="29" t="s">
        <v>179</v>
      </c>
      <c r="AD228" s="14">
        <f>ROUND(IF(Q228=1,INDEX(新属性投放!$F$14:$F$34,卡牌属性!R228),INDEX(新属性投放!$F$42:$F$62,卡牌属性!R228))*INDEX($G$5:$G$42,L228)*SQRT(INDEX($I$5:$I$42,L228)),2)</f>
        <v>1057.9100000000001</v>
      </c>
      <c r="AF228" s="14">
        <f t="shared" si="63"/>
        <v>3526</v>
      </c>
      <c r="AG228" s="14">
        <f t="shared" si="64"/>
        <v>1763</v>
      </c>
      <c r="AH228" s="14">
        <f t="shared" si="65"/>
        <v>10579</v>
      </c>
      <c r="AJ228" s="14">
        <f t="shared" si="66"/>
        <v>14781</v>
      </c>
      <c r="AK228" s="14">
        <f t="shared" si="67"/>
        <v>7387</v>
      </c>
      <c r="AL228" s="14">
        <f t="shared" si="68"/>
        <v>44355</v>
      </c>
    </row>
    <row r="229" spans="11:38" ht="16.5" x14ac:dyDescent="0.2">
      <c r="K229" s="13">
        <v>226</v>
      </c>
      <c r="L229" s="13">
        <f t="shared" si="57"/>
        <v>11</v>
      </c>
      <c r="M229" s="13">
        <f t="shared" si="58"/>
        <v>3</v>
      </c>
      <c r="N229" s="14">
        <f t="shared" si="59"/>
        <v>1101011</v>
      </c>
      <c r="O229" s="14" t="str">
        <f t="shared" si="60"/>
        <v>阎风吒16突</v>
      </c>
      <c r="P229" s="29" t="s">
        <v>341</v>
      </c>
      <c r="Q229" s="14">
        <f t="shared" si="61"/>
        <v>1</v>
      </c>
      <c r="R229" s="14">
        <f t="shared" si="62"/>
        <v>16</v>
      </c>
      <c r="S229" s="14" t="s">
        <v>39</v>
      </c>
      <c r="T229" s="14">
        <f>ROUND(((IF(Q229=1,INDEX(新属性投放!$J$14:$J$34,卡牌属性!R229),INDEX(新属性投放!$J$42:$J$62,卡牌属性!R229)))*INDEX($G$5:$G$42,L229)+IF(Q229=1,INDEX(新属性投放!R$20:R$23,卡牌属性!M229-1),INDEX(新属性投放!R$25:R$28,卡牌属性!M229-1)))/SQRT(INDEX($I$5:$I$42,L229)),2)</f>
        <v>18613.62</v>
      </c>
      <c r="U229" s="29" t="s">
        <v>178</v>
      </c>
      <c r="V229" s="14">
        <f>ROUND((IF(Q229=1,INDEX(新属性投放!$K$14:$K$34,卡牌属性!R229),INDEX(新属性投放!$K$42:$K$62,卡牌属性!R229))+IF(Q229=1,INDEX(新属性投放!S$20:S$23,卡牌属性!M229-1),INDEX(新属性投放!S$25:S$28,卡牌属性!M229-1)))*INDEX($G$5:$G$42,L229),2)</f>
        <v>9235.5400000000009</v>
      </c>
      <c r="W229" s="29" t="s">
        <v>179</v>
      </c>
      <c r="X229" s="14">
        <f>ROUND((IF(Q229=1,INDEX(新属性投放!$L$14:$L$34,卡牌属性!R229),INDEX(新属性投放!$L$42:$L$62,卡牌属性!R229))*INDEX($G$5:$G$42,L229)+IF(Q229=1,INDEX(新属性投放!T$20:T$23,卡牌属性!M229-1),INDEX(新属性投放!T$25:T$28,卡牌属性!M229-1)))*SQRT(INDEX($I$5:$I$42,L229)),2)</f>
        <v>56405.86</v>
      </c>
      <c r="Y229" s="29" t="s">
        <v>177</v>
      </c>
      <c r="Z229" s="14">
        <f>ROUND(IF(Q229=1,INDEX(新属性投放!$D$14:$D$34,卡牌属性!R229),INDEX(新属性投放!$D$42:$D$62,卡牌属性!R229))*INDEX($G$5:$G$42,L229)/SQRT(INDEX($I$5:$I$42,L229)),2)</f>
        <v>462.84</v>
      </c>
      <c r="AA229" s="29" t="s">
        <v>178</v>
      </c>
      <c r="AB229" s="14">
        <f>ROUND(IF(Q229=1,INDEX(新属性投放!$E$14:$E$34,卡牌属性!R229),INDEX(新属性投放!$E$42:$E$62,卡牌属性!R229))*INDEX($G$5:$G$42,L229),2)</f>
        <v>231.42</v>
      </c>
      <c r="AC229" s="29" t="s">
        <v>179</v>
      </c>
      <c r="AD229" s="14">
        <f>ROUND(IF(Q229=1,INDEX(新属性投放!$F$14:$F$34,卡牌属性!R229),INDEX(新属性投放!$F$42:$F$62,卡牌属性!R229))*INDEX($G$5:$G$42,L229)*SQRT(INDEX($I$5:$I$42,L229)),2)</f>
        <v>1388.52</v>
      </c>
      <c r="AF229" s="14">
        <f t="shared" si="63"/>
        <v>4628</v>
      </c>
      <c r="AG229" s="14">
        <f t="shared" si="64"/>
        <v>2314</v>
      </c>
      <c r="AH229" s="14">
        <f t="shared" si="65"/>
        <v>13885</v>
      </c>
      <c r="AJ229" s="14">
        <f t="shared" si="66"/>
        <v>19409</v>
      </c>
      <c r="AK229" s="14">
        <f t="shared" si="67"/>
        <v>9701</v>
      </c>
      <c r="AL229" s="14">
        <f t="shared" si="68"/>
        <v>58240</v>
      </c>
    </row>
    <row r="230" spans="11:38" ht="16.5" x14ac:dyDescent="0.2">
      <c r="K230" s="13">
        <v>227</v>
      </c>
      <c r="L230" s="13">
        <f t="shared" si="57"/>
        <v>11</v>
      </c>
      <c r="M230" s="13">
        <f t="shared" si="58"/>
        <v>3</v>
      </c>
      <c r="N230" s="14">
        <f t="shared" si="59"/>
        <v>1101011</v>
      </c>
      <c r="O230" s="14" t="str">
        <f t="shared" si="60"/>
        <v>阎风吒17突</v>
      </c>
      <c r="P230" s="29" t="s">
        <v>341</v>
      </c>
      <c r="Q230" s="14">
        <f t="shared" si="61"/>
        <v>1</v>
      </c>
      <c r="R230" s="14">
        <f t="shared" si="62"/>
        <v>17</v>
      </c>
      <c r="S230" s="14" t="s">
        <v>39</v>
      </c>
      <c r="T230" s="14">
        <f>ROUND(((IF(Q230=1,INDEX(新属性投放!$J$14:$J$34,卡牌属性!R230),INDEX(新属性投放!$J$42:$J$62,卡牌属性!R230)))*INDEX($G$5:$G$42,L230)+IF(Q230=1,INDEX(新属性投放!R$20:R$23,卡牌属性!M230-1),INDEX(新属性投放!R$25:R$28,卡牌属性!M230-1)))/SQRT(INDEX($I$5:$I$42,L230)),2)</f>
        <v>24398.93</v>
      </c>
      <c r="U230" s="29" t="s">
        <v>178</v>
      </c>
      <c r="V230" s="14">
        <f>ROUND((IF(Q230=1,INDEX(新属性投放!$K$14:$K$34,卡牌属性!R230),INDEX(新属性投放!$K$42:$K$62,卡牌属性!R230))+IF(Q230=1,INDEX(新属性投放!S$20:S$23,卡牌属性!M230-1),INDEX(新属性投放!S$25:S$28,卡牌属性!M230-1)))*INDEX($G$5:$G$42,L230),2)</f>
        <v>12128.19</v>
      </c>
      <c r="W230" s="29" t="s">
        <v>179</v>
      </c>
      <c r="X230" s="14">
        <f>ROUND((IF(Q230=1,INDEX(新属性投放!$L$14:$L$34,卡牌属性!R230),INDEX(新属性投放!$L$42:$L$62,卡牌属性!R230))*INDEX($G$5:$G$42,L230)+IF(Q230=1,INDEX(新属性投放!T$20:T$23,卡牌属性!M230-1),INDEX(新属性投放!T$25:T$28,卡牌属性!M230-1)))*SQRT(INDEX($I$5:$I$42,L230)),2)</f>
        <v>73761.78</v>
      </c>
      <c r="Y230" s="29" t="s">
        <v>177</v>
      </c>
      <c r="Z230" s="14">
        <f>ROUND(IF(Q230=1,INDEX(新属性投放!$D$14:$D$34,卡牌属性!R230),INDEX(新属性投放!$D$42:$D$62,卡牌属性!R230))*INDEX($G$5:$G$42,L230)/SQRT(INDEX($I$5:$I$42,L230)),2)</f>
        <v>607.48</v>
      </c>
      <c r="AA230" s="29" t="s">
        <v>178</v>
      </c>
      <c r="AB230" s="14">
        <f>ROUND(IF(Q230=1,INDEX(新属性投放!$E$14:$E$34,卡牌属性!R230),INDEX(新属性投放!$E$42:$E$62,卡牌属性!R230))*INDEX($G$5:$G$42,L230),2)</f>
        <v>303.74</v>
      </c>
      <c r="AC230" s="29" t="s">
        <v>179</v>
      </c>
      <c r="AD230" s="14">
        <f>ROUND(IF(Q230=1,INDEX(新属性投放!$F$14:$F$34,卡牌属性!R230),INDEX(新属性投放!$F$42:$F$62,卡牌属性!R230))*INDEX($G$5:$G$42,L230)*SQRT(INDEX($I$5:$I$42,L230)),2)</f>
        <v>1822.43</v>
      </c>
      <c r="AF230" s="14">
        <f t="shared" si="63"/>
        <v>6074</v>
      </c>
      <c r="AG230" s="14">
        <f t="shared" si="64"/>
        <v>3037</v>
      </c>
      <c r="AH230" s="14">
        <f t="shared" si="65"/>
        <v>18224</v>
      </c>
      <c r="AJ230" s="14">
        <f t="shared" si="66"/>
        <v>25483</v>
      </c>
      <c r="AK230" s="14">
        <f t="shared" si="67"/>
        <v>12738</v>
      </c>
      <c r="AL230" s="14">
        <f t="shared" si="68"/>
        <v>76464</v>
      </c>
    </row>
    <row r="231" spans="11:38" ht="16.5" x14ac:dyDescent="0.2">
      <c r="K231" s="13">
        <v>228</v>
      </c>
      <c r="L231" s="13">
        <f t="shared" si="57"/>
        <v>11</v>
      </c>
      <c r="M231" s="13">
        <f t="shared" si="58"/>
        <v>3</v>
      </c>
      <c r="N231" s="14">
        <f t="shared" si="59"/>
        <v>1101011</v>
      </c>
      <c r="O231" s="14" t="str">
        <f t="shared" si="60"/>
        <v>阎风吒18突</v>
      </c>
      <c r="P231" s="29" t="s">
        <v>341</v>
      </c>
      <c r="Q231" s="14">
        <f t="shared" si="61"/>
        <v>1</v>
      </c>
      <c r="R231" s="14">
        <f t="shared" si="62"/>
        <v>18</v>
      </c>
      <c r="S231" s="14" t="s">
        <v>39</v>
      </c>
      <c r="T231" s="14">
        <f>ROUND(((IF(Q231=1,INDEX(新属性投放!$J$14:$J$34,卡牌属性!R231),INDEX(新属性投放!$J$42:$J$62,卡牌属性!R231)))*INDEX($G$5:$G$42,L231)+IF(Q231=1,INDEX(新属性投放!R$20:R$23,卡牌属性!M231-1),INDEX(新属性投放!R$25:R$28,卡牌属性!M231-1)))/SQRT(INDEX($I$5:$I$42,L231)),2)</f>
        <v>31992.84</v>
      </c>
      <c r="U231" s="29" t="s">
        <v>178</v>
      </c>
      <c r="V231" s="14">
        <f>ROUND((IF(Q231=1,INDEX(新属性投放!$K$14:$K$34,卡牌属性!R231),INDEX(新属性投放!$K$42:$K$62,卡牌属性!R231))+IF(Q231=1,INDEX(新属性投放!S$20:S$23,卡牌属性!M231-1),INDEX(新属性投放!S$25:S$28,卡牌属性!M231-1)))*INDEX($G$5:$G$42,L231),2)</f>
        <v>15924.57</v>
      </c>
      <c r="W231" s="29" t="s">
        <v>179</v>
      </c>
      <c r="X231" s="14">
        <f>ROUND((IF(Q231=1,INDEX(新属性投放!$L$14:$L$34,卡牌属性!R231),INDEX(新属性投放!$L$42:$L$62,卡牌属性!R231))*INDEX($G$5:$G$42,L231)+IF(Q231=1,INDEX(新属性投放!T$20:T$23,卡牌属性!M231-1),INDEX(新属性投放!T$25:T$28,卡牌属性!M231-1)))*SQRT(INDEX($I$5:$I$42,L231)),2)</f>
        <v>96543.51</v>
      </c>
      <c r="Y231" s="29" t="s">
        <v>177</v>
      </c>
      <c r="Z231" s="14">
        <f>ROUND(IF(Q231=1,INDEX(新属性投放!$D$14:$D$34,卡牌属性!R231),INDEX(新属性投放!$D$42:$D$62,卡牌属性!R231))*INDEX($G$5:$G$42,L231)/SQRT(INDEX($I$5:$I$42,L231)),2)</f>
        <v>797.32</v>
      </c>
      <c r="AA231" s="29" t="s">
        <v>178</v>
      </c>
      <c r="AB231" s="14">
        <f>ROUND(IF(Q231=1,INDEX(新属性投放!$E$14:$E$34,卡牌属性!R231),INDEX(新属性投放!$E$42:$E$62,卡牌属性!R231))*INDEX($G$5:$G$42,L231),2)</f>
        <v>398.66</v>
      </c>
      <c r="AC231" s="29" t="s">
        <v>179</v>
      </c>
      <c r="AD231" s="14">
        <f>ROUND(IF(Q231=1,INDEX(新属性投放!$F$14:$F$34,卡牌属性!R231),INDEX(新属性投放!$F$42:$F$62,卡牌属性!R231))*INDEX($G$5:$G$42,L231)*SQRT(INDEX($I$5:$I$42,L231)),2)</f>
        <v>2391.9499999999998</v>
      </c>
      <c r="AF231" s="14">
        <f t="shared" si="63"/>
        <v>7973</v>
      </c>
      <c r="AG231" s="14">
        <f t="shared" si="64"/>
        <v>3986</v>
      </c>
      <c r="AH231" s="14">
        <f t="shared" si="65"/>
        <v>23919</v>
      </c>
      <c r="AJ231" s="14">
        <f t="shared" si="66"/>
        <v>33456</v>
      </c>
      <c r="AK231" s="14">
        <f t="shared" si="67"/>
        <v>16724</v>
      </c>
      <c r="AL231" s="14">
        <f t="shared" si="68"/>
        <v>100383</v>
      </c>
    </row>
    <row r="232" spans="11:38" ht="16.5" x14ac:dyDescent="0.2">
      <c r="K232" s="13">
        <v>229</v>
      </c>
      <c r="L232" s="13">
        <f t="shared" si="57"/>
        <v>11</v>
      </c>
      <c r="M232" s="13">
        <f t="shared" si="58"/>
        <v>3</v>
      </c>
      <c r="N232" s="14">
        <f t="shared" si="59"/>
        <v>1101011</v>
      </c>
      <c r="O232" s="14" t="str">
        <f t="shared" si="60"/>
        <v>阎风吒19突</v>
      </c>
      <c r="P232" s="29" t="s">
        <v>341</v>
      </c>
      <c r="Q232" s="14">
        <f t="shared" si="61"/>
        <v>1</v>
      </c>
      <c r="R232" s="14">
        <f t="shared" si="62"/>
        <v>19</v>
      </c>
      <c r="S232" s="14" t="s">
        <v>39</v>
      </c>
      <c r="T232" s="14">
        <f>ROUND(((IF(Q232=1,INDEX(新属性投放!$J$14:$J$34,卡牌属性!R232),INDEX(新属性投放!$J$42:$J$62,卡牌属性!R232)))*INDEX($G$5:$G$42,L232)+IF(Q232=1,INDEX(新属性投放!R$20:R$23,卡牌属性!M232-1),INDEX(新属性投放!R$25:R$28,卡牌属性!M232-1)))/SQRT(INDEX($I$5:$I$42,L232)),2)</f>
        <v>41958.97</v>
      </c>
      <c r="U232" s="29" t="s">
        <v>178</v>
      </c>
      <c r="V232" s="14">
        <f>ROUND((IF(Q232=1,INDEX(新属性投放!$K$14:$K$34,卡牌属性!R232),INDEX(新属性投放!$K$42:$K$62,卡牌属性!R232))+IF(Q232=1,INDEX(新属性投放!S$20:S$23,卡牌属性!M232-1),INDEX(新属性投放!S$25:S$28,卡牌属性!M232-1)))*INDEX($G$5:$G$42,L232),2)</f>
        <v>20908.21</v>
      </c>
      <c r="W232" s="29" t="s">
        <v>179</v>
      </c>
      <c r="X232" s="14">
        <f>ROUND((IF(Q232=1,INDEX(新属性投放!$L$14:$L$34,卡牌属性!R232),INDEX(新属性投放!$L$42:$L$62,卡牌属性!R232))*INDEX($G$5:$G$42,L232)+IF(Q232=1,INDEX(新属性投放!T$20:T$23,卡牌属性!M232-1),INDEX(新属性投放!T$25:T$28,卡牌属性!M232-1)))*SQRT(INDEX($I$5:$I$42,L232)),2)</f>
        <v>126441.9</v>
      </c>
      <c r="Y232" s="29" t="s">
        <v>177</v>
      </c>
      <c r="Z232" s="14">
        <f>ROUND(IF(Q232=1,INDEX(新属性投放!$D$14:$D$34,卡牌属性!R232),INDEX(新属性投放!$D$42:$D$62,卡牌属性!R232))*INDEX($G$5:$G$42,L232)/SQRT(INDEX($I$5:$I$42,L232)),2)</f>
        <v>1046.48</v>
      </c>
      <c r="AA232" s="29" t="s">
        <v>178</v>
      </c>
      <c r="AB232" s="14">
        <f>ROUND(IF(Q232=1,INDEX(新属性投放!$E$14:$E$34,卡牌属性!R232),INDEX(新属性投放!$E$42:$E$62,卡牌属性!R232))*INDEX($G$5:$G$42,L232),2)</f>
        <v>523.24</v>
      </c>
      <c r="AC232" s="29" t="s">
        <v>179</v>
      </c>
      <c r="AD232" s="14">
        <f>ROUND(IF(Q232=1,INDEX(新属性投放!$F$14:$F$34,卡牌属性!R232),INDEX(新属性投放!$F$42:$F$62,卡牌属性!R232))*INDEX($G$5:$G$42,L232)*SQRT(INDEX($I$5:$I$42,L232)),2)</f>
        <v>3139.43</v>
      </c>
      <c r="AF232" s="14">
        <f t="shared" si="63"/>
        <v>10464</v>
      </c>
      <c r="AG232" s="14">
        <f t="shared" si="64"/>
        <v>5232</v>
      </c>
      <c r="AH232" s="14">
        <f t="shared" si="65"/>
        <v>31394</v>
      </c>
      <c r="AJ232" s="14">
        <f t="shared" si="66"/>
        <v>43920</v>
      </c>
      <c r="AK232" s="14">
        <f t="shared" si="67"/>
        <v>21956</v>
      </c>
      <c r="AL232" s="14">
        <f t="shared" si="68"/>
        <v>131777</v>
      </c>
    </row>
    <row r="233" spans="11:38" ht="16.5" x14ac:dyDescent="0.2">
      <c r="K233" s="13">
        <v>230</v>
      </c>
      <c r="L233" s="13">
        <f t="shared" si="57"/>
        <v>11</v>
      </c>
      <c r="M233" s="13">
        <f t="shared" si="58"/>
        <v>3</v>
      </c>
      <c r="N233" s="14">
        <f t="shared" si="59"/>
        <v>1101011</v>
      </c>
      <c r="O233" s="14" t="str">
        <f t="shared" si="60"/>
        <v>阎风吒20突</v>
      </c>
      <c r="P233" s="29" t="s">
        <v>341</v>
      </c>
      <c r="Q233" s="14">
        <f t="shared" si="61"/>
        <v>1</v>
      </c>
      <c r="R233" s="14">
        <f t="shared" si="62"/>
        <v>20</v>
      </c>
      <c r="S233" s="14" t="s">
        <v>39</v>
      </c>
      <c r="T233" s="14">
        <f>ROUND(((IF(Q233=1,INDEX(新属性投放!$J$14:$J$34,卡牌属性!R233),INDEX(新属性投放!$J$42:$J$62,卡牌属性!R233)))*INDEX($G$5:$G$42,L233)+IF(Q233=1,INDEX(新属性投放!R$20:R$23,卡牌属性!M233-1),INDEX(新属性投放!R$25:R$28,卡牌属性!M233-1)))/SQRT(INDEX($I$5:$I$42,L233)),2)</f>
        <v>55039.99</v>
      </c>
      <c r="U233" s="29" t="s">
        <v>178</v>
      </c>
      <c r="V233" s="14">
        <f>ROUND((IF(Q233=1,INDEX(新属性投放!$K$14:$K$34,卡牌属性!R233),INDEX(新属性投放!$K$42:$K$62,卡牌属性!R233))+IF(Q233=1,INDEX(新属性投放!S$20:S$23,卡牌属性!M233-1),INDEX(新属性投放!S$25:S$28,卡牌属性!M233-1)))*INDEX($G$5:$G$42,L233),2)</f>
        <v>27448.14</v>
      </c>
      <c r="W233" s="29" t="s">
        <v>179</v>
      </c>
      <c r="X233" s="14">
        <f>ROUND((IF(Q233=1,INDEX(新属性投放!$L$14:$L$34,卡牌属性!R233),INDEX(新属性投放!$L$42:$L$62,卡牌属性!R233))*INDEX($G$5:$G$42,L233)+IF(Q233=1,INDEX(新属性投放!T$20:T$23,卡牌属性!M233-1),INDEX(新属性投放!T$25:T$28,卡牌属性!M233-1)))*SQRT(INDEX($I$5:$I$42,L233)),2)</f>
        <v>165684.96</v>
      </c>
      <c r="Y233" s="29" t="s">
        <v>177</v>
      </c>
      <c r="Z233" s="14">
        <f>ROUND(IF(Q233=1,INDEX(新属性投放!$D$14:$D$34,卡牌属性!R233),INDEX(新属性投放!$D$42:$D$62,卡牌属性!R233))*INDEX($G$5:$G$42,L233)/SQRT(INDEX($I$5:$I$42,L233)),2)</f>
        <v>1373.5</v>
      </c>
      <c r="AA233" s="29" t="s">
        <v>178</v>
      </c>
      <c r="AB233" s="14">
        <f>ROUND(IF(Q233=1,INDEX(新属性投放!$E$14:$E$34,卡牌属性!R233),INDEX(新属性投放!$E$42:$E$62,卡牌属性!R233))*INDEX($G$5:$G$42,L233),2)</f>
        <v>686.75</v>
      </c>
      <c r="AC233" s="29" t="s">
        <v>179</v>
      </c>
      <c r="AD233" s="14">
        <f>ROUND(IF(Q233=1,INDEX(新属性投放!$F$14:$F$34,卡牌属性!R233),INDEX(新属性投放!$F$42:$F$62,卡牌属性!R233))*INDEX($G$5:$G$42,L233)*SQRT(INDEX($I$5:$I$42,L233)),2)</f>
        <v>4120.51</v>
      </c>
      <c r="AF233" s="14">
        <f t="shared" si="63"/>
        <v>13735</v>
      </c>
      <c r="AG233" s="14">
        <f t="shared" si="64"/>
        <v>6867</v>
      </c>
      <c r="AH233" s="14">
        <f t="shared" si="65"/>
        <v>41205</v>
      </c>
      <c r="AJ233" s="14">
        <f t="shared" si="66"/>
        <v>57655</v>
      </c>
      <c r="AK233" s="14">
        <f t="shared" si="67"/>
        <v>28823</v>
      </c>
      <c r="AL233" s="14">
        <f t="shared" si="68"/>
        <v>172982</v>
      </c>
    </row>
    <row r="234" spans="11:38" ht="16.5" x14ac:dyDescent="0.2">
      <c r="K234" s="13">
        <v>231</v>
      </c>
      <c r="L234" s="13">
        <f t="shared" si="57"/>
        <v>11</v>
      </c>
      <c r="M234" s="13">
        <f t="shared" si="58"/>
        <v>3</v>
      </c>
      <c r="N234" s="14">
        <f t="shared" si="59"/>
        <v>1101011</v>
      </c>
      <c r="O234" s="14" t="str">
        <f t="shared" si="60"/>
        <v>阎风吒21突</v>
      </c>
      <c r="P234" s="29" t="s">
        <v>341</v>
      </c>
      <c r="Q234" s="14">
        <f t="shared" si="61"/>
        <v>1</v>
      </c>
      <c r="R234" s="14">
        <f t="shared" si="62"/>
        <v>21</v>
      </c>
      <c r="S234" s="14" t="s">
        <v>39</v>
      </c>
      <c r="T234" s="14">
        <f>ROUND(((IF(Q234=1,INDEX(新属性投放!$J$14:$J$34,卡牌属性!R234),INDEX(新属性投放!$J$42:$J$62,卡牌属性!R234)))*INDEX($G$5:$G$42,L234)+IF(Q234=1,INDEX(新属性投放!R$20:R$23,卡牌属性!M234-1),INDEX(新属性投放!R$25:R$28,卡牌属性!M234-1)))/SQRT(INDEX($I$5:$I$42,L234)),2)</f>
        <v>72208.91</v>
      </c>
      <c r="U234" s="29" t="s">
        <v>178</v>
      </c>
      <c r="V234" s="14">
        <f>ROUND((IF(Q234=1,INDEX(新属性投放!$K$14:$K$34,卡牌属性!R234),INDEX(新属性投放!$K$42:$K$62,卡牌属性!R234))+IF(Q234=1,INDEX(新属性投放!S$20:S$23,卡牌属性!M234-1),INDEX(新属性投放!S$25:S$28,卡牌属性!M234-1)))*INDEX($G$5:$G$42,L234),2)</f>
        <v>36032.61</v>
      </c>
      <c r="W234" s="29" t="s">
        <v>179</v>
      </c>
      <c r="X234" s="14">
        <f>ROUND((IF(Q234=1,INDEX(新属性投放!$L$14:$L$34,卡牌属性!R234),INDEX(新属性投放!$L$42:$L$62,卡牌属性!R234))*INDEX($G$5:$G$42,L234)+IF(Q234=1,INDEX(新属性投放!T$20:T$23,卡牌属性!M234-1),INDEX(新属性投放!T$25:T$28,卡牌属性!M234-1)))*SQRT(INDEX($I$5:$I$42,L234)),2)</f>
        <v>217191.73</v>
      </c>
      <c r="Y234" s="29" t="s">
        <v>177</v>
      </c>
      <c r="Z234" s="14">
        <f>ROUND(IF(Q234=1,INDEX(新属性投放!$D$14:$D$34,卡牌属性!R234),INDEX(新属性投放!$D$42:$D$62,卡牌属性!R234))*INDEX($G$5:$G$42,L234)/SQRT(INDEX($I$5:$I$42,L234)),2)</f>
        <v>1802.73</v>
      </c>
      <c r="AA234" s="29" t="s">
        <v>178</v>
      </c>
      <c r="AB234" s="14">
        <f>ROUND(IF(Q234=1,INDEX(新属性投放!$E$14:$E$34,卡牌属性!R234),INDEX(新属性投放!$E$42:$E$62,卡牌属性!R234))*INDEX($G$5:$G$42,L234),2)</f>
        <v>901.36</v>
      </c>
      <c r="AC234" s="29" t="s">
        <v>179</v>
      </c>
      <c r="AD234" s="14">
        <f>ROUND(IF(Q234=1,INDEX(新属性投放!$F$14:$F$34,卡牌属性!R234),INDEX(新属性投放!$F$42:$F$62,卡牌属性!R234))*INDEX($G$5:$G$42,L234)*SQRT(INDEX($I$5:$I$42,L234)),2)</f>
        <v>5408.19</v>
      </c>
      <c r="AF234" s="14">
        <f t="shared" si="63"/>
        <v>18027</v>
      </c>
      <c r="AG234" s="14">
        <f t="shared" si="64"/>
        <v>9013</v>
      </c>
      <c r="AH234" s="14">
        <f t="shared" si="65"/>
        <v>54081</v>
      </c>
      <c r="AJ234" s="14">
        <f t="shared" si="66"/>
        <v>75682</v>
      </c>
      <c r="AK234" s="14">
        <f t="shared" si="67"/>
        <v>37836</v>
      </c>
      <c r="AL234" s="14">
        <f t="shared" si="68"/>
        <v>227063</v>
      </c>
    </row>
    <row r="235" spans="11:38" ht="16.5" x14ac:dyDescent="0.2">
      <c r="K235" s="13">
        <v>232</v>
      </c>
      <c r="L235" s="13">
        <f t="shared" si="57"/>
        <v>12</v>
      </c>
      <c r="M235" s="13">
        <f t="shared" si="58"/>
        <v>2</v>
      </c>
      <c r="N235" s="14">
        <f t="shared" si="59"/>
        <v>1101012</v>
      </c>
      <c r="O235" s="14" t="str">
        <f t="shared" si="60"/>
        <v>南御夫1突</v>
      </c>
      <c r="P235" s="29" t="s">
        <v>341</v>
      </c>
      <c r="Q235" s="14">
        <f t="shared" si="61"/>
        <v>1</v>
      </c>
      <c r="R235" s="14">
        <f t="shared" si="62"/>
        <v>1</v>
      </c>
      <c r="S235" s="14" t="s">
        <v>39</v>
      </c>
      <c r="T235" s="14">
        <f>ROUND(((IF(Q235=1,INDEX(新属性投放!$J$14:$J$34,卡牌属性!R235),INDEX(新属性投放!$J$42:$J$62,卡牌属性!R235)))*INDEX($G$5:$G$42,L235)+IF(Q235=1,INDEX(新属性投放!R$20:R$23,卡牌属性!M235-1),INDEX(新属性投放!R$25:R$28,卡牌属性!M235-1)))/SQRT(INDEX($I$5:$I$42,L235)),2)</f>
        <v>100</v>
      </c>
      <c r="U235" s="29" t="s">
        <v>178</v>
      </c>
      <c r="V235" s="14">
        <f>ROUND((IF(Q235=1,INDEX(新属性投放!$K$14:$K$34,卡牌属性!R235),INDEX(新属性投放!$K$42:$K$62,卡牌属性!R235))+IF(Q235=1,INDEX(新属性投放!S$20:S$23,卡牌属性!M235-1),INDEX(新属性投放!S$25:S$28,卡牌属性!M235-1)))*INDEX($G$5:$G$42,L235),2)</f>
        <v>0</v>
      </c>
      <c r="W235" s="29" t="s">
        <v>179</v>
      </c>
      <c r="X235" s="14">
        <f>ROUND((IF(Q235=1,INDEX(新属性投放!$L$14:$L$34,卡牌属性!R235),INDEX(新属性投放!$L$42:$L$62,卡牌属性!R235))*INDEX($G$5:$G$42,L235)+IF(Q235=1,INDEX(新属性投放!T$20:T$23,卡牌属性!M235-1),INDEX(新属性投放!T$25:T$28,卡牌属性!M235-1)))*SQRT(INDEX($I$5:$I$42,L235)),2)</f>
        <v>500</v>
      </c>
      <c r="Y235" s="29" t="s">
        <v>177</v>
      </c>
      <c r="Z235" s="14">
        <f>ROUND(IF(Q235=1,INDEX(新属性投放!$D$14:$D$34,卡牌属性!R235),INDEX(新属性投放!$D$42:$D$62,卡牌属性!R235))*INDEX($G$5:$G$42,L235)/SQRT(INDEX($I$5:$I$42,L235)),2)</f>
        <v>10</v>
      </c>
      <c r="AA235" s="29" t="s">
        <v>178</v>
      </c>
      <c r="AB235" s="14">
        <f>ROUND(IF(Q235=1,INDEX(新属性投放!$E$14:$E$34,卡牌属性!R235),INDEX(新属性投放!$E$42:$E$62,卡牌属性!R235))*INDEX($G$5:$G$42,L235),2)</f>
        <v>5</v>
      </c>
      <c r="AC235" s="29" t="s">
        <v>179</v>
      </c>
      <c r="AD235" s="14">
        <f>ROUND(IF(Q235=1,INDEX(新属性投放!$F$14:$F$34,卡牌属性!R235),INDEX(新属性投放!$F$42:$F$62,卡牌属性!R235))*INDEX($G$5:$G$42,L235)*SQRT(INDEX($I$5:$I$42,L235)),2)</f>
        <v>30</v>
      </c>
      <c r="AF235" s="14">
        <f t="shared" si="63"/>
        <v>100</v>
      </c>
      <c r="AG235" s="14">
        <f t="shared" si="64"/>
        <v>50</v>
      </c>
      <c r="AH235" s="14">
        <f t="shared" si="65"/>
        <v>300</v>
      </c>
      <c r="AJ235" s="14">
        <f>AF235</f>
        <v>100</v>
      </c>
      <c r="AK235" s="14">
        <f>AG235</f>
        <v>50</v>
      </c>
      <c r="AL235" s="14">
        <f>AH235</f>
        <v>300</v>
      </c>
    </row>
    <row r="236" spans="11:38" ht="16.5" x14ac:dyDescent="0.2">
      <c r="K236" s="13">
        <v>233</v>
      </c>
      <c r="L236" s="13">
        <f t="shared" si="57"/>
        <v>12</v>
      </c>
      <c r="M236" s="13">
        <f t="shared" si="58"/>
        <v>2</v>
      </c>
      <c r="N236" s="14">
        <f t="shared" si="59"/>
        <v>1101012</v>
      </c>
      <c r="O236" s="14" t="str">
        <f t="shared" si="60"/>
        <v>南御夫2突</v>
      </c>
      <c r="P236" s="29" t="s">
        <v>341</v>
      </c>
      <c r="Q236" s="14">
        <f t="shared" si="61"/>
        <v>1</v>
      </c>
      <c r="R236" s="14">
        <f t="shared" si="62"/>
        <v>2</v>
      </c>
      <c r="S236" s="14" t="s">
        <v>39</v>
      </c>
      <c r="T236" s="14">
        <f>ROUND(((IF(Q236=1,INDEX(新属性投放!$J$14:$J$34,卡牌属性!R236),INDEX(新属性投放!$J$42:$J$62,卡牌属性!R236)))*INDEX($G$5:$G$42,L236)+IF(Q236=1,INDEX(新属性投放!R$20:R$23,卡牌属性!M236-1),INDEX(新属性投放!R$25:R$28,卡牌属性!M236-1)))/SQRT(INDEX($I$5:$I$42,L236)),2)</f>
        <v>200</v>
      </c>
      <c r="U236" s="29" t="s">
        <v>178</v>
      </c>
      <c r="V236" s="14">
        <f>ROUND((IF(Q236=1,INDEX(新属性投放!$K$14:$K$34,卡牌属性!R236),INDEX(新属性投放!$K$42:$K$62,卡牌属性!R236))+IF(Q236=1,INDEX(新属性投放!S$20:S$23,卡牌属性!M236-1),INDEX(新属性投放!S$25:S$28,卡牌属性!M236-1)))*INDEX($G$5:$G$42,L236),2)</f>
        <v>56</v>
      </c>
      <c r="W236" s="29" t="s">
        <v>179</v>
      </c>
      <c r="X236" s="14">
        <f>ROUND((IF(Q236=1,INDEX(新属性投放!$L$14:$L$34,卡牌属性!R236),INDEX(新属性投放!$L$42:$L$62,卡牌属性!R236))*INDEX($G$5:$G$42,L236)+IF(Q236=1,INDEX(新属性投放!T$20:T$23,卡牌属性!M236-1),INDEX(新属性投放!T$25:T$28,卡牌属性!M236-1)))*SQRT(INDEX($I$5:$I$42,L236)),2)</f>
        <v>800</v>
      </c>
      <c r="Y236" s="29" t="s">
        <v>177</v>
      </c>
      <c r="Z236" s="14">
        <f>ROUND(IF(Q236=1,INDEX(新属性投放!$D$14:$D$34,卡牌属性!R236),INDEX(新属性投放!$D$42:$D$62,卡牌属性!R236))*INDEX($G$5:$G$42,L236)/SQRT(INDEX($I$5:$I$42,L236)),2)</f>
        <v>10</v>
      </c>
      <c r="AA236" s="29" t="s">
        <v>178</v>
      </c>
      <c r="AB236" s="14">
        <f>ROUND(IF(Q236=1,INDEX(新属性投放!$E$14:$E$34,卡牌属性!R236),INDEX(新属性投放!$E$42:$E$62,卡牌属性!R236))*INDEX($G$5:$G$42,L236),2)</f>
        <v>5</v>
      </c>
      <c r="AC236" s="29" t="s">
        <v>179</v>
      </c>
      <c r="AD236" s="14">
        <f>ROUND(IF(Q236=1,INDEX(新属性投放!$F$14:$F$34,卡牌属性!R236),INDEX(新属性投放!$F$42:$F$62,卡牌属性!R236))*INDEX($G$5:$G$42,L236)*SQRT(INDEX($I$5:$I$42,L236)),2)</f>
        <v>30</v>
      </c>
      <c r="AF236" s="14">
        <f t="shared" si="63"/>
        <v>100</v>
      </c>
      <c r="AG236" s="14">
        <f t="shared" si="64"/>
        <v>50</v>
      </c>
      <c r="AH236" s="14">
        <f t="shared" si="65"/>
        <v>300</v>
      </c>
      <c r="AJ236" s="14">
        <f t="shared" ref="AJ236:AJ255" si="69">AJ235+AF236</f>
        <v>200</v>
      </c>
      <c r="AK236" s="14">
        <f t="shared" ref="AK236:AK255" si="70">AK235+AG236</f>
        <v>100</v>
      </c>
      <c r="AL236" s="14">
        <f t="shared" ref="AL236:AL255" si="71">AL235+AH236</f>
        <v>600</v>
      </c>
    </row>
    <row r="237" spans="11:38" ht="16.5" x14ac:dyDescent="0.2">
      <c r="K237" s="13">
        <v>234</v>
      </c>
      <c r="L237" s="13">
        <f t="shared" si="57"/>
        <v>12</v>
      </c>
      <c r="M237" s="13">
        <f t="shared" si="58"/>
        <v>2</v>
      </c>
      <c r="N237" s="14">
        <f t="shared" si="59"/>
        <v>1101012</v>
      </c>
      <c r="O237" s="14" t="str">
        <f t="shared" si="60"/>
        <v>南御夫3突</v>
      </c>
      <c r="P237" s="29" t="s">
        <v>341</v>
      </c>
      <c r="Q237" s="14">
        <f t="shared" si="61"/>
        <v>1</v>
      </c>
      <c r="R237" s="14">
        <f t="shared" si="62"/>
        <v>3</v>
      </c>
      <c r="S237" s="14" t="s">
        <v>39</v>
      </c>
      <c r="T237" s="14">
        <f>ROUND(((IF(Q237=1,INDEX(新属性投放!$J$14:$J$34,卡牌属性!R237),INDEX(新属性投放!$J$42:$J$62,卡牌属性!R237)))*INDEX($G$5:$G$42,L237)+IF(Q237=1,INDEX(新属性投放!R$20:R$23,卡牌属性!M237-1),INDEX(新属性投放!R$25:R$28,卡牌属性!M237-1)))/SQRT(INDEX($I$5:$I$42,L237)),2)</f>
        <v>325</v>
      </c>
      <c r="U237" s="29" t="s">
        <v>178</v>
      </c>
      <c r="V237" s="14">
        <f>ROUND((IF(Q237=1,INDEX(新属性投放!$K$14:$K$34,卡牌属性!R237),INDEX(新属性投放!$K$42:$K$62,卡牌属性!R237))+IF(Q237=1,INDEX(新属性投放!S$20:S$23,卡牌属性!M237-1),INDEX(新属性投放!S$25:S$28,卡牌属性!M237-1)))*INDEX($G$5:$G$42,L237),2)</f>
        <v>119</v>
      </c>
      <c r="W237" s="29" t="s">
        <v>179</v>
      </c>
      <c r="X237" s="14">
        <f>ROUND((IF(Q237=1,INDEX(新属性投放!$L$14:$L$34,卡牌属性!R237),INDEX(新属性投放!$L$42:$L$62,卡牌属性!R237))*INDEX($G$5:$G$42,L237)+IF(Q237=1,INDEX(新属性投放!T$20:T$23,卡牌属性!M237-1),INDEX(新属性投放!T$25:T$28,卡牌属性!M237-1)))*SQRT(INDEX($I$5:$I$42,L237)),2)</f>
        <v>1175</v>
      </c>
      <c r="Y237" s="29" t="s">
        <v>177</v>
      </c>
      <c r="Z237" s="14">
        <f>ROUND(IF(Q237=1,INDEX(新属性投放!$D$14:$D$34,卡牌属性!R237),INDEX(新属性投放!$D$42:$D$62,卡牌属性!R237))*INDEX($G$5:$G$42,L237)/SQRT(INDEX($I$5:$I$42,L237)),2)</f>
        <v>15</v>
      </c>
      <c r="AA237" s="29" t="s">
        <v>178</v>
      </c>
      <c r="AB237" s="14">
        <f>ROUND(IF(Q237=1,INDEX(新属性投放!$E$14:$E$34,卡牌属性!R237),INDEX(新属性投放!$E$42:$E$62,卡牌属性!R237))*INDEX($G$5:$G$42,L237),2)</f>
        <v>7.5</v>
      </c>
      <c r="AC237" s="29" t="s">
        <v>179</v>
      </c>
      <c r="AD237" s="14">
        <f>ROUND(IF(Q237=1,INDEX(新属性投放!$F$14:$F$34,卡牌属性!R237),INDEX(新属性投放!$F$42:$F$62,卡牌属性!R237))*INDEX($G$5:$G$42,L237)*SQRT(INDEX($I$5:$I$42,L237)),2)</f>
        <v>45</v>
      </c>
      <c r="AF237" s="14">
        <f t="shared" si="63"/>
        <v>150</v>
      </c>
      <c r="AG237" s="14">
        <f t="shared" si="64"/>
        <v>75</v>
      </c>
      <c r="AH237" s="14">
        <f t="shared" si="65"/>
        <v>450</v>
      </c>
      <c r="AJ237" s="14">
        <f t="shared" si="69"/>
        <v>350</v>
      </c>
      <c r="AK237" s="14">
        <f t="shared" si="70"/>
        <v>175</v>
      </c>
      <c r="AL237" s="14">
        <f t="shared" si="71"/>
        <v>1050</v>
      </c>
    </row>
    <row r="238" spans="11:38" ht="16.5" x14ac:dyDescent="0.2">
      <c r="K238" s="13">
        <v>235</v>
      </c>
      <c r="L238" s="13">
        <f t="shared" si="57"/>
        <v>12</v>
      </c>
      <c r="M238" s="13">
        <f t="shared" si="58"/>
        <v>2</v>
      </c>
      <c r="N238" s="14">
        <f t="shared" si="59"/>
        <v>1101012</v>
      </c>
      <c r="O238" s="14" t="str">
        <f t="shared" si="60"/>
        <v>南御夫4突</v>
      </c>
      <c r="P238" s="29" t="s">
        <v>341</v>
      </c>
      <c r="Q238" s="14">
        <f t="shared" si="61"/>
        <v>1</v>
      </c>
      <c r="R238" s="14">
        <f t="shared" si="62"/>
        <v>4</v>
      </c>
      <c r="S238" s="14" t="s">
        <v>39</v>
      </c>
      <c r="T238" s="14">
        <f>ROUND(((IF(Q238=1,INDEX(新属性投放!$J$14:$J$34,卡牌属性!R238),INDEX(新属性投放!$J$42:$J$62,卡牌属性!R238)))*INDEX($G$5:$G$42,L238)+IF(Q238=1,INDEX(新属性投放!R$20:R$23,卡牌属性!M238-1),INDEX(新属性投放!R$25:R$28,卡牌属性!M238-1)))/SQRT(INDEX($I$5:$I$42,L238)),2)</f>
        <v>513</v>
      </c>
      <c r="U238" s="29" t="s">
        <v>178</v>
      </c>
      <c r="V238" s="14">
        <f>ROUND((IF(Q238=1,INDEX(新属性投放!$K$14:$K$34,卡牌属性!R238),INDEX(新属性投放!$K$42:$K$62,卡牌属性!R238))+IF(Q238=1,INDEX(新属性投放!S$20:S$23,卡牌属性!M238-1),INDEX(新属性投放!S$25:S$28,卡牌属性!M238-1)))*INDEX($G$5:$G$42,L238),2)</f>
        <v>213</v>
      </c>
      <c r="W238" s="29" t="s">
        <v>179</v>
      </c>
      <c r="X238" s="14">
        <f>ROUND((IF(Q238=1,INDEX(新属性投放!$L$14:$L$34,卡牌属性!R238),INDEX(新属性投放!$L$42:$L$62,卡牌属性!R238))*INDEX($G$5:$G$42,L238)+IF(Q238=1,INDEX(新属性投放!T$20:T$23,卡牌属性!M238-1),INDEX(新属性投放!T$25:T$28,卡牌属性!M238-1)))*SQRT(INDEX($I$5:$I$42,L238)),2)</f>
        <v>1739</v>
      </c>
      <c r="Y238" s="29" t="s">
        <v>177</v>
      </c>
      <c r="Z238" s="14">
        <f>ROUND(IF(Q238=1,INDEX(新属性投放!$D$14:$D$34,卡牌属性!R238),INDEX(新属性投放!$D$42:$D$62,卡牌属性!R238))*INDEX($G$5:$G$42,L238)/SQRT(INDEX($I$5:$I$42,L238)),2)</f>
        <v>20</v>
      </c>
      <c r="AA238" s="29" t="s">
        <v>178</v>
      </c>
      <c r="AB238" s="14">
        <f>ROUND(IF(Q238=1,INDEX(新属性投放!$E$14:$E$34,卡牌属性!R238),INDEX(新属性投放!$E$42:$E$62,卡牌属性!R238))*INDEX($G$5:$G$42,L238),2)</f>
        <v>10</v>
      </c>
      <c r="AC238" s="29" t="s">
        <v>179</v>
      </c>
      <c r="AD238" s="14">
        <f>ROUND(IF(Q238=1,INDEX(新属性投放!$F$14:$F$34,卡牌属性!R238),INDEX(新属性投放!$F$42:$F$62,卡牌属性!R238))*INDEX($G$5:$G$42,L238)*SQRT(INDEX($I$5:$I$42,L238)),2)</f>
        <v>60</v>
      </c>
      <c r="AF238" s="14">
        <f t="shared" si="63"/>
        <v>200</v>
      </c>
      <c r="AG238" s="14">
        <f t="shared" si="64"/>
        <v>100</v>
      </c>
      <c r="AH238" s="14">
        <f t="shared" si="65"/>
        <v>600</v>
      </c>
      <c r="AJ238" s="14">
        <f t="shared" si="69"/>
        <v>550</v>
      </c>
      <c r="AK238" s="14">
        <f t="shared" si="70"/>
        <v>275</v>
      </c>
      <c r="AL238" s="14">
        <f t="shared" si="71"/>
        <v>1650</v>
      </c>
    </row>
    <row r="239" spans="11:38" ht="16.5" x14ac:dyDescent="0.2">
      <c r="K239" s="13">
        <v>236</v>
      </c>
      <c r="L239" s="13">
        <f t="shared" si="57"/>
        <v>12</v>
      </c>
      <c r="M239" s="13">
        <f t="shared" si="58"/>
        <v>2</v>
      </c>
      <c r="N239" s="14">
        <f t="shared" si="59"/>
        <v>1101012</v>
      </c>
      <c r="O239" s="14" t="str">
        <f t="shared" si="60"/>
        <v>南御夫5突</v>
      </c>
      <c r="P239" s="29" t="s">
        <v>341</v>
      </c>
      <c r="Q239" s="14">
        <f t="shared" si="61"/>
        <v>1</v>
      </c>
      <c r="R239" s="14">
        <f t="shared" si="62"/>
        <v>5</v>
      </c>
      <c r="S239" s="14" t="s">
        <v>39</v>
      </c>
      <c r="T239" s="14">
        <f>ROUND(((IF(Q239=1,INDEX(新属性投放!$J$14:$J$34,卡牌属性!R239),INDEX(新属性投放!$J$42:$J$62,卡牌属性!R239)))*INDEX($G$5:$G$42,L239)+IF(Q239=1,INDEX(新属性投放!R$20:R$23,卡牌属性!M239-1),INDEX(新属性投放!R$25:R$28,卡牌属性!M239-1)))/SQRT(INDEX($I$5:$I$42,L239)),2)</f>
        <v>763</v>
      </c>
      <c r="U239" s="29" t="s">
        <v>178</v>
      </c>
      <c r="V239" s="14">
        <f>ROUND((IF(Q239=1,INDEX(新属性投放!$K$14:$K$34,卡牌属性!R239),INDEX(新属性投放!$K$42:$K$62,卡牌属性!R239))+IF(Q239=1,INDEX(新属性投放!S$20:S$23,卡牌属性!M239-1),INDEX(新属性投放!S$25:S$28,卡牌属性!M239-1)))*INDEX($G$5:$G$42,L239),2)</f>
        <v>338</v>
      </c>
      <c r="W239" s="29" t="s">
        <v>179</v>
      </c>
      <c r="X239" s="14">
        <f>ROUND((IF(Q239=1,INDEX(新属性投放!$L$14:$L$34,卡牌属性!R239),INDEX(新属性投放!$L$42:$L$62,卡牌属性!R239))*INDEX($G$5:$G$42,L239)+IF(Q239=1,INDEX(新属性投放!T$20:T$23,卡牌属性!M239-1),INDEX(新属性投放!T$25:T$28,卡牌属性!M239-1)))*SQRT(INDEX($I$5:$I$42,L239)),2)</f>
        <v>2489</v>
      </c>
      <c r="Y239" s="29" t="s">
        <v>177</v>
      </c>
      <c r="Z239" s="14">
        <f>ROUND(IF(Q239=1,INDEX(新属性投放!$D$14:$D$34,卡牌属性!R239),INDEX(新属性投放!$D$42:$D$62,卡牌属性!R239))*INDEX($G$5:$G$42,L239)/SQRT(INDEX($I$5:$I$42,L239)),2)</f>
        <v>25</v>
      </c>
      <c r="AA239" s="29" t="s">
        <v>178</v>
      </c>
      <c r="AB239" s="14">
        <f>ROUND(IF(Q239=1,INDEX(新属性投放!$E$14:$E$34,卡牌属性!R239),INDEX(新属性投放!$E$42:$E$62,卡牌属性!R239))*INDEX($G$5:$G$42,L239),2)</f>
        <v>12.5</v>
      </c>
      <c r="AC239" s="29" t="s">
        <v>179</v>
      </c>
      <c r="AD239" s="14">
        <f>ROUND(IF(Q239=1,INDEX(新属性投放!$F$14:$F$34,卡牌属性!R239),INDEX(新属性投放!$F$42:$F$62,卡牌属性!R239))*INDEX($G$5:$G$42,L239)*SQRT(INDEX($I$5:$I$42,L239)),2)</f>
        <v>75</v>
      </c>
      <c r="AF239" s="14">
        <f t="shared" si="63"/>
        <v>250</v>
      </c>
      <c r="AG239" s="14">
        <f t="shared" si="64"/>
        <v>125</v>
      </c>
      <c r="AH239" s="14">
        <f t="shared" si="65"/>
        <v>750</v>
      </c>
      <c r="AJ239" s="14">
        <f t="shared" si="69"/>
        <v>800</v>
      </c>
      <c r="AK239" s="14">
        <f t="shared" si="70"/>
        <v>400</v>
      </c>
      <c r="AL239" s="14">
        <f t="shared" si="71"/>
        <v>2400</v>
      </c>
    </row>
    <row r="240" spans="11:38" ht="16.5" x14ac:dyDescent="0.2">
      <c r="K240" s="13">
        <v>237</v>
      </c>
      <c r="L240" s="13">
        <f t="shared" si="57"/>
        <v>12</v>
      </c>
      <c r="M240" s="13">
        <f t="shared" si="58"/>
        <v>2</v>
      </c>
      <c r="N240" s="14">
        <f t="shared" si="59"/>
        <v>1101012</v>
      </c>
      <c r="O240" s="14" t="str">
        <f t="shared" si="60"/>
        <v>南御夫6突</v>
      </c>
      <c r="P240" s="29" t="s">
        <v>341</v>
      </c>
      <c r="Q240" s="14">
        <f t="shared" si="61"/>
        <v>1</v>
      </c>
      <c r="R240" s="14">
        <f t="shared" si="62"/>
        <v>6</v>
      </c>
      <c r="S240" s="14" t="s">
        <v>39</v>
      </c>
      <c r="T240" s="14">
        <f>ROUND(((IF(Q240=1,INDEX(新属性投放!$J$14:$J$34,卡牌属性!R240),INDEX(新属性投放!$J$42:$J$62,卡牌属性!R240)))*INDEX($G$5:$G$42,L240)+IF(Q240=1,INDEX(新属性投放!R$20:R$23,卡牌属性!M240-1),INDEX(新属性投放!R$25:R$28,卡牌属性!M240-1)))/SQRT(INDEX($I$5:$I$42,L240)),2)</f>
        <v>1076</v>
      </c>
      <c r="U240" s="29" t="s">
        <v>178</v>
      </c>
      <c r="V240" s="14">
        <f>ROUND((IF(Q240=1,INDEX(新属性投放!$K$14:$K$34,卡牌属性!R240),INDEX(新属性投放!$K$42:$K$62,卡牌属性!R240))+IF(Q240=1,INDEX(新属性投放!S$20:S$23,卡牌属性!M240-1),INDEX(新属性投放!S$25:S$28,卡牌属性!M240-1)))*INDEX($G$5:$G$42,L240),2)</f>
        <v>494</v>
      </c>
      <c r="W240" s="29" t="s">
        <v>179</v>
      </c>
      <c r="X240" s="14">
        <f>ROUND((IF(Q240=1,INDEX(新属性投放!$L$14:$L$34,卡牌属性!R240),INDEX(新属性投放!$L$42:$L$62,卡牌属性!R240))*INDEX($G$5:$G$42,L240)+IF(Q240=1,INDEX(新属性投放!T$20:T$23,卡牌属性!M240-1),INDEX(新属性投放!T$25:T$28,卡牌属性!M240-1)))*SQRT(INDEX($I$5:$I$42,L240)),2)</f>
        <v>3428</v>
      </c>
      <c r="Y240" s="29" t="s">
        <v>177</v>
      </c>
      <c r="Z240" s="14">
        <f>ROUND(IF(Q240=1,INDEX(新属性投放!$D$14:$D$34,卡牌属性!R240),INDEX(新属性投放!$D$42:$D$62,卡牌属性!R240))*INDEX($G$5:$G$42,L240)/SQRT(INDEX($I$5:$I$42,L240)),2)</f>
        <v>30</v>
      </c>
      <c r="AA240" s="29" t="s">
        <v>178</v>
      </c>
      <c r="AB240" s="14">
        <f>ROUND(IF(Q240=1,INDEX(新属性投放!$E$14:$E$34,卡牌属性!R240),INDEX(新属性投放!$E$42:$E$62,卡牌属性!R240))*INDEX($G$5:$G$42,L240),2)</f>
        <v>15</v>
      </c>
      <c r="AC240" s="29" t="s">
        <v>179</v>
      </c>
      <c r="AD240" s="14">
        <f>ROUND(IF(Q240=1,INDEX(新属性投放!$F$14:$F$34,卡牌属性!R240),INDEX(新属性投放!$F$42:$F$62,卡牌属性!R240))*INDEX($G$5:$G$42,L240)*SQRT(INDEX($I$5:$I$42,L240)),2)</f>
        <v>90</v>
      </c>
      <c r="AF240" s="14">
        <f t="shared" si="63"/>
        <v>300</v>
      </c>
      <c r="AG240" s="14">
        <f t="shared" si="64"/>
        <v>150</v>
      </c>
      <c r="AH240" s="14">
        <f t="shared" si="65"/>
        <v>900</v>
      </c>
      <c r="AJ240" s="14">
        <f t="shared" si="69"/>
        <v>1100</v>
      </c>
      <c r="AK240" s="14">
        <f t="shared" si="70"/>
        <v>550</v>
      </c>
      <c r="AL240" s="14">
        <f t="shared" si="71"/>
        <v>3300</v>
      </c>
    </row>
    <row r="241" spans="11:38" ht="16.5" x14ac:dyDescent="0.2">
      <c r="K241" s="13">
        <v>238</v>
      </c>
      <c r="L241" s="13">
        <f t="shared" si="57"/>
        <v>12</v>
      </c>
      <c r="M241" s="13">
        <f t="shared" si="58"/>
        <v>2</v>
      </c>
      <c r="N241" s="14">
        <f t="shared" si="59"/>
        <v>1101012</v>
      </c>
      <c r="O241" s="14" t="str">
        <f t="shared" si="60"/>
        <v>南御夫7突</v>
      </c>
      <c r="P241" s="29" t="s">
        <v>341</v>
      </c>
      <c r="Q241" s="14">
        <f t="shared" si="61"/>
        <v>1</v>
      </c>
      <c r="R241" s="14">
        <f t="shared" si="62"/>
        <v>7</v>
      </c>
      <c r="S241" s="14" t="s">
        <v>39</v>
      </c>
      <c r="T241" s="14">
        <f>ROUND(((IF(Q241=1,INDEX(新属性投放!$J$14:$J$34,卡牌属性!R241),INDEX(新属性投放!$J$42:$J$62,卡牌属性!R241)))*INDEX($G$5:$G$42,L241)+IF(Q241=1,INDEX(新属性投放!R$20:R$23,卡牌属性!M241-1),INDEX(新属性投放!R$25:R$28,卡牌属性!M241-1)))/SQRT(INDEX($I$5:$I$42,L241)),2)</f>
        <v>1451</v>
      </c>
      <c r="U241" s="29" t="s">
        <v>178</v>
      </c>
      <c r="V241" s="14">
        <f>ROUND((IF(Q241=1,INDEX(新属性投放!$K$14:$K$34,卡牌属性!R241),INDEX(新属性投放!$K$42:$K$62,卡牌属性!R241))+IF(Q241=1,INDEX(新属性投放!S$20:S$23,卡牌属性!M241-1),INDEX(新属性投放!S$25:S$28,卡牌属性!M241-1)))*INDEX($G$5:$G$42,L241),2)</f>
        <v>682</v>
      </c>
      <c r="W241" s="29" t="s">
        <v>179</v>
      </c>
      <c r="X241" s="14">
        <f>ROUND((IF(Q241=1,INDEX(新属性投放!$L$14:$L$34,卡牌属性!R241),INDEX(新属性投放!$L$42:$L$62,卡牌属性!R241))*INDEX($G$5:$G$42,L241)+IF(Q241=1,INDEX(新属性投放!T$20:T$23,卡牌属性!M241-1),INDEX(新属性投放!T$25:T$28,卡牌属性!M241-1)))*SQRT(INDEX($I$5:$I$42,L241)),2)</f>
        <v>4553</v>
      </c>
      <c r="Y241" s="29" t="s">
        <v>177</v>
      </c>
      <c r="Z241" s="14">
        <f>ROUND(IF(Q241=1,INDEX(新属性投放!$D$14:$D$34,卡牌属性!R241),INDEX(新属性投放!$D$42:$D$62,卡牌属性!R241))*INDEX($G$5:$G$42,L241)/SQRT(INDEX($I$5:$I$42,L241)),2)</f>
        <v>35</v>
      </c>
      <c r="AA241" s="29" t="s">
        <v>178</v>
      </c>
      <c r="AB241" s="14">
        <f>ROUND(IF(Q241=1,INDEX(新属性投放!$E$14:$E$34,卡牌属性!R241),INDEX(新属性投放!$E$42:$E$62,卡牌属性!R241))*INDEX($G$5:$G$42,L241),2)</f>
        <v>17.5</v>
      </c>
      <c r="AC241" s="29" t="s">
        <v>179</v>
      </c>
      <c r="AD241" s="14">
        <f>ROUND(IF(Q241=1,INDEX(新属性投放!$F$14:$F$34,卡牌属性!R241),INDEX(新属性投放!$F$42:$F$62,卡牌属性!R241))*INDEX($G$5:$G$42,L241)*SQRT(INDEX($I$5:$I$42,L241)),2)</f>
        <v>105</v>
      </c>
      <c r="AF241" s="14">
        <f t="shared" si="63"/>
        <v>350</v>
      </c>
      <c r="AG241" s="14">
        <f t="shared" si="64"/>
        <v>175</v>
      </c>
      <c r="AH241" s="14">
        <f t="shared" si="65"/>
        <v>1050</v>
      </c>
      <c r="AJ241" s="14">
        <f t="shared" si="69"/>
        <v>1450</v>
      </c>
      <c r="AK241" s="14">
        <f t="shared" si="70"/>
        <v>725</v>
      </c>
      <c r="AL241" s="14">
        <f t="shared" si="71"/>
        <v>4350</v>
      </c>
    </row>
    <row r="242" spans="11:38" ht="16.5" x14ac:dyDescent="0.2">
      <c r="K242" s="13">
        <v>239</v>
      </c>
      <c r="L242" s="13">
        <f t="shared" si="57"/>
        <v>12</v>
      </c>
      <c r="M242" s="13">
        <f t="shared" si="58"/>
        <v>2</v>
      </c>
      <c r="N242" s="14">
        <f t="shared" si="59"/>
        <v>1101012</v>
      </c>
      <c r="O242" s="14" t="str">
        <f t="shared" si="60"/>
        <v>南御夫8突</v>
      </c>
      <c r="P242" s="29" t="s">
        <v>341</v>
      </c>
      <c r="Q242" s="14">
        <f t="shared" si="61"/>
        <v>1</v>
      </c>
      <c r="R242" s="14">
        <f t="shared" si="62"/>
        <v>8</v>
      </c>
      <c r="S242" s="14" t="s">
        <v>39</v>
      </c>
      <c r="T242" s="14">
        <f>ROUND(((IF(Q242=1,INDEX(新属性投放!$J$14:$J$34,卡牌属性!R242),INDEX(新属性投放!$J$42:$J$62,卡牌属性!R242)))*INDEX($G$5:$G$42,L242)+IF(Q242=1,INDEX(新属性投放!R$20:R$23,卡牌属性!M242-1),INDEX(新属性投放!R$25:R$28,卡牌属性!M242-1)))/SQRT(INDEX($I$5:$I$42,L242)),2)</f>
        <v>1889</v>
      </c>
      <c r="U242" s="29" t="s">
        <v>178</v>
      </c>
      <c r="V242" s="14">
        <f>ROUND((IF(Q242=1,INDEX(新属性投放!$K$14:$K$34,卡牌属性!R242),INDEX(新属性投放!$K$42:$K$62,卡牌属性!R242))+IF(Q242=1,INDEX(新属性投放!S$20:S$23,卡牌属性!M242-1),INDEX(新属性投放!S$25:S$28,卡牌属性!M242-1)))*INDEX($G$5:$G$42,L242),2)</f>
        <v>901</v>
      </c>
      <c r="W242" s="29" t="s">
        <v>179</v>
      </c>
      <c r="X242" s="14">
        <f>ROUND((IF(Q242=1,INDEX(新属性投放!$L$14:$L$34,卡牌属性!R242),INDEX(新属性投放!$L$42:$L$62,卡牌属性!R242))*INDEX($G$5:$G$42,L242)+IF(Q242=1,INDEX(新属性投放!T$20:T$23,卡牌属性!M242-1),INDEX(新属性投放!T$25:T$28,卡牌属性!M242-1)))*SQRT(INDEX($I$5:$I$42,L242)),2)</f>
        <v>5867</v>
      </c>
      <c r="Y242" s="29" t="s">
        <v>177</v>
      </c>
      <c r="Z242" s="14">
        <f>ROUND(IF(Q242=1,INDEX(新属性投放!$D$14:$D$34,卡牌属性!R242),INDEX(新属性投放!$D$42:$D$62,卡牌属性!R242))*INDEX($G$5:$G$42,L242)/SQRT(INDEX($I$5:$I$42,L242)),2)</f>
        <v>45</v>
      </c>
      <c r="AA242" s="29" t="s">
        <v>178</v>
      </c>
      <c r="AB242" s="14">
        <f>ROUND(IF(Q242=1,INDEX(新属性投放!$E$14:$E$34,卡牌属性!R242),INDEX(新属性投放!$E$42:$E$62,卡牌属性!R242))*INDEX($G$5:$G$42,L242),2)</f>
        <v>22.5</v>
      </c>
      <c r="AC242" s="29" t="s">
        <v>179</v>
      </c>
      <c r="AD242" s="14">
        <f>ROUND(IF(Q242=1,INDEX(新属性投放!$F$14:$F$34,卡牌属性!R242),INDEX(新属性投放!$F$42:$F$62,卡牌属性!R242))*INDEX($G$5:$G$42,L242)*SQRT(INDEX($I$5:$I$42,L242)),2)</f>
        <v>135</v>
      </c>
      <c r="AF242" s="14">
        <f t="shared" si="63"/>
        <v>450</v>
      </c>
      <c r="AG242" s="14">
        <f t="shared" si="64"/>
        <v>225</v>
      </c>
      <c r="AH242" s="14">
        <f t="shared" si="65"/>
        <v>1350</v>
      </c>
      <c r="AJ242" s="14">
        <f t="shared" si="69"/>
        <v>1900</v>
      </c>
      <c r="AK242" s="14">
        <f t="shared" si="70"/>
        <v>950</v>
      </c>
      <c r="AL242" s="14">
        <f t="shared" si="71"/>
        <v>5700</v>
      </c>
    </row>
    <row r="243" spans="11:38" ht="16.5" x14ac:dyDescent="0.2">
      <c r="K243" s="13">
        <v>240</v>
      </c>
      <c r="L243" s="13">
        <f t="shared" si="57"/>
        <v>12</v>
      </c>
      <c r="M243" s="13">
        <f t="shared" si="58"/>
        <v>2</v>
      </c>
      <c r="N243" s="14">
        <f t="shared" si="59"/>
        <v>1101012</v>
      </c>
      <c r="O243" s="14" t="str">
        <f t="shared" si="60"/>
        <v>南御夫9突</v>
      </c>
      <c r="P243" s="29" t="s">
        <v>341</v>
      </c>
      <c r="Q243" s="14">
        <f t="shared" si="61"/>
        <v>1</v>
      </c>
      <c r="R243" s="14">
        <f t="shared" si="62"/>
        <v>9</v>
      </c>
      <c r="S243" s="14" t="s">
        <v>39</v>
      </c>
      <c r="T243" s="14">
        <f>ROUND(((IF(Q243=1,INDEX(新属性投放!$J$14:$J$34,卡牌属性!R243),INDEX(新属性投放!$J$42:$J$62,卡牌属性!R243)))*INDEX($G$5:$G$42,L243)+IF(Q243=1,INDEX(新属性投放!R$20:R$23,卡牌属性!M243-1),INDEX(新属性投放!R$25:R$28,卡牌属性!M243-1)))/SQRT(INDEX($I$5:$I$42,L243)),2)</f>
        <v>2452</v>
      </c>
      <c r="U243" s="29" t="s">
        <v>178</v>
      </c>
      <c r="V243" s="14">
        <f>ROUND((IF(Q243=1,INDEX(新属性投放!$K$14:$K$34,卡牌属性!R243),INDEX(新属性投放!$K$42:$K$62,卡牌属性!R243))+IF(Q243=1,INDEX(新属性投放!S$20:S$23,卡牌属性!M243-1),INDEX(新属性投放!S$25:S$28,卡牌属性!M243-1)))*INDEX($G$5:$G$42,L243),2)</f>
        <v>1182</v>
      </c>
      <c r="W243" s="29" t="s">
        <v>179</v>
      </c>
      <c r="X243" s="14">
        <f>ROUND((IF(Q243=1,INDEX(新属性投放!$L$14:$L$34,卡牌属性!R243),INDEX(新属性投放!$L$42:$L$62,卡牌属性!R243))*INDEX($G$5:$G$42,L243)+IF(Q243=1,INDEX(新属性投放!T$20:T$23,卡牌属性!M243-1),INDEX(新属性投放!T$25:T$28,卡牌属性!M243-1)))*SQRT(INDEX($I$5:$I$42,L243)),2)</f>
        <v>7556</v>
      </c>
      <c r="Y243" s="29" t="s">
        <v>177</v>
      </c>
      <c r="Z243" s="14">
        <f>ROUND(IF(Q243=1,INDEX(新属性投放!$D$14:$D$34,卡牌属性!R243),INDEX(新属性投放!$D$42:$D$62,卡牌属性!R243))*INDEX($G$5:$G$42,L243)/SQRT(INDEX($I$5:$I$42,L243)),2)</f>
        <v>60.05</v>
      </c>
      <c r="AA243" s="29" t="s">
        <v>178</v>
      </c>
      <c r="AB243" s="14">
        <f>ROUND(IF(Q243=1,INDEX(新属性投放!$E$14:$E$34,卡牌属性!R243),INDEX(新属性投放!$E$42:$E$62,卡牌属性!R243))*INDEX($G$5:$G$42,L243),2)</f>
        <v>30.03</v>
      </c>
      <c r="AC243" s="29" t="s">
        <v>179</v>
      </c>
      <c r="AD243" s="14">
        <f>ROUND(IF(Q243=1,INDEX(新属性投放!$F$14:$F$34,卡牌属性!R243),INDEX(新属性投放!$F$42:$F$62,卡牌属性!R243))*INDEX($G$5:$G$42,L243)*SQRT(INDEX($I$5:$I$42,L243)),2)</f>
        <v>180.15</v>
      </c>
      <c r="AF243" s="14">
        <f t="shared" si="63"/>
        <v>600</v>
      </c>
      <c r="AG243" s="14">
        <f t="shared" si="64"/>
        <v>300</v>
      </c>
      <c r="AH243" s="14">
        <f t="shared" si="65"/>
        <v>1801</v>
      </c>
      <c r="AJ243" s="14">
        <f t="shared" si="69"/>
        <v>2500</v>
      </c>
      <c r="AK243" s="14">
        <f t="shared" si="70"/>
        <v>1250</v>
      </c>
      <c r="AL243" s="14">
        <f t="shared" si="71"/>
        <v>7501</v>
      </c>
    </row>
    <row r="244" spans="11:38" ht="16.5" x14ac:dyDescent="0.2">
      <c r="K244" s="13">
        <v>241</v>
      </c>
      <c r="L244" s="13">
        <f t="shared" si="57"/>
        <v>12</v>
      </c>
      <c r="M244" s="13">
        <f t="shared" si="58"/>
        <v>2</v>
      </c>
      <c r="N244" s="14">
        <f t="shared" si="59"/>
        <v>1101012</v>
      </c>
      <c r="O244" s="14" t="str">
        <f t="shared" si="60"/>
        <v>南御夫10突</v>
      </c>
      <c r="P244" s="29" t="s">
        <v>341</v>
      </c>
      <c r="Q244" s="14">
        <f t="shared" si="61"/>
        <v>1</v>
      </c>
      <c r="R244" s="14">
        <f t="shared" si="62"/>
        <v>10</v>
      </c>
      <c r="S244" s="14" t="s">
        <v>39</v>
      </c>
      <c r="T244" s="14">
        <f>ROUND(((IF(Q244=1,INDEX(新属性投放!$J$14:$J$34,卡牌属性!R244),INDEX(新属性投放!$J$42:$J$62,卡牌属性!R244)))*INDEX($G$5:$G$42,L244)+IF(Q244=1,INDEX(新属性投放!R$20:R$23,卡牌属性!M244-1),INDEX(新属性投放!R$25:R$28,卡牌属性!M244-1)))/SQRT(INDEX($I$5:$I$42,L244)),2)</f>
        <v>3202.5</v>
      </c>
      <c r="U244" s="29" t="s">
        <v>178</v>
      </c>
      <c r="V244" s="14">
        <f>ROUND((IF(Q244=1,INDEX(新属性投放!$K$14:$K$34,卡牌属性!R244),INDEX(新属性投放!$K$42:$K$62,卡牌属性!R244))+IF(Q244=1,INDEX(新属性投放!S$20:S$23,卡牌属性!M244-1),INDEX(新属性投放!S$25:S$28,卡牌属性!M244-1)))*INDEX($G$5:$G$42,L244),2)</f>
        <v>1557.25</v>
      </c>
      <c r="W244" s="29" t="s">
        <v>179</v>
      </c>
      <c r="X244" s="14">
        <f>ROUND((IF(Q244=1,INDEX(新属性投放!$L$14:$L$34,卡牌属性!R244),INDEX(新属性投放!$L$42:$L$62,卡牌属性!R244))*INDEX($G$5:$G$42,L244)+IF(Q244=1,INDEX(新属性投放!T$20:T$23,卡牌属性!M244-1),INDEX(新属性投放!T$25:T$28,卡牌属性!M244-1)))*SQRT(INDEX($I$5:$I$42,L244)),2)</f>
        <v>9807.5</v>
      </c>
      <c r="Y244" s="29" t="s">
        <v>177</v>
      </c>
      <c r="Z244" s="14">
        <f>ROUND(IF(Q244=1,INDEX(新属性投放!$D$14:$D$34,卡牌属性!R244),INDEX(新属性投放!$D$42:$D$62,卡牌属性!R244))*INDEX($G$5:$G$42,L244)/SQRT(INDEX($I$5:$I$42,L244)),2)</f>
        <v>78.5</v>
      </c>
      <c r="AA244" s="29" t="s">
        <v>178</v>
      </c>
      <c r="AB244" s="14">
        <f>ROUND(IF(Q244=1,INDEX(新属性投放!$E$14:$E$34,卡牌属性!R244),INDEX(新属性投放!$E$42:$E$62,卡牌属性!R244))*INDEX($G$5:$G$42,L244),2)</f>
        <v>39.25</v>
      </c>
      <c r="AC244" s="29" t="s">
        <v>179</v>
      </c>
      <c r="AD244" s="14">
        <f>ROUND(IF(Q244=1,INDEX(新属性投放!$F$14:$F$34,卡牌属性!R244),INDEX(新属性投放!$F$42:$F$62,卡牌属性!R244))*INDEX($G$5:$G$42,L244)*SQRT(INDEX($I$5:$I$42,L244)),2)</f>
        <v>235.5</v>
      </c>
      <c r="AF244" s="14">
        <f t="shared" si="63"/>
        <v>785</v>
      </c>
      <c r="AG244" s="14">
        <f t="shared" si="64"/>
        <v>392</v>
      </c>
      <c r="AH244" s="14">
        <f t="shared" si="65"/>
        <v>2355</v>
      </c>
      <c r="AJ244" s="14">
        <f t="shared" si="69"/>
        <v>3285</v>
      </c>
      <c r="AK244" s="14">
        <f t="shared" si="70"/>
        <v>1642</v>
      </c>
      <c r="AL244" s="14">
        <f t="shared" si="71"/>
        <v>9856</v>
      </c>
    </row>
    <row r="245" spans="11:38" ht="16.5" x14ac:dyDescent="0.2">
      <c r="K245" s="13">
        <v>242</v>
      </c>
      <c r="L245" s="13">
        <f t="shared" si="57"/>
        <v>12</v>
      </c>
      <c r="M245" s="13">
        <f t="shared" si="58"/>
        <v>2</v>
      </c>
      <c r="N245" s="14">
        <f t="shared" si="59"/>
        <v>1101012</v>
      </c>
      <c r="O245" s="14" t="str">
        <f t="shared" si="60"/>
        <v>南御夫11突</v>
      </c>
      <c r="P245" s="29" t="s">
        <v>341</v>
      </c>
      <c r="Q245" s="14">
        <f t="shared" si="61"/>
        <v>1</v>
      </c>
      <c r="R245" s="14">
        <f t="shared" si="62"/>
        <v>11</v>
      </c>
      <c r="S245" s="14" t="s">
        <v>39</v>
      </c>
      <c r="T245" s="14">
        <f>ROUND(((IF(Q245=1,INDEX(新属性投放!$J$14:$J$34,卡牌属性!R245),INDEX(新属性投放!$J$42:$J$62,卡牌属性!R245)))*INDEX($G$5:$G$42,L245)+IF(Q245=1,INDEX(新属性投放!R$20:R$23,卡牌属性!M245-1),INDEX(新属性投放!R$25:R$28,卡牌属性!M245-1)))/SQRT(INDEX($I$5:$I$42,L245)),2)</f>
        <v>4183.5</v>
      </c>
      <c r="U245" s="29" t="s">
        <v>178</v>
      </c>
      <c r="V245" s="14">
        <f>ROUND((IF(Q245=1,INDEX(新属性投放!$K$14:$K$34,卡牌属性!R245),INDEX(新属性投放!$K$42:$K$62,卡牌属性!R245))+IF(Q245=1,INDEX(新属性投放!S$20:S$23,卡牌属性!M245-1),INDEX(新属性投放!S$25:S$28,卡牌属性!M245-1)))*INDEX($G$5:$G$42,L245),2)</f>
        <v>2047.75</v>
      </c>
      <c r="W245" s="29" t="s">
        <v>179</v>
      </c>
      <c r="X245" s="14">
        <f>ROUND((IF(Q245=1,INDEX(新属性投放!$L$14:$L$34,卡牌属性!R245),INDEX(新属性投放!$L$42:$L$62,卡牌属性!R245))*INDEX($G$5:$G$42,L245)+IF(Q245=1,INDEX(新属性投放!T$20:T$23,卡牌属性!M245-1),INDEX(新属性投放!T$25:T$28,卡牌属性!M245-1)))*SQRT(INDEX($I$5:$I$42,L245)),2)</f>
        <v>12750.5</v>
      </c>
      <c r="Y245" s="29" t="s">
        <v>177</v>
      </c>
      <c r="Z245" s="14">
        <f>ROUND(IF(Q245=1,INDEX(新属性投放!$D$14:$D$34,卡牌属性!R245),INDEX(新属性投放!$D$42:$D$62,卡牌属性!R245))*INDEX($G$5:$G$42,L245)/SQRT(INDEX($I$5:$I$42,L245)),2)</f>
        <v>103.34</v>
      </c>
      <c r="AA245" s="29" t="s">
        <v>178</v>
      </c>
      <c r="AB245" s="14">
        <f>ROUND(IF(Q245=1,INDEX(新属性投放!$E$14:$E$34,卡牌属性!R245),INDEX(新属性投放!$E$42:$E$62,卡牌属性!R245))*INDEX($G$5:$G$42,L245),2)</f>
        <v>51.67</v>
      </c>
      <c r="AC245" s="29" t="s">
        <v>179</v>
      </c>
      <c r="AD245" s="14">
        <f>ROUND(IF(Q245=1,INDEX(新属性投放!$F$14:$F$34,卡牌属性!R245),INDEX(新属性投放!$F$42:$F$62,卡牌属性!R245))*INDEX($G$5:$G$42,L245)*SQRT(INDEX($I$5:$I$42,L245)),2)</f>
        <v>310.02</v>
      </c>
      <c r="AF245" s="14">
        <f t="shared" si="63"/>
        <v>1033</v>
      </c>
      <c r="AG245" s="14">
        <f t="shared" si="64"/>
        <v>516</v>
      </c>
      <c r="AH245" s="14">
        <f t="shared" si="65"/>
        <v>3100</v>
      </c>
      <c r="AJ245" s="14">
        <f t="shared" si="69"/>
        <v>4318</v>
      </c>
      <c r="AK245" s="14">
        <f t="shared" si="70"/>
        <v>2158</v>
      </c>
      <c r="AL245" s="14">
        <f t="shared" si="71"/>
        <v>12956</v>
      </c>
    </row>
    <row r="246" spans="11:38" ht="16.5" x14ac:dyDescent="0.2">
      <c r="K246" s="13">
        <v>243</v>
      </c>
      <c r="L246" s="13">
        <f t="shared" si="57"/>
        <v>12</v>
      </c>
      <c r="M246" s="13">
        <f t="shared" si="58"/>
        <v>2</v>
      </c>
      <c r="N246" s="14">
        <f t="shared" si="59"/>
        <v>1101012</v>
      </c>
      <c r="O246" s="14" t="str">
        <f t="shared" si="60"/>
        <v>南御夫12突</v>
      </c>
      <c r="P246" s="29" t="s">
        <v>341</v>
      </c>
      <c r="Q246" s="14">
        <f t="shared" si="61"/>
        <v>1</v>
      </c>
      <c r="R246" s="14">
        <f t="shared" si="62"/>
        <v>12</v>
      </c>
      <c r="S246" s="14" t="s">
        <v>39</v>
      </c>
      <c r="T246" s="14">
        <f>ROUND(((IF(Q246=1,INDEX(新属性投放!$J$14:$J$34,卡牌属性!R246),INDEX(新属性投放!$J$42:$J$62,卡牌属性!R246)))*INDEX($G$5:$G$42,L246)+IF(Q246=1,INDEX(新属性投放!R$20:R$23,卡牌属性!M246-1),INDEX(新属性投放!R$25:R$28,卡牌属性!M246-1)))/SQRT(INDEX($I$5:$I$42,L246)),2)</f>
        <v>5474.9</v>
      </c>
      <c r="U246" s="29" t="s">
        <v>178</v>
      </c>
      <c r="V246" s="14">
        <f>ROUND((IF(Q246=1,INDEX(新属性投放!$K$14:$K$34,卡牌属性!R246),INDEX(新属性投放!$K$42:$K$62,卡牌属性!R246))+IF(Q246=1,INDEX(新属性投放!S$20:S$23,卡牌属性!M246-1),INDEX(新属性投放!S$25:S$28,卡牌属性!M246-1)))*INDEX($G$5:$G$42,L246),2)</f>
        <v>2693.45</v>
      </c>
      <c r="W246" s="29" t="s">
        <v>179</v>
      </c>
      <c r="X246" s="14">
        <f>ROUND((IF(Q246=1,INDEX(新属性投放!$L$14:$L$34,卡牌属性!R246),INDEX(新属性投放!$L$42:$L$62,卡牌属性!R246))*INDEX($G$5:$G$42,L246)+IF(Q246=1,INDEX(新属性投放!T$20:T$23,卡牌属性!M246-1),INDEX(新属性投放!T$25:T$28,卡牌属性!M246-1)))*SQRT(INDEX($I$5:$I$42,L246)),2)</f>
        <v>16624.7</v>
      </c>
      <c r="Y246" s="29" t="s">
        <v>177</v>
      </c>
      <c r="Z246" s="14">
        <f>ROUND(IF(Q246=1,INDEX(新属性投放!$D$14:$D$34,卡牌属性!R246),INDEX(新属性投放!$D$42:$D$62,卡牌属性!R246))*INDEX($G$5:$G$42,L246)/SQRT(INDEX($I$5:$I$42,L246)),2)</f>
        <v>135.62</v>
      </c>
      <c r="AA246" s="29" t="s">
        <v>178</v>
      </c>
      <c r="AB246" s="14">
        <f>ROUND(IF(Q246=1,INDEX(新属性投放!$E$14:$E$34,卡牌属性!R246),INDEX(新属性投放!$E$42:$E$62,卡牌属性!R246))*INDEX($G$5:$G$42,L246),2)</f>
        <v>67.81</v>
      </c>
      <c r="AC246" s="29" t="s">
        <v>179</v>
      </c>
      <c r="AD246" s="14">
        <f>ROUND(IF(Q246=1,INDEX(新属性投放!$F$14:$F$34,卡牌属性!R246),INDEX(新属性投放!$F$42:$F$62,卡牌属性!R246))*INDEX($G$5:$G$42,L246)*SQRT(INDEX($I$5:$I$42,L246)),2)</f>
        <v>406.86</v>
      </c>
      <c r="AF246" s="14">
        <f t="shared" si="63"/>
        <v>1356</v>
      </c>
      <c r="AG246" s="14">
        <f t="shared" si="64"/>
        <v>678</v>
      </c>
      <c r="AH246" s="14">
        <f t="shared" si="65"/>
        <v>4068</v>
      </c>
      <c r="AJ246" s="14">
        <f t="shared" si="69"/>
        <v>5674</v>
      </c>
      <c r="AK246" s="14">
        <f t="shared" si="70"/>
        <v>2836</v>
      </c>
      <c r="AL246" s="14">
        <f t="shared" si="71"/>
        <v>17024</v>
      </c>
    </row>
    <row r="247" spans="11:38" ht="16.5" x14ac:dyDescent="0.2">
      <c r="K247" s="13">
        <v>244</v>
      </c>
      <c r="L247" s="13">
        <f t="shared" si="57"/>
        <v>12</v>
      </c>
      <c r="M247" s="13">
        <f t="shared" si="58"/>
        <v>2</v>
      </c>
      <c r="N247" s="14">
        <f t="shared" si="59"/>
        <v>1101012</v>
      </c>
      <c r="O247" s="14" t="str">
        <f t="shared" si="60"/>
        <v>南御夫13突</v>
      </c>
      <c r="P247" s="29" t="s">
        <v>341</v>
      </c>
      <c r="Q247" s="14">
        <f t="shared" si="61"/>
        <v>1</v>
      </c>
      <c r="R247" s="14">
        <f t="shared" si="62"/>
        <v>13</v>
      </c>
      <c r="S247" s="14" t="s">
        <v>39</v>
      </c>
      <c r="T247" s="14">
        <f>ROUND(((IF(Q247=1,INDEX(新属性投放!$J$14:$J$34,卡牌属性!R247),INDEX(新属性投放!$J$42:$J$62,卡牌属性!R247)))*INDEX($G$5:$G$42,L247)+IF(Q247=1,INDEX(新属性投放!R$20:R$23,卡牌属性!M247-1),INDEX(新属性投放!R$25:R$28,卡牌属性!M247-1)))/SQRT(INDEX($I$5:$I$42,L247)),2)</f>
        <v>7170.1</v>
      </c>
      <c r="U247" s="29" t="s">
        <v>178</v>
      </c>
      <c r="V247" s="14">
        <f>ROUND((IF(Q247=1,INDEX(新属性投放!$K$14:$K$34,卡牌属性!R247),INDEX(新属性投放!$K$42:$K$62,卡牌属性!R247))+IF(Q247=1,INDEX(新属性投放!S$20:S$23,卡牌属性!M247-1),INDEX(新属性投放!S$25:S$28,卡牌属性!M247-1)))*INDEX($G$5:$G$42,L247),2)</f>
        <v>3541.55</v>
      </c>
      <c r="W247" s="29" t="s">
        <v>179</v>
      </c>
      <c r="X247" s="14">
        <f>ROUND((IF(Q247=1,INDEX(新属性投放!$L$14:$L$34,卡牌属性!R247),INDEX(新属性投放!$L$42:$L$62,卡牌属性!R247))*INDEX($G$5:$G$42,L247)+IF(Q247=1,INDEX(新属性投放!T$20:T$23,卡牌属性!M247-1),INDEX(新属性投放!T$25:T$28,卡牌属性!M247-1)))*SQRT(INDEX($I$5:$I$42,L247)),2)</f>
        <v>21710.3</v>
      </c>
      <c r="Y247" s="29" t="s">
        <v>177</v>
      </c>
      <c r="Z247" s="14">
        <f>ROUND(IF(Q247=1,INDEX(新属性投放!$D$14:$D$34,卡牌属性!R247),INDEX(新属性投放!$D$42:$D$62,卡牌属性!R247))*INDEX($G$5:$G$42,L247)/SQRT(INDEX($I$5:$I$42,L247)),2)</f>
        <v>178</v>
      </c>
      <c r="AA247" s="29" t="s">
        <v>178</v>
      </c>
      <c r="AB247" s="14">
        <f>ROUND(IF(Q247=1,INDEX(新属性投放!$E$14:$E$34,卡牌属性!R247),INDEX(新属性投放!$E$42:$E$62,卡牌属性!R247))*INDEX($G$5:$G$42,L247),2)</f>
        <v>89</v>
      </c>
      <c r="AC247" s="29" t="s">
        <v>179</v>
      </c>
      <c r="AD247" s="14">
        <f>ROUND(IF(Q247=1,INDEX(新属性投放!$F$14:$F$34,卡牌属性!R247),INDEX(新属性投放!$F$42:$F$62,卡牌属性!R247))*INDEX($G$5:$G$42,L247)*SQRT(INDEX($I$5:$I$42,L247)),2)</f>
        <v>534</v>
      </c>
      <c r="AF247" s="14">
        <f t="shared" si="63"/>
        <v>1780</v>
      </c>
      <c r="AG247" s="14">
        <f t="shared" si="64"/>
        <v>890</v>
      </c>
      <c r="AH247" s="14">
        <f t="shared" si="65"/>
        <v>5340</v>
      </c>
      <c r="AJ247" s="14">
        <f t="shared" si="69"/>
        <v>7454</v>
      </c>
      <c r="AK247" s="14">
        <f t="shared" si="70"/>
        <v>3726</v>
      </c>
      <c r="AL247" s="14">
        <f t="shared" si="71"/>
        <v>22364</v>
      </c>
    </row>
    <row r="248" spans="11:38" ht="16.5" x14ac:dyDescent="0.2">
      <c r="K248" s="13">
        <v>245</v>
      </c>
      <c r="L248" s="13">
        <f t="shared" si="57"/>
        <v>12</v>
      </c>
      <c r="M248" s="13">
        <f t="shared" si="58"/>
        <v>2</v>
      </c>
      <c r="N248" s="14">
        <f t="shared" si="59"/>
        <v>1101012</v>
      </c>
      <c r="O248" s="14" t="str">
        <f t="shared" si="60"/>
        <v>南御夫14突</v>
      </c>
      <c r="P248" s="29" t="s">
        <v>341</v>
      </c>
      <c r="Q248" s="14">
        <f t="shared" si="61"/>
        <v>1</v>
      </c>
      <c r="R248" s="14">
        <f t="shared" si="62"/>
        <v>14</v>
      </c>
      <c r="S248" s="14" t="s">
        <v>39</v>
      </c>
      <c r="T248" s="14">
        <f>ROUND(((IF(Q248=1,INDEX(新属性投放!$J$14:$J$34,卡牌属性!R248),INDEX(新属性投放!$J$42:$J$62,卡牌属性!R248)))*INDEX($G$5:$G$42,L248)+IF(Q248=1,INDEX(新属性投放!R$20:R$23,卡牌属性!M248-1),INDEX(新属性投放!R$25:R$28,卡牌属性!M248-1)))/SQRT(INDEX($I$5:$I$42,L248)),2)</f>
        <v>9395.1</v>
      </c>
      <c r="U248" s="29" t="s">
        <v>178</v>
      </c>
      <c r="V248" s="14">
        <f>ROUND((IF(Q248=1,INDEX(新属性投放!$K$14:$K$34,卡牌属性!R248),INDEX(新属性投放!$K$42:$K$62,卡牌属性!R248))+IF(Q248=1,INDEX(新属性投放!S$20:S$23,卡牌属性!M248-1),INDEX(新属性投放!S$25:S$28,卡牌属性!M248-1)))*INDEX($G$5:$G$42,L248),2)</f>
        <v>4654.55</v>
      </c>
      <c r="W248" s="29" t="s">
        <v>179</v>
      </c>
      <c r="X248" s="14">
        <f>ROUND((IF(Q248=1,INDEX(新属性投放!$L$14:$L$34,卡牌属性!R248),INDEX(新属性投放!$L$42:$L$62,卡牌属性!R248))*INDEX($G$5:$G$42,L248)+IF(Q248=1,INDEX(新属性投放!T$20:T$23,卡牌属性!M248-1),INDEX(新属性投放!T$25:T$28,卡牌属性!M248-1)))*SQRT(INDEX($I$5:$I$42,L248)),2)</f>
        <v>28385.3</v>
      </c>
      <c r="Y248" s="29" t="s">
        <v>177</v>
      </c>
      <c r="Z248" s="14">
        <f>ROUND(IF(Q248=1,INDEX(新属性投放!$D$14:$D$34,卡牌属性!R248),INDEX(新属性投放!$D$42:$D$62,卡牌属性!R248))*INDEX($G$5:$G$42,L248)/SQRT(INDEX($I$5:$I$42,L248)),2)</f>
        <v>233.63</v>
      </c>
      <c r="AA248" s="29" t="s">
        <v>178</v>
      </c>
      <c r="AB248" s="14">
        <f>ROUND(IF(Q248=1,INDEX(新属性投放!$E$14:$E$34,卡牌属性!R248),INDEX(新属性投放!$E$42:$E$62,卡牌属性!R248))*INDEX($G$5:$G$42,L248),2)</f>
        <v>116.82</v>
      </c>
      <c r="AC248" s="29" t="s">
        <v>179</v>
      </c>
      <c r="AD248" s="14">
        <f>ROUND(IF(Q248=1,INDEX(新属性投放!$F$14:$F$34,卡牌属性!R248),INDEX(新属性投放!$F$42:$F$62,卡牌属性!R248))*INDEX($G$5:$G$42,L248)*SQRT(INDEX($I$5:$I$42,L248)),2)</f>
        <v>700.89</v>
      </c>
      <c r="AF248" s="14">
        <f t="shared" si="63"/>
        <v>2336</v>
      </c>
      <c r="AG248" s="14">
        <f t="shared" si="64"/>
        <v>1168</v>
      </c>
      <c r="AH248" s="14">
        <f t="shared" si="65"/>
        <v>7008</v>
      </c>
      <c r="AJ248" s="14">
        <f t="shared" si="69"/>
        <v>9790</v>
      </c>
      <c r="AK248" s="14">
        <f t="shared" si="70"/>
        <v>4894</v>
      </c>
      <c r="AL248" s="14">
        <f t="shared" si="71"/>
        <v>29372</v>
      </c>
    </row>
    <row r="249" spans="11:38" ht="16.5" x14ac:dyDescent="0.2">
      <c r="K249" s="13">
        <v>246</v>
      </c>
      <c r="L249" s="13">
        <f t="shared" si="57"/>
        <v>12</v>
      </c>
      <c r="M249" s="13">
        <f t="shared" si="58"/>
        <v>2</v>
      </c>
      <c r="N249" s="14">
        <f t="shared" si="59"/>
        <v>1101012</v>
      </c>
      <c r="O249" s="14" t="str">
        <f t="shared" si="60"/>
        <v>南御夫15突</v>
      </c>
      <c r="P249" s="29" t="s">
        <v>341</v>
      </c>
      <c r="Q249" s="14">
        <f t="shared" si="61"/>
        <v>1</v>
      </c>
      <c r="R249" s="14">
        <f t="shared" si="62"/>
        <v>15</v>
      </c>
      <c r="S249" s="14" t="s">
        <v>39</v>
      </c>
      <c r="T249" s="14">
        <f>ROUND(((IF(Q249=1,INDEX(新属性投放!$J$14:$J$34,卡牌属性!R249),INDEX(新属性投放!$J$42:$J$62,卡牌属性!R249)))*INDEX($G$5:$G$42,L249)+IF(Q249=1,INDEX(新属性投放!R$20:R$23,卡牌属性!M249-1),INDEX(新属性投放!R$25:R$28,卡牌属性!M249-1)))/SQRT(INDEX($I$5:$I$42,L249)),2)</f>
        <v>12315.4</v>
      </c>
      <c r="U249" s="29" t="s">
        <v>178</v>
      </c>
      <c r="V249" s="14">
        <f>ROUND((IF(Q249=1,INDEX(新属性投放!$K$14:$K$34,卡牌属性!R249),INDEX(新属性投放!$K$42:$K$62,卡牌属性!R249))+IF(Q249=1,INDEX(新属性投放!S$20:S$23,卡牌属性!M249-1),INDEX(新属性投放!S$25:S$28,卡牌属性!M249-1)))*INDEX($G$5:$G$42,L249),2)</f>
        <v>6114.7</v>
      </c>
      <c r="W249" s="29" t="s">
        <v>179</v>
      </c>
      <c r="X249" s="14">
        <f>ROUND((IF(Q249=1,INDEX(新属性投放!$L$14:$L$34,卡牌属性!R249),INDEX(新属性投放!$L$42:$L$62,卡牌属性!R249))*INDEX($G$5:$G$42,L249)+IF(Q249=1,INDEX(新属性投放!T$20:T$23,卡牌属性!M249-1),INDEX(新属性投放!T$25:T$28,卡牌属性!M249-1)))*SQRT(INDEX($I$5:$I$42,L249)),2)</f>
        <v>37146.199999999997</v>
      </c>
      <c r="Y249" s="29" t="s">
        <v>177</v>
      </c>
      <c r="Z249" s="14">
        <f>ROUND(IF(Q249=1,INDEX(新属性投放!$D$14:$D$34,卡牌属性!R249),INDEX(新属性投放!$D$42:$D$62,卡牌属性!R249))*INDEX($G$5:$G$42,L249)/SQRT(INDEX($I$5:$I$42,L249)),2)</f>
        <v>306.64</v>
      </c>
      <c r="AA249" s="29" t="s">
        <v>178</v>
      </c>
      <c r="AB249" s="14">
        <f>ROUND(IF(Q249=1,INDEX(新属性投放!$E$14:$E$34,卡牌属性!R249),INDEX(新属性投放!$E$42:$E$62,卡牌属性!R249))*INDEX($G$5:$G$42,L249),2)</f>
        <v>153.32</v>
      </c>
      <c r="AC249" s="29" t="s">
        <v>179</v>
      </c>
      <c r="AD249" s="14">
        <f>ROUND(IF(Q249=1,INDEX(新属性投放!$F$14:$F$34,卡牌属性!R249),INDEX(新属性投放!$F$42:$F$62,卡牌属性!R249))*INDEX($G$5:$G$42,L249)*SQRT(INDEX($I$5:$I$42,L249)),2)</f>
        <v>919.92</v>
      </c>
      <c r="AF249" s="14">
        <f t="shared" si="63"/>
        <v>3066</v>
      </c>
      <c r="AG249" s="14">
        <f t="shared" si="64"/>
        <v>1533</v>
      </c>
      <c r="AH249" s="14">
        <f t="shared" si="65"/>
        <v>9199</v>
      </c>
      <c r="AJ249" s="14">
        <f t="shared" si="69"/>
        <v>12856</v>
      </c>
      <c r="AK249" s="14">
        <f t="shared" si="70"/>
        <v>6427</v>
      </c>
      <c r="AL249" s="14">
        <f t="shared" si="71"/>
        <v>38571</v>
      </c>
    </row>
    <row r="250" spans="11:38" ht="16.5" x14ac:dyDescent="0.2">
      <c r="K250" s="13">
        <v>247</v>
      </c>
      <c r="L250" s="13">
        <f t="shared" si="57"/>
        <v>12</v>
      </c>
      <c r="M250" s="13">
        <f t="shared" si="58"/>
        <v>2</v>
      </c>
      <c r="N250" s="14">
        <f t="shared" si="59"/>
        <v>1101012</v>
      </c>
      <c r="O250" s="14" t="str">
        <f t="shared" si="60"/>
        <v>南御夫16突</v>
      </c>
      <c r="P250" s="29" t="s">
        <v>341</v>
      </c>
      <c r="Q250" s="14">
        <f t="shared" si="61"/>
        <v>1</v>
      </c>
      <c r="R250" s="14">
        <f t="shared" si="62"/>
        <v>16</v>
      </c>
      <c r="S250" s="14" t="s">
        <v>39</v>
      </c>
      <c r="T250" s="14">
        <f>ROUND(((IF(Q250=1,INDEX(新属性投放!$J$14:$J$34,卡牌属性!R250),INDEX(新属性投放!$J$42:$J$62,卡牌属性!R250)))*INDEX($G$5:$G$42,L250)+IF(Q250=1,INDEX(新属性投放!R$20:R$23,卡牌属性!M250-1),INDEX(新属性投放!R$25:R$28,卡牌属性!M250-1)))/SQRT(INDEX($I$5:$I$42,L250)),2)</f>
        <v>16148.8</v>
      </c>
      <c r="U250" s="29" t="s">
        <v>178</v>
      </c>
      <c r="V250" s="14">
        <f>ROUND((IF(Q250=1,INDEX(新属性投放!$K$14:$K$34,卡牌属性!R250),INDEX(新属性投放!$K$42:$K$62,卡牌属性!R250))+IF(Q250=1,INDEX(新属性投放!S$20:S$23,卡牌属性!M250-1),INDEX(新属性投放!S$25:S$28,卡牌属性!M250-1)))*INDEX($G$5:$G$42,L250),2)</f>
        <v>8030.9</v>
      </c>
      <c r="W250" s="29" t="s">
        <v>179</v>
      </c>
      <c r="X250" s="14">
        <f>ROUND((IF(Q250=1,INDEX(新属性投放!$L$14:$L$34,卡牌属性!R250),INDEX(新属性投放!$L$42:$L$62,卡牌属性!R250))*INDEX($G$5:$G$42,L250)+IF(Q250=1,INDEX(新属性投放!T$20:T$23,卡牌属性!M250-1),INDEX(新属性投放!T$25:T$28,卡牌属性!M250-1)))*SQRT(INDEX($I$5:$I$42,L250)),2)</f>
        <v>48646.400000000001</v>
      </c>
      <c r="Y250" s="29" t="s">
        <v>177</v>
      </c>
      <c r="Z250" s="14">
        <f>ROUND(IF(Q250=1,INDEX(新属性投放!$D$14:$D$34,卡牌属性!R250),INDEX(新属性投放!$D$42:$D$62,卡牌属性!R250))*INDEX($G$5:$G$42,L250)/SQRT(INDEX($I$5:$I$42,L250)),2)</f>
        <v>402.47</v>
      </c>
      <c r="AA250" s="29" t="s">
        <v>178</v>
      </c>
      <c r="AB250" s="14">
        <f>ROUND(IF(Q250=1,INDEX(新属性投放!$E$14:$E$34,卡牌属性!R250),INDEX(新属性投放!$E$42:$E$62,卡牌属性!R250))*INDEX($G$5:$G$42,L250),2)</f>
        <v>201.24</v>
      </c>
      <c r="AC250" s="29" t="s">
        <v>179</v>
      </c>
      <c r="AD250" s="14">
        <f>ROUND(IF(Q250=1,INDEX(新属性投放!$F$14:$F$34,卡牌属性!R250),INDEX(新属性投放!$F$42:$F$62,卡牌属性!R250))*INDEX($G$5:$G$42,L250)*SQRT(INDEX($I$5:$I$42,L250)),2)</f>
        <v>1207.4100000000001</v>
      </c>
      <c r="AF250" s="14">
        <f t="shared" si="63"/>
        <v>4024</v>
      </c>
      <c r="AG250" s="14">
        <f t="shared" si="64"/>
        <v>2012</v>
      </c>
      <c r="AH250" s="14">
        <f t="shared" si="65"/>
        <v>12074</v>
      </c>
      <c r="AJ250" s="14">
        <f t="shared" si="69"/>
        <v>16880</v>
      </c>
      <c r="AK250" s="14">
        <f t="shared" si="70"/>
        <v>8439</v>
      </c>
      <c r="AL250" s="14">
        <f t="shared" si="71"/>
        <v>50645</v>
      </c>
    </row>
    <row r="251" spans="11:38" ht="16.5" x14ac:dyDescent="0.2">
      <c r="K251" s="13">
        <v>248</v>
      </c>
      <c r="L251" s="13">
        <f t="shared" si="57"/>
        <v>12</v>
      </c>
      <c r="M251" s="13">
        <f t="shared" si="58"/>
        <v>2</v>
      </c>
      <c r="N251" s="14">
        <f t="shared" si="59"/>
        <v>1101012</v>
      </c>
      <c r="O251" s="14" t="str">
        <f t="shared" si="60"/>
        <v>南御夫17突</v>
      </c>
      <c r="P251" s="29" t="s">
        <v>341</v>
      </c>
      <c r="Q251" s="14">
        <f t="shared" si="61"/>
        <v>1</v>
      </c>
      <c r="R251" s="14">
        <f t="shared" si="62"/>
        <v>17</v>
      </c>
      <c r="S251" s="14" t="s">
        <v>39</v>
      </c>
      <c r="T251" s="14">
        <f>ROUND(((IF(Q251=1,INDEX(新属性投放!$J$14:$J$34,卡牌属性!R251),INDEX(新属性投放!$J$42:$J$62,卡牌属性!R251)))*INDEX($G$5:$G$42,L251)+IF(Q251=1,INDEX(新属性投放!R$20:R$23,卡牌属性!M251-1),INDEX(新属性投放!R$25:R$28,卡牌属性!M251-1)))/SQRT(INDEX($I$5:$I$42,L251)),2)</f>
        <v>21179.5</v>
      </c>
      <c r="U251" s="29" t="s">
        <v>178</v>
      </c>
      <c r="V251" s="14">
        <f>ROUND((IF(Q251=1,INDEX(新属性投放!$K$14:$K$34,卡牌属性!R251),INDEX(新属性投放!$K$42:$K$62,卡牌属性!R251))+IF(Q251=1,INDEX(新属性投放!S$20:S$23,卡牌属性!M251-1),INDEX(新属性投放!S$25:S$28,卡牌属性!M251-1)))*INDEX($G$5:$G$42,L251),2)</f>
        <v>10546.25</v>
      </c>
      <c r="W251" s="29" t="s">
        <v>179</v>
      </c>
      <c r="X251" s="14">
        <f>ROUND((IF(Q251=1,INDEX(新属性投放!$L$14:$L$34,卡牌属性!R251),INDEX(新属性投放!$L$42:$L$62,卡牌属性!R251))*INDEX($G$5:$G$42,L251)+IF(Q251=1,INDEX(新属性投放!T$20:T$23,卡牌属性!M251-1),INDEX(新属性投放!T$25:T$28,卡牌属性!M251-1)))*SQRT(INDEX($I$5:$I$42,L251)),2)</f>
        <v>63738.5</v>
      </c>
      <c r="Y251" s="29" t="s">
        <v>177</v>
      </c>
      <c r="Z251" s="14">
        <f>ROUND(IF(Q251=1,INDEX(新属性投放!$D$14:$D$34,卡牌属性!R251),INDEX(新属性投放!$D$42:$D$62,卡牌属性!R251))*INDEX($G$5:$G$42,L251)/SQRT(INDEX($I$5:$I$42,L251)),2)</f>
        <v>528.24</v>
      </c>
      <c r="AA251" s="29" t="s">
        <v>178</v>
      </c>
      <c r="AB251" s="14">
        <f>ROUND(IF(Q251=1,INDEX(新属性投放!$E$14:$E$34,卡牌属性!R251),INDEX(新属性投放!$E$42:$E$62,卡牌属性!R251))*INDEX($G$5:$G$42,L251),2)</f>
        <v>264.12</v>
      </c>
      <c r="AC251" s="29" t="s">
        <v>179</v>
      </c>
      <c r="AD251" s="14">
        <f>ROUND(IF(Q251=1,INDEX(新属性投放!$F$14:$F$34,卡牌属性!R251),INDEX(新属性投放!$F$42:$F$62,卡牌属性!R251))*INDEX($G$5:$G$42,L251)*SQRT(INDEX($I$5:$I$42,L251)),2)</f>
        <v>1584.72</v>
      </c>
      <c r="AF251" s="14">
        <f t="shared" si="63"/>
        <v>5282</v>
      </c>
      <c r="AG251" s="14">
        <f t="shared" si="64"/>
        <v>2641</v>
      </c>
      <c r="AH251" s="14">
        <f t="shared" si="65"/>
        <v>15847</v>
      </c>
      <c r="AJ251" s="14">
        <f t="shared" si="69"/>
        <v>22162</v>
      </c>
      <c r="AK251" s="14">
        <f t="shared" si="70"/>
        <v>11080</v>
      </c>
      <c r="AL251" s="14">
        <f t="shared" si="71"/>
        <v>66492</v>
      </c>
    </row>
    <row r="252" spans="11:38" ht="16.5" x14ac:dyDescent="0.2">
      <c r="K252" s="13">
        <v>249</v>
      </c>
      <c r="L252" s="13">
        <f t="shared" si="57"/>
        <v>12</v>
      </c>
      <c r="M252" s="13">
        <f t="shared" si="58"/>
        <v>2</v>
      </c>
      <c r="N252" s="14">
        <f t="shared" si="59"/>
        <v>1101012</v>
      </c>
      <c r="O252" s="14" t="str">
        <f t="shared" si="60"/>
        <v>南御夫18突</v>
      </c>
      <c r="P252" s="29" t="s">
        <v>341</v>
      </c>
      <c r="Q252" s="14">
        <f t="shared" si="61"/>
        <v>1</v>
      </c>
      <c r="R252" s="14">
        <f t="shared" si="62"/>
        <v>18</v>
      </c>
      <c r="S252" s="14" t="s">
        <v>39</v>
      </c>
      <c r="T252" s="14">
        <f>ROUND(((IF(Q252=1,INDEX(新属性投放!$J$14:$J$34,卡牌属性!R252),INDEX(新属性投放!$J$42:$J$62,卡牌属性!R252)))*INDEX($G$5:$G$42,L252)+IF(Q252=1,INDEX(新属性投放!R$20:R$23,卡牌属性!M252-1),INDEX(新属性投放!R$25:R$28,卡牌属性!M252-1)))/SQRT(INDEX($I$5:$I$42,L252)),2)</f>
        <v>27782.9</v>
      </c>
      <c r="U252" s="29" t="s">
        <v>178</v>
      </c>
      <c r="V252" s="14">
        <f>ROUND((IF(Q252=1,INDEX(新属性投放!$K$14:$K$34,卡牌属性!R252),INDEX(新属性投放!$K$42:$K$62,卡牌属性!R252))+IF(Q252=1,INDEX(新属性投放!S$20:S$23,卡牌属性!M252-1),INDEX(新属性投放!S$25:S$28,卡牌属性!M252-1)))*INDEX($G$5:$G$42,L252),2)</f>
        <v>13847.45</v>
      </c>
      <c r="W252" s="29" t="s">
        <v>179</v>
      </c>
      <c r="X252" s="14">
        <f>ROUND((IF(Q252=1,INDEX(新属性投放!$L$14:$L$34,卡牌属性!R252),INDEX(新属性投放!$L$42:$L$62,卡牌属性!R252))*INDEX($G$5:$G$42,L252)+IF(Q252=1,INDEX(新属性投放!T$20:T$23,卡牌属性!M252-1),INDEX(新属性投放!T$25:T$28,卡牌属性!M252-1)))*SQRT(INDEX($I$5:$I$42,L252)),2)</f>
        <v>83548.7</v>
      </c>
      <c r="Y252" s="29" t="s">
        <v>177</v>
      </c>
      <c r="Z252" s="14">
        <f>ROUND(IF(Q252=1,INDEX(新属性投放!$D$14:$D$34,卡牌属性!R252),INDEX(新属性投放!$D$42:$D$62,卡牌属性!R252))*INDEX($G$5:$G$42,L252)/SQRT(INDEX($I$5:$I$42,L252)),2)</f>
        <v>693.32</v>
      </c>
      <c r="AA252" s="29" t="s">
        <v>178</v>
      </c>
      <c r="AB252" s="14">
        <f>ROUND(IF(Q252=1,INDEX(新属性投放!$E$14:$E$34,卡牌属性!R252),INDEX(新属性投放!$E$42:$E$62,卡牌属性!R252))*INDEX($G$5:$G$42,L252),2)</f>
        <v>346.66</v>
      </c>
      <c r="AC252" s="29" t="s">
        <v>179</v>
      </c>
      <c r="AD252" s="14">
        <f>ROUND(IF(Q252=1,INDEX(新属性投放!$F$14:$F$34,卡牌属性!R252),INDEX(新属性投放!$F$42:$F$62,卡牌属性!R252))*INDEX($G$5:$G$42,L252)*SQRT(INDEX($I$5:$I$42,L252)),2)</f>
        <v>2079.96</v>
      </c>
      <c r="AF252" s="14">
        <f t="shared" si="63"/>
        <v>6933</v>
      </c>
      <c r="AG252" s="14">
        <f t="shared" si="64"/>
        <v>3466</v>
      </c>
      <c r="AH252" s="14">
        <f t="shared" si="65"/>
        <v>20799</v>
      </c>
      <c r="AJ252" s="14">
        <f t="shared" si="69"/>
        <v>29095</v>
      </c>
      <c r="AK252" s="14">
        <f t="shared" si="70"/>
        <v>14546</v>
      </c>
      <c r="AL252" s="14">
        <f t="shared" si="71"/>
        <v>87291</v>
      </c>
    </row>
    <row r="253" spans="11:38" ht="16.5" x14ac:dyDescent="0.2">
      <c r="K253" s="13">
        <v>250</v>
      </c>
      <c r="L253" s="13">
        <f t="shared" si="57"/>
        <v>12</v>
      </c>
      <c r="M253" s="13">
        <f t="shared" si="58"/>
        <v>2</v>
      </c>
      <c r="N253" s="14">
        <f t="shared" si="59"/>
        <v>1101012</v>
      </c>
      <c r="O253" s="14" t="str">
        <f t="shared" si="60"/>
        <v>南御夫19突</v>
      </c>
      <c r="P253" s="29" t="s">
        <v>341</v>
      </c>
      <c r="Q253" s="14">
        <f t="shared" si="61"/>
        <v>1</v>
      </c>
      <c r="R253" s="14">
        <f t="shared" si="62"/>
        <v>19</v>
      </c>
      <c r="S253" s="14" t="s">
        <v>39</v>
      </c>
      <c r="T253" s="14">
        <f>ROUND(((IF(Q253=1,INDEX(新属性投放!$J$14:$J$34,卡牌属性!R253),INDEX(新属性投放!$J$42:$J$62,卡牌属性!R253)))*INDEX($G$5:$G$42,L253)+IF(Q253=1,INDEX(新属性投放!R$20:R$23,卡牌属性!M253-1),INDEX(新属性投放!R$25:R$28,卡牌属性!M253-1)))/SQRT(INDEX($I$5:$I$42,L253)),2)</f>
        <v>36449.1</v>
      </c>
      <c r="U253" s="29" t="s">
        <v>178</v>
      </c>
      <c r="V253" s="14">
        <f>ROUND((IF(Q253=1,INDEX(新属性投放!$K$14:$K$34,卡牌属性!R253),INDEX(新属性投放!$K$42:$K$62,卡牌属性!R253))+IF(Q253=1,INDEX(新属性投放!S$20:S$23,卡牌属性!M253-1),INDEX(新属性投放!S$25:S$28,卡牌属性!M253-1)))*INDEX($G$5:$G$42,L253),2)</f>
        <v>18181.05</v>
      </c>
      <c r="W253" s="29" t="s">
        <v>179</v>
      </c>
      <c r="X253" s="14">
        <f>ROUND((IF(Q253=1,INDEX(新属性投放!$L$14:$L$34,卡牌属性!R253),INDEX(新属性投放!$L$42:$L$62,卡牌属性!R253))*INDEX($G$5:$G$42,L253)+IF(Q253=1,INDEX(新属性投放!T$20:T$23,卡牌属性!M253-1),INDEX(新属性投放!T$25:T$28,卡牌属性!M253-1)))*SQRT(INDEX($I$5:$I$42,L253)),2)</f>
        <v>109547.3</v>
      </c>
      <c r="Y253" s="29" t="s">
        <v>177</v>
      </c>
      <c r="Z253" s="14">
        <f>ROUND(IF(Q253=1,INDEX(新属性投放!$D$14:$D$34,卡牌属性!R253),INDEX(新属性投放!$D$42:$D$62,卡牌属性!R253))*INDEX($G$5:$G$42,L253)/SQRT(INDEX($I$5:$I$42,L253)),2)</f>
        <v>909.98</v>
      </c>
      <c r="AA253" s="29" t="s">
        <v>178</v>
      </c>
      <c r="AB253" s="14">
        <f>ROUND(IF(Q253=1,INDEX(新属性投放!$E$14:$E$34,卡牌属性!R253),INDEX(新属性投放!$E$42:$E$62,卡牌属性!R253))*INDEX($G$5:$G$42,L253),2)</f>
        <v>454.99</v>
      </c>
      <c r="AC253" s="29" t="s">
        <v>179</v>
      </c>
      <c r="AD253" s="14">
        <f>ROUND(IF(Q253=1,INDEX(新属性投放!$F$14:$F$34,卡牌属性!R253),INDEX(新属性投放!$F$42:$F$62,卡牌属性!R253))*INDEX($G$5:$G$42,L253)*SQRT(INDEX($I$5:$I$42,L253)),2)</f>
        <v>2729.94</v>
      </c>
      <c r="AF253" s="14">
        <f t="shared" si="63"/>
        <v>9099</v>
      </c>
      <c r="AG253" s="14">
        <f t="shared" si="64"/>
        <v>4549</v>
      </c>
      <c r="AH253" s="14">
        <f t="shared" si="65"/>
        <v>27299</v>
      </c>
      <c r="AJ253" s="14">
        <f t="shared" si="69"/>
        <v>38194</v>
      </c>
      <c r="AK253" s="14">
        <f t="shared" si="70"/>
        <v>19095</v>
      </c>
      <c r="AL253" s="14">
        <f t="shared" si="71"/>
        <v>114590</v>
      </c>
    </row>
    <row r="254" spans="11:38" ht="16.5" x14ac:dyDescent="0.2">
      <c r="K254" s="13">
        <v>251</v>
      </c>
      <c r="L254" s="13">
        <f t="shared" si="57"/>
        <v>12</v>
      </c>
      <c r="M254" s="13">
        <f t="shared" si="58"/>
        <v>2</v>
      </c>
      <c r="N254" s="14">
        <f t="shared" si="59"/>
        <v>1101012</v>
      </c>
      <c r="O254" s="14" t="str">
        <f t="shared" si="60"/>
        <v>南御夫20突</v>
      </c>
      <c r="P254" s="29" t="s">
        <v>341</v>
      </c>
      <c r="Q254" s="14">
        <f t="shared" si="61"/>
        <v>1</v>
      </c>
      <c r="R254" s="14">
        <f t="shared" si="62"/>
        <v>20</v>
      </c>
      <c r="S254" s="14" t="s">
        <v>39</v>
      </c>
      <c r="T254" s="14">
        <f>ROUND(((IF(Q254=1,INDEX(新属性投放!$J$14:$J$34,卡牌属性!R254),INDEX(新属性投放!$J$42:$J$62,卡牌属性!R254)))*INDEX($G$5:$G$42,L254)+IF(Q254=1,INDEX(新属性投放!R$20:R$23,卡牌属性!M254-1),INDEX(新属性投放!R$25:R$28,卡牌属性!M254-1)))/SQRT(INDEX($I$5:$I$42,L254)),2)</f>
        <v>47823.9</v>
      </c>
      <c r="U254" s="29" t="s">
        <v>178</v>
      </c>
      <c r="V254" s="14">
        <f>ROUND((IF(Q254=1,INDEX(新属性投放!$K$14:$K$34,卡牌属性!R254),INDEX(新属性投放!$K$42:$K$62,卡牌属性!R254))+IF(Q254=1,INDEX(新属性投放!S$20:S$23,卡牌属性!M254-1),INDEX(新属性投放!S$25:S$28,卡牌属性!M254-1)))*INDEX($G$5:$G$42,L254),2)</f>
        <v>23867.95</v>
      </c>
      <c r="W254" s="29" t="s">
        <v>179</v>
      </c>
      <c r="X254" s="14">
        <f>ROUND((IF(Q254=1,INDEX(新属性投放!$L$14:$L$34,卡牌属性!R254),INDEX(新属性投放!$L$42:$L$62,卡牌属性!R254))*INDEX($G$5:$G$42,L254)+IF(Q254=1,INDEX(新属性投放!T$20:T$23,卡牌属性!M254-1),INDEX(新属性投放!T$25:T$28,卡牌属性!M254-1)))*SQRT(INDEX($I$5:$I$42,L254)),2)</f>
        <v>143671.70000000001</v>
      </c>
      <c r="Y254" s="29" t="s">
        <v>177</v>
      </c>
      <c r="Z254" s="14">
        <f>ROUND(IF(Q254=1,INDEX(新属性投放!$D$14:$D$34,卡牌属性!R254),INDEX(新属性投放!$D$42:$D$62,卡牌属性!R254))*INDEX($G$5:$G$42,L254)/SQRT(INDEX($I$5:$I$42,L254)),2)</f>
        <v>1194.3499999999999</v>
      </c>
      <c r="AA254" s="29" t="s">
        <v>178</v>
      </c>
      <c r="AB254" s="14">
        <f>ROUND(IF(Q254=1,INDEX(新属性投放!$E$14:$E$34,卡牌属性!R254),INDEX(新属性投放!$E$42:$E$62,卡牌属性!R254))*INDEX($G$5:$G$42,L254),2)</f>
        <v>597.17999999999995</v>
      </c>
      <c r="AC254" s="29" t="s">
        <v>179</v>
      </c>
      <c r="AD254" s="14">
        <f>ROUND(IF(Q254=1,INDEX(新属性投放!$F$14:$F$34,卡牌属性!R254),INDEX(新属性投放!$F$42:$F$62,卡牌属性!R254))*INDEX($G$5:$G$42,L254)*SQRT(INDEX($I$5:$I$42,L254)),2)</f>
        <v>3583.05</v>
      </c>
      <c r="AF254" s="14">
        <f t="shared" si="63"/>
        <v>11943</v>
      </c>
      <c r="AG254" s="14">
        <f t="shared" si="64"/>
        <v>5971</v>
      </c>
      <c r="AH254" s="14">
        <f t="shared" si="65"/>
        <v>35830</v>
      </c>
      <c r="AJ254" s="14">
        <f t="shared" si="69"/>
        <v>50137</v>
      </c>
      <c r="AK254" s="14">
        <f t="shared" si="70"/>
        <v>25066</v>
      </c>
      <c r="AL254" s="14">
        <f t="shared" si="71"/>
        <v>150420</v>
      </c>
    </row>
    <row r="255" spans="11:38" ht="16.5" x14ac:dyDescent="0.2">
      <c r="K255" s="13">
        <v>252</v>
      </c>
      <c r="L255" s="13">
        <f t="shared" si="57"/>
        <v>12</v>
      </c>
      <c r="M255" s="13">
        <f t="shared" si="58"/>
        <v>2</v>
      </c>
      <c r="N255" s="14">
        <f t="shared" si="59"/>
        <v>1101012</v>
      </c>
      <c r="O255" s="14" t="str">
        <f t="shared" si="60"/>
        <v>南御夫21突</v>
      </c>
      <c r="P255" s="29" t="s">
        <v>341</v>
      </c>
      <c r="Q255" s="14">
        <f t="shared" si="61"/>
        <v>1</v>
      </c>
      <c r="R255" s="14">
        <f t="shared" si="62"/>
        <v>21</v>
      </c>
      <c r="S255" s="14" t="s">
        <v>39</v>
      </c>
      <c r="T255" s="14">
        <f>ROUND(((IF(Q255=1,INDEX(新属性投放!$J$14:$J$34,卡牌属性!R255),INDEX(新属性投放!$J$42:$J$62,卡牌属性!R255)))*INDEX($G$5:$G$42,L255)+IF(Q255=1,INDEX(新属性投放!R$20:R$23,卡牌属性!M255-1),INDEX(新属性投放!R$25:R$28,卡牌属性!M255-1)))/SQRT(INDEX($I$5:$I$42,L255)),2)</f>
        <v>62753.4</v>
      </c>
      <c r="U255" s="29" t="s">
        <v>178</v>
      </c>
      <c r="V255" s="14">
        <f>ROUND((IF(Q255=1,INDEX(新属性投放!$K$14:$K$34,卡牌属性!R255),INDEX(新属性投放!$K$42:$K$62,卡牌属性!R255))+IF(Q255=1,INDEX(新属性投放!S$20:S$23,卡牌属性!M255-1),INDEX(新属性投放!S$25:S$28,卡牌属性!M255-1)))*INDEX($G$5:$G$42,L255),2)</f>
        <v>31332.7</v>
      </c>
      <c r="W255" s="29" t="s">
        <v>179</v>
      </c>
      <c r="X255" s="14">
        <f>ROUND((IF(Q255=1,INDEX(新属性投放!$L$14:$L$34,卡牌属性!R255),INDEX(新属性投放!$L$42:$L$62,卡牌属性!R255))*INDEX($G$5:$G$42,L255)+IF(Q255=1,INDEX(新属性投放!T$20:T$23,卡牌属性!M255-1),INDEX(新属性投放!T$25:T$28,卡牌属性!M255-1)))*SQRT(INDEX($I$5:$I$42,L255)),2)</f>
        <v>188460.2</v>
      </c>
      <c r="Y255" s="29" t="s">
        <v>177</v>
      </c>
      <c r="Z255" s="14">
        <f>ROUND(IF(Q255=1,INDEX(新属性投放!$D$14:$D$34,卡牌属性!R255),INDEX(新属性投放!$D$42:$D$62,卡牌属性!R255))*INDEX($G$5:$G$42,L255)/SQRT(INDEX($I$5:$I$42,L255)),2)</f>
        <v>1567.59</v>
      </c>
      <c r="AA255" s="29" t="s">
        <v>178</v>
      </c>
      <c r="AB255" s="14">
        <f>ROUND(IF(Q255=1,INDEX(新属性投放!$E$14:$E$34,卡牌属性!R255),INDEX(新属性投放!$E$42:$E$62,卡牌属性!R255))*INDEX($G$5:$G$42,L255),2)</f>
        <v>783.8</v>
      </c>
      <c r="AC255" s="29" t="s">
        <v>179</v>
      </c>
      <c r="AD255" s="14">
        <f>ROUND(IF(Q255=1,INDEX(新属性投放!$F$14:$F$34,卡牌属性!R255),INDEX(新属性投放!$F$42:$F$62,卡牌属性!R255))*INDEX($G$5:$G$42,L255)*SQRT(INDEX($I$5:$I$42,L255)),2)</f>
        <v>4702.7700000000004</v>
      </c>
      <c r="AF255" s="14">
        <f t="shared" si="63"/>
        <v>15675</v>
      </c>
      <c r="AG255" s="14">
        <f t="shared" si="64"/>
        <v>7838</v>
      </c>
      <c r="AH255" s="14">
        <f t="shared" si="65"/>
        <v>47027</v>
      </c>
      <c r="AJ255" s="14">
        <f t="shared" si="69"/>
        <v>65812</v>
      </c>
      <c r="AK255" s="14">
        <f t="shared" si="70"/>
        <v>32904</v>
      </c>
      <c r="AL255" s="14">
        <f t="shared" si="71"/>
        <v>197447</v>
      </c>
    </row>
    <row r="256" spans="11:38" ht="16.5" x14ac:dyDescent="0.2">
      <c r="K256" s="13">
        <v>253</v>
      </c>
      <c r="L256" s="13">
        <f t="shared" si="57"/>
        <v>13</v>
      </c>
      <c r="M256" s="13">
        <f t="shared" si="58"/>
        <v>2</v>
      </c>
      <c r="N256" s="14">
        <f t="shared" si="59"/>
        <v>1101013</v>
      </c>
      <c r="O256" s="14" t="str">
        <f t="shared" si="60"/>
        <v>吉拉1突</v>
      </c>
      <c r="P256" s="29" t="s">
        <v>341</v>
      </c>
      <c r="Q256" s="14">
        <f t="shared" si="61"/>
        <v>1</v>
      </c>
      <c r="R256" s="14">
        <f t="shared" si="62"/>
        <v>1</v>
      </c>
      <c r="S256" s="14" t="s">
        <v>39</v>
      </c>
      <c r="T256" s="14">
        <f>ROUND(((IF(Q256=1,INDEX(新属性投放!$J$14:$J$34,卡牌属性!R256),INDEX(新属性投放!$J$42:$J$62,卡牌属性!R256)))*INDEX($G$5:$G$42,L256)+IF(Q256=1,INDEX(新属性投放!R$20:R$23,卡牌属性!M256-1),INDEX(新属性投放!R$25:R$28,卡牌属性!M256-1)))/SQRT(INDEX($I$5:$I$42,L256)),2)</f>
        <v>100</v>
      </c>
      <c r="U256" s="29" t="s">
        <v>178</v>
      </c>
      <c r="V256" s="14">
        <f>ROUND((IF(Q256=1,INDEX(新属性投放!$K$14:$K$34,卡牌属性!R256),INDEX(新属性投放!$K$42:$K$62,卡牌属性!R256))+IF(Q256=1,INDEX(新属性投放!S$20:S$23,卡牌属性!M256-1),INDEX(新属性投放!S$25:S$28,卡牌属性!M256-1)))*INDEX($G$5:$G$42,L256),2)</f>
        <v>0</v>
      </c>
      <c r="W256" s="29" t="s">
        <v>179</v>
      </c>
      <c r="X256" s="14">
        <f>ROUND((IF(Q256=1,INDEX(新属性投放!$L$14:$L$34,卡牌属性!R256),INDEX(新属性投放!$L$42:$L$62,卡牌属性!R256))*INDEX($G$5:$G$42,L256)+IF(Q256=1,INDEX(新属性投放!T$20:T$23,卡牌属性!M256-1),INDEX(新属性投放!T$25:T$28,卡牌属性!M256-1)))*SQRT(INDEX($I$5:$I$42,L256)),2)</f>
        <v>500</v>
      </c>
      <c r="Y256" s="29" t="s">
        <v>177</v>
      </c>
      <c r="Z256" s="14">
        <f>ROUND(IF(Q256=1,INDEX(新属性投放!$D$14:$D$34,卡牌属性!R256),INDEX(新属性投放!$D$42:$D$62,卡牌属性!R256))*INDEX($G$5:$G$42,L256)/SQRT(INDEX($I$5:$I$42,L256)),2)</f>
        <v>10</v>
      </c>
      <c r="AA256" s="29" t="s">
        <v>178</v>
      </c>
      <c r="AB256" s="14">
        <f>ROUND(IF(Q256=1,INDEX(新属性投放!$E$14:$E$34,卡牌属性!R256),INDEX(新属性投放!$E$42:$E$62,卡牌属性!R256))*INDEX($G$5:$G$42,L256),2)</f>
        <v>5</v>
      </c>
      <c r="AC256" s="29" t="s">
        <v>179</v>
      </c>
      <c r="AD256" s="14">
        <f>ROUND(IF(Q256=1,INDEX(新属性投放!$F$14:$F$34,卡牌属性!R256),INDEX(新属性投放!$F$42:$F$62,卡牌属性!R256))*INDEX($G$5:$G$42,L256)*SQRT(INDEX($I$5:$I$42,L256)),2)</f>
        <v>30</v>
      </c>
      <c r="AF256" s="14">
        <f t="shared" si="63"/>
        <v>100</v>
      </c>
      <c r="AG256" s="14">
        <f t="shared" si="64"/>
        <v>50</v>
      </c>
      <c r="AH256" s="14">
        <f t="shared" si="65"/>
        <v>300</v>
      </c>
      <c r="AJ256" s="14">
        <f>AF256</f>
        <v>100</v>
      </c>
      <c r="AK256" s="14">
        <f>AG256</f>
        <v>50</v>
      </c>
      <c r="AL256" s="14">
        <f>AH256</f>
        <v>300</v>
      </c>
    </row>
    <row r="257" spans="11:38" ht="16.5" x14ac:dyDescent="0.2">
      <c r="K257" s="13">
        <v>254</v>
      </c>
      <c r="L257" s="13">
        <f t="shared" si="57"/>
        <v>13</v>
      </c>
      <c r="M257" s="13">
        <f t="shared" si="58"/>
        <v>2</v>
      </c>
      <c r="N257" s="14">
        <f t="shared" si="59"/>
        <v>1101013</v>
      </c>
      <c r="O257" s="14" t="str">
        <f t="shared" si="60"/>
        <v>吉拉2突</v>
      </c>
      <c r="P257" s="29" t="s">
        <v>341</v>
      </c>
      <c r="Q257" s="14">
        <f t="shared" si="61"/>
        <v>1</v>
      </c>
      <c r="R257" s="14">
        <f t="shared" si="62"/>
        <v>2</v>
      </c>
      <c r="S257" s="14" t="s">
        <v>39</v>
      </c>
      <c r="T257" s="14">
        <f>ROUND(((IF(Q257=1,INDEX(新属性投放!$J$14:$J$34,卡牌属性!R257),INDEX(新属性投放!$J$42:$J$62,卡牌属性!R257)))*INDEX($G$5:$G$42,L257)+IF(Q257=1,INDEX(新属性投放!R$20:R$23,卡牌属性!M257-1),INDEX(新属性投放!R$25:R$28,卡牌属性!M257-1)))/SQRT(INDEX($I$5:$I$42,L257)),2)</f>
        <v>200</v>
      </c>
      <c r="U257" s="29" t="s">
        <v>178</v>
      </c>
      <c r="V257" s="14">
        <f>ROUND((IF(Q257=1,INDEX(新属性投放!$K$14:$K$34,卡牌属性!R257),INDEX(新属性投放!$K$42:$K$62,卡牌属性!R257))+IF(Q257=1,INDEX(新属性投放!S$20:S$23,卡牌属性!M257-1),INDEX(新属性投放!S$25:S$28,卡牌属性!M257-1)))*INDEX($G$5:$G$42,L257),2)</f>
        <v>56</v>
      </c>
      <c r="W257" s="29" t="s">
        <v>179</v>
      </c>
      <c r="X257" s="14">
        <f>ROUND((IF(Q257=1,INDEX(新属性投放!$L$14:$L$34,卡牌属性!R257),INDEX(新属性投放!$L$42:$L$62,卡牌属性!R257))*INDEX($G$5:$G$42,L257)+IF(Q257=1,INDEX(新属性投放!T$20:T$23,卡牌属性!M257-1),INDEX(新属性投放!T$25:T$28,卡牌属性!M257-1)))*SQRT(INDEX($I$5:$I$42,L257)),2)</f>
        <v>800</v>
      </c>
      <c r="Y257" s="29" t="s">
        <v>177</v>
      </c>
      <c r="Z257" s="14">
        <f>ROUND(IF(Q257=1,INDEX(新属性投放!$D$14:$D$34,卡牌属性!R257),INDEX(新属性投放!$D$42:$D$62,卡牌属性!R257))*INDEX($G$5:$G$42,L257)/SQRT(INDEX($I$5:$I$42,L257)),2)</f>
        <v>10</v>
      </c>
      <c r="AA257" s="29" t="s">
        <v>178</v>
      </c>
      <c r="AB257" s="14">
        <f>ROUND(IF(Q257=1,INDEX(新属性投放!$E$14:$E$34,卡牌属性!R257),INDEX(新属性投放!$E$42:$E$62,卡牌属性!R257))*INDEX($G$5:$G$42,L257),2)</f>
        <v>5</v>
      </c>
      <c r="AC257" s="29" t="s">
        <v>179</v>
      </c>
      <c r="AD257" s="14">
        <f>ROUND(IF(Q257=1,INDEX(新属性投放!$F$14:$F$34,卡牌属性!R257),INDEX(新属性投放!$F$42:$F$62,卡牌属性!R257))*INDEX($G$5:$G$42,L257)*SQRT(INDEX($I$5:$I$42,L257)),2)</f>
        <v>30</v>
      </c>
      <c r="AF257" s="14">
        <f t="shared" si="63"/>
        <v>100</v>
      </c>
      <c r="AG257" s="14">
        <f t="shared" si="64"/>
        <v>50</v>
      </c>
      <c r="AH257" s="14">
        <f t="shared" si="65"/>
        <v>300</v>
      </c>
      <c r="AJ257" s="14">
        <f t="shared" ref="AJ257:AJ276" si="72">AJ256+AF257</f>
        <v>200</v>
      </c>
      <c r="AK257" s="14">
        <f t="shared" ref="AK257:AK276" si="73">AK256+AG257</f>
        <v>100</v>
      </c>
      <c r="AL257" s="14">
        <f t="shared" ref="AL257:AL276" si="74">AL256+AH257</f>
        <v>600</v>
      </c>
    </row>
    <row r="258" spans="11:38" ht="16.5" x14ac:dyDescent="0.2">
      <c r="K258" s="13">
        <v>255</v>
      </c>
      <c r="L258" s="13">
        <f t="shared" si="57"/>
        <v>13</v>
      </c>
      <c r="M258" s="13">
        <f t="shared" si="58"/>
        <v>2</v>
      </c>
      <c r="N258" s="14">
        <f t="shared" si="59"/>
        <v>1101013</v>
      </c>
      <c r="O258" s="14" t="str">
        <f t="shared" si="60"/>
        <v>吉拉3突</v>
      </c>
      <c r="P258" s="29" t="s">
        <v>341</v>
      </c>
      <c r="Q258" s="14">
        <f t="shared" si="61"/>
        <v>1</v>
      </c>
      <c r="R258" s="14">
        <f t="shared" si="62"/>
        <v>3</v>
      </c>
      <c r="S258" s="14" t="s">
        <v>39</v>
      </c>
      <c r="T258" s="14">
        <f>ROUND(((IF(Q258=1,INDEX(新属性投放!$J$14:$J$34,卡牌属性!R258),INDEX(新属性投放!$J$42:$J$62,卡牌属性!R258)))*INDEX($G$5:$G$42,L258)+IF(Q258=1,INDEX(新属性投放!R$20:R$23,卡牌属性!M258-1),INDEX(新属性投放!R$25:R$28,卡牌属性!M258-1)))/SQRT(INDEX($I$5:$I$42,L258)),2)</f>
        <v>325</v>
      </c>
      <c r="U258" s="29" t="s">
        <v>178</v>
      </c>
      <c r="V258" s="14">
        <f>ROUND((IF(Q258=1,INDEX(新属性投放!$K$14:$K$34,卡牌属性!R258),INDEX(新属性投放!$K$42:$K$62,卡牌属性!R258))+IF(Q258=1,INDEX(新属性投放!S$20:S$23,卡牌属性!M258-1),INDEX(新属性投放!S$25:S$28,卡牌属性!M258-1)))*INDEX($G$5:$G$42,L258),2)</f>
        <v>119</v>
      </c>
      <c r="W258" s="29" t="s">
        <v>179</v>
      </c>
      <c r="X258" s="14">
        <f>ROUND((IF(Q258=1,INDEX(新属性投放!$L$14:$L$34,卡牌属性!R258),INDEX(新属性投放!$L$42:$L$62,卡牌属性!R258))*INDEX($G$5:$G$42,L258)+IF(Q258=1,INDEX(新属性投放!T$20:T$23,卡牌属性!M258-1),INDEX(新属性投放!T$25:T$28,卡牌属性!M258-1)))*SQRT(INDEX($I$5:$I$42,L258)),2)</f>
        <v>1175</v>
      </c>
      <c r="Y258" s="29" t="s">
        <v>177</v>
      </c>
      <c r="Z258" s="14">
        <f>ROUND(IF(Q258=1,INDEX(新属性投放!$D$14:$D$34,卡牌属性!R258),INDEX(新属性投放!$D$42:$D$62,卡牌属性!R258))*INDEX($G$5:$G$42,L258)/SQRT(INDEX($I$5:$I$42,L258)),2)</f>
        <v>15</v>
      </c>
      <c r="AA258" s="29" t="s">
        <v>178</v>
      </c>
      <c r="AB258" s="14">
        <f>ROUND(IF(Q258=1,INDEX(新属性投放!$E$14:$E$34,卡牌属性!R258),INDEX(新属性投放!$E$42:$E$62,卡牌属性!R258))*INDEX($G$5:$G$42,L258),2)</f>
        <v>7.5</v>
      </c>
      <c r="AC258" s="29" t="s">
        <v>179</v>
      </c>
      <c r="AD258" s="14">
        <f>ROUND(IF(Q258=1,INDEX(新属性投放!$F$14:$F$34,卡牌属性!R258),INDEX(新属性投放!$F$42:$F$62,卡牌属性!R258))*INDEX($G$5:$G$42,L258)*SQRT(INDEX($I$5:$I$42,L258)),2)</f>
        <v>45</v>
      </c>
      <c r="AF258" s="14">
        <f t="shared" si="63"/>
        <v>150</v>
      </c>
      <c r="AG258" s="14">
        <f t="shared" si="64"/>
        <v>75</v>
      </c>
      <c r="AH258" s="14">
        <f t="shared" si="65"/>
        <v>450</v>
      </c>
      <c r="AJ258" s="14">
        <f t="shared" si="72"/>
        <v>350</v>
      </c>
      <c r="AK258" s="14">
        <f t="shared" si="73"/>
        <v>175</v>
      </c>
      <c r="AL258" s="14">
        <f t="shared" si="74"/>
        <v>1050</v>
      </c>
    </row>
    <row r="259" spans="11:38" ht="16.5" x14ac:dyDescent="0.2">
      <c r="K259" s="13">
        <v>256</v>
      </c>
      <c r="L259" s="13">
        <f t="shared" si="57"/>
        <v>13</v>
      </c>
      <c r="M259" s="13">
        <f t="shared" si="58"/>
        <v>2</v>
      </c>
      <c r="N259" s="14">
        <f t="shared" si="59"/>
        <v>1101013</v>
      </c>
      <c r="O259" s="14" t="str">
        <f t="shared" si="60"/>
        <v>吉拉4突</v>
      </c>
      <c r="P259" s="29" t="s">
        <v>341</v>
      </c>
      <c r="Q259" s="14">
        <f t="shared" si="61"/>
        <v>1</v>
      </c>
      <c r="R259" s="14">
        <f t="shared" si="62"/>
        <v>4</v>
      </c>
      <c r="S259" s="14" t="s">
        <v>39</v>
      </c>
      <c r="T259" s="14">
        <f>ROUND(((IF(Q259=1,INDEX(新属性投放!$J$14:$J$34,卡牌属性!R259),INDEX(新属性投放!$J$42:$J$62,卡牌属性!R259)))*INDEX($G$5:$G$42,L259)+IF(Q259=1,INDEX(新属性投放!R$20:R$23,卡牌属性!M259-1),INDEX(新属性投放!R$25:R$28,卡牌属性!M259-1)))/SQRT(INDEX($I$5:$I$42,L259)),2)</f>
        <v>513</v>
      </c>
      <c r="U259" s="29" t="s">
        <v>178</v>
      </c>
      <c r="V259" s="14">
        <f>ROUND((IF(Q259=1,INDEX(新属性投放!$K$14:$K$34,卡牌属性!R259),INDEX(新属性投放!$K$42:$K$62,卡牌属性!R259))+IF(Q259=1,INDEX(新属性投放!S$20:S$23,卡牌属性!M259-1),INDEX(新属性投放!S$25:S$28,卡牌属性!M259-1)))*INDEX($G$5:$G$42,L259),2)</f>
        <v>213</v>
      </c>
      <c r="W259" s="29" t="s">
        <v>179</v>
      </c>
      <c r="X259" s="14">
        <f>ROUND((IF(Q259=1,INDEX(新属性投放!$L$14:$L$34,卡牌属性!R259),INDEX(新属性投放!$L$42:$L$62,卡牌属性!R259))*INDEX($G$5:$G$42,L259)+IF(Q259=1,INDEX(新属性投放!T$20:T$23,卡牌属性!M259-1),INDEX(新属性投放!T$25:T$28,卡牌属性!M259-1)))*SQRT(INDEX($I$5:$I$42,L259)),2)</f>
        <v>1739</v>
      </c>
      <c r="Y259" s="29" t="s">
        <v>177</v>
      </c>
      <c r="Z259" s="14">
        <f>ROUND(IF(Q259=1,INDEX(新属性投放!$D$14:$D$34,卡牌属性!R259),INDEX(新属性投放!$D$42:$D$62,卡牌属性!R259))*INDEX($G$5:$G$42,L259)/SQRT(INDEX($I$5:$I$42,L259)),2)</f>
        <v>20</v>
      </c>
      <c r="AA259" s="29" t="s">
        <v>178</v>
      </c>
      <c r="AB259" s="14">
        <f>ROUND(IF(Q259=1,INDEX(新属性投放!$E$14:$E$34,卡牌属性!R259),INDEX(新属性投放!$E$42:$E$62,卡牌属性!R259))*INDEX($G$5:$G$42,L259),2)</f>
        <v>10</v>
      </c>
      <c r="AC259" s="29" t="s">
        <v>179</v>
      </c>
      <c r="AD259" s="14">
        <f>ROUND(IF(Q259=1,INDEX(新属性投放!$F$14:$F$34,卡牌属性!R259),INDEX(新属性投放!$F$42:$F$62,卡牌属性!R259))*INDEX($G$5:$G$42,L259)*SQRT(INDEX($I$5:$I$42,L259)),2)</f>
        <v>60</v>
      </c>
      <c r="AF259" s="14">
        <f t="shared" si="63"/>
        <v>200</v>
      </c>
      <c r="AG259" s="14">
        <f t="shared" si="64"/>
        <v>100</v>
      </c>
      <c r="AH259" s="14">
        <f t="shared" si="65"/>
        <v>600</v>
      </c>
      <c r="AJ259" s="14">
        <f t="shared" si="72"/>
        <v>550</v>
      </c>
      <c r="AK259" s="14">
        <f t="shared" si="73"/>
        <v>275</v>
      </c>
      <c r="AL259" s="14">
        <f t="shared" si="74"/>
        <v>1650</v>
      </c>
    </row>
    <row r="260" spans="11:38" ht="16.5" x14ac:dyDescent="0.2">
      <c r="K260" s="13">
        <v>257</v>
      </c>
      <c r="L260" s="13">
        <f t="shared" si="57"/>
        <v>13</v>
      </c>
      <c r="M260" s="13">
        <f t="shared" si="58"/>
        <v>2</v>
      </c>
      <c r="N260" s="14">
        <f t="shared" si="59"/>
        <v>1101013</v>
      </c>
      <c r="O260" s="14" t="str">
        <f t="shared" si="60"/>
        <v>吉拉5突</v>
      </c>
      <c r="P260" s="29" t="s">
        <v>341</v>
      </c>
      <c r="Q260" s="14">
        <f t="shared" si="61"/>
        <v>1</v>
      </c>
      <c r="R260" s="14">
        <f t="shared" si="62"/>
        <v>5</v>
      </c>
      <c r="S260" s="14" t="s">
        <v>39</v>
      </c>
      <c r="T260" s="14">
        <f>ROUND(((IF(Q260=1,INDEX(新属性投放!$J$14:$J$34,卡牌属性!R260),INDEX(新属性投放!$J$42:$J$62,卡牌属性!R260)))*INDEX($G$5:$G$42,L260)+IF(Q260=1,INDEX(新属性投放!R$20:R$23,卡牌属性!M260-1),INDEX(新属性投放!R$25:R$28,卡牌属性!M260-1)))/SQRT(INDEX($I$5:$I$42,L260)),2)</f>
        <v>763</v>
      </c>
      <c r="U260" s="29" t="s">
        <v>178</v>
      </c>
      <c r="V260" s="14">
        <f>ROUND((IF(Q260=1,INDEX(新属性投放!$K$14:$K$34,卡牌属性!R260),INDEX(新属性投放!$K$42:$K$62,卡牌属性!R260))+IF(Q260=1,INDEX(新属性投放!S$20:S$23,卡牌属性!M260-1),INDEX(新属性投放!S$25:S$28,卡牌属性!M260-1)))*INDEX($G$5:$G$42,L260),2)</f>
        <v>338</v>
      </c>
      <c r="W260" s="29" t="s">
        <v>179</v>
      </c>
      <c r="X260" s="14">
        <f>ROUND((IF(Q260=1,INDEX(新属性投放!$L$14:$L$34,卡牌属性!R260),INDEX(新属性投放!$L$42:$L$62,卡牌属性!R260))*INDEX($G$5:$G$42,L260)+IF(Q260=1,INDEX(新属性投放!T$20:T$23,卡牌属性!M260-1),INDEX(新属性投放!T$25:T$28,卡牌属性!M260-1)))*SQRT(INDEX($I$5:$I$42,L260)),2)</f>
        <v>2489</v>
      </c>
      <c r="Y260" s="29" t="s">
        <v>177</v>
      </c>
      <c r="Z260" s="14">
        <f>ROUND(IF(Q260=1,INDEX(新属性投放!$D$14:$D$34,卡牌属性!R260),INDEX(新属性投放!$D$42:$D$62,卡牌属性!R260))*INDEX($G$5:$G$42,L260)/SQRT(INDEX($I$5:$I$42,L260)),2)</f>
        <v>25</v>
      </c>
      <c r="AA260" s="29" t="s">
        <v>178</v>
      </c>
      <c r="AB260" s="14">
        <f>ROUND(IF(Q260=1,INDEX(新属性投放!$E$14:$E$34,卡牌属性!R260),INDEX(新属性投放!$E$42:$E$62,卡牌属性!R260))*INDEX($G$5:$G$42,L260),2)</f>
        <v>12.5</v>
      </c>
      <c r="AC260" s="29" t="s">
        <v>179</v>
      </c>
      <c r="AD260" s="14">
        <f>ROUND(IF(Q260=1,INDEX(新属性投放!$F$14:$F$34,卡牌属性!R260),INDEX(新属性投放!$F$42:$F$62,卡牌属性!R260))*INDEX($G$5:$G$42,L260)*SQRT(INDEX($I$5:$I$42,L260)),2)</f>
        <v>75</v>
      </c>
      <c r="AF260" s="14">
        <f t="shared" si="63"/>
        <v>250</v>
      </c>
      <c r="AG260" s="14">
        <f t="shared" si="64"/>
        <v>125</v>
      </c>
      <c r="AH260" s="14">
        <f t="shared" si="65"/>
        <v>750</v>
      </c>
      <c r="AJ260" s="14">
        <f t="shared" si="72"/>
        <v>800</v>
      </c>
      <c r="AK260" s="14">
        <f t="shared" si="73"/>
        <v>400</v>
      </c>
      <c r="AL260" s="14">
        <f t="shared" si="74"/>
        <v>2400</v>
      </c>
    </row>
    <row r="261" spans="11:38" ht="16.5" x14ac:dyDescent="0.2">
      <c r="K261" s="13">
        <v>258</v>
      </c>
      <c r="L261" s="13">
        <f t="shared" ref="L261:L324" si="75">MATCH(K261-1,$F$4:$F$41,1)</f>
        <v>13</v>
      </c>
      <c r="M261" s="13">
        <f t="shared" ref="M261:M324" si="76">INDEX($D$5:$D$42,L261)</f>
        <v>2</v>
      </c>
      <c r="N261" s="14">
        <f t="shared" ref="N261:N324" si="77">INDEX($A$4:$A$42,L261+1)</f>
        <v>1101013</v>
      </c>
      <c r="O261" s="14" t="str">
        <f t="shared" ref="O261:O324" si="78">INDEX($B$4:$B$42,MATCH(N261,$A$4:$A$42,0))&amp;R261&amp;"突"</f>
        <v>吉拉6突</v>
      </c>
      <c r="P261" s="29" t="s">
        <v>341</v>
      </c>
      <c r="Q261" s="14">
        <f t="shared" ref="Q261:Q324" si="79">INDEX($C$4:$C$42,L261+1)</f>
        <v>1</v>
      </c>
      <c r="R261" s="14">
        <f t="shared" ref="R261:R324" si="80">K261-INDEX($F$4:$F$42,L261)</f>
        <v>6</v>
      </c>
      <c r="S261" s="14" t="s">
        <v>39</v>
      </c>
      <c r="T261" s="14">
        <f>ROUND(((IF(Q261=1,INDEX(新属性投放!$J$14:$J$34,卡牌属性!R261),INDEX(新属性投放!$J$42:$J$62,卡牌属性!R261)))*INDEX($G$5:$G$42,L261)+IF(Q261=1,INDEX(新属性投放!R$20:R$23,卡牌属性!M261-1),INDEX(新属性投放!R$25:R$28,卡牌属性!M261-1)))/SQRT(INDEX($I$5:$I$42,L261)),2)</f>
        <v>1076</v>
      </c>
      <c r="U261" s="29" t="s">
        <v>178</v>
      </c>
      <c r="V261" s="14">
        <f>ROUND((IF(Q261=1,INDEX(新属性投放!$K$14:$K$34,卡牌属性!R261),INDEX(新属性投放!$K$42:$K$62,卡牌属性!R261))+IF(Q261=1,INDEX(新属性投放!S$20:S$23,卡牌属性!M261-1),INDEX(新属性投放!S$25:S$28,卡牌属性!M261-1)))*INDEX($G$5:$G$42,L261),2)</f>
        <v>494</v>
      </c>
      <c r="W261" s="29" t="s">
        <v>179</v>
      </c>
      <c r="X261" s="14">
        <f>ROUND((IF(Q261=1,INDEX(新属性投放!$L$14:$L$34,卡牌属性!R261),INDEX(新属性投放!$L$42:$L$62,卡牌属性!R261))*INDEX($G$5:$G$42,L261)+IF(Q261=1,INDEX(新属性投放!T$20:T$23,卡牌属性!M261-1),INDEX(新属性投放!T$25:T$28,卡牌属性!M261-1)))*SQRT(INDEX($I$5:$I$42,L261)),2)</f>
        <v>3428</v>
      </c>
      <c r="Y261" s="29" t="s">
        <v>177</v>
      </c>
      <c r="Z261" s="14">
        <f>ROUND(IF(Q261=1,INDEX(新属性投放!$D$14:$D$34,卡牌属性!R261),INDEX(新属性投放!$D$42:$D$62,卡牌属性!R261))*INDEX($G$5:$G$42,L261)/SQRT(INDEX($I$5:$I$42,L261)),2)</f>
        <v>30</v>
      </c>
      <c r="AA261" s="29" t="s">
        <v>178</v>
      </c>
      <c r="AB261" s="14">
        <f>ROUND(IF(Q261=1,INDEX(新属性投放!$E$14:$E$34,卡牌属性!R261),INDEX(新属性投放!$E$42:$E$62,卡牌属性!R261))*INDEX($G$5:$G$42,L261),2)</f>
        <v>15</v>
      </c>
      <c r="AC261" s="29" t="s">
        <v>179</v>
      </c>
      <c r="AD261" s="14">
        <f>ROUND(IF(Q261=1,INDEX(新属性投放!$F$14:$F$34,卡牌属性!R261),INDEX(新属性投放!$F$42:$F$62,卡牌属性!R261))*INDEX($G$5:$G$42,L261)*SQRT(INDEX($I$5:$I$42,L261)),2)</f>
        <v>90</v>
      </c>
      <c r="AF261" s="14">
        <f t="shared" ref="AF261:AF324" si="81">INT(Z261*AF$2*10)</f>
        <v>300</v>
      </c>
      <c r="AG261" s="14">
        <f t="shared" ref="AG261:AG324" si="82">INT(AB261*AF$2*10)</f>
        <v>150</v>
      </c>
      <c r="AH261" s="14">
        <f t="shared" ref="AH261:AH324" si="83">INT(AD261*AF$2*10)</f>
        <v>900</v>
      </c>
      <c r="AJ261" s="14">
        <f t="shared" si="72"/>
        <v>1100</v>
      </c>
      <c r="AK261" s="14">
        <f t="shared" si="73"/>
        <v>550</v>
      </c>
      <c r="AL261" s="14">
        <f t="shared" si="74"/>
        <v>3300</v>
      </c>
    </row>
    <row r="262" spans="11:38" ht="16.5" x14ac:dyDescent="0.2">
      <c r="K262" s="13">
        <v>259</v>
      </c>
      <c r="L262" s="13">
        <f t="shared" si="75"/>
        <v>13</v>
      </c>
      <c r="M262" s="13">
        <f t="shared" si="76"/>
        <v>2</v>
      </c>
      <c r="N262" s="14">
        <f t="shared" si="77"/>
        <v>1101013</v>
      </c>
      <c r="O262" s="14" t="str">
        <f t="shared" si="78"/>
        <v>吉拉7突</v>
      </c>
      <c r="P262" s="29" t="s">
        <v>341</v>
      </c>
      <c r="Q262" s="14">
        <f t="shared" si="79"/>
        <v>1</v>
      </c>
      <c r="R262" s="14">
        <f t="shared" si="80"/>
        <v>7</v>
      </c>
      <c r="S262" s="14" t="s">
        <v>39</v>
      </c>
      <c r="T262" s="14">
        <f>ROUND(((IF(Q262=1,INDEX(新属性投放!$J$14:$J$34,卡牌属性!R262),INDEX(新属性投放!$J$42:$J$62,卡牌属性!R262)))*INDEX($G$5:$G$42,L262)+IF(Q262=1,INDEX(新属性投放!R$20:R$23,卡牌属性!M262-1),INDEX(新属性投放!R$25:R$28,卡牌属性!M262-1)))/SQRT(INDEX($I$5:$I$42,L262)),2)</f>
        <v>1451</v>
      </c>
      <c r="U262" s="29" t="s">
        <v>178</v>
      </c>
      <c r="V262" s="14">
        <f>ROUND((IF(Q262=1,INDEX(新属性投放!$K$14:$K$34,卡牌属性!R262),INDEX(新属性投放!$K$42:$K$62,卡牌属性!R262))+IF(Q262=1,INDEX(新属性投放!S$20:S$23,卡牌属性!M262-1),INDEX(新属性投放!S$25:S$28,卡牌属性!M262-1)))*INDEX($G$5:$G$42,L262),2)</f>
        <v>682</v>
      </c>
      <c r="W262" s="29" t="s">
        <v>179</v>
      </c>
      <c r="X262" s="14">
        <f>ROUND((IF(Q262=1,INDEX(新属性投放!$L$14:$L$34,卡牌属性!R262),INDEX(新属性投放!$L$42:$L$62,卡牌属性!R262))*INDEX($G$5:$G$42,L262)+IF(Q262=1,INDEX(新属性投放!T$20:T$23,卡牌属性!M262-1),INDEX(新属性投放!T$25:T$28,卡牌属性!M262-1)))*SQRT(INDEX($I$5:$I$42,L262)),2)</f>
        <v>4553</v>
      </c>
      <c r="Y262" s="29" t="s">
        <v>177</v>
      </c>
      <c r="Z262" s="14">
        <f>ROUND(IF(Q262=1,INDEX(新属性投放!$D$14:$D$34,卡牌属性!R262),INDEX(新属性投放!$D$42:$D$62,卡牌属性!R262))*INDEX($G$5:$G$42,L262)/SQRT(INDEX($I$5:$I$42,L262)),2)</f>
        <v>35</v>
      </c>
      <c r="AA262" s="29" t="s">
        <v>178</v>
      </c>
      <c r="AB262" s="14">
        <f>ROUND(IF(Q262=1,INDEX(新属性投放!$E$14:$E$34,卡牌属性!R262),INDEX(新属性投放!$E$42:$E$62,卡牌属性!R262))*INDEX($G$5:$G$42,L262),2)</f>
        <v>17.5</v>
      </c>
      <c r="AC262" s="29" t="s">
        <v>179</v>
      </c>
      <c r="AD262" s="14">
        <f>ROUND(IF(Q262=1,INDEX(新属性投放!$F$14:$F$34,卡牌属性!R262),INDEX(新属性投放!$F$42:$F$62,卡牌属性!R262))*INDEX($G$5:$G$42,L262)*SQRT(INDEX($I$5:$I$42,L262)),2)</f>
        <v>105</v>
      </c>
      <c r="AF262" s="14">
        <f t="shared" si="81"/>
        <v>350</v>
      </c>
      <c r="AG262" s="14">
        <f t="shared" si="82"/>
        <v>175</v>
      </c>
      <c r="AH262" s="14">
        <f t="shared" si="83"/>
        <v>1050</v>
      </c>
      <c r="AJ262" s="14">
        <f t="shared" si="72"/>
        <v>1450</v>
      </c>
      <c r="AK262" s="14">
        <f t="shared" si="73"/>
        <v>725</v>
      </c>
      <c r="AL262" s="14">
        <f t="shared" si="74"/>
        <v>4350</v>
      </c>
    </row>
    <row r="263" spans="11:38" ht="16.5" x14ac:dyDescent="0.2">
      <c r="K263" s="13">
        <v>260</v>
      </c>
      <c r="L263" s="13">
        <f t="shared" si="75"/>
        <v>13</v>
      </c>
      <c r="M263" s="13">
        <f t="shared" si="76"/>
        <v>2</v>
      </c>
      <c r="N263" s="14">
        <f t="shared" si="77"/>
        <v>1101013</v>
      </c>
      <c r="O263" s="14" t="str">
        <f t="shared" si="78"/>
        <v>吉拉8突</v>
      </c>
      <c r="P263" s="29" t="s">
        <v>341</v>
      </c>
      <c r="Q263" s="14">
        <f t="shared" si="79"/>
        <v>1</v>
      </c>
      <c r="R263" s="14">
        <f t="shared" si="80"/>
        <v>8</v>
      </c>
      <c r="S263" s="14" t="s">
        <v>39</v>
      </c>
      <c r="T263" s="14">
        <f>ROUND(((IF(Q263=1,INDEX(新属性投放!$J$14:$J$34,卡牌属性!R263),INDEX(新属性投放!$J$42:$J$62,卡牌属性!R263)))*INDEX($G$5:$G$42,L263)+IF(Q263=1,INDEX(新属性投放!R$20:R$23,卡牌属性!M263-1),INDEX(新属性投放!R$25:R$28,卡牌属性!M263-1)))/SQRT(INDEX($I$5:$I$42,L263)),2)</f>
        <v>1889</v>
      </c>
      <c r="U263" s="29" t="s">
        <v>178</v>
      </c>
      <c r="V263" s="14">
        <f>ROUND((IF(Q263=1,INDEX(新属性投放!$K$14:$K$34,卡牌属性!R263),INDEX(新属性投放!$K$42:$K$62,卡牌属性!R263))+IF(Q263=1,INDEX(新属性投放!S$20:S$23,卡牌属性!M263-1),INDEX(新属性投放!S$25:S$28,卡牌属性!M263-1)))*INDEX($G$5:$G$42,L263),2)</f>
        <v>901</v>
      </c>
      <c r="W263" s="29" t="s">
        <v>179</v>
      </c>
      <c r="X263" s="14">
        <f>ROUND((IF(Q263=1,INDEX(新属性投放!$L$14:$L$34,卡牌属性!R263),INDEX(新属性投放!$L$42:$L$62,卡牌属性!R263))*INDEX($G$5:$G$42,L263)+IF(Q263=1,INDEX(新属性投放!T$20:T$23,卡牌属性!M263-1),INDEX(新属性投放!T$25:T$28,卡牌属性!M263-1)))*SQRT(INDEX($I$5:$I$42,L263)),2)</f>
        <v>5867</v>
      </c>
      <c r="Y263" s="29" t="s">
        <v>177</v>
      </c>
      <c r="Z263" s="14">
        <f>ROUND(IF(Q263=1,INDEX(新属性投放!$D$14:$D$34,卡牌属性!R263),INDEX(新属性投放!$D$42:$D$62,卡牌属性!R263))*INDEX($G$5:$G$42,L263)/SQRT(INDEX($I$5:$I$42,L263)),2)</f>
        <v>45</v>
      </c>
      <c r="AA263" s="29" t="s">
        <v>178</v>
      </c>
      <c r="AB263" s="14">
        <f>ROUND(IF(Q263=1,INDEX(新属性投放!$E$14:$E$34,卡牌属性!R263),INDEX(新属性投放!$E$42:$E$62,卡牌属性!R263))*INDEX($G$5:$G$42,L263),2)</f>
        <v>22.5</v>
      </c>
      <c r="AC263" s="29" t="s">
        <v>179</v>
      </c>
      <c r="AD263" s="14">
        <f>ROUND(IF(Q263=1,INDEX(新属性投放!$F$14:$F$34,卡牌属性!R263),INDEX(新属性投放!$F$42:$F$62,卡牌属性!R263))*INDEX($G$5:$G$42,L263)*SQRT(INDEX($I$5:$I$42,L263)),2)</f>
        <v>135</v>
      </c>
      <c r="AF263" s="14">
        <f t="shared" si="81"/>
        <v>450</v>
      </c>
      <c r="AG263" s="14">
        <f t="shared" si="82"/>
        <v>225</v>
      </c>
      <c r="AH263" s="14">
        <f t="shared" si="83"/>
        <v>1350</v>
      </c>
      <c r="AJ263" s="14">
        <f t="shared" si="72"/>
        <v>1900</v>
      </c>
      <c r="AK263" s="14">
        <f t="shared" si="73"/>
        <v>950</v>
      </c>
      <c r="AL263" s="14">
        <f t="shared" si="74"/>
        <v>5700</v>
      </c>
    </row>
    <row r="264" spans="11:38" ht="16.5" x14ac:dyDescent="0.2">
      <c r="K264" s="13">
        <v>261</v>
      </c>
      <c r="L264" s="13">
        <f t="shared" si="75"/>
        <v>13</v>
      </c>
      <c r="M264" s="13">
        <f t="shared" si="76"/>
        <v>2</v>
      </c>
      <c r="N264" s="14">
        <f t="shared" si="77"/>
        <v>1101013</v>
      </c>
      <c r="O264" s="14" t="str">
        <f t="shared" si="78"/>
        <v>吉拉9突</v>
      </c>
      <c r="P264" s="29" t="s">
        <v>341</v>
      </c>
      <c r="Q264" s="14">
        <f t="shared" si="79"/>
        <v>1</v>
      </c>
      <c r="R264" s="14">
        <f t="shared" si="80"/>
        <v>9</v>
      </c>
      <c r="S264" s="14" t="s">
        <v>39</v>
      </c>
      <c r="T264" s="14">
        <f>ROUND(((IF(Q264=1,INDEX(新属性投放!$J$14:$J$34,卡牌属性!R264),INDEX(新属性投放!$J$42:$J$62,卡牌属性!R264)))*INDEX($G$5:$G$42,L264)+IF(Q264=1,INDEX(新属性投放!R$20:R$23,卡牌属性!M264-1),INDEX(新属性投放!R$25:R$28,卡牌属性!M264-1)))/SQRT(INDEX($I$5:$I$42,L264)),2)</f>
        <v>2452</v>
      </c>
      <c r="U264" s="29" t="s">
        <v>178</v>
      </c>
      <c r="V264" s="14">
        <f>ROUND((IF(Q264=1,INDEX(新属性投放!$K$14:$K$34,卡牌属性!R264),INDEX(新属性投放!$K$42:$K$62,卡牌属性!R264))+IF(Q264=1,INDEX(新属性投放!S$20:S$23,卡牌属性!M264-1),INDEX(新属性投放!S$25:S$28,卡牌属性!M264-1)))*INDEX($G$5:$G$42,L264),2)</f>
        <v>1182</v>
      </c>
      <c r="W264" s="29" t="s">
        <v>179</v>
      </c>
      <c r="X264" s="14">
        <f>ROUND((IF(Q264=1,INDEX(新属性投放!$L$14:$L$34,卡牌属性!R264),INDEX(新属性投放!$L$42:$L$62,卡牌属性!R264))*INDEX($G$5:$G$42,L264)+IF(Q264=1,INDEX(新属性投放!T$20:T$23,卡牌属性!M264-1),INDEX(新属性投放!T$25:T$28,卡牌属性!M264-1)))*SQRT(INDEX($I$5:$I$42,L264)),2)</f>
        <v>7556</v>
      </c>
      <c r="Y264" s="29" t="s">
        <v>177</v>
      </c>
      <c r="Z264" s="14">
        <f>ROUND(IF(Q264=1,INDEX(新属性投放!$D$14:$D$34,卡牌属性!R264),INDEX(新属性投放!$D$42:$D$62,卡牌属性!R264))*INDEX($G$5:$G$42,L264)/SQRT(INDEX($I$5:$I$42,L264)),2)</f>
        <v>60.05</v>
      </c>
      <c r="AA264" s="29" t="s">
        <v>178</v>
      </c>
      <c r="AB264" s="14">
        <f>ROUND(IF(Q264=1,INDEX(新属性投放!$E$14:$E$34,卡牌属性!R264),INDEX(新属性投放!$E$42:$E$62,卡牌属性!R264))*INDEX($G$5:$G$42,L264),2)</f>
        <v>30.03</v>
      </c>
      <c r="AC264" s="29" t="s">
        <v>179</v>
      </c>
      <c r="AD264" s="14">
        <f>ROUND(IF(Q264=1,INDEX(新属性投放!$F$14:$F$34,卡牌属性!R264),INDEX(新属性投放!$F$42:$F$62,卡牌属性!R264))*INDEX($G$5:$G$42,L264)*SQRT(INDEX($I$5:$I$42,L264)),2)</f>
        <v>180.15</v>
      </c>
      <c r="AF264" s="14">
        <f t="shared" si="81"/>
        <v>600</v>
      </c>
      <c r="AG264" s="14">
        <f t="shared" si="82"/>
        <v>300</v>
      </c>
      <c r="AH264" s="14">
        <f t="shared" si="83"/>
        <v>1801</v>
      </c>
      <c r="AJ264" s="14">
        <f t="shared" si="72"/>
        <v>2500</v>
      </c>
      <c r="AK264" s="14">
        <f t="shared" si="73"/>
        <v>1250</v>
      </c>
      <c r="AL264" s="14">
        <f t="shared" si="74"/>
        <v>7501</v>
      </c>
    </row>
    <row r="265" spans="11:38" ht="16.5" x14ac:dyDescent="0.2">
      <c r="K265" s="13">
        <v>262</v>
      </c>
      <c r="L265" s="13">
        <f t="shared" si="75"/>
        <v>13</v>
      </c>
      <c r="M265" s="13">
        <f t="shared" si="76"/>
        <v>2</v>
      </c>
      <c r="N265" s="14">
        <f t="shared" si="77"/>
        <v>1101013</v>
      </c>
      <c r="O265" s="14" t="str">
        <f t="shared" si="78"/>
        <v>吉拉10突</v>
      </c>
      <c r="P265" s="29" t="s">
        <v>341</v>
      </c>
      <c r="Q265" s="14">
        <f t="shared" si="79"/>
        <v>1</v>
      </c>
      <c r="R265" s="14">
        <f t="shared" si="80"/>
        <v>10</v>
      </c>
      <c r="S265" s="14" t="s">
        <v>39</v>
      </c>
      <c r="T265" s="14">
        <f>ROUND(((IF(Q265=1,INDEX(新属性投放!$J$14:$J$34,卡牌属性!R265),INDEX(新属性投放!$J$42:$J$62,卡牌属性!R265)))*INDEX($G$5:$G$42,L265)+IF(Q265=1,INDEX(新属性投放!R$20:R$23,卡牌属性!M265-1),INDEX(新属性投放!R$25:R$28,卡牌属性!M265-1)))/SQRT(INDEX($I$5:$I$42,L265)),2)</f>
        <v>3202.5</v>
      </c>
      <c r="U265" s="29" t="s">
        <v>178</v>
      </c>
      <c r="V265" s="14">
        <f>ROUND((IF(Q265=1,INDEX(新属性投放!$K$14:$K$34,卡牌属性!R265),INDEX(新属性投放!$K$42:$K$62,卡牌属性!R265))+IF(Q265=1,INDEX(新属性投放!S$20:S$23,卡牌属性!M265-1),INDEX(新属性投放!S$25:S$28,卡牌属性!M265-1)))*INDEX($G$5:$G$42,L265),2)</f>
        <v>1557.25</v>
      </c>
      <c r="W265" s="29" t="s">
        <v>179</v>
      </c>
      <c r="X265" s="14">
        <f>ROUND((IF(Q265=1,INDEX(新属性投放!$L$14:$L$34,卡牌属性!R265),INDEX(新属性投放!$L$42:$L$62,卡牌属性!R265))*INDEX($G$5:$G$42,L265)+IF(Q265=1,INDEX(新属性投放!T$20:T$23,卡牌属性!M265-1),INDEX(新属性投放!T$25:T$28,卡牌属性!M265-1)))*SQRT(INDEX($I$5:$I$42,L265)),2)</f>
        <v>9807.5</v>
      </c>
      <c r="Y265" s="29" t="s">
        <v>177</v>
      </c>
      <c r="Z265" s="14">
        <f>ROUND(IF(Q265=1,INDEX(新属性投放!$D$14:$D$34,卡牌属性!R265),INDEX(新属性投放!$D$42:$D$62,卡牌属性!R265))*INDEX($G$5:$G$42,L265)/SQRT(INDEX($I$5:$I$42,L265)),2)</f>
        <v>78.5</v>
      </c>
      <c r="AA265" s="29" t="s">
        <v>178</v>
      </c>
      <c r="AB265" s="14">
        <f>ROUND(IF(Q265=1,INDEX(新属性投放!$E$14:$E$34,卡牌属性!R265),INDEX(新属性投放!$E$42:$E$62,卡牌属性!R265))*INDEX($G$5:$G$42,L265),2)</f>
        <v>39.25</v>
      </c>
      <c r="AC265" s="29" t="s">
        <v>179</v>
      </c>
      <c r="AD265" s="14">
        <f>ROUND(IF(Q265=1,INDEX(新属性投放!$F$14:$F$34,卡牌属性!R265),INDEX(新属性投放!$F$42:$F$62,卡牌属性!R265))*INDEX($G$5:$G$42,L265)*SQRT(INDEX($I$5:$I$42,L265)),2)</f>
        <v>235.5</v>
      </c>
      <c r="AF265" s="14">
        <f t="shared" si="81"/>
        <v>785</v>
      </c>
      <c r="AG265" s="14">
        <f t="shared" si="82"/>
        <v>392</v>
      </c>
      <c r="AH265" s="14">
        <f t="shared" si="83"/>
        <v>2355</v>
      </c>
      <c r="AJ265" s="14">
        <f t="shared" si="72"/>
        <v>3285</v>
      </c>
      <c r="AK265" s="14">
        <f t="shared" si="73"/>
        <v>1642</v>
      </c>
      <c r="AL265" s="14">
        <f t="shared" si="74"/>
        <v>9856</v>
      </c>
    </row>
    <row r="266" spans="11:38" ht="16.5" x14ac:dyDescent="0.2">
      <c r="K266" s="13">
        <v>263</v>
      </c>
      <c r="L266" s="13">
        <f t="shared" si="75"/>
        <v>13</v>
      </c>
      <c r="M266" s="13">
        <f t="shared" si="76"/>
        <v>2</v>
      </c>
      <c r="N266" s="14">
        <f t="shared" si="77"/>
        <v>1101013</v>
      </c>
      <c r="O266" s="14" t="str">
        <f t="shared" si="78"/>
        <v>吉拉11突</v>
      </c>
      <c r="P266" s="29" t="s">
        <v>341</v>
      </c>
      <c r="Q266" s="14">
        <f t="shared" si="79"/>
        <v>1</v>
      </c>
      <c r="R266" s="14">
        <f t="shared" si="80"/>
        <v>11</v>
      </c>
      <c r="S266" s="14" t="s">
        <v>39</v>
      </c>
      <c r="T266" s="14">
        <f>ROUND(((IF(Q266=1,INDEX(新属性投放!$J$14:$J$34,卡牌属性!R266),INDEX(新属性投放!$J$42:$J$62,卡牌属性!R266)))*INDEX($G$5:$G$42,L266)+IF(Q266=1,INDEX(新属性投放!R$20:R$23,卡牌属性!M266-1),INDEX(新属性投放!R$25:R$28,卡牌属性!M266-1)))/SQRT(INDEX($I$5:$I$42,L266)),2)</f>
        <v>4183.5</v>
      </c>
      <c r="U266" s="29" t="s">
        <v>178</v>
      </c>
      <c r="V266" s="14">
        <f>ROUND((IF(Q266=1,INDEX(新属性投放!$K$14:$K$34,卡牌属性!R266),INDEX(新属性投放!$K$42:$K$62,卡牌属性!R266))+IF(Q266=1,INDEX(新属性投放!S$20:S$23,卡牌属性!M266-1),INDEX(新属性投放!S$25:S$28,卡牌属性!M266-1)))*INDEX($G$5:$G$42,L266),2)</f>
        <v>2047.75</v>
      </c>
      <c r="W266" s="29" t="s">
        <v>179</v>
      </c>
      <c r="X266" s="14">
        <f>ROUND((IF(Q266=1,INDEX(新属性投放!$L$14:$L$34,卡牌属性!R266),INDEX(新属性投放!$L$42:$L$62,卡牌属性!R266))*INDEX($G$5:$G$42,L266)+IF(Q266=1,INDEX(新属性投放!T$20:T$23,卡牌属性!M266-1),INDEX(新属性投放!T$25:T$28,卡牌属性!M266-1)))*SQRT(INDEX($I$5:$I$42,L266)),2)</f>
        <v>12750.5</v>
      </c>
      <c r="Y266" s="29" t="s">
        <v>177</v>
      </c>
      <c r="Z266" s="14">
        <f>ROUND(IF(Q266=1,INDEX(新属性投放!$D$14:$D$34,卡牌属性!R266),INDEX(新属性投放!$D$42:$D$62,卡牌属性!R266))*INDEX($G$5:$G$42,L266)/SQRT(INDEX($I$5:$I$42,L266)),2)</f>
        <v>103.34</v>
      </c>
      <c r="AA266" s="29" t="s">
        <v>178</v>
      </c>
      <c r="AB266" s="14">
        <f>ROUND(IF(Q266=1,INDEX(新属性投放!$E$14:$E$34,卡牌属性!R266),INDEX(新属性投放!$E$42:$E$62,卡牌属性!R266))*INDEX($G$5:$G$42,L266),2)</f>
        <v>51.67</v>
      </c>
      <c r="AC266" s="29" t="s">
        <v>179</v>
      </c>
      <c r="AD266" s="14">
        <f>ROUND(IF(Q266=1,INDEX(新属性投放!$F$14:$F$34,卡牌属性!R266),INDEX(新属性投放!$F$42:$F$62,卡牌属性!R266))*INDEX($G$5:$G$42,L266)*SQRT(INDEX($I$5:$I$42,L266)),2)</f>
        <v>310.02</v>
      </c>
      <c r="AF266" s="14">
        <f t="shared" si="81"/>
        <v>1033</v>
      </c>
      <c r="AG266" s="14">
        <f t="shared" si="82"/>
        <v>516</v>
      </c>
      <c r="AH266" s="14">
        <f t="shared" si="83"/>
        <v>3100</v>
      </c>
      <c r="AJ266" s="14">
        <f t="shared" si="72"/>
        <v>4318</v>
      </c>
      <c r="AK266" s="14">
        <f t="shared" si="73"/>
        <v>2158</v>
      </c>
      <c r="AL266" s="14">
        <f t="shared" si="74"/>
        <v>12956</v>
      </c>
    </row>
    <row r="267" spans="11:38" ht="16.5" x14ac:dyDescent="0.2">
      <c r="K267" s="13">
        <v>264</v>
      </c>
      <c r="L267" s="13">
        <f t="shared" si="75"/>
        <v>13</v>
      </c>
      <c r="M267" s="13">
        <f t="shared" si="76"/>
        <v>2</v>
      </c>
      <c r="N267" s="14">
        <f t="shared" si="77"/>
        <v>1101013</v>
      </c>
      <c r="O267" s="14" t="str">
        <f t="shared" si="78"/>
        <v>吉拉12突</v>
      </c>
      <c r="P267" s="29" t="s">
        <v>341</v>
      </c>
      <c r="Q267" s="14">
        <f t="shared" si="79"/>
        <v>1</v>
      </c>
      <c r="R267" s="14">
        <f t="shared" si="80"/>
        <v>12</v>
      </c>
      <c r="S267" s="14" t="s">
        <v>39</v>
      </c>
      <c r="T267" s="14">
        <f>ROUND(((IF(Q267=1,INDEX(新属性投放!$J$14:$J$34,卡牌属性!R267),INDEX(新属性投放!$J$42:$J$62,卡牌属性!R267)))*INDEX($G$5:$G$42,L267)+IF(Q267=1,INDEX(新属性投放!R$20:R$23,卡牌属性!M267-1),INDEX(新属性投放!R$25:R$28,卡牌属性!M267-1)))/SQRT(INDEX($I$5:$I$42,L267)),2)</f>
        <v>5474.9</v>
      </c>
      <c r="U267" s="29" t="s">
        <v>178</v>
      </c>
      <c r="V267" s="14">
        <f>ROUND((IF(Q267=1,INDEX(新属性投放!$K$14:$K$34,卡牌属性!R267),INDEX(新属性投放!$K$42:$K$62,卡牌属性!R267))+IF(Q267=1,INDEX(新属性投放!S$20:S$23,卡牌属性!M267-1),INDEX(新属性投放!S$25:S$28,卡牌属性!M267-1)))*INDEX($G$5:$G$42,L267),2)</f>
        <v>2693.45</v>
      </c>
      <c r="W267" s="29" t="s">
        <v>179</v>
      </c>
      <c r="X267" s="14">
        <f>ROUND((IF(Q267=1,INDEX(新属性投放!$L$14:$L$34,卡牌属性!R267),INDEX(新属性投放!$L$42:$L$62,卡牌属性!R267))*INDEX($G$5:$G$42,L267)+IF(Q267=1,INDEX(新属性投放!T$20:T$23,卡牌属性!M267-1),INDEX(新属性投放!T$25:T$28,卡牌属性!M267-1)))*SQRT(INDEX($I$5:$I$42,L267)),2)</f>
        <v>16624.7</v>
      </c>
      <c r="Y267" s="29" t="s">
        <v>177</v>
      </c>
      <c r="Z267" s="14">
        <f>ROUND(IF(Q267=1,INDEX(新属性投放!$D$14:$D$34,卡牌属性!R267),INDEX(新属性投放!$D$42:$D$62,卡牌属性!R267))*INDEX($G$5:$G$42,L267)/SQRT(INDEX($I$5:$I$42,L267)),2)</f>
        <v>135.62</v>
      </c>
      <c r="AA267" s="29" t="s">
        <v>178</v>
      </c>
      <c r="AB267" s="14">
        <f>ROUND(IF(Q267=1,INDEX(新属性投放!$E$14:$E$34,卡牌属性!R267),INDEX(新属性投放!$E$42:$E$62,卡牌属性!R267))*INDEX($G$5:$G$42,L267),2)</f>
        <v>67.81</v>
      </c>
      <c r="AC267" s="29" t="s">
        <v>179</v>
      </c>
      <c r="AD267" s="14">
        <f>ROUND(IF(Q267=1,INDEX(新属性投放!$F$14:$F$34,卡牌属性!R267),INDEX(新属性投放!$F$42:$F$62,卡牌属性!R267))*INDEX($G$5:$G$42,L267)*SQRT(INDEX($I$5:$I$42,L267)),2)</f>
        <v>406.86</v>
      </c>
      <c r="AF267" s="14">
        <f t="shared" si="81"/>
        <v>1356</v>
      </c>
      <c r="AG267" s="14">
        <f t="shared" si="82"/>
        <v>678</v>
      </c>
      <c r="AH267" s="14">
        <f t="shared" si="83"/>
        <v>4068</v>
      </c>
      <c r="AJ267" s="14">
        <f t="shared" si="72"/>
        <v>5674</v>
      </c>
      <c r="AK267" s="14">
        <f t="shared" si="73"/>
        <v>2836</v>
      </c>
      <c r="AL267" s="14">
        <f t="shared" si="74"/>
        <v>17024</v>
      </c>
    </row>
    <row r="268" spans="11:38" ht="16.5" x14ac:dyDescent="0.2">
      <c r="K268" s="13">
        <v>265</v>
      </c>
      <c r="L268" s="13">
        <f t="shared" si="75"/>
        <v>13</v>
      </c>
      <c r="M268" s="13">
        <f t="shared" si="76"/>
        <v>2</v>
      </c>
      <c r="N268" s="14">
        <f t="shared" si="77"/>
        <v>1101013</v>
      </c>
      <c r="O268" s="14" t="str">
        <f t="shared" si="78"/>
        <v>吉拉13突</v>
      </c>
      <c r="P268" s="29" t="s">
        <v>341</v>
      </c>
      <c r="Q268" s="14">
        <f t="shared" si="79"/>
        <v>1</v>
      </c>
      <c r="R268" s="14">
        <f t="shared" si="80"/>
        <v>13</v>
      </c>
      <c r="S268" s="14" t="s">
        <v>39</v>
      </c>
      <c r="T268" s="14">
        <f>ROUND(((IF(Q268=1,INDEX(新属性投放!$J$14:$J$34,卡牌属性!R268),INDEX(新属性投放!$J$42:$J$62,卡牌属性!R268)))*INDEX($G$5:$G$42,L268)+IF(Q268=1,INDEX(新属性投放!R$20:R$23,卡牌属性!M268-1),INDEX(新属性投放!R$25:R$28,卡牌属性!M268-1)))/SQRT(INDEX($I$5:$I$42,L268)),2)</f>
        <v>7170.1</v>
      </c>
      <c r="U268" s="29" t="s">
        <v>178</v>
      </c>
      <c r="V268" s="14">
        <f>ROUND((IF(Q268=1,INDEX(新属性投放!$K$14:$K$34,卡牌属性!R268),INDEX(新属性投放!$K$42:$K$62,卡牌属性!R268))+IF(Q268=1,INDEX(新属性投放!S$20:S$23,卡牌属性!M268-1),INDEX(新属性投放!S$25:S$28,卡牌属性!M268-1)))*INDEX($G$5:$G$42,L268),2)</f>
        <v>3541.55</v>
      </c>
      <c r="W268" s="29" t="s">
        <v>179</v>
      </c>
      <c r="X268" s="14">
        <f>ROUND((IF(Q268=1,INDEX(新属性投放!$L$14:$L$34,卡牌属性!R268),INDEX(新属性投放!$L$42:$L$62,卡牌属性!R268))*INDEX($G$5:$G$42,L268)+IF(Q268=1,INDEX(新属性投放!T$20:T$23,卡牌属性!M268-1),INDEX(新属性投放!T$25:T$28,卡牌属性!M268-1)))*SQRT(INDEX($I$5:$I$42,L268)),2)</f>
        <v>21710.3</v>
      </c>
      <c r="Y268" s="29" t="s">
        <v>177</v>
      </c>
      <c r="Z268" s="14">
        <f>ROUND(IF(Q268=1,INDEX(新属性投放!$D$14:$D$34,卡牌属性!R268),INDEX(新属性投放!$D$42:$D$62,卡牌属性!R268))*INDEX($G$5:$G$42,L268)/SQRT(INDEX($I$5:$I$42,L268)),2)</f>
        <v>178</v>
      </c>
      <c r="AA268" s="29" t="s">
        <v>178</v>
      </c>
      <c r="AB268" s="14">
        <f>ROUND(IF(Q268=1,INDEX(新属性投放!$E$14:$E$34,卡牌属性!R268),INDEX(新属性投放!$E$42:$E$62,卡牌属性!R268))*INDEX($G$5:$G$42,L268),2)</f>
        <v>89</v>
      </c>
      <c r="AC268" s="29" t="s">
        <v>179</v>
      </c>
      <c r="AD268" s="14">
        <f>ROUND(IF(Q268=1,INDEX(新属性投放!$F$14:$F$34,卡牌属性!R268),INDEX(新属性投放!$F$42:$F$62,卡牌属性!R268))*INDEX($G$5:$G$42,L268)*SQRT(INDEX($I$5:$I$42,L268)),2)</f>
        <v>534</v>
      </c>
      <c r="AF268" s="14">
        <f t="shared" si="81"/>
        <v>1780</v>
      </c>
      <c r="AG268" s="14">
        <f t="shared" si="82"/>
        <v>890</v>
      </c>
      <c r="AH268" s="14">
        <f t="shared" si="83"/>
        <v>5340</v>
      </c>
      <c r="AJ268" s="14">
        <f t="shared" si="72"/>
        <v>7454</v>
      </c>
      <c r="AK268" s="14">
        <f t="shared" si="73"/>
        <v>3726</v>
      </c>
      <c r="AL268" s="14">
        <f t="shared" si="74"/>
        <v>22364</v>
      </c>
    </row>
    <row r="269" spans="11:38" ht="16.5" x14ac:dyDescent="0.2">
      <c r="K269" s="13">
        <v>266</v>
      </c>
      <c r="L269" s="13">
        <f t="shared" si="75"/>
        <v>13</v>
      </c>
      <c r="M269" s="13">
        <f t="shared" si="76"/>
        <v>2</v>
      </c>
      <c r="N269" s="14">
        <f t="shared" si="77"/>
        <v>1101013</v>
      </c>
      <c r="O269" s="14" t="str">
        <f t="shared" si="78"/>
        <v>吉拉14突</v>
      </c>
      <c r="P269" s="29" t="s">
        <v>341</v>
      </c>
      <c r="Q269" s="14">
        <f t="shared" si="79"/>
        <v>1</v>
      </c>
      <c r="R269" s="14">
        <f t="shared" si="80"/>
        <v>14</v>
      </c>
      <c r="S269" s="14" t="s">
        <v>39</v>
      </c>
      <c r="T269" s="14">
        <f>ROUND(((IF(Q269=1,INDEX(新属性投放!$J$14:$J$34,卡牌属性!R269),INDEX(新属性投放!$J$42:$J$62,卡牌属性!R269)))*INDEX($G$5:$G$42,L269)+IF(Q269=1,INDEX(新属性投放!R$20:R$23,卡牌属性!M269-1),INDEX(新属性投放!R$25:R$28,卡牌属性!M269-1)))/SQRT(INDEX($I$5:$I$42,L269)),2)</f>
        <v>9395.1</v>
      </c>
      <c r="U269" s="29" t="s">
        <v>178</v>
      </c>
      <c r="V269" s="14">
        <f>ROUND((IF(Q269=1,INDEX(新属性投放!$K$14:$K$34,卡牌属性!R269),INDEX(新属性投放!$K$42:$K$62,卡牌属性!R269))+IF(Q269=1,INDEX(新属性投放!S$20:S$23,卡牌属性!M269-1),INDEX(新属性投放!S$25:S$28,卡牌属性!M269-1)))*INDEX($G$5:$G$42,L269),2)</f>
        <v>4654.55</v>
      </c>
      <c r="W269" s="29" t="s">
        <v>179</v>
      </c>
      <c r="X269" s="14">
        <f>ROUND((IF(Q269=1,INDEX(新属性投放!$L$14:$L$34,卡牌属性!R269),INDEX(新属性投放!$L$42:$L$62,卡牌属性!R269))*INDEX($G$5:$G$42,L269)+IF(Q269=1,INDEX(新属性投放!T$20:T$23,卡牌属性!M269-1),INDEX(新属性投放!T$25:T$28,卡牌属性!M269-1)))*SQRT(INDEX($I$5:$I$42,L269)),2)</f>
        <v>28385.3</v>
      </c>
      <c r="Y269" s="29" t="s">
        <v>177</v>
      </c>
      <c r="Z269" s="14">
        <f>ROUND(IF(Q269=1,INDEX(新属性投放!$D$14:$D$34,卡牌属性!R269),INDEX(新属性投放!$D$42:$D$62,卡牌属性!R269))*INDEX($G$5:$G$42,L269)/SQRT(INDEX($I$5:$I$42,L269)),2)</f>
        <v>233.63</v>
      </c>
      <c r="AA269" s="29" t="s">
        <v>178</v>
      </c>
      <c r="AB269" s="14">
        <f>ROUND(IF(Q269=1,INDEX(新属性投放!$E$14:$E$34,卡牌属性!R269),INDEX(新属性投放!$E$42:$E$62,卡牌属性!R269))*INDEX($G$5:$G$42,L269),2)</f>
        <v>116.82</v>
      </c>
      <c r="AC269" s="29" t="s">
        <v>179</v>
      </c>
      <c r="AD269" s="14">
        <f>ROUND(IF(Q269=1,INDEX(新属性投放!$F$14:$F$34,卡牌属性!R269),INDEX(新属性投放!$F$42:$F$62,卡牌属性!R269))*INDEX($G$5:$G$42,L269)*SQRT(INDEX($I$5:$I$42,L269)),2)</f>
        <v>700.89</v>
      </c>
      <c r="AF269" s="14">
        <f t="shared" si="81"/>
        <v>2336</v>
      </c>
      <c r="AG269" s="14">
        <f t="shared" si="82"/>
        <v>1168</v>
      </c>
      <c r="AH269" s="14">
        <f t="shared" si="83"/>
        <v>7008</v>
      </c>
      <c r="AJ269" s="14">
        <f t="shared" si="72"/>
        <v>9790</v>
      </c>
      <c r="AK269" s="14">
        <f t="shared" si="73"/>
        <v>4894</v>
      </c>
      <c r="AL269" s="14">
        <f t="shared" si="74"/>
        <v>29372</v>
      </c>
    </row>
    <row r="270" spans="11:38" ht="16.5" x14ac:dyDescent="0.2">
      <c r="K270" s="13">
        <v>267</v>
      </c>
      <c r="L270" s="13">
        <f t="shared" si="75"/>
        <v>13</v>
      </c>
      <c r="M270" s="13">
        <f t="shared" si="76"/>
        <v>2</v>
      </c>
      <c r="N270" s="14">
        <f t="shared" si="77"/>
        <v>1101013</v>
      </c>
      <c r="O270" s="14" t="str">
        <f t="shared" si="78"/>
        <v>吉拉15突</v>
      </c>
      <c r="P270" s="29" t="s">
        <v>341</v>
      </c>
      <c r="Q270" s="14">
        <f t="shared" si="79"/>
        <v>1</v>
      </c>
      <c r="R270" s="14">
        <f t="shared" si="80"/>
        <v>15</v>
      </c>
      <c r="S270" s="14" t="s">
        <v>39</v>
      </c>
      <c r="T270" s="14">
        <f>ROUND(((IF(Q270=1,INDEX(新属性投放!$J$14:$J$34,卡牌属性!R270),INDEX(新属性投放!$J$42:$J$62,卡牌属性!R270)))*INDEX($G$5:$G$42,L270)+IF(Q270=1,INDEX(新属性投放!R$20:R$23,卡牌属性!M270-1),INDEX(新属性投放!R$25:R$28,卡牌属性!M270-1)))/SQRT(INDEX($I$5:$I$42,L270)),2)</f>
        <v>12315.4</v>
      </c>
      <c r="U270" s="29" t="s">
        <v>178</v>
      </c>
      <c r="V270" s="14">
        <f>ROUND((IF(Q270=1,INDEX(新属性投放!$K$14:$K$34,卡牌属性!R270),INDEX(新属性投放!$K$42:$K$62,卡牌属性!R270))+IF(Q270=1,INDEX(新属性投放!S$20:S$23,卡牌属性!M270-1),INDEX(新属性投放!S$25:S$28,卡牌属性!M270-1)))*INDEX($G$5:$G$42,L270),2)</f>
        <v>6114.7</v>
      </c>
      <c r="W270" s="29" t="s">
        <v>179</v>
      </c>
      <c r="X270" s="14">
        <f>ROUND((IF(Q270=1,INDEX(新属性投放!$L$14:$L$34,卡牌属性!R270),INDEX(新属性投放!$L$42:$L$62,卡牌属性!R270))*INDEX($G$5:$G$42,L270)+IF(Q270=1,INDEX(新属性投放!T$20:T$23,卡牌属性!M270-1),INDEX(新属性投放!T$25:T$28,卡牌属性!M270-1)))*SQRT(INDEX($I$5:$I$42,L270)),2)</f>
        <v>37146.199999999997</v>
      </c>
      <c r="Y270" s="29" t="s">
        <v>177</v>
      </c>
      <c r="Z270" s="14">
        <f>ROUND(IF(Q270=1,INDEX(新属性投放!$D$14:$D$34,卡牌属性!R270),INDEX(新属性投放!$D$42:$D$62,卡牌属性!R270))*INDEX($G$5:$G$42,L270)/SQRT(INDEX($I$5:$I$42,L270)),2)</f>
        <v>306.64</v>
      </c>
      <c r="AA270" s="29" t="s">
        <v>178</v>
      </c>
      <c r="AB270" s="14">
        <f>ROUND(IF(Q270=1,INDEX(新属性投放!$E$14:$E$34,卡牌属性!R270),INDEX(新属性投放!$E$42:$E$62,卡牌属性!R270))*INDEX($G$5:$G$42,L270),2)</f>
        <v>153.32</v>
      </c>
      <c r="AC270" s="29" t="s">
        <v>179</v>
      </c>
      <c r="AD270" s="14">
        <f>ROUND(IF(Q270=1,INDEX(新属性投放!$F$14:$F$34,卡牌属性!R270),INDEX(新属性投放!$F$42:$F$62,卡牌属性!R270))*INDEX($G$5:$G$42,L270)*SQRT(INDEX($I$5:$I$42,L270)),2)</f>
        <v>919.92</v>
      </c>
      <c r="AF270" s="14">
        <f t="shared" si="81"/>
        <v>3066</v>
      </c>
      <c r="AG270" s="14">
        <f t="shared" si="82"/>
        <v>1533</v>
      </c>
      <c r="AH270" s="14">
        <f t="shared" si="83"/>
        <v>9199</v>
      </c>
      <c r="AJ270" s="14">
        <f t="shared" si="72"/>
        <v>12856</v>
      </c>
      <c r="AK270" s="14">
        <f t="shared" si="73"/>
        <v>6427</v>
      </c>
      <c r="AL270" s="14">
        <f t="shared" si="74"/>
        <v>38571</v>
      </c>
    </row>
    <row r="271" spans="11:38" ht="16.5" x14ac:dyDescent="0.2">
      <c r="K271" s="13">
        <v>268</v>
      </c>
      <c r="L271" s="13">
        <f t="shared" si="75"/>
        <v>13</v>
      </c>
      <c r="M271" s="13">
        <f t="shared" si="76"/>
        <v>2</v>
      </c>
      <c r="N271" s="14">
        <f t="shared" si="77"/>
        <v>1101013</v>
      </c>
      <c r="O271" s="14" t="str">
        <f t="shared" si="78"/>
        <v>吉拉16突</v>
      </c>
      <c r="P271" s="29" t="s">
        <v>341</v>
      </c>
      <c r="Q271" s="14">
        <f t="shared" si="79"/>
        <v>1</v>
      </c>
      <c r="R271" s="14">
        <f t="shared" si="80"/>
        <v>16</v>
      </c>
      <c r="S271" s="14" t="s">
        <v>39</v>
      </c>
      <c r="T271" s="14">
        <f>ROUND(((IF(Q271=1,INDEX(新属性投放!$J$14:$J$34,卡牌属性!R271),INDEX(新属性投放!$J$42:$J$62,卡牌属性!R271)))*INDEX($G$5:$G$42,L271)+IF(Q271=1,INDEX(新属性投放!R$20:R$23,卡牌属性!M271-1),INDEX(新属性投放!R$25:R$28,卡牌属性!M271-1)))/SQRT(INDEX($I$5:$I$42,L271)),2)</f>
        <v>16148.8</v>
      </c>
      <c r="U271" s="29" t="s">
        <v>178</v>
      </c>
      <c r="V271" s="14">
        <f>ROUND((IF(Q271=1,INDEX(新属性投放!$K$14:$K$34,卡牌属性!R271),INDEX(新属性投放!$K$42:$K$62,卡牌属性!R271))+IF(Q271=1,INDEX(新属性投放!S$20:S$23,卡牌属性!M271-1),INDEX(新属性投放!S$25:S$28,卡牌属性!M271-1)))*INDEX($G$5:$G$42,L271),2)</f>
        <v>8030.9</v>
      </c>
      <c r="W271" s="29" t="s">
        <v>179</v>
      </c>
      <c r="X271" s="14">
        <f>ROUND((IF(Q271=1,INDEX(新属性投放!$L$14:$L$34,卡牌属性!R271),INDEX(新属性投放!$L$42:$L$62,卡牌属性!R271))*INDEX($G$5:$G$42,L271)+IF(Q271=1,INDEX(新属性投放!T$20:T$23,卡牌属性!M271-1),INDEX(新属性投放!T$25:T$28,卡牌属性!M271-1)))*SQRT(INDEX($I$5:$I$42,L271)),2)</f>
        <v>48646.400000000001</v>
      </c>
      <c r="Y271" s="29" t="s">
        <v>177</v>
      </c>
      <c r="Z271" s="14">
        <f>ROUND(IF(Q271=1,INDEX(新属性投放!$D$14:$D$34,卡牌属性!R271),INDEX(新属性投放!$D$42:$D$62,卡牌属性!R271))*INDEX($G$5:$G$42,L271)/SQRT(INDEX($I$5:$I$42,L271)),2)</f>
        <v>402.47</v>
      </c>
      <c r="AA271" s="29" t="s">
        <v>178</v>
      </c>
      <c r="AB271" s="14">
        <f>ROUND(IF(Q271=1,INDEX(新属性投放!$E$14:$E$34,卡牌属性!R271),INDEX(新属性投放!$E$42:$E$62,卡牌属性!R271))*INDEX($G$5:$G$42,L271),2)</f>
        <v>201.24</v>
      </c>
      <c r="AC271" s="29" t="s">
        <v>179</v>
      </c>
      <c r="AD271" s="14">
        <f>ROUND(IF(Q271=1,INDEX(新属性投放!$F$14:$F$34,卡牌属性!R271),INDEX(新属性投放!$F$42:$F$62,卡牌属性!R271))*INDEX($G$5:$G$42,L271)*SQRT(INDEX($I$5:$I$42,L271)),2)</f>
        <v>1207.4100000000001</v>
      </c>
      <c r="AF271" s="14">
        <f t="shared" si="81"/>
        <v>4024</v>
      </c>
      <c r="AG271" s="14">
        <f t="shared" si="82"/>
        <v>2012</v>
      </c>
      <c r="AH271" s="14">
        <f t="shared" si="83"/>
        <v>12074</v>
      </c>
      <c r="AJ271" s="14">
        <f t="shared" si="72"/>
        <v>16880</v>
      </c>
      <c r="AK271" s="14">
        <f t="shared" si="73"/>
        <v>8439</v>
      </c>
      <c r="AL271" s="14">
        <f t="shared" si="74"/>
        <v>50645</v>
      </c>
    </row>
    <row r="272" spans="11:38" ht="16.5" x14ac:dyDescent="0.2">
      <c r="K272" s="13">
        <v>269</v>
      </c>
      <c r="L272" s="13">
        <f t="shared" si="75"/>
        <v>13</v>
      </c>
      <c r="M272" s="13">
        <f t="shared" si="76"/>
        <v>2</v>
      </c>
      <c r="N272" s="14">
        <f t="shared" si="77"/>
        <v>1101013</v>
      </c>
      <c r="O272" s="14" t="str">
        <f t="shared" si="78"/>
        <v>吉拉17突</v>
      </c>
      <c r="P272" s="29" t="s">
        <v>341</v>
      </c>
      <c r="Q272" s="14">
        <f t="shared" si="79"/>
        <v>1</v>
      </c>
      <c r="R272" s="14">
        <f t="shared" si="80"/>
        <v>17</v>
      </c>
      <c r="S272" s="14" t="s">
        <v>39</v>
      </c>
      <c r="T272" s="14">
        <f>ROUND(((IF(Q272=1,INDEX(新属性投放!$J$14:$J$34,卡牌属性!R272),INDEX(新属性投放!$J$42:$J$62,卡牌属性!R272)))*INDEX($G$5:$G$42,L272)+IF(Q272=1,INDEX(新属性投放!R$20:R$23,卡牌属性!M272-1),INDEX(新属性投放!R$25:R$28,卡牌属性!M272-1)))/SQRT(INDEX($I$5:$I$42,L272)),2)</f>
        <v>21179.5</v>
      </c>
      <c r="U272" s="29" t="s">
        <v>178</v>
      </c>
      <c r="V272" s="14">
        <f>ROUND((IF(Q272=1,INDEX(新属性投放!$K$14:$K$34,卡牌属性!R272),INDEX(新属性投放!$K$42:$K$62,卡牌属性!R272))+IF(Q272=1,INDEX(新属性投放!S$20:S$23,卡牌属性!M272-1),INDEX(新属性投放!S$25:S$28,卡牌属性!M272-1)))*INDEX($G$5:$G$42,L272),2)</f>
        <v>10546.25</v>
      </c>
      <c r="W272" s="29" t="s">
        <v>179</v>
      </c>
      <c r="X272" s="14">
        <f>ROUND((IF(Q272=1,INDEX(新属性投放!$L$14:$L$34,卡牌属性!R272),INDEX(新属性投放!$L$42:$L$62,卡牌属性!R272))*INDEX($G$5:$G$42,L272)+IF(Q272=1,INDEX(新属性投放!T$20:T$23,卡牌属性!M272-1),INDEX(新属性投放!T$25:T$28,卡牌属性!M272-1)))*SQRT(INDEX($I$5:$I$42,L272)),2)</f>
        <v>63738.5</v>
      </c>
      <c r="Y272" s="29" t="s">
        <v>177</v>
      </c>
      <c r="Z272" s="14">
        <f>ROUND(IF(Q272=1,INDEX(新属性投放!$D$14:$D$34,卡牌属性!R272),INDEX(新属性投放!$D$42:$D$62,卡牌属性!R272))*INDEX($G$5:$G$42,L272)/SQRT(INDEX($I$5:$I$42,L272)),2)</f>
        <v>528.24</v>
      </c>
      <c r="AA272" s="29" t="s">
        <v>178</v>
      </c>
      <c r="AB272" s="14">
        <f>ROUND(IF(Q272=1,INDEX(新属性投放!$E$14:$E$34,卡牌属性!R272),INDEX(新属性投放!$E$42:$E$62,卡牌属性!R272))*INDEX($G$5:$G$42,L272),2)</f>
        <v>264.12</v>
      </c>
      <c r="AC272" s="29" t="s">
        <v>179</v>
      </c>
      <c r="AD272" s="14">
        <f>ROUND(IF(Q272=1,INDEX(新属性投放!$F$14:$F$34,卡牌属性!R272),INDEX(新属性投放!$F$42:$F$62,卡牌属性!R272))*INDEX($G$5:$G$42,L272)*SQRT(INDEX($I$5:$I$42,L272)),2)</f>
        <v>1584.72</v>
      </c>
      <c r="AF272" s="14">
        <f t="shared" si="81"/>
        <v>5282</v>
      </c>
      <c r="AG272" s="14">
        <f t="shared" si="82"/>
        <v>2641</v>
      </c>
      <c r="AH272" s="14">
        <f t="shared" si="83"/>
        <v>15847</v>
      </c>
      <c r="AJ272" s="14">
        <f t="shared" si="72"/>
        <v>22162</v>
      </c>
      <c r="AK272" s="14">
        <f t="shared" si="73"/>
        <v>11080</v>
      </c>
      <c r="AL272" s="14">
        <f t="shared" si="74"/>
        <v>66492</v>
      </c>
    </row>
    <row r="273" spans="11:38" ht="16.5" x14ac:dyDescent="0.2">
      <c r="K273" s="13">
        <v>270</v>
      </c>
      <c r="L273" s="13">
        <f t="shared" si="75"/>
        <v>13</v>
      </c>
      <c r="M273" s="13">
        <f t="shared" si="76"/>
        <v>2</v>
      </c>
      <c r="N273" s="14">
        <f t="shared" si="77"/>
        <v>1101013</v>
      </c>
      <c r="O273" s="14" t="str">
        <f t="shared" si="78"/>
        <v>吉拉18突</v>
      </c>
      <c r="P273" s="29" t="s">
        <v>341</v>
      </c>
      <c r="Q273" s="14">
        <f t="shared" si="79"/>
        <v>1</v>
      </c>
      <c r="R273" s="14">
        <f t="shared" si="80"/>
        <v>18</v>
      </c>
      <c r="S273" s="14" t="s">
        <v>39</v>
      </c>
      <c r="T273" s="14">
        <f>ROUND(((IF(Q273=1,INDEX(新属性投放!$J$14:$J$34,卡牌属性!R273),INDEX(新属性投放!$J$42:$J$62,卡牌属性!R273)))*INDEX($G$5:$G$42,L273)+IF(Q273=1,INDEX(新属性投放!R$20:R$23,卡牌属性!M273-1),INDEX(新属性投放!R$25:R$28,卡牌属性!M273-1)))/SQRT(INDEX($I$5:$I$42,L273)),2)</f>
        <v>27782.9</v>
      </c>
      <c r="U273" s="29" t="s">
        <v>178</v>
      </c>
      <c r="V273" s="14">
        <f>ROUND((IF(Q273=1,INDEX(新属性投放!$K$14:$K$34,卡牌属性!R273),INDEX(新属性投放!$K$42:$K$62,卡牌属性!R273))+IF(Q273=1,INDEX(新属性投放!S$20:S$23,卡牌属性!M273-1),INDEX(新属性投放!S$25:S$28,卡牌属性!M273-1)))*INDEX($G$5:$G$42,L273),2)</f>
        <v>13847.45</v>
      </c>
      <c r="W273" s="29" t="s">
        <v>179</v>
      </c>
      <c r="X273" s="14">
        <f>ROUND((IF(Q273=1,INDEX(新属性投放!$L$14:$L$34,卡牌属性!R273),INDEX(新属性投放!$L$42:$L$62,卡牌属性!R273))*INDEX($G$5:$G$42,L273)+IF(Q273=1,INDEX(新属性投放!T$20:T$23,卡牌属性!M273-1),INDEX(新属性投放!T$25:T$28,卡牌属性!M273-1)))*SQRT(INDEX($I$5:$I$42,L273)),2)</f>
        <v>83548.7</v>
      </c>
      <c r="Y273" s="29" t="s">
        <v>177</v>
      </c>
      <c r="Z273" s="14">
        <f>ROUND(IF(Q273=1,INDEX(新属性投放!$D$14:$D$34,卡牌属性!R273),INDEX(新属性投放!$D$42:$D$62,卡牌属性!R273))*INDEX($G$5:$G$42,L273)/SQRT(INDEX($I$5:$I$42,L273)),2)</f>
        <v>693.32</v>
      </c>
      <c r="AA273" s="29" t="s">
        <v>178</v>
      </c>
      <c r="AB273" s="14">
        <f>ROUND(IF(Q273=1,INDEX(新属性投放!$E$14:$E$34,卡牌属性!R273),INDEX(新属性投放!$E$42:$E$62,卡牌属性!R273))*INDEX($G$5:$G$42,L273),2)</f>
        <v>346.66</v>
      </c>
      <c r="AC273" s="29" t="s">
        <v>179</v>
      </c>
      <c r="AD273" s="14">
        <f>ROUND(IF(Q273=1,INDEX(新属性投放!$F$14:$F$34,卡牌属性!R273),INDEX(新属性投放!$F$42:$F$62,卡牌属性!R273))*INDEX($G$5:$G$42,L273)*SQRT(INDEX($I$5:$I$42,L273)),2)</f>
        <v>2079.96</v>
      </c>
      <c r="AF273" s="14">
        <f t="shared" si="81"/>
        <v>6933</v>
      </c>
      <c r="AG273" s="14">
        <f t="shared" si="82"/>
        <v>3466</v>
      </c>
      <c r="AH273" s="14">
        <f t="shared" si="83"/>
        <v>20799</v>
      </c>
      <c r="AJ273" s="14">
        <f t="shared" si="72"/>
        <v>29095</v>
      </c>
      <c r="AK273" s="14">
        <f t="shared" si="73"/>
        <v>14546</v>
      </c>
      <c r="AL273" s="14">
        <f t="shared" si="74"/>
        <v>87291</v>
      </c>
    </row>
    <row r="274" spans="11:38" ht="16.5" x14ac:dyDescent="0.2">
      <c r="K274" s="13">
        <v>271</v>
      </c>
      <c r="L274" s="13">
        <f t="shared" si="75"/>
        <v>13</v>
      </c>
      <c r="M274" s="13">
        <f t="shared" si="76"/>
        <v>2</v>
      </c>
      <c r="N274" s="14">
        <f t="shared" si="77"/>
        <v>1101013</v>
      </c>
      <c r="O274" s="14" t="str">
        <f t="shared" si="78"/>
        <v>吉拉19突</v>
      </c>
      <c r="P274" s="29" t="s">
        <v>341</v>
      </c>
      <c r="Q274" s="14">
        <f t="shared" si="79"/>
        <v>1</v>
      </c>
      <c r="R274" s="14">
        <f t="shared" si="80"/>
        <v>19</v>
      </c>
      <c r="S274" s="14" t="s">
        <v>39</v>
      </c>
      <c r="T274" s="14">
        <f>ROUND(((IF(Q274=1,INDEX(新属性投放!$J$14:$J$34,卡牌属性!R274),INDEX(新属性投放!$J$42:$J$62,卡牌属性!R274)))*INDEX($G$5:$G$42,L274)+IF(Q274=1,INDEX(新属性投放!R$20:R$23,卡牌属性!M274-1),INDEX(新属性投放!R$25:R$28,卡牌属性!M274-1)))/SQRT(INDEX($I$5:$I$42,L274)),2)</f>
        <v>36449.1</v>
      </c>
      <c r="U274" s="29" t="s">
        <v>178</v>
      </c>
      <c r="V274" s="14">
        <f>ROUND((IF(Q274=1,INDEX(新属性投放!$K$14:$K$34,卡牌属性!R274),INDEX(新属性投放!$K$42:$K$62,卡牌属性!R274))+IF(Q274=1,INDEX(新属性投放!S$20:S$23,卡牌属性!M274-1),INDEX(新属性投放!S$25:S$28,卡牌属性!M274-1)))*INDEX($G$5:$G$42,L274),2)</f>
        <v>18181.05</v>
      </c>
      <c r="W274" s="29" t="s">
        <v>179</v>
      </c>
      <c r="X274" s="14">
        <f>ROUND((IF(Q274=1,INDEX(新属性投放!$L$14:$L$34,卡牌属性!R274),INDEX(新属性投放!$L$42:$L$62,卡牌属性!R274))*INDEX($G$5:$G$42,L274)+IF(Q274=1,INDEX(新属性投放!T$20:T$23,卡牌属性!M274-1),INDEX(新属性投放!T$25:T$28,卡牌属性!M274-1)))*SQRT(INDEX($I$5:$I$42,L274)),2)</f>
        <v>109547.3</v>
      </c>
      <c r="Y274" s="29" t="s">
        <v>177</v>
      </c>
      <c r="Z274" s="14">
        <f>ROUND(IF(Q274=1,INDEX(新属性投放!$D$14:$D$34,卡牌属性!R274),INDEX(新属性投放!$D$42:$D$62,卡牌属性!R274))*INDEX($G$5:$G$42,L274)/SQRT(INDEX($I$5:$I$42,L274)),2)</f>
        <v>909.98</v>
      </c>
      <c r="AA274" s="29" t="s">
        <v>178</v>
      </c>
      <c r="AB274" s="14">
        <f>ROUND(IF(Q274=1,INDEX(新属性投放!$E$14:$E$34,卡牌属性!R274),INDEX(新属性投放!$E$42:$E$62,卡牌属性!R274))*INDEX($G$5:$G$42,L274),2)</f>
        <v>454.99</v>
      </c>
      <c r="AC274" s="29" t="s">
        <v>179</v>
      </c>
      <c r="AD274" s="14">
        <f>ROUND(IF(Q274=1,INDEX(新属性投放!$F$14:$F$34,卡牌属性!R274),INDEX(新属性投放!$F$42:$F$62,卡牌属性!R274))*INDEX($G$5:$G$42,L274)*SQRT(INDEX($I$5:$I$42,L274)),2)</f>
        <v>2729.94</v>
      </c>
      <c r="AF274" s="14">
        <f t="shared" si="81"/>
        <v>9099</v>
      </c>
      <c r="AG274" s="14">
        <f t="shared" si="82"/>
        <v>4549</v>
      </c>
      <c r="AH274" s="14">
        <f t="shared" si="83"/>
        <v>27299</v>
      </c>
      <c r="AJ274" s="14">
        <f t="shared" si="72"/>
        <v>38194</v>
      </c>
      <c r="AK274" s="14">
        <f t="shared" si="73"/>
        <v>19095</v>
      </c>
      <c r="AL274" s="14">
        <f t="shared" si="74"/>
        <v>114590</v>
      </c>
    </row>
    <row r="275" spans="11:38" ht="16.5" x14ac:dyDescent="0.2">
      <c r="K275" s="13">
        <v>272</v>
      </c>
      <c r="L275" s="13">
        <f t="shared" si="75"/>
        <v>13</v>
      </c>
      <c r="M275" s="13">
        <f t="shared" si="76"/>
        <v>2</v>
      </c>
      <c r="N275" s="14">
        <f t="shared" si="77"/>
        <v>1101013</v>
      </c>
      <c r="O275" s="14" t="str">
        <f t="shared" si="78"/>
        <v>吉拉20突</v>
      </c>
      <c r="P275" s="29" t="s">
        <v>341</v>
      </c>
      <c r="Q275" s="14">
        <f t="shared" si="79"/>
        <v>1</v>
      </c>
      <c r="R275" s="14">
        <f t="shared" si="80"/>
        <v>20</v>
      </c>
      <c r="S275" s="14" t="s">
        <v>39</v>
      </c>
      <c r="T275" s="14">
        <f>ROUND(((IF(Q275=1,INDEX(新属性投放!$J$14:$J$34,卡牌属性!R275),INDEX(新属性投放!$J$42:$J$62,卡牌属性!R275)))*INDEX($G$5:$G$42,L275)+IF(Q275=1,INDEX(新属性投放!R$20:R$23,卡牌属性!M275-1),INDEX(新属性投放!R$25:R$28,卡牌属性!M275-1)))/SQRT(INDEX($I$5:$I$42,L275)),2)</f>
        <v>47823.9</v>
      </c>
      <c r="U275" s="29" t="s">
        <v>178</v>
      </c>
      <c r="V275" s="14">
        <f>ROUND((IF(Q275=1,INDEX(新属性投放!$K$14:$K$34,卡牌属性!R275),INDEX(新属性投放!$K$42:$K$62,卡牌属性!R275))+IF(Q275=1,INDEX(新属性投放!S$20:S$23,卡牌属性!M275-1),INDEX(新属性投放!S$25:S$28,卡牌属性!M275-1)))*INDEX($G$5:$G$42,L275),2)</f>
        <v>23867.95</v>
      </c>
      <c r="W275" s="29" t="s">
        <v>179</v>
      </c>
      <c r="X275" s="14">
        <f>ROUND((IF(Q275=1,INDEX(新属性投放!$L$14:$L$34,卡牌属性!R275),INDEX(新属性投放!$L$42:$L$62,卡牌属性!R275))*INDEX($G$5:$G$42,L275)+IF(Q275=1,INDEX(新属性投放!T$20:T$23,卡牌属性!M275-1),INDEX(新属性投放!T$25:T$28,卡牌属性!M275-1)))*SQRT(INDEX($I$5:$I$42,L275)),2)</f>
        <v>143671.70000000001</v>
      </c>
      <c r="Y275" s="29" t="s">
        <v>177</v>
      </c>
      <c r="Z275" s="14">
        <f>ROUND(IF(Q275=1,INDEX(新属性投放!$D$14:$D$34,卡牌属性!R275),INDEX(新属性投放!$D$42:$D$62,卡牌属性!R275))*INDEX($G$5:$G$42,L275)/SQRT(INDEX($I$5:$I$42,L275)),2)</f>
        <v>1194.3499999999999</v>
      </c>
      <c r="AA275" s="29" t="s">
        <v>178</v>
      </c>
      <c r="AB275" s="14">
        <f>ROUND(IF(Q275=1,INDEX(新属性投放!$E$14:$E$34,卡牌属性!R275),INDEX(新属性投放!$E$42:$E$62,卡牌属性!R275))*INDEX($G$5:$G$42,L275),2)</f>
        <v>597.17999999999995</v>
      </c>
      <c r="AC275" s="29" t="s">
        <v>179</v>
      </c>
      <c r="AD275" s="14">
        <f>ROUND(IF(Q275=1,INDEX(新属性投放!$F$14:$F$34,卡牌属性!R275),INDEX(新属性投放!$F$42:$F$62,卡牌属性!R275))*INDEX($G$5:$G$42,L275)*SQRT(INDEX($I$5:$I$42,L275)),2)</f>
        <v>3583.05</v>
      </c>
      <c r="AF275" s="14">
        <f t="shared" si="81"/>
        <v>11943</v>
      </c>
      <c r="AG275" s="14">
        <f t="shared" si="82"/>
        <v>5971</v>
      </c>
      <c r="AH275" s="14">
        <f t="shared" si="83"/>
        <v>35830</v>
      </c>
      <c r="AJ275" s="14">
        <f t="shared" si="72"/>
        <v>50137</v>
      </c>
      <c r="AK275" s="14">
        <f t="shared" si="73"/>
        <v>25066</v>
      </c>
      <c r="AL275" s="14">
        <f t="shared" si="74"/>
        <v>150420</v>
      </c>
    </row>
    <row r="276" spans="11:38" ht="16.5" x14ac:dyDescent="0.2">
      <c r="K276" s="13">
        <v>273</v>
      </c>
      <c r="L276" s="13">
        <f t="shared" si="75"/>
        <v>13</v>
      </c>
      <c r="M276" s="13">
        <f t="shared" si="76"/>
        <v>2</v>
      </c>
      <c r="N276" s="14">
        <f t="shared" si="77"/>
        <v>1101013</v>
      </c>
      <c r="O276" s="14" t="str">
        <f t="shared" si="78"/>
        <v>吉拉21突</v>
      </c>
      <c r="P276" s="29" t="s">
        <v>341</v>
      </c>
      <c r="Q276" s="14">
        <f t="shared" si="79"/>
        <v>1</v>
      </c>
      <c r="R276" s="14">
        <f t="shared" si="80"/>
        <v>21</v>
      </c>
      <c r="S276" s="14" t="s">
        <v>39</v>
      </c>
      <c r="T276" s="14">
        <f>ROUND(((IF(Q276=1,INDEX(新属性投放!$J$14:$J$34,卡牌属性!R276),INDEX(新属性投放!$J$42:$J$62,卡牌属性!R276)))*INDEX($G$5:$G$42,L276)+IF(Q276=1,INDEX(新属性投放!R$20:R$23,卡牌属性!M276-1),INDEX(新属性投放!R$25:R$28,卡牌属性!M276-1)))/SQRT(INDEX($I$5:$I$42,L276)),2)</f>
        <v>62753.4</v>
      </c>
      <c r="U276" s="29" t="s">
        <v>178</v>
      </c>
      <c r="V276" s="14">
        <f>ROUND((IF(Q276=1,INDEX(新属性投放!$K$14:$K$34,卡牌属性!R276),INDEX(新属性投放!$K$42:$K$62,卡牌属性!R276))+IF(Q276=1,INDEX(新属性投放!S$20:S$23,卡牌属性!M276-1),INDEX(新属性投放!S$25:S$28,卡牌属性!M276-1)))*INDEX($G$5:$G$42,L276),2)</f>
        <v>31332.7</v>
      </c>
      <c r="W276" s="29" t="s">
        <v>179</v>
      </c>
      <c r="X276" s="14">
        <f>ROUND((IF(Q276=1,INDEX(新属性投放!$L$14:$L$34,卡牌属性!R276),INDEX(新属性投放!$L$42:$L$62,卡牌属性!R276))*INDEX($G$5:$G$42,L276)+IF(Q276=1,INDEX(新属性投放!T$20:T$23,卡牌属性!M276-1),INDEX(新属性投放!T$25:T$28,卡牌属性!M276-1)))*SQRT(INDEX($I$5:$I$42,L276)),2)</f>
        <v>188460.2</v>
      </c>
      <c r="Y276" s="29" t="s">
        <v>177</v>
      </c>
      <c r="Z276" s="14">
        <f>ROUND(IF(Q276=1,INDEX(新属性投放!$D$14:$D$34,卡牌属性!R276),INDEX(新属性投放!$D$42:$D$62,卡牌属性!R276))*INDEX($G$5:$G$42,L276)/SQRT(INDEX($I$5:$I$42,L276)),2)</f>
        <v>1567.59</v>
      </c>
      <c r="AA276" s="29" t="s">
        <v>178</v>
      </c>
      <c r="AB276" s="14">
        <f>ROUND(IF(Q276=1,INDEX(新属性投放!$E$14:$E$34,卡牌属性!R276),INDEX(新属性投放!$E$42:$E$62,卡牌属性!R276))*INDEX($G$5:$G$42,L276),2)</f>
        <v>783.8</v>
      </c>
      <c r="AC276" s="29" t="s">
        <v>179</v>
      </c>
      <c r="AD276" s="14">
        <f>ROUND(IF(Q276=1,INDEX(新属性投放!$F$14:$F$34,卡牌属性!R276),INDEX(新属性投放!$F$42:$F$62,卡牌属性!R276))*INDEX($G$5:$G$42,L276)*SQRT(INDEX($I$5:$I$42,L276)),2)</f>
        <v>4702.7700000000004</v>
      </c>
      <c r="AF276" s="14">
        <f t="shared" si="81"/>
        <v>15675</v>
      </c>
      <c r="AG276" s="14">
        <f t="shared" si="82"/>
        <v>7838</v>
      </c>
      <c r="AH276" s="14">
        <f t="shared" si="83"/>
        <v>47027</v>
      </c>
      <c r="AJ276" s="14">
        <f t="shared" si="72"/>
        <v>65812</v>
      </c>
      <c r="AK276" s="14">
        <f t="shared" si="73"/>
        <v>32904</v>
      </c>
      <c r="AL276" s="14">
        <f t="shared" si="74"/>
        <v>197447</v>
      </c>
    </row>
    <row r="277" spans="11:38" ht="16.5" x14ac:dyDescent="0.2">
      <c r="K277" s="13">
        <v>274</v>
      </c>
      <c r="L277" s="13">
        <f t="shared" si="75"/>
        <v>14</v>
      </c>
      <c r="M277" s="13">
        <f t="shared" si="76"/>
        <v>3</v>
      </c>
      <c r="N277" s="14">
        <f t="shared" si="77"/>
        <v>1101014</v>
      </c>
      <c r="O277" s="14" t="str">
        <f t="shared" si="78"/>
        <v>吕仙宫1突</v>
      </c>
      <c r="P277" s="29" t="s">
        <v>341</v>
      </c>
      <c r="Q277" s="14">
        <f t="shared" si="79"/>
        <v>1</v>
      </c>
      <c r="R277" s="14">
        <f t="shared" si="80"/>
        <v>1</v>
      </c>
      <c r="S277" s="14" t="s">
        <v>39</v>
      </c>
      <c r="T277" s="14">
        <f>ROUND(((IF(Q277=1,INDEX(新属性投放!$J$14:$J$34,卡牌属性!R277),INDEX(新属性投放!$J$42:$J$62,卡牌属性!R277)))*INDEX($G$5:$G$42,L277)+IF(Q277=1,INDEX(新属性投放!R$20:R$23,卡牌属性!M277-1),INDEX(新属性投放!R$25:R$28,卡牌属性!M277-1)))/SQRT(INDEX($I$5:$I$42,L277)),2)</f>
        <v>157.5</v>
      </c>
      <c r="U277" s="29" t="s">
        <v>178</v>
      </c>
      <c r="V277" s="14">
        <f>ROUND((IF(Q277=1,INDEX(新属性投放!$K$14:$K$34,卡牌属性!R277),INDEX(新属性投放!$K$42:$K$62,卡牌属性!R277))+IF(Q277=1,INDEX(新属性投放!S$20:S$23,卡牌属性!M277-1),INDEX(新属性投放!S$25:S$28,卡牌属性!M277-1)))*INDEX($G$5:$G$42,L277),2)</f>
        <v>0</v>
      </c>
      <c r="W277" s="29" t="s">
        <v>179</v>
      </c>
      <c r="X277" s="14">
        <f>ROUND((IF(Q277=1,INDEX(新属性投放!$L$14:$L$34,卡牌属性!R277),INDEX(新属性投放!$L$42:$L$62,卡牌属性!R277))*INDEX($G$5:$G$42,L277)+IF(Q277=1,INDEX(新属性投放!T$20:T$23,卡牌属性!M277-1),INDEX(新属性投放!T$25:T$28,卡牌属性!M277-1)))*SQRT(INDEX($I$5:$I$42,L277)),2)</f>
        <v>1037.5</v>
      </c>
      <c r="Y277" s="29" t="s">
        <v>177</v>
      </c>
      <c r="Z277" s="14">
        <f>ROUND(IF(Q277=1,INDEX(新属性投放!$D$14:$D$34,卡牌属性!R277),INDEX(新属性投放!$D$42:$D$62,卡牌属性!R277))*INDEX($G$5:$G$42,L277)/SQRT(INDEX($I$5:$I$42,L277)),2)</f>
        <v>11.5</v>
      </c>
      <c r="AA277" s="29" t="s">
        <v>178</v>
      </c>
      <c r="AB277" s="14">
        <f>ROUND(IF(Q277=1,INDEX(新属性投放!$E$14:$E$34,卡牌属性!R277),INDEX(新属性投放!$E$42:$E$62,卡牌属性!R277))*INDEX($G$5:$G$42,L277),2)</f>
        <v>5.75</v>
      </c>
      <c r="AC277" s="29" t="s">
        <v>179</v>
      </c>
      <c r="AD277" s="14">
        <f>ROUND(IF(Q277=1,INDEX(新属性投放!$F$14:$F$34,卡牌属性!R277),INDEX(新属性投放!$F$42:$F$62,卡牌属性!R277))*INDEX($G$5:$G$42,L277)*SQRT(INDEX($I$5:$I$42,L277)),2)</f>
        <v>34.5</v>
      </c>
      <c r="AF277" s="14">
        <f t="shared" si="81"/>
        <v>115</v>
      </c>
      <c r="AG277" s="14">
        <f t="shared" si="82"/>
        <v>57</v>
      </c>
      <c r="AH277" s="14">
        <f t="shared" si="83"/>
        <v>345</v>
      </c>
      <c r="AJ277" s="14">
        <f>AF277</f>
        <v>115</v>
      </c>
      <c r="AK277" s="14">
        <f>AG277</f>
        <v>57</v>
      </c>
      <c r="AL277" s="14">
        <f>AH277</f>
        <v>345</v>
      </c>
    </row>
    <row r="278" spans="11:38" ht="16.5" x14ac:dyDescent="0.2">
      <c r="K278" s="13">
        <v>275</v>
      </c>
      <c r="L278" s="13">
        <f t="shared" si="75"/>
        <v>14</v>
      </c>
      <c r="M278" s="13">
        <f t="shared" si="76"/>
        <v>3</v>
      </c>
      <c r="N278" s="14">
        <f t="shared" si="77"/>
        <v>1101014</v>
      </c>
      <c r="O278" s="14" t="str">
        <f t="shared" si="78"/>
        <v>吕仙宫2突</v>
      </c>
      <c r="P278" s="29" t="s">
        <v>341</v>
      </c>
      <c r="Q278" s="14">
        <f t="shared" si="79"/>
        <v>1</v>
      </c>
      <c r="R278" s="14">
        <f t="shared" si="80"/>
        <v>2</v>
      </c>
      <c r="S278" s="14" t="s">
        <v>39</v>
      </c>
      <c r="T278" s="14">
        <f>ROUND(((IF(Q278=1,INDEX(新属性投放!$J$14:$J$34,卡牌属性!R278),INDEX(新属性投放!$J$42:$J$62,卡牌属性!R278)))*INDEX($G$5:$G$42,L278)+IF(Q278=1,INDEX(新属性投放!R$20:R$23,卡牌属性!M278-1),INDEX(新属性投放!R$25:R$28,卡牌属性!M278-1)))/SQRT(INDEX($I$5:$I$42,L278)),2)</f>
        <v>272.5</v>
      </c>
      <c r="U278" s="29" t="s">
        <v>178</v>
      </c>
      <c r="V278" s="14">
        <f>ROUND((IF(Q278=1,INDEX(新属性投放!$K$14:$K$34,卡牌属性!R278),INDEX(新属性投放!$K$42:$K$62,卡牌属性!R278))+IF(Q278=1,INDEX(新属性投放!S$20:S$23,卡牌属性!M278-1),INDEX(新属性投放!S$25:S$28,卡牌属性!M278-1)))*INDEX($G$5:$G$42,L278),2)</f>
        <v>64.400000000000006</v>
      </c>
      <c r="W278" s="29" t="s">
        <v>179</v>
      </c>
      <c r="X278" s="14">
        <f>ROUND((IF(Q278=1,INDEX(新属性投放!$L$14:$L$34,卡牌属性!R278),INDEX(新属性投放!$L$42:$L$62,卡牌属性!R278))*INDEX($G$5:$G$42,L278)+IF(Q278=1,INDEX(新属性投放!T$20:T$23,卡牌属性!M278-1),INDEX(新属性投放!T$25:T$28,卡牌属性!M278-1)))*SQRT(INDEX($I$5:$I$42,L278)),2)</f>
        <v>1382.5</v>
      </c>
      <c r="Y278" s="29" t="s">
        <v>177</v>
      </c>
      <c r="Z278" s="14">
        <f>ROUND(IF(Q278=1,INDEX(新属性投放!$D$14:$D$34,卡牌属性!R278),INDEX(新属性投放!$D$42:$D$62,卡牌属性!R278))*INDEX($G$5:$G$42,L278)/SQRT(INDEX($I$5:$I$42,L278)),2)</f>
        <v>11.5</v>
      </c>
      <c r="AA278" s="29" t="s">
        <v>178</v>
      </c>
      <c r="AB278" s="14">
        <f>ROUND(IF(Q278=1,INDEX(新属性投放!$E$14:$E$34,卡牌属性!R278),INDEX(新属性投放!$E$42:$E$62,卡牌属性!R278))*INDEX($G$5:$G$42,L278),2)</f>
        <v>5.75</v>
      </c>
      <c r="AC278" s="29" t="s">
        <v>179</v>
      </c>
      <c r="AD278" s="14">
        <f>ROUND(IF(Q278=1,INDEX(新属性投放!$F$14:$F$34,卡牌属性!R278),INDEX(新属性投放!$F$42:$F$62,卡牌属性!R278))*INDEX($G$5:$G$42,L278)*SQRT(INDEX($I$5:$I$42,L278)),2)</f>
        <v>34.5</v>
      </c>
      <c r="AF278" s="14">
        <f t="shared" si="81"/>
        <v>115</v>
      </c>
      <c r="AG278" s="14">
        <f t="shared" si="82"/>
        <v>57</v>
      </c>
      <c r="AH278" s="14">
        <f t="shared" si="83"/>
        <v>345</v>
      </c>
      <c r="AJ278" s="14">
        <f t="shared" ref="AJ278:AJ297" si="84">AJ277+AF278</f>
        <v>230</v>
      </c>
      <c r="AK278" s="14">
        <f t="shared" ref="AK278:AK297" si="85">AK277+AG278</f>
        <v>114</v>
      </c>
      <c r="AL278" s="14">
        <f t="shared" ref="AL278:AL297" si="86">AL277+AH278</f>
        <v>690</v>
      </c>
    </row>
    <row r="279" spans="11:38" ht="16.5" x14ac:dyDescent="0.2">
      <c r="K279" s="13">
        <v>276</v>
      </c>
      <c r="L279" s="13">
        <f t="shared" si="75"/>
        <v>14</v>
      </c>
      <c r="M279" s="13">
        <f t="shared" si="76"/>
        <v>3</v>
      </c>
      <c r="N279" s="14">
        <f t="shared" si="77"/>
        <v>1101014</v>
      </c>
      <c r="O279" s="14" t="str">
        <f t="shared" si="78"/>
        <v>吕仙宫3突</v>
      </c>
      <c r="P279" s="29" t="s">
        <v>341</v>
      </c>
      <c r="Q279" s="14">
        <f t="shared" si="79"/>
        <v>1</v>
      </c>
      <c r="R279" s="14">
        <f t="shared" si="80"/>
        <v>3</v>
      </c>
      <c r="S279" s="14" t="s">
        <v>39</v>
      </c>
      <c r="T279" s="14">
        <f>ROUND(((IF(Q279=1,INDEX(新属性投放!$J$14:$J$34,卡牌属性!R279),INDEX(新属性投放!$J$42:$J$62,卡牌属性!R279)))*INDEX($G$5:$G$42,L279)+IF(Q279=1,INDEX(新属性投放!R$20:R$23,卡牌属性!M279-1),INDEX(新属性投放!R$25:R$28,卡牌属性!M279-1)))/SQRT(INDEX($I$5:$I$42,L279)),2)</f>
        <v>416.25</v>
      </c>
      <c r="U279" s="29" t="s">
        <v>178</v>
      </c>
      <c r="V279" s="14">
        <f>ROUND((IF(Q279=1,INDEX(新属性投放!$K$14:$K$34,卡牌属性!R279),INDEX(新属性投放!$K$42:$K$62,卡牌属性!R279))+IF(Q279=1,INDEX(新属性投放!S$20:S$23,卡牌属性!M279-1),INDEX(新属性投放!S$25:S$28,卡牌属性!M279-1)))*INDEX($G$5:$G$42,L279),2)</f>
        <v>136.85</v>
      </c>
      <c r="W279" s="29" t="s">
        <v>179</v>
      </c>
      <c r="X279" s="14">
        <f>ROUND((IF(Q279=1,INDEX(新属性投放!$L$14:$L$34,卡牌属性!R279),INDEX(新属性投放!$L$42:$L$62,卡牌属性!R279))*INDEX($G$5:$G$42,L279)+IF(Q279=1,INDEX(新属性投放!T$20:T$23,卡牌属性!M279-1),INDEX(新属性投放!T$25:T$28,卡牌属性!M279-1)))*SQRT(INDEX($I$5:$I$42,L279)),2)</f>
        <v>1813.75</v>
      </c>
      <c r="Y279" s="29" t="s">
        <v>177</v>
      </c>
      <c r="Z279" s="14">
        <f>ROUND(IF(Q279=1,INDEX(新属性投放!$D$14:$D$34,卡牌属性!R279),INDEX(新属性投放!$D$42:$D$62,卡牌属性!R279))*INDEX($G$5:$G$42,L279)/SQRT(INDEX($I$5:$I$42,L279)),2)</f>
        <v>17.25</v>
      </c>
      <c r="AA279" s="29" t="s">
        <v>178</v>
      </c>
      <c r="AB279" s="14">
        <f>ROUND(IF(Q279=1,INDEX(新属性投放!$E$14:$E$34,卡牌属性!R279),INDEX(新属性投放!$E$42:$E$62,卡牌属性!R279))*INDEX($G$5:$G$42,L279),2)</f>
        <v>8.6300000000000008</v>
      </c>
      <c r="AC279" s="29" t="s">
        <v>179</v>
      </c>
      <c r="AD279" s="14">
        <f>ROUND(IF(Q279=1,INDEX(新属性投放!$F$14:$F$34,卡牌属性!R279),INDEX(新属性投放!$F$42:$F$62,卡牌属性!R279))*INDEX($G$5:$G$42,L279)*SQRT(INDEX($I$5:$I$42,L279)),2)</f>
        <v>51.75</v>
      </c>
      <c r="AF279" s="14">
        <f t="shared" si="81"/>
        <v>172</v>
      </c>
      <c r="AG279" s="14">
        <f t="shared" si="82"/>
        <v>86</v>
      </c>
      <c r="AH279" s="14">
        <f t="shared" si="83"/>
        <v>517</v>
      </c>
      <c r="AJ279" s="14">
        <f t="shared" si="84"/>
        <v>402</v>
      </c>
      <c r="AK279" s="14">
        <f t="shared" si="85"/>
        <v>200</v>
      </c>
      <c r="AL279" s="14">
        <f t="shared" si="86"/>
        <v>1207</v>
      </c>
    </row>
    <row r="280" spans="11:38" ht="16.5" x14ac:dyDescent="0.2">
      <c r="K280" s="13">
        <v>277</v>
      </c>
      <c r="L280" s="13">
        <f t="shared" si="75"/>
        <v>14</v>
      </c>
      <c r="M280" s="13">
        <f t="shared" si="76"/>
        <v>3</v>
      </c>
      <c r="N280" s="14">
        <f t="shared" si="77"/>
        <v>1101014</v>
      </c>
      <c r="O280" s="14" t="str">
        <f t="shared" si="78"/>
        <v>吕仙宫4突</v>
      </c>
      <c r="P280" s="29" t="s">
        <v>341</v>
      </c>
      <c r="Q280" s="14">
        <f t="shared" si="79"/>
        <v>1</v>
      </c>
      <c r="R280" s="14">
        <f t="shared" si="80"/>
        <v>4</v>
      </c>
      <c r="S280" s="14" t="s">
        <v>39</v>
      </c>
      <c r="T280" s="14">
        <f>ROUND(((IF(Q280=1,INDEX(新属性投放!$J$14:$J$34,卡牌属性!R280),INDEX(新属性投放!$J$42:$J$62,卡牌属性!R280)))*INDEX($G$5:$G$42,L280)+IF(Q280=1,INDEX(新属性投放!R$20:R$23,卡牌属性!M280-1),INDEX(新属性投放!R$25:R$28,卡牌属性!M280-1)))/SQRT(INDEX($I$5:$I$42,L280)),2)</f>
        <v>632.45000000000005</v>
      </c>
      <c r="U280" s="29" t="s">
        <v>178</v>
      </c>
      <c r="V280" s="14">
        <f>ROUND((IF(Q280=1,INDEX(新属性投放!$K$14:$K$34,卡牌属性!R280),INDEX(新属性投放!$K$42:$K$62,卡牌属性!R280))+IF(Q280=1,INDEX(新属性投放!S$20:S$23,卡牌属性!M280-1),INDEX(新属性投放!S$25:S$28,卡牌属性!M280-1)))*INDEX($G$5:$G$42,L280),2)</f>
        <v>244.95</v>
      </c>
      <c r="W280" s="29" t="s">
        <v>179</v>
      </c>
      <c r="X280" s="14">
        <f>ROUND((IF(Q280=1,INDEX(新属性投放!$L$14:$L$34,卡牌属性!R280),INDEX(新属性投放!$L$42:$L$62,卡牌属性!R280))*INDEX($G$5:$G$42,L280)+IF(Q280=1,INDEX(新属性投放!T$20:T$23,卡牌属性!M280-1),INDEX(新属性投放!T$25:T$28,卡牌属性!M280-1)))*SQRT(INDEX($I$5:$I$42,L280)),2)</f>
        <v>2462.35</v>
      </c>
      <c r="Y280" s="29" t="s">
        <v>177</v>
      </c>
      <c r="Z280" s="14">
        <f>ROUND(IF(Q280=1,INDEX(新属性投放!$D$14:$D$34,卡牌属性!R280),INDEX(新属性投放!$D$42:$D$62,卡牌属性!R280))*INDEX($G$5:$G$42,L280)/SQRT(INDEX($I$5:$I$42,L280)),2)</f>
        <v>23</v>
      </c>
      <c r="AA280" s="29" t="s">
        <v>178</v>
      </c>
      <c r="AB280" s="14">
        <f>ROUND(IF(Q280=1,INDEX(新属性投放!$E$14:$E$34,卡牌属性!R280),INDEX(新属性投放!$E$42:$E$62,卡牌属性!R280))*INDEX($G$5:$G$42,L280),2)</f>
        <v>11.5</v>
      </c>
      <c r="AC280" s="29" t="s">
        <v>179</v>
      </c>
      <c r="AD280" s="14">
        <f>ROUND(IF(Q280=1,INDEX(新属性投放!$F$14:$F$34,卡牌属性!R280),INDEX(新属性投放!$F$42:$F$62,卡牌属性!R280))*INDEX($G$5:$G$42,L280)*SQRT(INDEX($I$5:$I$42,L280)),2)</f>
        <v>69</v>
      </c>
      <c r="AF280" s="14">
        <f t="shared" si="81"/>
        <v>230</v>
      </c>
      <c r="AG280" s="14">
        <f t="shared" si="82"/>
        <v>115</v>
      </c>
      <c r="AH280" s="14">
        <f t="shared" si="83"/>
        <v>690</v>
      </c>
      <c r="AJ280" s="14">
        <f t="shared" si="84"/>
        <v>632</v>
      </c>
      <c r="AK280" s="14">
        <f t="shared" si="85"/>
        <v>315</v>
      </c>
      <c r="AL280" s="14">
        <f t="shared" si="86"/>
        <v>1897</v>
      </c>
    </row>
    <row r="281" spans="11:38" ht="16.5" x14ac:dyDescent="0.2">
      <c r="K281" s="13">
        <v>278</v>
      </c>
      <c r="L281" s="13">
        <f t="shared" si="75"/>
        <v>14</v>
      </c>
      <c r="M281" s="13">
        <f t="shared" si="76"/>
        <v>3</v>
      </c>
      <c r="N281" s="14">
        <f t="shared" si="77"/>
        <v>1101014</v>
      </c>
      <c r="O281" s="14" t="str">
        <f t="shared" si="78"/>
        <v>吕仙宫5突</v>
      </c>
      <c r="P281" s="29" t="s">
        <v>341</v>
      </c>
      <c r="Q281" s="14">
        <f t="shared" si="79"/>
        <v>1</v>
      </c>
      <c r="R281" s="14">
        <f t="shared" si="80"/>
        <v>5</v>
      </c>
      <c r="S281" s="14" t="s">
        <v>39</v>
      </c>
      <c r="T281" s="14">
        <f>ROUND(((IF(Q281=1,INDEX(新属性投放!$J$14:$J$34,卡牌属性!R281),INDEX(新属性投放!$J$42:$J$62,卡牌属性!R281)))*INDEX($G$5:$G$42,L281)+IF(Q281=1,INDEX(新属性投放!R$20:R$23,卡牌属性!M281-1),INDEX(新属性投放!R$25:R$28,卡牌属性!M281-1)))/SQRT(INDEX($I$5:$I$42,L281)),2)</f>
        <v>919.95</v>
      </c>
      <c r="U281" s="29" t="s">
        <v>178</v>
      </c>
      <c r="V281" s="14">
        <f>ROUND((IF(Q281=1,INDEX(新属性投放!$K$14:$K$34,卡牌属性!R281),INDEX(新属性投放!$K$42:$K$62,卡牌属性!R281))+IF(Q281=1,INDEX(新属性投放!S$20:S$23,卡牌属性!M281-1),INDEX(新属性投放!S$25:S$28,卡牌属性!M281-1)))*INDEX($G$5:$G$42,L281),2)</f>
        <v>388.7</v>
      </c>
      <c r="W281" s="29" t="s">
        <v>179</v>
      </c>
      <c r="X281" s="14">
        <f>ROUND((IF(Q281=1,INDEX(新属性投放!$L$14:$L$34,卡牌属性!R281),INDEX(新属性投放!$L$42:$L$62,卡牌属性!R281))*INDEX($G$5:$G$42,L281)+IF(Q281=1,INDEX(新属性投放!T$20:T$23,卡牌属性!M281-1),INDEX(新属性投放!T$25:T$28,卡牌属性!M281-1)))*SQRT(INDEX($I$5:$I$42,L281)),2)</f>
        <v>3324.85</v>
      </c>
      <c r="Y281" s="29" t="s">
        <v>177</v>
      </c>
      <c r="Z281" s="14">
        <f>ROUND(IF(Q281=1,INDEX(新属性投放!$D$14:$D$34,卡牌属性!R281),INDEX(新属性投放!$D$42:$D$62,卡牌属性!R281))*INDEX($G$5:$G$42,L281)/SQRT(INDEX($I$5:$I$42,L281)),2)</f>
        <v>28.75</v>
      </c>
      <c r="AA281" s="29" t="s">
        <v>178</v>
      </c>
      <c r="AB281" s="14">
        <f>ROUND(IF(Q281=1,INDEX(新属性投放!$E$14:$E$34,卡牌属性!R281),INDEX(新属性投放!$E$42:$E$62,卡牌属性!R281))*INDEX($G$5:$G$42,L281),2)</f>
        <v>14.38</v>
      </c>
      <c r="AC281" s="29" t="s">
        <v>179</v>
      </c>
      <c r="AD281" s="14">
        <f>ROUND(IF(Q281=1,INDEX(新属性投放!$F$14:$F$34,卡牌属性!R281),INDEX(新属性投放!$F$42:$F$62,卡牌属性!R281))*INDEX($G$5:$G$42,L281)*SQRT(INDEX($I$5:$I$42,L281)),2)</f>
        <v>86.25</v>
      </c>
      <c r="AF281" s="14">
        <f t="shared" si="81"/>
        <v>287</v>
      </c>
      <c r="AG281" s="14">
        <f t="shared" si="82"/>
        <v>143</v>
      </c>
      <c r="AH281" s="14">
        <f t="shared" si="83"/>
        <v>862</v>
      </c>
      <c r="AJ281" s="14">
        <f t="shared" si="84"/>
        <v>919</v>
      </c>
      <c r="AK281" s="14">
        <f t="shared" si="85"/>
        <v>458</v>
      </c>
      <c r="AL281" s="14">
        <f t="shared" si="86"/>
        <v>2759</v>
      </c>
    </row>
    <row r="282" spans="11:38" ht="16.5" x14ac:dyDescent="0.2">
      <c r="K282" s="13">
        <v>279</v>
      </c>
      <c r="L282" s="13">
        <f t="shared" si="75"/>
        <v>14</v>
      </c>
      <c r="M282" s="13">
        <f t="shared" si="76"/>
        <v>3</v>
      </c>
      <c r="N282" s="14">
        <f t="shared" si="77"/>
        <v>1101014</v>
      </c>
      <c r="O282" s="14" t="str">
        <f t="shared" si="78"/>
        <v>吕仙宫6突</v>
      </c>
      <c r="P282" s="29" t="s">
        <v>341</v>
      </c>
      <c r="Q282" s="14">
        <f t="shared" si="79"/>
        <v>1</v>
      </c>
      <c r="R282" s="14">
        <f t="shared" si="80"/>
        <v>6</v>
      </c>
      <c r="S282" s="14" t="s">
        <v>39</v>
      </c>
      <c r="T282" s="14">
        <f>ROUND(((IF(Q282=1,INDEX(新属性投放!$J$14:$J$34,卡牌属性!R282),INDEX(新属性投放!$J$42:$J$62,卡牌属性!R282)))*INDEX($G$5:$G$42,L282)+IF(Q282=1,INDEX(新属性投放!R$20:R$23,卡牌属性!M282-1),INDEX(新属性投放!R$25:R$28,卡牌属性!M282-1)))/SQRT(INDEX($I$5:$I$42,L282)),2)</f>
        <v>1279.9000000000001</v>
      </c>
      <c r="U282" s="29" t="s">
        <v>178</v>
      </c>
      <c r="V282" s="14">
        <f>ROUND((IF(Q282=1,INDEX(新属性投放!$K$14:$K$34,卡牌属性!R282),INDEX(新属性投放!$K$42:$K$62,卡牌属性!R282))+IF(Q282=1,INDEX(新属性投放!S$20:S$23,卡牌属性!M282-1),INDEX(新属性投放!S$25:S$28,卡牌属性!M282-1)))*INDEX($G$5:$G$42,L282),2)</f>
        <v>568.1</v>
      </c>
      <c r="W282" s="29" t="s">
        <v>179</v>
      </c>
      <c r="X282" s="14">
        <f>ROUND((IF(Q282=1,INDEX(新属性投放!$L$14:$L$34,卡牌属性!R282),INDEX(新属性投放!$L$42:$L$62,卡牌属性!R282))*INDEX($G$5:$G$42,L282)+IF(Q282=1,INDEX(新属性投放!T$20:T$23,卡牌属性!M282-1),INDEX(新属性投放!T$25:T$28,卡牌属性!M282-1)))*SQRT(INDEX($I$5:$I$42,L282)),2)</f>
        <v>4404.7</v>
      </c>
      <c r="Y282" s="29" t="s">
        <v>177</v>
      </c>
      <c r="Z282" s="14">
        <f>ROUND(IF(Q282=1,INDEX(新属性投放!$D$14:$D$34,卡牌属性!R282),INDEX(新属性投放!$D$42:$D$62,卡牌属性!R282))*INDEX($G$5:$G$42,L282)/SQRT(INDEX($I$5:$I$42,L282)),2)</f>
        <v>34.5</v>
      </c>
      <c r="AA282" s="29" t="s">
        <v>178</v>
      </c>
      <c r="AB282" s="14">
        <f>ROUND(IF(Q282=1,INDEX(新属性投放!$E$14:$E$34,卡牌属性!R282),INDEX(新属性投放!$E$42:$E$62,卡牌属性!R282))*INDEX($G$5:$G$42,L282),2)</f>
        <v>17.25</v>
      </c>
      <c r="AC282" s="29" t="s">
        <v>179</v>
      </c>
      <c r="AD282" s="14">
        <f>ROUND(IF(Q282=1,INDEX(新属性投放!$F$14:$F$34,卡牌属性!R282),INDEX(新属性投放!$F$42:$F$62,卡牌属性!R282))*INDEX($G$5:$G$42,L282)*SQRT(INDEX($I$5:$I$42,L282)),2)</f>
        <v>103.5</v>
      </c>
      <c r="AF282" s="14">
        <f t="shared" si="81"/>
        <v>345</v>
      </c>
      <c r="AG282" s="14">
        <f t="shared" si="82"/>
        <v>172</v>
      </c>
      <c r="AH282" s="14">
        <f t="shared" si="83"/>
        <v>1035</v>
      </c>
      <c r="AJ282" s="14">
        <f t="shared" si="84"/>
        <v>1264</v>
      </c>
      <c r="AK282" s="14">
        <f t="shared" si="85"/>
        <v>630</v>
      </c>
      <c r="AL282" s="14">
        <f t="shared" si="86"/>
        <v>3794</v>
      </c>
    </row>
    <row r="283" spans="11:38" ht="16.5" x14ac:dyDescent="0.2">
      <c r="K283" s="13">
        <v>280</v>
      </c>
      <c r="L283" s="13">
        <f t="shared" si="75"/>
        <v>14</v>
      </c>
      <c r="M283" s="13">
        <f t="shared" si="76"/>
        <v>3</v>
      </c>
      <c r="N283" s="14">
        <f t="shared" si="77"/>
        <v>1101014</v>
      </c>
      <c r="O283" s="14" t="str">
        <f t="shared" si="78"/>
        <v>吕仙宫7突</v>
      </c>
      <c r="P283" s="29" t="s">
        <v>341</v>
      </c>
      <c r="Q283" s="14">
        <f t="shared" si="79"/>
        <v>1</v>
      </c>
      <c r="R283" s="14">
        <f t="shared" si="80"/>
        <v>7</v>
      </c>
      <c r="S283" s="14" t="s">
        <v>39</v>
      </c>
      <c r="T283" s="14">
        <f>ROUND(((IF(Q283=1,INDEX(新属性投放!$J$14:$J$34,卡牌属性!R283),INDEX(新属性投放!$J$42:$J$62,卡牌属性!R283)))*INDEX($G$5:$G$42,L283)+IF(Q283=1,INDEX(新属性投放!R$20:R$23,卡牌属性!M283-1),INDEX(新属性投放!R$25:R$28,卡牌属性!M283-1)))/SQRT(INDEX($I$5:$I$42,L283)),2)</f>
        <v>1711.15</v>
      </c>
      <c r="U283" s="29" t="s">
        <v>178</v>
      </c>
      <c r="V283" s="14">
        <f>ROUND((IF(Q283=1,INDEX(新属性投放!$K$14:$K$34,卡牌属性!R283),INDEX(新属性投放!$K$42:$K$62,卡牌属性!R283))+IF(Q283=1,INDEX(新属性投放!S$20:S$23,卡牌属性!M283-1),INDEX(新属性投放!S$25:S$28,卡牌属性!M283-1)))*INDEX($G$5:$G$42,L283),2)</f>
        <v>784.3</v>
      </c>
      <c r="W283" s="29" t="s">
        <v>179</v>
      </c>
      <c r="X283" s="14">
        <f>ROUND((IF(Q283=1,INDEX(新属性投放!$L$14:$L$34,卡牌属性!R283),INDEX(新属性投放!$L$42:$L$62,卡牌属性!R283))*INDEX($G$5:$G$42,L283)+IF(Q283=1,INDEX(新属性投放!T$20:T$23,卡牌属性!M283-1),INDEX(新属性投放!T$25:T$28,卡牌属性!M283-1)))*SQRT(INDEX($I$5:$I$42,L283)),2)</f>
        <v>5698.45</v>
      </c>
      <c r="Y283" s="29" t="s">
        <v>177</v>
      </c>
      <c r="Z283" s="14">
        <f>ROUND(IF(Q283=1,INDEX(新属性投放!$D$14:$D$34,卡牌属性!R283),INDEX(新属性投放!$D$42:$D$62,卡牌属性!R283))*INDEX($G$5:$G$42,L283)/SQRT(INDEX($I$5:$I$42,L283)),2)</f>
        <v>40.25</v>
      </c>
      <c r="AA283" s="29" t="s">
        <v>178</v>
      </c>
      <c r="AB283" s="14">
        <f>ROUND(IF(Q283=1,INDEX(新属性投放!$E$14:$E$34,卡牌属性!R283),INDEX(新属性投放!$E$42:$E$62,卡牌属性!R283))*INDEX($G$5:$G$42,L283),2)</f>
        <v>20.13</v>
      </c>
      <c r="AC283" s="29" t="s">
        <v>179</v>
      </c>
      <c r="AD283" s="14">
        <f>ROUND(IF(Q283=1,INDEX(新属性投放!$F$14:$F$34,卡牌属性!R283),INDEX(新属性投放!$F$42:$F$62,卡牌属性!R283))*INDEX($G$5:$G$42,L283)*SQRT(INDEX($I$5:$I$42,L283)),2)</f>
        <v>120.75</v>
      </c>
      <c r="AF283" s="14">
        <f t="shared" si="81"/>
        <v>402</v>
      </c>
      <c r="AG283" s="14">
        <f t="shared" si="82"/>
        <v>201</v>
      </c>
      <c r="AH283" s="14">
        <f t="shared" si="83"/>
        <v>1207</v>
      </c>
      <c r="AJ283" s="14">
        <f t="shared" si="84"/>
        <v>1666</v>
      </c>
      <c r="AK283" s="14">
        <f t="shared" si="85"/>
        <v>831</v>
      </c>
      <c r="AL283" s="14">
        <f t="shared" si="86"/>
        <v>5001</v>
      </c>
    </row>
    <row r="284" spans="11:38" ht="16.5" x14ac:dyDescent="0.2">
      <c r="K284" s="13">
        <v>281</v>
      </c>
      <c r="L284" s="13">
        <f t="shared" si="75"/>
        <v>14</v>
      </c>
      <c r="M284" s="13">
        <f t="shared" si="76"/>
        <v>3</v>
      </c>
      <c r="N284" s="14">
        <f t="shared" si="77"/>
        <v>1101014</v>
      </c>
      <c r="O284" s="14" t="str">
        <f t="shared" si="78"/>
        <v>吕仙宫8突</v>
      </c>
      <c r="P284" s="29" t="s">
        <v>341</v>
      </c>
      <c r="Q284" s="14">
        <f t="shared" si="79"/>
        <v>1</v>
      </c>
      <c r="R284" s="14">
        <f t="shared" si="80"/>
        <v>8</v>
      </c>
      <c r="S284" s="14" t="s">
        <v>39</v>
      </c>
      <c r="T284" s="14">
        <f>ROUND(((IF(Q284=1,INDEX(新属性投放!$J$14:$J$34,卡牌属性!R284),INDEX(新属性投放!$J$42:$J$62,卡牌属性!R284)))*INDEX($G$5:$G$42,L284)+IF(Q284=1,INDEX(新属性投放!R$20:R$23,卡牌属性!M284-1),INDEX(新属性投放!R$25:R$28,卡牌属性!M284-1)))/SQRT(INDEX($I$5:$I$42,L284)),2)</f>
        <v>2214.85</v>
      </c>
      <c r="U284" s="29" t="s">
        <v>178</v>
      </c>
      <c r="V284" s="14">
        <f>ROUND((IF(Q284=1,INDEX(新属性投放!$K$14:$K$34,卡牌属性!R284),INDEX(新属性投放!$K$42:$K$62,卡牌属性!R284))+IF(Q284=1,INDEX(新属性投放!S$20:S$23,卡牌属性!M284-1),INDEX(新属性投放!S$25:S$28,卡牌属性!M284-1)))*INDEX($G$5:$G$42,L284),2)</f>
        <v>1036.1500000000001</v>
      </c>
      <c r="W284" s="29" t="s">
        <v>179</v>
      </c>
      <c r="X284" s="14">
        <f>ROUND((IF(Q284=1,INDEX(新属性投放!$L$14:$L$34,卡牌属性!R284),INDEX(新属性投放!$L$42:$L$62,卡牌属性!R284))*INDEX($G$5:$G$42,L284)+IF(Q284=1,INDEX(新属性投放!T$20:T$23,卡牌属性!M284-1),INDEX(新属性投放!T$25:T$28,卡牌属性!M284-1)))*SQRT(INDEX($I$5:$I$42,L284)),2)</f>
        <v>7209.55</v>
      </c>
      <c r="Y284" s="29" t="s">
        <v>177</v>
      </c>
      <c r="Z284" s="14">
        <f>ROUND(IF(Q284=1,INDEX(新属性投放!$D$14:$D$34,卡牌属性!R284),INDEX(新属性投放!$D$42:$D$62,卡牌属性!R284))*INDEX($G$5:$G$42,L284)/SQRT(INDEX($I$5:$I$42,L284)),2)</f>
        <v>51.75</v>
      </c>
      <c r="AA284" s="29" t="s">
        <v>178</v>
      </c>
      <c r="AB284" s="14">
        <f>ROUND(IF(Q284=1,INDEX(新属性投放!$E$14:$E$34,卡牌属性!R284),INDEX(新属性投放!$E$42:$E$62,卡牌属性!R284))*INDEX($G$5:$G$42,L284),2)</f>
        <v>25.88</v>
      </c>
      <c r="AC284" s="29" t="s">
        <v>179</v>
      </c>
      <c r="AD284" s="14">
        <f>ROUND(IF(Q284=1,INDEX(新属性投放!$F$14:$F$34,卡牌属性!R284),INDEX(新属性投放!$F$42:$F$62,卡牌属性!R284))*INDEX($G$5:$G$42,L284)*SQRT(INDEX($I$5:$I$42,L284)),2)</f>
        <v>155.25</v>
      </c>
      <c r="AF284" s="14">
        <f t="shared" si="81"/>
        <v>517</v>
      </c>
      <c r="AG284" s="14">
        <f t="shared" si="82"/>
        <v>258</v>
      </c>
      <c r="AH284" s="14">
        <f t="shared" si="83"/>
        <v>1552</v>
      </c>
      <c r="AJ284" s="14">
        <f t="shared" si="84"/>
        <v>2183</v>
      </c>
      <c r="AK284" s="14">
        <f t="shared" si="85"/>
        <v>1089</v>
      </c>
      <c r="AL284" s="14">
        <f t="shared" si="86"/>
        <v>6553</v>
      </c>
    </row>
    <row r="285" spans="11:38" ht="16.5" x14ac:dyDescent="0.2">
      <c r="K285" s="13">
        <v>282</v>
      </c>
      <c r="L285" s="13">
        <f t="shared" si="75"/>
        <v>14</v>
      </c>
      <c r="M285" s="13">
        <f t="shared" si="76"/>
        <v>3</v>
      </c>
      <c r="N285" s="14">
        <f t="shared" si="77"/>
        <v>1101014</v>
      </c>
      <c r="O285" s="14" t="str">
        <f t="shared" si="78"/>
        <v>吕仙宫9突</v>
      </c>
      <c r="P285" s="29" t="s">
        <v>341</v>
      </c>
      <c r="Q285" s="14">
        <f t="shared" si="79"/>
        <v>1</v>
      </c>
      <c r="R285" s="14">
        <f t="shared" si="80"/>
        <v>9</v>
      </c>
      <c r="S285" s="14" t="s">
        <v>39</v>
      </c>
      <c r="T285" s="14">
        <f>ROUND(((IF(Q285=1,INDEX(新属性投放!$J$14:$J$34,卡牌属性!R285),INDEX(新属性投放!$J$42:$J$62,卡牌属性!R285)))*INDEX($G$5:$G$42,L285)+IF(Q285=1,INDEX(新属性投放!R$20:R$23,卡牌属性!M285-1),INDEX(新属性投放!R$25:R$28,卡牌属性!M285-1)))/SQRT(INDEX($I$5:$I$42,L285)),2)</f>
        <v>2862.3</v>
      </c>
      <c r="U285" s="29" t="s">
        <v>178</v>
      </c>
      <c r="V285" s="14">
        <f>ROUND((IF(Q285=1,INDEX(新属性投放!$K$14:$K$34,卡牌属性!R285),INDEX(新属性投放!$K$42:$K$62,卡牌属性!R285))+IF(Q285=1,INDEX(新属性投放!S$20:S$23,卡牌属性!M285-1),INDEX(新属性投放!S$25:S$28,卡牌属性!M285-1)))*INDEX($G$5:$G$42,L285),2)</f>
        <v>1359.3</v>
      </c>
      <c r="W285" s="29" t="s">
        <v>179</v>
      </c>
      <c r="X285" s="14">
        <f>ROUND((IF(Q285=1,INDEX(新属性投放!$L$14:$L$34,卡牌属性!R285),INDEX(新属性投放!$L$42:$L$62,卡牌属性!R285))*INDEX($G$5:$G$42,L285)+IF(Q285=1,INDEX(新属性投放!T$20:T$23,卡牌属性!M285-1),INDEX(新属性投放!T$25:T$28,卡牌属性!M285-1)))*SQRT(INDEX($I$5:$I$42,L285)),2)</f>
        <v>9151.9</v>
      </c>
      <c r="Y285" s="29" t="s">
        <v>177</v>
      </c>
      <c r="Z285" s="14">
        <f>ROUND(IF(Q285=1,INDEX(新属性投放!$D$14:$D$34,卡牌属性!R285),INDEX(新属性投放!$D$42:$D$62,卡牌属性!R285))*INDEX($G$5:$G$42,L285)/SQRT(INDEX($I$5:$I$42,L285)),2)</f>
        <v>69.06</v>
      </c>
      <c r="AA285" s="29" t="s">
        <v>178</v>
      </c>
      <c r="AB285" s="14">
        <f>ROUND(IF(Q285=1,INDEX(新属性投放!$E$14:$E$34,卡牌属性!R285),INDEX(新属性投放!$E$42:$E$62,卡牌属性!R285))*INDEX($G$5:$G$42,L285),2)</f>
        <v>34.53</v>
      </c>
      <c r="AC285" s="29" t="s">
        <v>179</v>
      </c>
      <c r="AD285" s="14">
        <f>ROUND(IF(Q285=1,INDEX(新属性投放!$F$14:$F$34,卡牌属性!R285),INDEX(新属性投放!$F$42:$F$62,卡牌属性!R285))*INDEX($G$5:$G$42,L285)*SQRT(INDEX($I$5:$I$42,L285)),2)</f>
        <v>207.17</v>
      </c>
      <c r="AF285" s="14">
        <f t="shared" si="81"/>
        <v>690</v>
      </c>
      <c r="AG285" s="14">
        <f t="shared" si="82"/>
        <v>345</v>
      </c>
      <c r="AH285" s="14">
        <f t="shared" si="83"/>
        <v>2071</v>
      </c>
      <c r="AJ285" s="14">
        <f t="shared" si="84"/>
        <v>2873</v>
      </c>
      <c r="AK285" s="14">
        <f t="shared" si="85"/>
        <v>1434</v>
      </c>
      <c r="AL285" s="14">
        <f t="shared" si="86"/>
        <v>8624</v>
      </c>
    </row>
    <row r="286" spans="11:38" ht="16.5" x14ac:dyDescent="0.2">
      <c r="K286" s="13">
        <v>283</v>
      </c>
      <c r="L286" s="13">
        <f t="shared" si="75"/>
        <v>14</v>
      </c>
      <c r="M286" s="13">
        <f t="shared" si="76"/>
        <v>3</v>
      </c>
      <c r="N286" s="14">
        <f t="shared" si="77"/>
        <v>1101014</v>
      </c>
      <c r="O286" s="14" t="str">
        <f t="shared" si="78"/>
        <v>吕仙宫10突</v>
      </c>
      <c r="P286" s="29" t="s">
        <v>341</v>
      </c>
      <c r="Q286" s="14">
        <f t="shared" si="79"/>
        <v>1</v>
      </c>
      <c r="R286" s="14">
        <f t="shared" si="80"/>
        <v>10</v>
      </c>
      <c r="S286" s="14" t="s">
        <v>39</v>
      </c>
      <c r="T286" s="14">
        <f>ROUND(((IF(Q286=1,INDEX(新属性投放!$J$14:$J$34,卡牌属性!R286),INDEX(新属性投放!$J$42:$J$62,卡牌属性!R286)))*INDEX($G$5:$G$42,L286)+IF(Q286=1,INDEX(新属性投放!R$20:R$23,卡牌属性!M286-1),INDEX(新属性投放!R$25:R$28,卡牌属性!M286-1)))/SQRT(INDEX($I$5:$I$42,L286)),2)</f>
        <v>3725.38</v>
      </c>
      <c r="U286" s="29" t="s">
        <v>178</v>
      </c>
      <c r="V286" s="14">
        <f>ROUND((IF(Q286=1,INDEX(新属性投放!$K$14:$K$34,卡牌属性!R286),INDEX(新属性投放!$K$42:$K$62,卡牌属性!R286))+IF(Q286=1,INDEX(新属性投放!S$20:S$23,卡牌属性!M286-1),INDEX(新属性投放!S$25:S$28,卡牌属性!M286-1)))*INDEX($G$5:$G$42,L286),2)</f>
        <v>1790.84</v>
      </c>
      <c r="W286" s="29" t="s">
        <v>179</v>
      </c>
      <c r="X286" s="14">
        <f>ROUND((IF(Q286=1,INDEX(新属性投放!$L$14:$L$34,卡牌属性!R286),INDEX(新属性投放!$L$42:$L$62,卡牌属性!R286))*INDEX($G$5:$G$42,L286)+IF(Q286=1,INDEX(新属性投放!T$20:T$23,卡牌属性!M286-1),INDEX(新属性投放!T$25:T$28,卡牌属性!M286-1)))*SQRT(INDEX($I$5:$I$42,L286)),2)</f>
        <v>11741.13</v>
      </c>
      <c r="Y286" s="29" t="s">
        <v>177</v>
      </c>
      <c r="Z286" s="14">
        <f>ROUND(IF(Q286=1,INDEX(新属性投放!$D$14:$D$34,卡牌属性!R286),INDEX(新属性投放!$D$42:$D$62,卡牌属性!R286))*INDEX($G$5:$G$42,L286)/SQRT(INDEX($I$5:$I$42,L286)),2)</f>
        <v>90.28</v>
      </c>
      <c r="AA286" s="29" t="s">
        <v>178</v>
      </c>
      <c r="AB286" s="14">
        <f>ROUND(IF(Q286=1,INDEX(新属性投放!$E$14:$E$34,卡牌属性!R286),INDEX(新属性投放!$E$42:$E$62,卡牌属性!R286))*INDEX($G$5:$G$42,L286),2)</f>
        <v>45.14</v>
      </c>
      <c r="AC286" s="29" t="s">
        <v>179</v>
      </c>
      <c r="AD286" s="14">
        <f>ROUND(IF(Q286=1,INDEX(新属性投放!$F$14:$F$34,卡牌属性!R286),INDEX(新属性投放!$F$42:$F$62,卡牌属性!R286))*INDEX($G$5:$G$42,L286)*SQRT(INDEX($I$5:$I$42,L286)),2)</f>
        <v>270.83</v>
      </c>
      <c r="AF286" s="14">
        <f t="shared" si="81"/>
        <v>902</v>
      </c>
      <c r="AG286" s="14">
        <f t="shared" si="82"/>
        <v>451</v>
      </c>
      <c r="AH286" s="14">
        <f t="shared" si="83"/>
        <v>2708</v>
      </c>
      <c r="AJ286" s="14">
        <f t="shared" si="84"/>
        <v>3775</v>
      </c>
      <c r="AK286" s="14">
        <f t="shared" si="85"/>
        <v>1885</v>
      </c>
      <c r="AL286" s="14">
        <f t="shared" si="86"/>
        <v>11332</v>
      </c>
    </row>
    <row r="287" spans="11:38" ht="16.5" x14ac:dyDescent="0.2">
      <c r="K287" s="13">
        <v>284</v>
      </c>
      <c r="L287" s="13">
        <f t="shared" si="75"/>
        <v>14</v>
      </c>
      <c r="M287" s="13">
        <f t="shared" si="76"/>
        <v>3</v>
      </c>
      <c r="N287" s="14">
        <f t="shared" si="77"/>
        <v>1101014</v>
      </c>
      <c r="O287" s="14" t="str">
        <f t="shared" si="78"/>
        <v>吕仙宫11突</v>
      </c>
      <c r="P287" s="29" t="s">
        <v>341</v>
      </c>
      <c r="Q287" s="14">
        <f t="shared" si="79"/>
        <v>1</v>
      </c>
      <c r="R287" s="14">
        <f t="shared" si="80"/>
        <v>11</v>
      </c>
      <c r="S287" s="14" t="s">
        <v>39</v>
      </c>
      <c r="T287" s="14">
        <f>ROUND(((IF(Q287=1,INDEX(新属性投放!$J$14:$J$34,卡牌属性!R287),INDEX(新属性投放!$J$42:$J$62,卡牌属性!R287)))*INDEX($G$5:$G$42,L287)+IF(Q287=1,INDEX(新属性投放!R$20:R$23,卡牌属性!M287-1),INDEX(新属性投放!R$25:R$28,卡牌属性!M287-1)))/SQRT(INDEX($I$5:$I$42,L287)),2)</f>
        <v>4853.53</v>
      </c>
      <c r="U287" s="29" t="s">
        <v>178</v>
      </c>
      <c r="V287" s="14">
        <f>ROUND((IF(Q287=1,INDEX(新属性投放!$K$14:$K$34,卡牌属性!R287),INDEX(新属性投放!$K$42:$K$62,卡牌属性!R287))+IF(Q287=1,INDEX(新属性投放!S$20:S$23,卡牌属性!M287-1),INDEX(新属性投放!S$25:S$28,卡牌属性!M287-1)))*INDEX($G$5:$G$42,L287),2)</f>
        <v>2354.91</v>
      </c>
      <c r="W287" s="29" t="s">
        <v>179</v>
      </c>
      <c r="X287" s="14">
        <f>ROUND((IF(Q287=1,INDEX(新属性投放!$L$14:$L$34,卡牌属性!R287),INDEX(新属性投放!$L$42:$L$62,卡牌属性!R287))*INDEX($G$5:$G$42,L287)+IF(Q287=1,INDEX(新属性投放!T$20:T$23,卡牌属性!M287-1),INDEX(新属性投放!T$25:T$28,卡牌属性!M287-1)))*SQRT(INDEX($I$5:$I$42,L287)),2)</f>
        <v>15125.58</v>
      </c>
      <c r="Y287" s="29" t="s">
        <v>177</v>
      </c>
      <c r="Z287" s="14">
        <f>ROUND(IF(Q287=1,INDEX(新属性投放!$D$14:$D$34,卡牌属性!R287),INDEX(新属性投放!$D$42:$D$62,卡牌属性!R287))*INDEX($G$5:$G$42,L287)/SQRT(INDEX($I$5:$I$42,L287)),2)</f>
        <v>118.84</v>
      </c>
      <c r="AA287" s="29" t="s">
        <v>178</v>
      </c>
      <c r="AB287" s="14">
        <f>ROUND(IF(Q287=1,INDEX(新属性投放!$E$14:$E$34,卡牌属性!R287),INDEX(新属性投放!$E$42:$E$62,卡牌属性!R287))*INDEX($G$5:$G$42,L287),2)</f>
        <v>59.42</v>
      </c>
      <c r="AC287" s="29" t="s">
        <v>179</v>
      </c>
      <c r="AD287" s="14">
        <f>ROUND(IF(Q287=1,INDEX(新属性投放!$F$14:$F$34,卡牌属性!R287),INDEX(新属性投放!$F$42:$F$62,卡牌属性!R287))*INDEX($G$5:$G$42,L287)*SQRT(INDEX($I$5:$I$42,L287)),2)</f>
        <v>356.52</v>
      </c>
      <c r="AF287" s="14">
        <f t="shared" si="81"/>
        <v>1188</v>
      </c>
      <c r="AG287" s="14">
        <f t="shared" si="82"/>
        <v>594</v>
      </c>
      <c r="AH287" s="14">
        <f t="shared" si="83"/>
        <v>3565</v>
      </c>
      <c r="AJ287" s="14">
        <f t="shared" si="84"/>
        <v>4963</v>
      </c>
      <c r="AK287" s="14">
        <f t="shared" si="85"/>
        <v>2479</v>
      </c>
      <c r="AL287" s="14">
        <f t="shared" si="86"/>
        <v>14897</v>
      </c>
    </row>
    <row r="288" spans="11:38" ht="16.5" x14ac:dyDescent="0.2">
      <c r="K288" s="13">
        <v>285</v>
      </c>
      <c r="L288" s="13">
        <f t="shared" si="75"/>
        <v>14</v>
      </c>
      <c r="M288" s="13">
        <f t="shared" si="76"/>
        <v>3</v>
      </c>
      <c r="N288" s="14">
        <f t="shared" si="77"/>
        <v>1101014</v>
      </c>
      <c r="O288" s="14" t="str">
        <f t="shared" si="78"/>
        <v>吕仙宫12突</v>
      </c>
      <c r="P288" s="29" t="s">
        <v>341</v>
      </c>
      <c r="Q288" s="14">
        <f t="shared" si="79"/>
        <v>1</v>
      </c>
      <c r="R288" s="14">
        <f t="shared" si="80"/>
        <v>12</v>
      </c>
      <c r="S288" s="14" t="s">
        <v>39</v>
      </c>
      <c r="T288" s="14">
        <f>ROUND(((IF(Q288=1,INDEX(新属性投放!$J$14:$J$34,卡牌属性!R288),INDEX(新属性投放!$J$42:$J$62,卡牌属性!R288)))*INDEX($G$5:$G$42,L288)+IF(Q288=1,INDEX(新属性投放!R$20:R$23,卡牌属性!M288-1),INDEX(新属性投放!R$25:R$28,卡牌属性!M288-1)))/SQRT(INDEX($I$5:$I$42,L288)),2)</f>
        <v>6338.64</v>
      </c>
      <c r="U288" s="29" t="s">
        <v>178</v>
      </c>
      <c r="V288" s="14">
        <f>ROUND((IF(Q288=1,INDEX(新属性投放!$K$14:$K$34,卡牌属性!R288),INDEX(新属性投放!$K$42:$K$62,卡牌属性!R288))+IF(Q288=1,INDEX(新属性投放!S$20:S$23,卡牌属性!M288-1),INDEX(新属性投放!S$25:S$28,卡牌属性!M288-1)))*INDEX($G$5:$G$42,L288),2)</f>
        <v>3097.47</v>
      </c>
      <c r="W288" s="29" t="s">
        <v>179</v>
      </c>
      <c r="X288" s="14">
        <f>ROUND((IF(Q288=1,INDEX(新属性投放!$L$14:$L$34,卡牌属性!R288),INDEX(新属性投放!$L$42:$L$62,卡牌属性!R288))*INDEX($G$5:$G$42,L288)+IF(Q288=1,INDEX(新属性投放!T$20:T$23,卡牌属性!M288-1),INDEX(新属性投放!T$25:T$28,卡牌属性!M288-1)))*SQRT(INDEX($I$5:$I$42,L288)),2)</f>
        <v>19580.91</v>
      </c>
      <c r="Y288" s="29" t="s">
        <v>177</v>
      </c>
      <c r="Z288" s="14">
        <f>ROUND(IF(Q288=1,INDEX(新属性投放!$D$14:$D$34,卡牌属性!R288),INDEX(新属性投放!$D$42:$D$62,卡牌属性!R288))*INDEX($G$5:$G$42,L288)/SQRT(INDEX($I$5:$I$42,L288)),2)</f>
        <v>155.96</v>
      </c>
      <c r="AA288" s="29" t="s">
        <v>178</v>
      </c>
      <c r="AB288" s="14">
        <f>ROUND(IF(Q288=1,INDEX(新属性投放!$E$14:$E$34,卡牌属性!R288),INDEX(新属性投放!$E$42:$E$62,卡牌属性!R288))*INDEX($G$5:$G$42,L288),2)</f>
        <v>77.98</v>
      </c>
      <c r="AC288" s="29" t="s">
        <v>179</v>
      </c>
      <c r="AD288" s="14">
        <f>ROUND(IF(Q288=1,INDEX(新属性投放!$F$14:$F$34,卡牌属性!R288),INDEX(新属性投放!$F$42:$F$62,卡牌属性!R288))*INDEX($G$5:$G$42,L288)*SQRT(INDEX($I$5:$I$42,L288)),2)</f>
        <v>467.89</v>
      </c>
      <c r="AF288" s="14">
        <f t="shared" si="81"/>
        <v>1559</v>
      </c>
      <c r="AG288" s="14">
        <f t="shared" si="82"/>
        <v>779</v>
      </c>
      <c r="AH288" s="14">
        <f t="shared" si="83"/>
        <v>4678</v>
      </c>
      <c r="AJ288" s="14">
        <f t="shared" si="84"/>
        <v>6522</v>
      </c>
      <c r="AK288" s="14">
        <f t="shared" si="85"/>
        <v>3258</v>
      </c>
      <c r="AL288" s="14">
        <f t="shared" si="86"/>
        <v>19575</v>
      </c>
    </row>
    <row r="289" spans="11:38" ht="16.5" x14ac:dyDescent="0.2">
      <c r="K289" s="13">
        <v>286</v>
      </c>
      <c r="L289" s="13">
        <f t="shared" si="75"/>
        <v>14</v>
      </c>
      <c r="M289" s="13">
        <f t="shared" si="76"/>
        <v>3</v>
      </c>
      <c r="N289" s="14">
        <f t="shared" si="77"/>
        <v>1101014</v>
      </c>
      <c r="O289" s="14" t="str">
        <f t="shared" si="78"/>
        <v>吕仙宫13突</v>
      </c>
      <c r="P289" s="29" t="s">
        <v>341</v>
      </c>
      <c r="Q289" s="14">
        <f t="shared" si="79"/>
        <v>1</v>
      </c>
      <c r="R289" s="14">
        <f t="shared" si="80"/>
        <v>13</v>
      </c>
      <c r="S289" s="14" t="s">
        <v>39</v>
      </c>
      <c r="T289" s="14">
        <f>ROUND(((IF(Q289=1,INDEX(新属性投放!$J$14:$J$34,卡牌属性!R289),INDEX(新属性投放!$J$42:$J$62,卡牌属性!R289)))*INDEX($G$5:$G$42,L289)+IF(Q289=1,INDEX(新属性投放!R$20:R$23,卡牌属性!M289-1),INDEX(新属性投放!R$25:R$28,卡牌属性!M289-1)))/SQRT(INDEX($I$5:$I$42,L289)),2)</f>
        <v>8288.1200000000008</v>
      </c>
      <c r="U289" s="29" t="s">
        <v>178</v>
      </c>
      <c r="V289" s="14">
        <f>ROUND((IF(Q289=1,INDEX(新属性投放!$K$14:$K$34,卡牌属性!R289),INDEX(新属性投放!$K$42:$K$62,卡牌属性!R289))+IF(Q289=1,INDEX(新属性投放!S$20:S$23,卡牌属性!M289-1),INDEX(新属性投放!S$25:S$28,卡牌属性!M289-1)))*INDEX($G$5:$G$42,L289),2)</f>
        <v>4072.78</v>
      </c>
      <c r="W289" s="29" t="s">
        <v>179</v>
      </c>
      <c r="X289" s="14">
        <f>ROUND((IF(Q289=1,INDEX(新属性投放!$L$14:$L$34,卡牌属性!R289),INDEX(新属性投放!$L$42:$L$62,卡牌属性!R289))*INDEX($G$5:$G$42,L289)+IF(Q289=1,INDEX(新属性投放!T$20:T$23,卡牌属性!M289-1),INDEX(新属性投放!T$25:T$28,卡牌属性!M289-1)))*SQRT(INDEX($I$5:$I$42,L289)),2)</f>
        <v>25429.35</v>
      </c>
      <c r="Y289" s="29" t="s">
        <v>177</v>
      </c>
      <c r="Z289" s="14">
        <f>ROUND(IF(Q289=1,INDEX(新属性投放!$D$14:$D$34,卡牌属性!R289),INDEX(新属性投放!$D$42:$D$62,卡牌属性!R289))*INDEX($G$5:$G$42,L289)/SQRT(INDEX($I$5:$I$42,L289)),2)</f>
        <v>204.7</v>
      </c>
      <c r="AA289" s="29" t="s">
        <v>178</v>
      </c>
      <c r="AB289" s="14">
        <f>ROUND(IF(Q289=1,INDEX(新属性投放!$E$14:$E$34,卡牌属性!R289),INDEX(新属性投放!$E$42:$E$62,卡牌属性!R289))*INDEX($G$5:$G$42,L289),2)</f>
        <v>102.35</v>
      </c>
      <c r="AC289" s="29" t="s">
        <v>179</v>
      </c>
      <c r="AD289" s="14">
        <f>ROUND(IF(Q289=1,INDEX(新属性投放!$F$14:$F$34,卡牌属性!R289),INDEX(新属性投放!$F$42:$F$62,卡牌属性!R289))*INDEX($G$5:$G$42,L289)*SQRT(INDEX($I$5:$I$42,L289)),2)</f>
        <v>614.1</v>
      </c>
      <c r="AF289" s="14">
        <f t="shared" si="81"/>
        <v>2047</v>
      </c>
      <c r="AG289" s="14">
        <f t="shared" si="82"/>
        <v>1023</v>
      </c>
      <c r="AH289" s="14">
        <f t="shared" si="83"/>
        <v>6141</v>
      </c>
      <c r="AJ289" s="14">
        <f t="shared" si="84"/>
        <v>8569</v>
      </c>
      <c r="AK289" s="14">
        <f t="shared" si="85"/>
        <v>4281</v>
      </c>
      <c r="AL289" s="14">
        <f t="shared" si="86"/>
        <v>25716</v>
      </c>
    </row>
    <row r="290" spans="11:38" ht="16.5" x14ac:dyDescent="0.2">
      <c r="K290" s="13">
        <v>287</v>
      </c>
      <c r="L290" s="13">
        <f t="shared" si="75"/>
        <v>14</v>
      </c>
      <c r="M290" s="13">
        <f t="shared" si="76"/>
        <v>3</v>
      </c>
      <c r="N290" s="14">
        <f t="shared" si="77"/>
        <v>1101014</v>
      </c>
      <c r="O290" s="14" t="str">
        <f t="shared" si="78"/>
        <v>吕仙宫14突</v>
      </c>
      <c r="P290" s="29" t="s">
        <v>341</v>
      </c>
      <c r="Q290" s="14">
        <f t="shared" si="79"/>
        <v>1</v>
      </c>
      <c r="R290" s="14">
        <f t="shared" si="80"/>
        <v>14</v>
      </c>
      <c r="S290" s="14" t="s">
        <v>39</v>
      </c>
      <c r="T290" s="14">
        <f>ROUND(((IF(Q290=1,INDEX(新属性投放!$J$14:$J$34,卡牌属性!R290),INDEX(新属性投放!$J$42:$J$62,卡牌属性!R290)))*INDEX($G$5:$G$42,L290)+IF(Q290=1,INDEX(新属性投放!R$20:R$23,卡牌属性!M290-1),INDEX(新属性投放!R$25:R$28,卡牌属性!M290-1)))/SQRT(INDEX($I$5:$I$42,L290)),2)</f>
        <v>10846.87</v>
      </c>
      <c r="U290" s="29" t="s">
        <v>178</v>
      </c>
      <c r="V290" s="14">
        <f>ROUND((IF(Q290=1,INDEX(新属性投放!$K$14:$K$34,卡牌属性!R290),INDEX(新属性投放!$K$42:$K$62,卡牌属性!R290))+IF(Q290=1,INDEX(新属性投放!S$20:S$23,卡牌属性!M290-1),INDEX(新属性投放!S$25:S$28,卡牌属性!M290-1)))*INDEX($G$5:$G$42,L290),2)</f>
        <v>5352.73</v>
      </c>
      <c r="W290" s="29" t="s">
        <v>179</v>
      </c>
      <c r="X290" s="14">
        <f>ROUND((IF(Q290=1,INDEX(新属性投放!$L$14:$L$34,卡牌属性!R290),INDEX(新属性投放!$L$42:$L$62,卡牌属性!R290))*INDEX($G$5:$G$42,L290)+IF(Q290=1,INDEX(新属性投放!T$20:T$23,卡牌属性!M290-1),INDEX(新属性投放!T$25:T$28,卡牌属性!M290-1)))*SQRT(INDEX($I$5:$I$42,L290)),2)</f>
        <v>33105.599999999999</v>
      </c>
      <c r="Y290" s="29" t="s">
        <v>177</v>
      </c>
      <c r="Z290" s="14">
        <f>ROUND(IF(Q290=1,INDEX(新属性投放!$D$14:$D$34,卡牌属性!R290),INDEX(新属性投放!$D$42:$D$62,卡牌属性!R290))*INDEX($G$5:$G$42,L290)/SQRT(INDEX($I$5:$I$42,L290)),2)</f>
        <v>268.67</v>
      </c>
      <c r="AA290" s="29" t="s">
        <v>178</v>
      </c>
      <c r="AB290" s="14">
        <f>ROUND(IF(Q290=1,INDEX(新属性投放!$E$14:$E$34,卡牌属性!R290),INDEX(新属性投放!$E$42:$E$62,卡牌属性!R290))*INDEX($G$5:$G$42,L290),2)</f>
        <v>134.34</v>
      </c>
      <c r="AC290" s="29" t="s">
        <v>179</v>
      </c>
      <c r="AD290" s="14">
        <f>ROUND(IF(Q290=1,INDEX(新属性投放!$F$14:$F$34,卡牌属性!R290),INDEX(新属性投放!$F$42:$F$62,卡牌属性!R290))*INDEX($G$5:$G$42,L290)*SQRT(INDEX($I$5:$I$42,L290)),2)</f>
        <v>806.02</v>
      </c>
      <c r="AF290" s="14">
        <f t="shared" si="81"/>
        <v>2686</v>
      </c>
      <c r="AG290" s="14">
        <f t="shared" si="82"/>
        <v>1343</v>
      </c>
      <c r="AH290" s="14">
        <f t="shared" si="83"/>
        <v>8060</v>
      </c>
      <c r="AJ290" s="14">
        <f t="shared" si="84"/>
        <v>11255</v>
      </c>
      <c r="AK290" s="14">
        <f t="shared" si="85"/>
        <v>5624</v>
      </c>
      <c r="AL290" s="14">
        <f t="shared" si="86"/>
        <v>33776</v>
      </c>
    </row>
    <row r="291" spans="11:38" ht="16.5" x14ac:dyDescent="0.2">
      <c r="K291" s="13">
        <v>288</v>
      </c>
      <c r="L291" s="13">
        <f t="shared" si="75"/>
        <v>14</v>
      </c>
      <c r="M291" s="13">
        <f t="shared" si="76"/>
        <v>3</v>
      </c>
      <c r="N291" s="14">
        <f t="shared" si="77"/>
        <v>1101014</v>
      </c>
      <c r="O291" s="14" t="str">
        <f t="shared" si="78"/>
        <v>吕仙宫15突</v>
      </c>
      <c r="P291" s="29" t="s">
        <v>341</v>
      </c>
      <c r="Q291" s="14">
        <f t="shared" si="79"/>
        <v>1</v>
      </c>
      <c r="R291" s="14">
        <f t="shared" si="80"/>
        <v>15</v>
      </c>
      <c r="S291" s="14" t="s">
        <v>39</v>
      </c>
      <c r="T291" s="14">
        <f>ROUND(((IF(Q291=1,INDEX(新属性投放!$J$14:$J$34,卡牌属性!R291),INDEX(新属性投放!$J$42:$J$62,卡牌属性!R291)))*INDEX($G$5:$G$42,L291)+IF(Q291=1,INDEX(新属性投放!R$20:R$23,卡牌属性!M291-1),INDEX(新属性投放!R$25:R$28,卡牌属性!M291-1)))/SQRT(INDEX($I$5:$I$42,L291)),2)</f>
        <v>14205.21</v>
      </c>
      <c r="U291" s="29" t="s">
        <v>178</v>
      </c>
      <c r="V291" s="14">
        <f>ROUND((IF(Q291=1,INDEX(新属性投放!$K$14:$K$34,卡牌属性!R291),INDEX(新属性投放!$K$42:$K$62,卡牌属性!R291))+IF(Q291=1,INDEX(新属性投放!S$20:S$23,卡牌属性!M291-1),INDEX(新属性投放!S$25:S$28,卡牌属性!M291-1)))*INDEX($G$5:$G$42,L291),2)</f>
        <v>7031.91</v>
      </c>
      <c r="W291" s="29" t="s">
        <v>179</v>
      </c>
      <c r="X291" s="14">
        <f>ROUND((IF(Q291=1,INDEX(新属性投放!$L$14:$L$34,卡牌属性!R291),INDEX(新属性投放!$L$42:$L$62,卡牌属性!R291))*INDEX($G$5:$G$42,L291)+IF(Q291=1,INDEX(新属性投放!T$20:T$23,卡牌属性!M291-1),INDEX(新属性投放!T$25:T$28,卡牌属性!M291-1)))*SQRT(INDEX($I$5:$I$42,L291)),2)</f>
        <v>43180.63</v>
      </c>
      <c r="Y291" s="29" t="s">
        <v>177</v>
      </c>
      <c r="Z291" s="14">
        <f>ROUND(IF(Q291=1,INDEX(新属性投放!$D$14:$D$34,卡牌属性!R291),INDEX(新属性投放!$D$42:$D$62,卡牌属性!R291))*INDEX($G$5:$G$42,L291)/SQRT(INDEX($I$5:$I$42,L291)),2)</f>
        <v>352.64</v>
      </c>
      <c r="AA291" s="29" t="s">
        <v>178</v>
      </c>
      <c r="AB291" s="14">
        <f>ROUND(IF(Q291=1,INDEX(新属性投放!$E$14:$E$34,卡牌属性!R291),INDEX(新属性投放!$E$42:$E$62,卡牌属性!R291))*INDEX($G$5:$G$42,L291),2)</f>
        <v>176.32</v>
      </c>
      <c r="AC291" s="29" t="s">
        <v>179</v>
      </c>
      <c r="AD291" s="14">
        <f>ROUND(IF(Q291=1,INDEX(新属性投放!$F$14:$F$34,卡牌属性!R291),INDEX(新属性投放!$F$42:$F$62,卡牌属性!R291))*INDEX($G$5:$G$42,L291)*SQRT(INDEX($I$5:$I$42,L291)),2)</f>
        <v>1057.9100000000001</v>
      </c>
      <c r="AF291" s="14">
        <f t="shared" si="81"/>
        <v>3526</v>
      </c>
      <c r="AG291" s="14">
        <f t="shared" si="82"/>
        <v>1763</v>
      </c>
      <c r="AH291" s="14">
        <f t="shared" si="83"/>
        <v>10579</v>
      </c>
      <c r="AJ291" s="14">
        <f t="shared" si="84"/>
        <v>14781</v>
      </c>
      <c r="AK291" s="14">
        <f t="shared" si="85"/>
        <v>7387</v>
      </c>
      <c r="AL291" s="14">
        <f t="shared" si="86"/>
        <v>44355</v>
      </c>
    </row>
    <row r="292" spans="11:38" ht="16.5" x14ac:dyDescent="0.2">
      <c r="K292" s="13">
        <v>289</v>
      </c>
      <c r="L292" s="13">
        <f t="shared" si="75"/>
        <v>14</v>
      </c>
      <c r="M292" s="13">
        <f t="shared" si="76"/>
        <v>3</v>
      </c>
      <c r="N292" s="14">
        <f t="shared" si="77"/>
        <v>1101014</v>
      </c>
      <c r="O292" s="14" t="str">
        <f t="shared" si="78"/>
        <v>吕仙宫16突</v>
      </c>
      <c r="P292" s="29" t="s">
        <v>341</v>
      </c>
      <c r="Q292" s="14">
        <f t="shared" si="79"/>
        <v>1</v>
      </c>
      <c r="R292" s="14">
        <f t="shared" si="80"/>
        <v>16</v>
      </c>
      <c r="S292" s="14" t="s">
        <v>39</v>
      </c>
      <c r="T292" s="14">
        <f>ROUND(((IF(Q292=1,INDEX(新属性投放!$J$14:$J$34,卡牌属性!R292),INDEX(新属性投放!$J$42:$J$62,卡牌属性!R292)))*INDEX($G$5:$G$42,L292)+IF(Q292=1,INDEX(新属性投放!R$20:R$23,卡牌属性!M292-1),INDEX(新属性投放!R$25:R$28,卡牌属性!M292-1)))/SQRT(INDEX($I$5:$I$42,L292)),2)</f>
        <v>18613.62</v>
      </c>
      <c r="U292" s="29" t="s">
        <v>178</v>
      </c>
      <c r="V292" s="14">
        <f>ROUND((IF(Q292=1,INDEX(新属性投放!$K$14:$K$34,卡牌属性!R292),INDEX(新属性投放!$K$42:$K$62,卡牌属性!R292))+IF(Q292=1,INDEX(新属性投放!S$20:S$23,卡牌属性!M292-1),INDEX(新属性投放!S$25:S$28,卡牌属性!M292-1)))*INDEX($G$5:$G$42,L292),2)</f>
        <v>9235.5400000000009</v>
      </c>
      <c r="W292" s="29" t="s">
        <v>179</v>
      </c>
      <c r="X292" s="14">
        <f>ROUND((IF(Q292=1,INDEX(新属性投放!$L$14:$L$34,卡牌属性!R292),INDEX(新属性投放!$L$42:$L$62,卡牌属性!R292))*INDEX($G$5:$G$42,L292)+IF(Q292=1,INDEX(新属性投放!T$20:T$23,卡牌属性!M292-1),INDEX(新属性投放!T$25:T$28,卡牌属性!M292-1)))*SQRT(INDEX($I$5:$I$42,L292)),2)</f>
        <v>56405.86</v>
      </c>
      <c r="Y292" s="29" t="s">
        <v>177</v>
      </c>
      <c r="Z292" s="14">
        <f>ROUND(IF(Q292=1,INDEX(新属性投放!$D$14:$D$34,卡牌属性!R292),INDEX(新属性投放!$D$42:$D$62,卡牌属性!R292))*INDEX($G$5:$G$42,L292)/SQRT(INDEX($I$5:$I$42,L292)),2)</f>
        <v>462.84</v>
      </c>
      <c r="AA292" s="29" t="s">
        <v>178</v>
      </c>
      <c r="AB292" s="14">
        <f>ROUND(IF(Q292=1,INDEX(新属性投放!$E$14:$E$34,卡牌属性!R292),INDEX(新属性投放!$E$42:$E$62,卡牌属性!R292))*INDEX($G$5:$G$42,L292),2)</f>
        <v>231.42</v>
      </c>
      <c r="AC292" s="29" t="s">
        <v>179</v>
      </c>
      <c r="AD292" s="14">
        <f>ROUND(IF(Q292=1,INDEX(新属性投放!$F$14:$F$34,卡牌属性!R292),INDEX(新属性投放!$F$42:$F$62,卡牌属性!R292))*INDEX($G$5:$G$42,L292)*SQRT(INDEX($I$5:$I$42,L292)),2)</f>
        <v>1388.52</v>
      </c>
      <c r="AF292" s="14">
        <f t="shared" si="81"/>
        <v>4628</v>
      </c>
      <c r="AG292" s="14">
        <f t="shared" si="82"/>
        <v>2314</v>
      </c>
      <c r="AH292" s="14">
        <f t="shared" si="83"/>
        <v>13885</v>
      </c>
      <c r="AJ292" s="14">
        <f t="shared" si="84"/>
        <v>19409</v>
      </c>
      <c r="AK292" s="14">
        <f t="shared" si="85"/>
        <v>9701</v>
      </c>
      <c r="AL292" s="14">
        <f t="shared" si="86"/>
        <v>58240</v>
      </c>
    </row>
    <row r="293" spans="11:38" ht="16.5" x14ac:dyDescent="0.2">
      <c r="K293" s="13">
        <v>290</v>
      </c>
      <c r="L293" s="13">
        <f t="shared" si="75"/>
        <v>14</v>
      </c>
      <c r="M293" s="13">
        <f t="shared" si="76"/>
        <v>3</v>
      </c>
      <c r="N293" s="14">
        <f t="shared" si="77"/>
        <v>1101014</v>
      </c>
      <c r="O293" s="14" t="str">
        <f t="shared" si="78"/>
        <v>吕仙宫17突</v>
      </c>
      <c r="P293" s="29" t="s">
        <v>341</v>
      </c>
      <c r="Q293" s="14">
        <f t="shared" si="79"/>
        <v>1</v>
      </c>
      <c r="R293" s="14">
        <f t="shared" si="80"/>
        <v>17</v>
      </c>
      <c r="S293" s="14" t="s">
        <v>39</v>
      </c>
      <c r="T293" s="14">
        <f>ROUND(((IF(Q293=1,INDEX(新属性投放!$J$14:$J$34,卡牌属性!R293),INDEX(新属性投放!$J$42:$J$62,卡牌属性!R293)))*INDEX($G$5:$G$42,L293)+IF(Q293=1,INDEX(新属性投放!R$20:R$23,卡牌属性!M293-1),INDEX(新属性投放!R$25:R$28,卡牌属性!M293-1)))/SQRT(INDEX($I$5:$I$42,L293)),2)</f>
        <v>24398.93</v>
      </c>
      <c r="U293" s="29" t="s">
        <v>178</v>
      </c>
      <c r="V293" s="14">
        <f>ROUND((IF(Q293=1,INDEX(新属性投放!$K$14:$K$34,卡牌属性!R293),INDEX(新属性投放!$K$42:$K$62,卡牌属性!R293))+IF(Q293=1,INDEX(新属性投放!S$20:S$23,卡牌属性!M293-1),INDEX(新属性投放!S$25:S$28,卡牌属性!M293-1)))*INDEX($G$5:$G$42,L293),2)</f>
        <v>12128.19</v>
      </c>
      <c r="W293" s="29" t="s">
        <v>179</v>
      </c>
      <c r="X293" s="14">
        <f>ROUND((IF(Q293=1,INDEX(新属性投放!$L$14:$L$34,卡牌属性!R293),INDEX(新属性投放!$L$42:$L$62,卡牌属性!R293))*INDEX($G$5:$G$42,L293)+IF(Q293=1,INDEX(新属性投放!T$20:T$23,卡牌属性!M293-1),INDEX(新属性投放!T$25:T$28,卡牌属性!M293-1)))*SQRT(INDEX($I$5:$I$42,L293)),2)</f>
        <v>73761.78</v>
      </c>
      <c r="Y293" s="29" t="s">
        <v>177</v>
      </c>
      <c r="Z293" s="14">
        <f>ROUND(IF(Q293=1,INDEX(新属性投放!$D$14:$D$34,卡牌属性!R293),INDEX(新属性投放!$D$42:$D$62,卡牌属性!R293))*INDEX($G$5:$G$42,L293)/SQRT(INDEX($I$5:$I$42,L293)),2)</f>
        <v>607.48</v>
      </c>
      <c r="AA293" s="29" t="s">
        <v>178</v>
      </c>
      <c r="AB293" s="14">
        <f>ROUND(IF(Q293=1,INDEX(新属性投放!$E$14:$E$34,卡牌属性!R293),INDEX(新属性投放!$E$42:$E$62,卡牌属性!R293))*INDEX($G$5:$G$42,L293),2)</f>
        <v>303.74</v>
      </c>
      <c r="AC293" s="29" t="s">
        <v>179</v>
      </c>
      <c r="AD293" s="14">
        <f>ROUND(IF(Q293=1,INDEX(新属性投放!$F$14:$F$34,卡牌属性!R293),INDEX(新属性投放!$F$42:$F$62,卡牌属性!R293))*INDEX($G$5:$G$42,L293)*SQRT(INDEX($I$5:$I$42,L293)),2)</f>
        <v>1822.43</v>
      </c>
      <c r="AF293" s="14">
        <f t="shared" si="81"/>
        <v>6074</v>
      </c>
      <c r="AG293" s="14">
        <f t="shared" si="82"/>
        <v>3037</v>
      </c>
      <c r="AH293" s="14">
        <f t="shared" si="83"/>
        <v>18224</v>
      </c>
      <c r="AJ293" s="14">
        <f t="shared" si="84"/>
        <v>25483</v>
      </c>
      <c r="AK293" s="14">
        <f t="shared" si="85"/>
        <v>12738</v>
      </c>
      <c r="AL293" s="14">
        <f t="shared" si="86"/>
        <v>76464</v>
      </c>
    </row>
    <row r="294" spans="11:38" ht="16.5" x14ac:dyDescent="0.2">
      <c r="K294" s="13">
        <v>291</v>
      </c>
      <c r="L294" s="13">
        <f t="shared" si="75"/>
        <v>14</v>
      </c>
      <c r="M294" s="13">
        <f t="shared" si="76"/>
        <v>3</v>
      </c>
      <c r="N294" s="14">
        <f t="shared" si="77"/>
        <v>1101014</v>
      </c>
      <c r="O294" s="14" t="str">
        <f t="shared" si="78"/>
        <v>吕仙宫18突</v>
      </c>
      <c r="P294" s="29" t="s">
        <v>341</v>
      </c>
      <c r="Q294" s="14">
        <f t="shared" si="79"/>
        <v>1</v>
      </c>
      <c r="R294" s="14">
        <f t="shared" si="80"/>
        <v>18</v>
      </c>
      <c r="S294" s="14" t="s">
        <v>39</v>
      </c>
      <c r="T294" s="14">
        <f>ROUND(((IF(Q294=1,INDEX(新属性投放!$J$14:$J$34,卡牌属性!R294),INDEX(新属性投放!$J$42:$J$62,卡牌属性!R294)))*INDEX($G$5:$G$42,L294)+IF(Q294=1,INDEX(新属性投放!R$20:R$23,卡牌属性!M294-1),INDEX(新属性投放!R$25:R$28,卡牌属性!M294-1)))/SQRT(INDEX($I$5:$I$42,L294)),2)</f>
        <v>31992.84</v>
      </c>
      <c r="U294" s="29" t="s">
        <v>178</v>
      </c>
      <c r="V294" s="14">
        <f>ROUND((IF(Q294=1,INDEX(新属性投放!$K$14:$K$34,卡牌属性!R294),INDEX(新属性投放!$K$42:$K$62,卡牌属性!R294))+IF(Q294=1,INDEX(新属性投放!S$20:S$23,卡牌属性!M294-1),INDEX(新属性投放!S$25:S$28,卡牌属性!M294-1)))*INDEX($G$5:$G$42,L294),2)</f>
        <v>15924.57</v>
      </c>
      <c r="W294" s="29" t="s">
        <v>179</v>
      </c>
      <c r="X294" s="14">
        <f>ROUND((IF(Q294=1,INDEX(新属性投放!$L$14:$L$34,卡牌属性!R294),INDEX(新属性投放!$L$42:$L$62,卡牌属性!R294))*INDEX($G$5:$G$42,L294)+IF(Q294=1,INDEX(新属性投放!T$20:T$23,卡牌属性!M294-1),INDEX(新属性投放!T$25:T$28,卡牌属性!M294-1)))*SQRT(INDEX($I$5:$I$42,L294)),2)</f>
        <v>96543.51</v>
      </c>
      <c r="Y294" s="29" t="s">
        <v>177</v>
      </c>
      <c r="Z294" s="14">
        <f>ROUND(IF(Q294=1,INDEX(新属性投放!$D$14:$D$34,卡牌属性!R294),INDEX(新属性投放!$D$42:$D$62,卡牌属性!R294))*INDEX($G$5:$G$42,L294)/SQRT(INDEX($I$5:$I$42,L294)),2)</f>
        <v>797.32</v>
      </c>
      <c r="AA294" s="29" t="s">
        <v>178</v>
      </c>
      <c r="AB294" s="14">
        <f>ROUND(IF(Q294=1,INDEX(新属性投放!$E$14:$E$34,卡牌属性!R294),INDEX(新属性投放!$E$42:$E$62,卡牌属性!R294))*INDEX($G$5:$G$42,L294),2)</f>
        <v>398.66</v>
      </c>
      <c r="AC294" s="29" t="s">
        <v>179</v>
      </c>
      <c r="AD294" s="14">
        <f>ROUND(IF(Q294=1,INDEX(新属性投放!$F$14:$F$34,卡牌属性!R294),INDEX(新属性投放!$F$42:$F$62,卡牌属性!R294))*INDEX($G$5:$G$42,L294)*SQRT(INDEX($I$5:$I$42,L294)),2)</f>
        <v>2391.9499999999998</v>
      </c>
      <c r="AF294" s="14">
        <f t="shared" si="81"/>
        <v>7973</v>
      </c>
      <c r="AG294" s="14">
        <f t="shared" si="82"/>
        <v>3986</v>
      </c>
      <c r="AH294" s="14">
        <f t="shared" si="83"/>
        <v>23919</v>
      </c>
      <c r="AJ294" s="14">
        <f t="shared" si="84"/>
        <v>33456</v>
      </c>
      <c r="AK294" s="14">
        <f t="shared" si="85"/>
        <v>16724</v>
      </c>
      <c r="AL294" s="14">
        <f t="shared" si="86"/>
        <v>100383</v>
      </c>
    </row>
    <row r="295" spans="11:38" ht="16.5" x14ac:dyDescent="0.2">
      <c r="K295" s="13">
        <v>292</v>
      </c>
      <c r="L295" s="13">
        <f t="shared" si="75"/>
        <v>14</v>
      </c>
      <c r="M295" s="13">
        <f t="shared" si="76"/>
        <v>3</v>
      </c>
      <c r="N295" s="14">
        <f t="shared" si="77"/>
        <v>1101014</v>
      </c>
      <c r="O295" s="14" t="str">
        <f t="shared" si="78"/>
        <v>吕仙宫19突</v>
      </c>
      <c r="P295" s="29" t="s">
        <v>341</v>
      </c>
      <c r="Q295" s="14">
        <f t="shared" si="79"/>
        <v>1</v>
      </c>
      <c r="R295" s="14">
        <f t="shared" si="80"/>
        <v>19</v>
      </c>
      <c r="S295" s="14" t="s">
        <v>39</v>
      </c>
      <c r="T295" s="14">
        <f>ROUND(((IF(Q295=1,INDEX(新属性投放!$J$14:$J$34,卡牌属性!R295),INDEX(新属性投放!$J$42:$J$62,卡牌属性!R295)))*INDEX($G$5:$G$42,L295)+IF(Q295=1,INDEX(新属性投放!R$20:R$23,卡牌属性!M295-1),INDEX(新属性投放!R$25:R$28,卡牌属性!M295-1)))/SQRT(INDEX($I$5:$I$42,L295)),2)</f>
        <v>41958.97</v>
      </c>
      <c r="U295" s="29" t="s">
        <v>178</v>
      </c>
      <c r="V295" s="14">
        <f>ROUND((IF(Q295=1,INDEX(新属性投放!$K$14:$K$34,卡牌属性!R295),INDEX(新属性投放!$K$42:$K$62,卡牌属性!R295))+IF(Q295=1,INDEX(新属性投放!S$20:S$23,卡牌属性!M295-1),INDEX(新属性投放!S$25:S$28,卡牌属性!M295-1)))*INDEX($G$5:$G$42,L295),2)</f>
        <v>20908.21</v>
      </c>
      <c r="W295" s="29" t="s">
        <v>179</v>
      </c>
      <c r="X295" s="14">
        <f>ROUND((IF(Q295=1,INDEX(新属性投放!$L$14:$L$34,卡牌属性!R295),INDEX(新属性投放!$L$42:$L$62,卡牌属性!R295))*INDEX($G$5:$G$42,L295)+IF(Q295=1,INDEX(新属性投放!T$20:T$23,卡牌属性!M295-1),INDEX(新属性投放!T$25:T$28,卡牌属性!M295-1)))*SQRT(INDEX($I$5:$I$42,L295)),2)</f>
        <v>126441.9</v>
      </c>
      <c r="Y295" s="29" t="s">
        <v>177</v>
      </c>
      <c r="Z295" s="14">
        <f>ROUND(IF(Q295=1,INDEX(新属性投放!$D$14:$D$34,卡牌属性!R295),INDEX(新属性投放!$D$42:$D$62,卡牌属性!R295))*INDEX($G$5:$G$42,L295)/SQRT(INDEX($I$5:$I$42,L295)),2)</f>
        <v>1046.48</v>
      </c>
      <c r="AA295" s="29" t="s">
        <v>178</v>
      </c>
      <c r="AB295" s="14">
        <f>ROUND(IF(Q295=1,INDEX(新属性投放!$E$14:$E$34,卡牌属性!R295),INDEX(新属性投放!$E$42:$E$62,卡牌属性!R295))*INDEX($G$5:$G$42,L295),2)</f>
        <v>523.24</v>
      </c>
      <c r="AC295" s="29" t="s">
        <v>179</v>
      </c>
      <c r="AD295" s="14">
        <f>ROUND(IF(Q295=1,INDEX(新属性投放!$F$14:$F$34,卡牌属性!R295),INDEX(新属性投放!$F$42:$F$62,卡牌属性!R295))*INDEX($G$5:$G$42,L295)*SQRT(INDEX($I$5:$I$42,L295)),2)</f>
        <v>3139.43</v>
      </c>
      <c r="AF295" s="14">
        <f t="shared" si="81"/>
        <v>10464</v>
      </c>
      <c r="AG295" s="14">
        <f t="shared" si="82"/>
        <v>5232</v>
      </c>
      <c r="AH295" s="14">
        <f t="shared" si="83"/>
        <v>31394</v>
      </c>
      <c r="AJ295" s="14">
        <f t="shared" si="84"/>
        <v>43920</v>
      </c>
      <c r="AK295" s="14">
        <f t="shared" si="85"/>
        <v>21956</v>
      </c>
      <c r="AL295" s="14">
        <f t="shared" si="86"/>
        <v>131777</v>
      </c>
    </row>
    <row r="296" spans="11:38" ht="16.5" x14ac:dyDescent="0.2">
      <c r="K296" s="13">
        <v>293</v>
      </c>
      <c r="L296" s="13">
        <f t="shared" si="75"/>
        <v>14</v>
      </c>
      <c r="M296" s="13">
        <f t="shared" si="76"/>
        <v>3</v>
      </c>
      <c r="N296" s="14">
        <f t="shared" si="77"/>
        <v>1101014</v>
      </c>
      <c r="O296" s="14" t="str">
        <f t="shared" si="78"/>
        <v>吕仙宫20突</v>
      </c>
      <c r="P296" s="29" t="s">
        <v>341</v>
      </c>
      <c r="Q296" s="14">
        <f t="shared" si="79"/>
        <v>1</v>
      </c>
      <c r="R296" s="14">
        <f t="shared" si="80"/>
        <v>20</v>
      </c>
      <c r="S296" s="14" t="s">
        <v>39</v>
      </c>
      <c r="T296" s="14">
        <f>ROUND(((IF(Q296=1,INDEX(新属性投放!$J$14:$J$34,卡牌属性!R296),INDEX(新属性投放!$J$42:$J$62,卡牌属性!R296)))*INDEX($G$5:$G$42,L296)+IF(Q296=1,INDEX(新属性投放!R$20:R$23,卡牌属性!M296-1),INDEX(新属性投放!R$25:R$28,卡牌属性!M296-1)))/SQRT(INDEX($I$5:$I$42,L296)),2)</f>
        <v>55039.99</v>
      </c>
      <c r="U296" s="29" t="s">
        <v>178</v>
      </c>
      <c r="V296" s="14">
        <f>ROUND((IF(Q296=1,INDEX(新属性投放!$K$14:$K$34,卡牌属性!R296),INDEX(新属性投放!$K$42:$K$62,卡牌属性!R296))+IF(Q296=1,INDEX(新属性投放!S$20:S$23,卡牌属性!M296-1),INDEX(新属性投放!S$25:S$28,卡牌属性!M296-1)))*INDEX($G$5:$G$42,L296),2)</f>
        <v>27448.14</v>
      </c>
      <c r="W296" s="29" t="s">
        <v>179</v>
      </c>
      <c r="X296" s="14">
        <f>ROUND((IF(Q296=1,INDEX(新属性投放!$L$14:$L$34,卡牌属性!R296),INDEX(新属性投放!$L$42:$L$62,卡牌属性!R296))*INDEX($G$5:$G$42,L296)+IF(Q296=1,INDEX(新属性投放!T$20:T$23,卡牌属性!M296-1),INDEX(新属性投放!T$25:T$28,卡牌属性!M296-1)))*SQRT(INDEX($I$5:$I$42,L296)),2)</f>
        <v>165684.96</v>
      </c>
      <c r="Y296" s="29" t="s">
        <v>177</v>
      </c>
      <c r="Z296" s="14">
        <f>ROUND(IF(Q296=1,INDEX(新属性投放!$D$14:$D$34,卡牌属性!R296),INDEX(新属性投放!$D$42:$D$62,卡牌属性!R296))*INDEX($G$5:$G$42,L296)/SQRT(INDEX($I$5:$I$42,L296)),2)</f>
        <v>1373.5</v>
      </c>
      <c r="AA296" s="29" t="s">
        <v>178</v>
      </c>
      <c r="AB296" s="14">
        <f>ROUND(IF(Q296=1,INDEX(新属性投放!$E$14:$E$34,卡牌属性!R296),INDEX(新属性投放!$E$42:$E$62,卡牌属性!R296))*INDEX($G$5:$G$42,L296),2)</f>
        <v>686.75</v>
      </c>
      <c r="AC296" s="29" t="s">
        <v>179</v>
      </c>
      <c r="AD296" s="14">
        <f>ROUND(IF(Q296=1,INDEX(新属性投放!$F$14:$F$34,卡牌属性!R296),INDEX(新属性投放!$F$42:$F$62,卡牌属性!R296))*INDEX($G$5:$G$42,L296)*SQRT(INDEX($I$5:$I$42,L296)),2)</f>
        <v>4120.51</v>
      </c>
      <c r="AF296" s="14">
        <f t="shared" si="81"/>
        <v>13735</v>
      </c>
      <c r="AG296" s="14">
        <f t="shared" si="82"/>
        <v>6867</v>
      </c>
      <c r="AH296" s="14">
        <f t="shared" si="83"/>
        <v>41205</v>
      </c>
      <c r="AJ296" s="14">
        <f t="shared" si="84"/>
        <v>57655</v>
      </c>
      <c r="AK296" s="14">
        <f t="shared" si="85"/>
        <v>28823</v>
      </c>
      <c r="AL296" s="14">
        <f t="shared" si="86"/>
        <v>172982</v>
      </c>
    </row>
    <row r="297" spans="11:38" ht="16.5" x14ac:dyDescent="0.2">
      <c r="K297" s="13">
        <v>294</v>
      </c>
      <c r="L297" s="13">
        <f t="shared" si="75"/>
        <v>14</v>
      </c>
      <c r="M297" s="13">
        <f t="shared" si="76"/>
        <v>3</v>
      </c>
      <c r="N297" s="14">
        <f t="shared" si="77"/>
        <v>1101014</v>
      </c>
      <c r="O297" s="14" t="str">
        <f t="shared" si="78"/>
        <v>吕仙宫21突</v>
      </c>
      <c r="P297" s="29" t="s">
        <v>341</v>
      </c>
      <c r="Q297" s="14">
        <f t="shared" si="79"/>
        <v>1</v>
      </c>
      <c r="R297" s="14">
        <f t="shared" si="80"/>
        <v>21</v>
      </c>
      <c r="S297" s="14" t="s">
        <v>39</v>
      </c>
      <c r="T297" s="14">
        <f>ROUND(((IF(Q297=1,INDEX(新属性投放!$J$14:$J$34,卡牌属性!R297),INDEX(新属性投放!$J$42:$J$62,卡牌属性!R297)))*INDEX($G$5:$G$42,L297)+IF(Q297=1,INDEX(新属性投放!R$20:R$23,卡牌属性!M297-1),INDEX(新属性投放!R$25:R$28,卡牌属性!M297-1)))/SQRT(INDEX($I$5:$I$42,L297)),2)</f>
        <v>72208.91</v>
      </c>
      <c r="U297" s="29" t="s">
        <v>178</v>
      </c>
      <c r="V297" s="14">
        <f>ROUND((IF(Q297=1,INDEX(新属性投放!$K$14:$K$34,卡牌属性!R297),INDEX(新属性投放!$K$42:$K$62,卡牌属性!R297))+IF(Q297=1,INDEX(新属性投放!S$20:S$23,卡牌属性!M297-1),INDEX(新属性投放!S$25:S$28,卡牌属性!M297-1)))*INDEX($G$5:$G$42,L297),2)</f>
        <v>36032.61</v>
      </c>
      <c r="W297" s="29" t="s">
        <v>179</v>
      </c>
      <c r="X297" s="14">
        <f>ROUND((IF(Q297=1,INDEX(新属性投放!$L$14:$L$34,卡牌属性!R297),INDEX(新属性投放!$L$42:$L$62,卡牌属性!R297))*INDEX($G$5:$G$42,L297)+IF(Q297=1,INDEX(新属性投放!T$20:T$23,卡牌属性!M297-1),INDEX(新属性投放!T$25:T$28,卡牌属性!M297-1)))*SQRT(INDEX($I$5:$I$42,L297)),2)</f>
        <v>217191.73</v>
      </c>
      <c r="Y297" s="29" t="s">
        <v>177</v>
      </c>
      <c r="Z297" s="14">
        <f>ROUND(IF(Q297=1,INDEX(新属性投放!$D$14:$D$34,卡牌属性!R297),INDEX(新属性投放!$D$42:$D$62,卡牌属性!R297))*INDEX($G$5:$G$42,L297)/SQRT(INDEX($I$5:$I$42,L297)),2)</f>
        <v>1802.73</v>
      </c>
      <c r="AA297" s="29" t="s">
        <v>178</v>
      </c>
      <c r="AB297" s="14">
        <f>ROUND(IF(Q297=1,INDEX(新属性投放!$E$14:$E$34,卡牌属性!R297),INDEX(新属性投放!$E$42:$E$62,卡牌属性!R297))*INDEX($G$5:$G$42,L297),2)</f>
        <v>901.36</v>
      </c>
      <c r="AC297" s="29" t="s">
        <v>179</v>
      </c>
      <c r="AD297" s="14">
        <f>ROUND(IF(Q297=1,INDEX(新属性投放!$F$14:$F$34,卡牌属性!R297),INDEX(新属性投放!$F$42:$F$62,卡牌属性!R297))*INDEX($G$5:$G$42,L297)*SQRT(INDEX($I$5:$I$42,L297)),2)</f>
        <v>5408.19</v>
      </c>
      <c r="AF297" s="14">
        <f t="shared" si="81"/>
        <v>18027</v>
      </c>
      <c r="AG297" s="14">
        <f t="shared" si="82"/>
        <v>9013</v>
      </c>
      <c r="AH297" s="14">
        <f t="shared" si="83"/>
        <v>54081</v>
      </c>
      <c r="AJ297" s="14">
        <f t="shared" si="84"/>
        <v>75682</v>
      </c>
      <c r="AK297" s="14">
        <f t="shared" si="85"/>
        <v>37836</v>
      </c>
      <c r="AL297" s="14">
        <f t="shared" si="86"/>
        <v>227063</v>
      </c>
    </row>
    <row r="298" spans="11:38" ht="16.5" x14ac:dyDescent="0.2">
      <c r="K298" s="13">
        <v>295</v>
      </c>
      <c r="L298" s="13">
        <f t="shared" si="75"/>
        <v>15</v>
      </c>
      <c r="M298" s="13">
        <f t="shared" si="76"/>
        <v>3</v>
      </c>
      <c r="N298" s="14">
        <f t="shared" si="77"/>
        <v>1101015</v>
      </c>
      <c r="O298" s="14" t="str">
        <f t="shared" si="78"/>
        <v>阎巧巧1突</v>
      </c>
      <c r="P298" s="29" t="s">
        <v>341</v>
      </c>
      <c r="Q298" s="14">
        <f t="shared" si="79"/>
        <v>1</v>
      </c>
      <c r="R298" s="14">
        <f t="shared" si="80"/>
        <v>1</v>
      </c>
      <c r="S298" s="14" t="s">
        <v>39</v>
      </c>
      <c r="T298" s="14">
        <f>ROUND(((IF(Q298=1,INDEX(新属性投放!$J$14:$J$34,卡牌属性!R298),INDEX(新属性投放!$J$42:$J$62,卡牌属性!R298)))*INDEX($G$5:$G$42,L298)+IF(Q298=1,INDEX(新属性投放!R$20:R$23,卡牌属性!M298-1),INDEX(新属性投放!R$25:R$28,卡牌属性!M298-1)))/SQRT(INDEX($I$5:$I$42,L298)),2)</f>
        <v>157.5</v>
      </c>
      <c r="U298" s="29" t="s">
        <v>178</v>
      </c>
      <c r="V298" s="14">
        <f>ROUND((IF(Q298=1,INDEX(新属性投放!$K$14:$K$34,卡牌属性!R298),INDEX(新属性投放!$K$42:$K$62,卡牌属性!R298))+IF(Q298=1,INDEX(新属性投放!S$20:S$23,卡牌属性!M298-1),INDEX(新属性投放!S$25:S$28,卡牌属性!M298-1)))*INDEX($G$5:$G$42,L298),2)</f>
        <v>0</v>
      </c>
      <c r="W298" s="29" t="s">
        <v>179</v>
      </c>
      <c r="X298" s="14">
        <f>ROUND((IF(Q298=1,INDEX(新属性投放!$L$14:$L$34,卡牌属性!R298),INDEX(新属性投放!$L$42:$L$62,卡牌属性!R298))*INDEX($G$5:$G$42,L298)+IF(Q298=1,INDEX(新属性投放!T$20:T$23,卡牌属性!M298-1),INDEX(新属性投放!T$25:T$28,卡牌属性!M298-1)))*SQRT(INDEX($I$5:$I$42,L298)),2)</f>
        <v>1037.5</v>
      </c>
      <c r="Y298" s="29" t="s">
        <v>177</v>
      </c>
      <c r="Z298" s="14">
        <f>ROUND(IF(Q298=1,INDEX(新属性投放!$D$14:$D$34,卡牌属性!R298),INDEX(新属性投放!$D$42:$D$62,卡牌属性!R298))*INDEX($G$5:$G$42,L298)/SQRT(INDEX($I$5:$I$42,L298)),2)</f>
        <v>11.5</v>
      </c>
      <c r="AA298" s="29" t="s">
        <v>178</v>
      </c>
      <c r="AB298" s="14">
        <f>ROUND(IF(Q298=1,INDEX(新属性投放!$E$14:$E$34,卡牌属性!R298),INDEX(新属性投放!$E$42:$E$62,卡牌属性!R298))*INDEX($G$5:$G$42,L298),2)</f>
        <v>5.75</v>
      </c>
      <c r="AC298" s="29" t="s">
        <v>179</v>
      </c>
      <c r="AD298" s="14">
        <f>ROUND(IF(Q298=1,INDEX(新属性投放!$F$14:$F$34,卡牌属性!R298),INDEX(新属性投放!$F$42:$F$62,卡牌属性!R298))*INDEX($G$5:$G$42,L298)*SQRT(INDEX($I$5:$I$42,L298)),2)</f>
        <v>34.5</v>
      </c>
      <c r="AF298" s="14">
        <f t="shared" si="81"/>
        <v>115</v>
      </c>
      <c r="AG298" s="14">
        <f t="shared" si="82"/>
        <v>57</v>
      </c>
      <c r="AH298" s="14">
        <f t="shared" si="83"/>
        <v>345</v>
      </c>
      <c r="AJ298" s="14">
        <f>AF298</f>
        <v>115</v>
      </c>
      <c r="AK298" s="14">
        <f>AG298</f>
        <v>57</v>
      </c>
      <c r="AL298" s="14">
        <f>AH298</f>
        <v>345</v>
      </c>
    </row>
    <row r="299" spans="11:38" ht="16.5" x14ac:dyDescent="0.2">
      <c r="K299" s="13">
        <v>296</v>
      </c>
      <c r="L299" s="13">
        <f t="shared" si="75"/>
        <v>15</v>
      </c>
      <c r="M299" s="13">
        <f t="shared" si="76"/>
        <v>3</v>
      </c>
      <c r="N299" s="14">
        <f t="shared" si="77"/>
        <v>1101015</v>
      </c>
      <c r="O299" s="14" t="str">
        <f t="shared" si="78"/>
        <v>阎巧巧2突</v>
      </c>
      <c r="P299" s="29" t="s">
        <v>341</v>
      </c>
      <c r="Q299" s="14">
        <f t="shared" si="79"/>
        <v>1</v>
      </c>
      <c r="R299" s="14">
        <f t="shared" si="80"/>
        <v>2</v>
      </c>
      <c r="S299" s="14" t="s">
        <v>39</v>
      </c>
      <c r="T299" s="14">
        <f>ROUND(((IF(Q299=1,INDEX(新属性投放!$J$14:$J$34,卡牌属性!R299),INDEX(新属性投放!$J$42:$J$62,卡牌属性!R299)))*INDEX($G$5:$G$42,L299)+IF(Q299=1,INDEX(新属性投放!R$20:R$23,卡牌属性!M299-1),INDEX(新属性投放!R$25:R$28,卡牌属性!M299-1)))/SQRT(INDEX($I$5:$I$42,L299)),2)</f>
        <v>272.5</v>
      </c>
      <c r="U299" s="29" t="s">
        <v>178</v>
      </c>
      <c r="V299" s="14">
        <f>ROUND((IF(Q299=1,INDEX(新属性投放!$K$14:$K$34,卡牌属性!R299),INDEX(新属性投放!$K$42:$K$62,卡牌属性!R299))+IF(Q299=1,INDEX(新属性投放!S$20:S$23,卡牌属性!M299-1),INDEX(新属性投放!S$25:S$28,卡牌属性!M299-1)))*INDEX($G$5:$G$42,L299),2)</f>
        <v>64.400000000000006</v>
      </c>
      <c r="W299" s="29" t="s">
        <v>179</v>
      </c>
      <c r="X299" s="14">
        <f>ROUND((IF(Q299=1,INDEX(新属性投放!$L$14:$L$34,卡牌属性!R299),INDEX(新属性投放!$L$42:$L$62,卡牌属性!R299))*INDEX($G$5:$G$42,L299)+IF(Q299=1,INDEX(新属性投放!T$20:T$23,卡牌属性!M299-1),INDEX(新属性投放!T$25:T$28,卡牌属性!M299-1)))*SQRT(INDEX($I$5:$I$42,L299)),2)</f>
        <v>1382.5</v>
      </c>
      <c r="Y299" s="29" t="s">
        <v>177</v>
      </c>
      <c r="Z299" s="14">
        <f>ROUND(IF(Q299=1,INDEX(新属性投放!$D$14:$D$34,卡牌属性!R299),INDEX(新属性投放!$D$42:$D$62,卡牌属性!R299))*INDEX($G$5:$G$42,L299)/SQRT(INDEX($I$5:$I$42,L299)),2)</f>
        <v>11.5</v>
      </c>
      <c r="AA299" s="29" t="s">
        <v>178</v>
      </c>
      <c r="AB299" s="14">
        <f>ROUND(IF(Q299=1,INDEX(新属性投放!$E$14:$E$34,卡牌属性!R299),INDEX(新属性投放!$E$42:$E$62,卡牌属性!R299))*INDEX($G$5:$G$42,L299),2)</f>
        <v>5.75</v>
      </c>
      <c r="AC299" s="29" t="s">
        <v>179</v>
      </c>
      <c r="AD299" s="14">
        <f>ROUND(IF(Q299=1,INDEX(新属性投放!$F$14:$F$34,卡牌属性!R299),INDEX(新属性投放!$F$42:$F$62,卡牌属性!R299))*INDEX($G$5:$G$42,L299)*SQRT(INDEX($I$5:$I$42,L299)),2)</f>
        <v>34.5</v>
      </c>
      <c r="AF299" s="14">
        <f t="shared" si="81"/>
        <v>115</v>
      </c>
      <c r="AG299" s="14">
        <f t="shared" si="82"/>
        <v>57</v>
      </c>
      <c r="AH299" s="14">
        <f t="shared" si="83"/>
        <v>345</v>
      </c>
      <c r="AJ299" s="14">
        <f t="shared" ref="AJ299:AJ318" si="87">AJ298+AF299</f>
        <v>230</v>
      </c>
      <c r="AK299" s="14">
        <f t="shared" ref="AK299:AK318" si="88">AK298+AG299</f>
        <v>114</v>
      </c>
      <c r="AL299" s="14">
        <f t="shared" ref="AL299:AL318" si="89">AL298+AH299</f>
        <v>690</v>
      </c>
    </row>
    <row r="300" spans="11:38" ht="16.5" x14ac:dyDescent="0.2">
      <c r="K300" s="13">
        <v>297</v>
      </c>
      <c r="L300" s="13">
        <f t="shared" si="75"/>
        <v>15</v>
      </c>
      <c r="M300" s="13">
        <f t="shared" si="76"/>
        <v>3</v>
      </c>
      <c r="N300" s="14">
        <f t="shared" si="77"/>
        <v>1101015</v>
      </c>
      <c r="O300" s="14" t="str">
        <f t="shared" si="78"/>
        <v>阎巧巧3突</v>
      </c>
      <c r="P300" s="29" t="s">
        <v>341</v>
      </c>
      <c r="Q300" s="14">
        <f t="shared" si="79"/>
        <v>1</v>
      </c>
      <c r="R300" s="14">
        <f t="shared" si="80"/>
        <v>3</v>
      </c>
      <c r="S300" s="14" t="s">
        <v>39</v>
      </c>
      <c r="T300" s="14">
        <f>ROUND(((IF(Q300=1,INDEX(新属性投放!$J$14:$J$34,卡牌属性!R300),INDEX(新属性投放!$J$42:$J$62,卡牌属性!R300)))*INDEX($G$5:$G$42,L300)+IF(Q300=1,INDEX(新属性投放!R$20:R$23,卡牌属性!M300-1),INDEX(新属性投放!R$25:R$28,卡牌属性!M300-1)))/SQRT(INDEX($I$5:$I$42,L300)),2)</f>
        <v>416.25</v>
      </c>
      <c r="U300" s="29" t="s">
        <v>178</v>
      </c>
      <c r="V300" s="14">
        <f>ROUND((IF(Q300=1,INDEX(新属性投放!$K$14:$K$34,卡牌属性!R300),INDEX(新属性投放!$K$42:$K$62,卡牌属性!R300))+IF(Q300=1,INDEX(新属性投放!S$20:S$23,卡牌属性!M300-1),INDEX(新属性投放!S$25:S$28,卡牌属性!M300-1)))*INDEX($G$5:$G$42,L300),2)</f>
        <v>136.85</v>
      </c>
      <c r="W300" s="29" t="s">
        <v>179</v>
      </c>
      <c r="X300" s="14">
        <f>ROUND((IF(Q300=1,INDEX(新属性投放!$L$14:$L$34,卡牌属性!R300),INDEX(新属性投放!$L$42:$L$62,卡牌属性!R300))*INDEX($G$5:$G$42,L300)+IF(Q300=1,INDEX(新属性投放!T$20:T$23,卡牌属性!M300-1),INDEX(新属性投放!T$25:T$28,卡牌属性!M300-1)))*SQRT(INDEX($I$5:$I$42,L300)),2)</f>
        <v>1813.75</v>
      </c>
      <c r="Y300" s="29" t="s">
        <v>177</v>
      </c>
      <c r="Z300" s="14">
        <f>ROUND(IF(Q300=1,INDEX(新属性投放!$D$14:$D$34,卡牌属性!R300),INDEX(新属性投放!$D$42:$D$62,卡牌属性!R300))*INDEX($G$5:$G$42,L300)/SQRT(INDEX($I$5:$I$42,L300)),2)</f>
        <v>17.25</v>
      </c>
      <c r="AA300" s="29" t="s">
        <v>178</v>
      </c>
      <c r="AB300" s="14">
        <f>ROUND(IF(Q300=1,INDEX(新属性投放!$E$14:$E$34,卡牌属性!R300),INDEX(新属性投放!$E$42:$E$62,卡牌属性!R300))*INDEX($G$5:$G$42,L300),2)</f>
        <v>8.6300000000000008</v>
      </c>
      <c r="AC300" s="29" t="s">
        <v>179</v>
      </c>
      <c r="AD300" s="14">
        <f>ROUND(IF(Q300=1,INDEX(新属性投放!$F$14:$F$34,卡牌属性!R300),INDEX(新属性投放!$F$42:$F$62,卡牌属性!R300))*INDEX($G$5:$G$42,L300)*SQRT(INDEX($I$5:$I$42,L300)),2)</f>
        <v>51.75</v>
      </c>
      <c r="AF300" s="14">
        <f t="shared" si="81"/>
        <v>172</v>
      </c>
      <c r="AG300" s="14">
        <f t="shared" si="82"/>
        <v>86</v>
      </c>
      <c r="AH300" s="14">
        <f t="shared" si="83"/>
        <v>517</v>
      </c>
      <c r="AJ300" s="14">
        <f t="shared" si="87"/>
        <v>402</v>
      </c>
      <c r="AK300" s="14">
        <f t="shared" si="88"/>
        <v>200</v>
      </c>
      <c r="AL300" s="14">
        <f t="shared" si="89"/>
        <v>1207</v>
      </c>
    </row>
    <row r="301" spans="11:38" ht="16.5" x14ac:dyDescent="0.2">
      <c r="K301" s="13">
        <v>298</v>
      </c>
      <c r="L301" s="13">
        <f t="shared" si="75"/>
        <v>15</v>
      </c>
      <c r="M301" s="13">
        <f t="shared" si="76"/>
        <v>3</v>
      </c>
      <c r="N301" s="14">
        <f t="shared" si="77"/>
        <v>1101015</v>
      </c>
      <c r="O301" s="14" t="str">
        <f t="shared" si="78"/>
        <v>阎巧巧4突</v>
      </c>
      <c r="P301" s="29" t="s">
        <v>341</v>
      </c>
      <c r="Q301" s="14">
        <f t="shared" si="79"/>
        <v>1</v>
      </c>
      <c r="R301" s="14">
        <f t="shared" si="80"/>
        <v>4</v>
      </c>
      <c r="S301" s="14" t="s">
        <v>39</v>
      </c>
      <c r="T301" s="14">
        <f>ROUND(((IF(Q301=1,INDEX(新属性投放!$J$14:$J$34,卡牌属性!R301),INDEX(新属性投放!$J$42:$J$62,卡牌属性!R301)))*INDEX($G$5:$G$42,L301)+IF(Q301=1,INDEX(新属性投放!R$20:R$23,卡牌属性!M301-1),INDEX(新属性投放!R$25:R$28,卡牌属性!M301-1)))/SQRT(INDEX($I$5:$I$42,L301)),2)</f>
        <v>632.45000000000005</v>
      </c>
      <c r="U301" s="29" t="s">
        <v>178</v>
      </c>
      <c r="V301" s="14">
        <f>ROUND((IF(Q301=1,INDEX(新属性投放!$K$14:$K$34,卡牌属性!R301),INDEX(新属性投放!$K$42:$K$62,卡牌属性!R301))+IF(Q301=1,INDEX(新属性投放!S$20:S$23,卡牌属性!M301-1),INDEX(新属性投放!S$25:S$28,卡牌属性!M301-1)))*INDEX($G$5:$G$42,L301),2)</f>
        <v>244.95</v>
      </c>
      <c r="W301" s="29" t="s">
        <v>179</v>
      </c>
      <c r="X301" s="14">
        <f>ROUND((IF(Q301=1,INDEX(新属性投放!$L$14:$L$34,卡牌属性!R301),INDEX(新属性投放!$L$42:$L$62,卡牌属性!R301))*INDEX($G$5:$G$42,L301)+IF(Q301=1,INDEX(新属性投放!T$20:T$23,卡牌属性!M301-1),INDEX(新属性投放!T$25:T$28,卡牌属性!M301-1)))*SQRT(INDEX($I$5:$I$42,L301)),2)</f>
        <v>2462.35</v>
      </c>
      <c r="Y301" s="29" t="s">
        <v>177</v>
      </c>
      <c r="Z301" s="14">
        <f>ROUND(IF(Q301=1,INDEX(新属性投放!$D$14:$D$34,卡牌属性!R301),INDEX(新属性投放!$D$42:$D$62,卡牌属性!R301))*INDEX($G$5:$G$42,L301)/SQRT(INDEX($I$5:$I$42,L301)),2)</f>
        <v>23</v>
      </c>
      <c r="AA301" s="29" t="s">
        <v>178</v>
      </c>
      <c r="AB301" s="14">
        <f>ROUND(IF(Q301=1,INDEX(新属性投放!$E$14:$E$34,卡牌属性!R301),INDEX(新属性投放!$E$42:$E$62,卡牌属性!R301))*INDEX($G$5:$G$42,L301),2)</f>
        <v>11.5</v>
      </c>
      <c r="AC301" s="29" t="s">
        <v>179</v>
      </c>
      <c r="AD301" s="14">
        <f>ROUND(IF(Q301=1,INDEX(新属性投放!$F$14:$F$34,卡牌属性!R301),INDEX(新属性投放!$F$42:$F$62,卡牌属性!R301))*INDEX($G$5:$G$42,L301)*SQRT(INDEX($I$5:$I$42,L301)),2)</f>
        <v>69</v>
      </c>
      <c r="AF301" s="14">
        <f t="shared" si="81"/>
        <v>230</v>
      </c>
      <c r="AG301" s="14">
        <f t="shared" si="82"/>
        <v>115</v>
      </c>
      <c r="AH301" s="14">
        <f t="shared" si="83"/>
        <v>690</v>
      </c>
      <c r="AJ301" s="14">
        <f t="shared" si="87"/>
        <v>632</v>
      </c>
      <c r="AK301" s="14">
        <f t="shared" si="88"/>
        <v>315</v>
      </c>
      <c r="AL301" s="14">
        <f t="shared" si="89"/>
        <v>1897</v>
      </c>
    </row>
    <row r="302" spans="11:38" ht="16.5" x14ac:dyDescent="0.2">
      <c r="K302" s="13">
        <v>299</v>
      </c>
      <c r="L302" s="13">
        <f t="shared" si="75"/>
        <v>15</v>
      </c>
      <c r="M302" s="13">
        <f t="shared" si="76"/>
        <v>3</v>
      </c>
      <c r="N302" s="14">
        <f t="shared" si="77"/>
        <v>1101015</v>
      </c>
      <c r="O302" s="14" t="str">
        <f t="shared" si="78"/>
        <v>阎巧巧5突</v>
      </c>
      <c r="P302" s="29" t="s">
        <v>341</v>
      </c>
      <c r="Q302" s="14">
        <f t="shared" si="79"/>
        <v>1</v>
      </c>
      <c r="R302" s="14">
        <f t="shared" si="80"/>
        <v>5</v>
      </c>
      <c r="S302" s="14" t="s">
        <v>39</v>
      </c>
      <c r="T302" s="14">
        <f>ROUND(((IF(Q302=1,INDEX(新属性投放!$J$14:$J$34,卡牌属性!R302),INDEX(新属性投放!$J$42:$J$62,卡牌属性!R302)))*INDEX($G$5:$G$42,L302)+IF(Q302=1,INDEX(新属性投放!R$20:R$23,卡牌属性!M302-1),INDEX(新属性投放!R$25:R$28,卡牌属性!M302-1)))/SQRT(INDEX($I$5:$I$42,L302)),2)</f>
        <v>919.95</v>
      </c>
      <c r="U302" s="29" t="s">
        <v>178</v>
      </c>
      <c r="V302" s="14">
        <f>ROUND((IF(Q302=1,INDEX(新属性投放!$K$14:$K$34,卡牌属性!R302),INDEX(新属性投放!$K$42:$K$62,卡牌属性!R302))+IF(Q302=1,INDEX(新属性投放!S$20:S$23,卡牌属性!M302-1),INDEX(新属性投放!S$25:S$28,卡牌属性!M302-1)))*INDEX($G$5:$G$42,L302),2)</f>
        <v>388.7</v>
      </c>
      <c r="W302" s="29" t="s">
        <v>179</v>
      </c>
      <c r="X302" s="14">
        <f>ROUND((IF(Q302=1,INDEX(新属性投放!$L$14:$L$34,卡牌属性!R302),INDEX(新属性投放!$L$42:$L$62,卡牌属性!R302))*INDEX($G$5:$G$42,L302)+IF(Q302=1,INDEX(新属性投放!T$20:T$23,卡牌属性!M302-1),INDEX(新属性投放!T$25:T$28,卡牌属性!M302-1)))*SQRT(INDEX($I$5:$I$42,L302)),2)</f>
        <v>3324.85</v>
      </c>
      <c r="Y302" s="29" t="s">
        <v>177</v>
      </c>
      <c r="Z302" s="14">
        <f>ROUND(IF(Q302=1,INDEX(新属性投放!$D$14:$D$34,卡牌属性!R302),INDEX(新属性投放!$D$42:$D$62,卡牌属性!R302))*INDEX($G$5:$G$42,L302)/SQRT(INDEX($I$5:$I$42,L302)),2)</f>
        <v>28.75</v>
      </c>
      <c r="AA302" s="29" t="s">
        <v>178</v>
      </c>
      <c r="AB302" s="14">
        <f>ROUND(IF(Q302=1,INDEX(新属性投放!$E$14:$E$34,卡牌属性!R302),INDEX(新属性投放!$E$42:$E$62,卡牌属性!R302))*INDEX($G$5:$G$42,L302),2)</f>
        <v>14.38</v>
      </c>
      <c r="AC302" s="29" t="s">
        <v>179</v>
      </c>
      <c r="AD302" s="14">
        <f>ROUND(IF(Q302=1,INDEX(新属性投放!$F$14:$F$34,卡牌属性!R302),INDEX(新属性投放!$F$42:$F$62,卡牌属性!R302))*INDEX($G$5:$G$42,L302)*SQRT(INDEX($I$5:$I$42,L302)),2)</f>
        <v>86.25</v>
      </c>
      <c r="AF302" s="14">
        <f t="shared" si="81"/>
        <v>287</v>
      </c>
      <c r="AG302" s="14">
        <f t="shared" si="82"/>
        <v>143</v>
      </c>
      <c r="AH302" s="14">
        <f t="shared" si="83"/>
        <v>862</v>
      </c>
      <c r="AJ302" s="14">
        <f t="shared" si="87"/>
        <v>919</v>
      </c>
      <c r="AK302" s="14">
        <f t="shared" si="88"/>
        <v>458</v>
      </c>
      <c r="AL302" s="14">
        <f t="shared" si="89"/>
        <v>2759</v>
      </c>
    </row>
    <row r="303" spans="11:38" ht="16.5" x14ac:dyDescent="0.2">
      <c r="K303" s="13">
        <v>300</v>
      </c>
      <c r="L303" s="13">
        <f t="shared" si="75"/>
        <v>15</v>
      </c>
      <c r="M303" s="13">
        <f t="shared" si="76"/>
        <v>3</v>
      </c>
      <c r="N303" s="14">
        <f t="shared" si="77"/>
        <v>1101015</v>
      </c>
      <c r="O303" s="14" t="str">
        <f t="shared" si="78"/>
        <v>阎巧巧6突</v>
      </c>
      <c r="P303" s="29" t="s">
        <v>341</v>
      </c>
      <c r="Q303" s="14">
        <f t="shared" si="79"/>
        <v>1</v>
      </c>
      <c r="R303" s="14">
        <f t="shared" si="80"/>
        <v>6</v>
      </c>
      <c r="S303" s="14" t="s">
        <v>39</v>
      </c>
      <c r="T303" s="14">
        <f>ROUND(((IF(Q303=1,INDEX(新属性投放!$J$14:$J$34,卡牌属性!R303),INDEX(新属性投放!$J$42:$J$62,卡牌属性!R303)))*INDEX($G$5:$G$42,L303)+IF(Q303=1,INDEX(新属性投放!R$20:R$23,卡牌属性!M303-1),INDEX(新属性投放!R$25:R$28,卡牌属性!M303-1)))/SQRT(INDEX($I$5:$I$42,L303)),2)</f>
        <v>1279.9000000000001</v>
      </c>
      <c r="U303" s="29" t="s">
        <v>178</v>
      </c>
      <c r="V303" s="14">
        <f>ROUND((IF(Q303=1,INDEX(新属性投放!$K$14:$K$34,卡牌属性!R303),INDEX(新属性投放!$K$42:$K$62,卡牌属性!R303))+IF(Q303=1,INDEX(新属性投放!S$20:S$23,卡牌属性!M303-1),INDEX(新属性投放!S$25:S$28,卡牌属性!M303-1)))*INDEX($G$5:$G$42,L303),2)</f>
        <v>568.1</v>
      </c>
      <c r="W303" s="29" t="s">
        <v>179</v>
      </c>
      <c r="X303" s="14">
        <f>ROUND((IF(Q303=1,INDEX(新属性投放!$L$14:$L$34,卡牌属性!R303),INDEX(新属性投放!$L$42:$L$62,卡牌属性!R303))*INDEX($G$5:$G$42,L303)+IF(Q303=1,INDEX(新属性投放!T$20:T$23,卡牌属性!M303-1),INDEX(新属性投放!T$25:T$28,卡牌属性!M303-1)))*SQRT(INDEX($I$5:$I$42,L303)),2)</f>
        <v>4404.7</v>
      </c>
      <c r="Y303" s="29" t="s">
        <v>177</v>
      </c>
      <c r="Z303" s="14">
        <f>ROUND(IF(Q303=1,INDEX(新属性投放!$D$14:$D$34,卡牌属性!R303),INDEX(新属性投放!$D$42:$D$62,卡牌属性!R303))*INDEX($G$5:$G$42,L303)/SQRT(INDEX($I$5:$I$42,L303)),2)</f>
        <v>34.5</v>
      </c>
      <c r="AA303" s="29" t="s">
        <v>178</v>
      </c>
      <c r="AB303" s="14">
        <f>ROUND(IF(Q303=1,INDEX(新属性投放!$E$14:$E$34,卡牌属性!R303),INDEX(新属性投放!$E$42:$E$62,卡牌属性!R303))*INDEX($G$5:$G$42,L303),2)</f>
        <v>17.25</v>
      </c>
      <c r="AC303" s="29" t="s">
        <v>179</v>
      </c>
      <c r="AD303" s="14">
        <f>ROUND(IF(Q303=1,INDEX(新属性投放!$F$14:$F$34,卡牌属性!R303),INDEX(新属性投放!$F$42:$F$62,卡牌属性!R303))*INDEX($G$5:$G$42,L303)*SQRT(INDEX($I$5:$I$42,L303)),2)</f>
        <v>103.5</v>
      </c>
      <c r="AF303" s="14">
        <f t="shared" si="81"/>
        <v>345</v>
      </c>
      <c r="AG303" s="14">
        <f t="shared" si="82"/>
        <v>172</v>
      </c>
      <c r="AH303" s="14">
        <f t="shared" si="83"/>
        <v>1035</v>
      </c>
      <c r="AJ303" s="14">
        <f t="shared" si="87"/>
        <v>1264</v>
      </c>
      <c r="AK303" s="14">
        <f t="shared" si="88"/>
        <v>630</v>
      </c>
      <c r="AL303" s="14">
        <f t="shared" si="89"/>
        <v>3794</v>
      </c>
    </row>
    <row r="304" spans="11:38" ht="16.5" x14ac:dyDescent="0.2">
      <c r="K304" s="13">
        <v>301</v>
      </c>
      <c r="L304" s="13">
        <f t="shared" si="75"/>
        <v>15</v>
      </c>
      <c r="M304" s="13">
        <f t="shared" si="76"/>
        <v>3</v>
      </c>
      <c r="N304" s="14">
        <f t="shared" si="77"/>
        <v>1101015</v>
      </c>
      <c r="O304" s="14" t="str">
        <f t="shared" si="78"/>
        <v>阎巧巧7突</v>
      </c>
      <c r="P304" s="29" t="s">
        <v>341</v>
      </c>
      <c r="Q304" s="14">
        <f t="shared" si="79"/>
        <v>1</v>
      </c>
      <c r="R304" s="14">
        <f t="shared" si="80"/>
        <v>7</v>
      </c>
      <c r="S304" s="14" t="s">
        <v>39</v>
      </c>
      <c r="T304" s="14">
        <f>ROUND(((IF(Q304=1,INDEX(新属性投放!$J$14:$J$34,卡牌属性!R304),INDEX(新属性投放!$J$42:$J$62,卡牌属性!R304)))*INDEX($G$5:$G$42,L304)+IF(Q304=1,INDEX(新属性投放!R$20:R$23,卡牌属性!M304-1),INDEX(新属性投放!R$25:R$28,卡牌属性!M304-1)))/SQRT(INDEX($I$5:$I$42,L304)),2)</f>
        <v>1711.15</v>
      </c>
      <c r="U304" s="29" t="s">
        <v>178</v>
      </c>
      <c r="V304" s="14">
        <f>ROUND((IF(Q304=1,INDEX(新属性投放!$K$14:$K$34,卡牌属性!R304),INDEX(新属性投放!$K$42:$K$62,卡牌属性!R304))+IF(Q304=1,INDEX(新属性投放!S$20:S$23,卡牌属性!M304-1),INDEX(新属性投放!S$25:S$28,卡牌属性!M304-1)))*INDEX($G$5:$G$42,L304),2)</f>
        <v>784.3</v>
      </c>
      <c r="W304" s="29" t="s">
        <v>179</v>
      </c>
      <c r="X304" s="14">
        <f>ROUND((IF(Q304=1,INDEX(新属性投放!$L$14:$L$34,卡牌属性!R304),INDEX(新属性投放!$L$42:$L$62,卡牌属性!R304))*INDEX($G$5:$G$42,L304)+IF(Q304=1,INDEX(新属性投放!T$20:T$23,卡牌属性!M304-1),INDEX(新属性投放!T$25:T$28,卡牌属性!M304-1)))*SQRT(INDEX($I$5:$I$42,L304)),2)</f>
        <v>5698.45</v>
      </c>
      <c r="Y304" s="29" t="s">
        <v>177</v>
      </c>
      <c r="Z304" s="14">
        <f>ROUND(IF(Q304=1,INDEX(新属性投放!$D$14:$D$34,卡牌属性!R304),INDEX(新属性投放!$D$42:$D$62,卡牌属性!R304))*INDEX($G$5:$G$42,L304)/SQRT(INDEX($I$5:$I$42,L304)),2)</f>
        <v>40.25</v>
      </c>
      <c r="AA304" s="29" t="s">
        <v>178</v>
      </c>
      <c r="AB304" s="14">
        <f>ROUND(IF(Q304=1,INDEX(新属性投放!$E$14:$E$34,卡牌属性!R304),INDEX(新属性投放!$E$42:$E$62,卡牌属性!R304))*INDEX($G$5:$G$42,L304),2)</f>
        <v>20.13</v>
      </c>
      <c r="AC304" s="29" t="s">
        <v>179</v>
      </c>
      <c r="AD304" s="14">
        <f>ROUND(IF(Q304=1,INDEX(新属性投放!$F$14:$F$34,卡牌属性!R304),INDEX(新属性投放!$F$42:$F$62,卡牌属性!R304))*INDEX($G$5:$G$42,L304)*SQRT(INDEX($I$5:$I$42,L304)),2)</f>
        <v>120.75</v>
      </c>
      <c r="AF304" s="14">
        <f t="shared" si="81"/>
        <v>402</v>
      </c>
      <c r="AG304" s="14">
        <f t="shared" si="82"/>
        <v>201</v>
      </c>
      <c r="AH304" s="14">
        <f t="shared" si="83"/>
        <v>1207</v>
      </c>
      <c r="AJ304" s="14">
        <f t="shared" si="87"/>
        <v>1666</v>
      </c>
      <c r="AK304" s="14">
        <f t="shared" si="88"/>
        <v>831</v>
      </c>
      <c r="AL304" s="14">
        <f t="shared" si="89"/>
        <v>5001</v>
      </c>
    </row>
    <row r="305" spans="11:38" ht="16.5" x14ac:dyDescent="0.2">
      <c r="K305" s="13">
        <v>302</v>
      </c>
      <c r="L305" s="13">
        <f t="shared" si="75"/>
        <v>15</v>
      </c>
      <c r="M305" s="13">
        <f t="shared" si="76"/>
        <v>3</v>
      </c>
      <c r="N305" s="14">
        <f t="shared" si="77"/>
        <v>1101015</v>
      </c>
      <c r="O305" s="14" t="str">
        <f t="shared" si="78"/>
        <v>阎巧巧8突</v>
      </c>
      <c r="P305" s="29" t="s">
        <v>341</v>
      </c>
      <c r="Q305" s="14">
        <f t="shared" si="79"/>
        <v>1</v>
      </c>
      <c r="R305" s="14">
        <f t="shared" si="80"/>
        <v>8</v>
      </c>
      <c r="S305" s="14" t="s">
        <v>39</v>
      </c>
      <c r="T305" s="14">
        <f>ROUND(((IF(Q305=1,INDEX(新属性投放!$J$14:$J$34,卡牌属性!R305),INDEX(新属性投放!$J$42:$J$62,卡牌属性!R305)))*INDEX($G$5:$G$42,L305)+IF(Q305=1,INDEX(新属性投放!R$20:R$23,卡牌属性!M305-1),INDEX(新属性投放!R$25:R$28,卡牌属性!M305-1)))/SQRT(INDEX($I$5:$I$42,L305)),2)</f>
        <v>2214.85</v>
      </c>
      <c r="U305" s="29" t="s">
        <v>178</v>
      </c>
      <c r="V305" s="14">
        <f>ROUND((IF(Q305=1,INDEX(新属性投放!$K$14:$K$34,卡牌属性!R305),INDEX(新属性投放!$K$42:$K$62,卡牌属性!R305))+IF(Q305=1,INDEX(新属性投放!S$20:S$23,卡牌属性!M305-1),INDEX(新属性投放!S$25:S$28,卡牌属性!M305-1)))*INDEX($G$5:$G$42,L305),2)</f>
        <v>1036.1500000000001</v>
      </c>
      <c r="W305" s="29" t="s">
        <v>179</v>
      </c>
      <c r="X305" s="14">
        <f>ROUND((IF(Q305=1,INDEX(新属性投放!$L$14:$L$34,卡牌属性!R305),INDEX(新属性投放!$L$42:$L$62,卡牌属性!R305))*INDEX($G$5:$G$42,L305)+IF(Q305=1,INDEX(新属性投放!T$20:T$23,卡牌属性!M305-1),INDEX(新属性投放!T$25:T$28,卡牌属性!M305-1)))*SQRT(INDEX($I$5:$I$42,L305)),2)</f>
        <v>7209.55</v>
      </c>
      <c r="Y305" s="29" t="s">
        <v>177</v>
      </c>
      <c r="Z305" s="14">
        <f>ROUND(IF(Q305=1,INDEX(新属性投放!$D$14:$D$34,卡牌属性!R305),INDEX(新属性投放!$D$42:$D$62,卡牌属性!R305))*INDEX($G$5:$G$42,L305)/SQRT(INDEX($I$5:$I$42,L305)),2)</f>
        <v>51.75</v>
      </c>
      <c r="AA305" s="29" t="s">
        <v>178</v>
      </c>
      <c r="AB305" s="14">
        <f>ROUND(IF(Q305=1,INDEX(新属性投放!$E$14:$E$34,卡牌属性!R305),INDEX(新属性投放!$E$42:$E$62,卡牌属性!R305))*INDEX($G$5:$G$42,L305),2)</f>
        <v>25.88</v>
      </c>
      <c r="AC305" s="29" t="s">
        <v>179</v>
      </c>
      <c r="AD305" s="14">
        <f>ROUND(IF(Q305=1,INDEX(新属性投放!$F$14:$F$34,卡牌属性!R305),INDEX(新属性投放!$F$42:$F$62,卡牌属性!R305))*INDEX($G$5:$G$42,L305)*SQRT(INDEX($I$5:$I$42,L305)),2)</f>
        <v>155.25</v>
      </c>
      <c r="AF305" s="14">
        <f t="shared" si="81"/>
        <v>517</v>
      </c>
      <c r="AG305" s="14">
        <f t="shared" si="82"/>
        <v>258</v>
      </c>
      <c r="AH305" s="14">
        <f t="shared" si="83"/>
        <v>1552</v>
      </c>
      <c r="AJ305" s="14">
        <f t="shared" si="87"/>
        <v>2183</v>
      </c>
      <c r="AK305" s="14">
        <f t="shared" si="88"/>
        <v>1089</v>
      </c>
      <c r="AL305" s="14">
        <f t="shared" si="89"/>
        <v>6553</v>
      </c>
    </row>
    <row r="306" spans="11:38" ht="16.5" x14ac:dyDescent="0.2">
      <c r="K306" s="13">
        <v>303</v>
      </c>
      <c r="L306" s="13">
        <f t="shared" si="75"/>
        <v>15</v>
      </c>
      <c r="M306" s="13">
        <f t="shared" si="76"/>
        <v>3</v>
      </c>
      <c r="N306" s="14">
        <f t="shared" si="77"/>
        <v>1101015</v>
      </c>
      <c r="O306" s="14" t="str">
        <f t="shared" si="78"/>
        <v>阎巧巧9突</v>
      </c>
      <c r="P306" s="29" t="s">
        <v>341</v>
      </c>
      <c r="Q306" s="14">
        <f t="shared" si="79"/>
        <v>1</v>
      </c>
      <c r="R306" s="14">
        <f t="shared" si="80"/>
        <v>9</v>
      </c>
      <c r="S306" s="14" t="s">
        <v>39</v>
      </c>
      <c r="T306" s="14">
        <f>ROUND(((IF(Q306=1,INDEX(新属性投放!$J$14:$J$34,卡牌属性!R306),INDEX(新属性投放!$J$42:$J$62,卡牌属性!R306)))*INDEX($G$5:$G$42,L306)+IF(Q306=1,INDEX(新属性投放!R$20:R$23,卡牌属性!M306-1),INDEX(新属性投放!R$25:R$28,卡牌属性!M306-1)))/SQRT(INDEX($I$5:$I$42,L306)),2)</f>
        <v>2862.3</v>
      </c>
      <c r="U306" s="29" t="s">
        <v>178</v>
      </c>
      <c r="V306" s="14">
        <f>ROUND((IF(Q306=1,INDEX(新属性投放!$K$14:$K$34,卡牌属性!R306),INDEX(新属性投放!$K$42:$K$62,卡牌属性!R306))+IF(Q306=1,INDEX(新属性投放!S$20:S$23,卡牌属性!M306-1),INDEX(新属性投放!S$25:S$28,卡牌属性!M306-1)))*INDEX($G$5:$G$42,L306),2)</f>
        <v>1359.3</v>
      </c>
      <c r="W306" s="29" t="s">
        <v>179</v>
      </c>
      <c r="X306" s="14">
        <f>ROUND((IF(Q306=1,INDEX(新属性投放!$L$14:$L$34,卡牌属性!R306),INDEX(新属性投放!$L$42:$L$62,卡牌属性!R306))*INDEX($G$5:$G$42,L306)+IF(Q306=1,INDEX(新属性投放!T$20:T$23,卡牌属性!M306-1),INDEX(新属性投放!T$25:T$28,卡牌属性!M306-1)))*SQRT(INDEX($I$5:$I$42,L306)),2)</f>
        <v>9151.9</v>
      </c>
      <c r="Y306" s="29" t="s">
        <v>177</v>
      </c>
      <c r="Z306" s="14">
        <f>ROUND(IF(Q306=1,INDEX(新属性投放!$D$14:$D$34,卡牌属性!R306),INDEX(新属性投放!$D$42:$D$62,卡牌属性!R306))*INDEX($G$5:$G$42,L306)/SQRT(INDEX($I$5:$I$42,L306)),2)</f>
        <v>69.06</v>
      </c>
      <c r="AA306" s="29" t="s">
        <v>178</v>
      </c>
      <c r="AB306" s="14">
        <f>ROUND(IF(Q306=1,INDEX(新属性投放!$E$14:$E$34,卡牌属性!R306),INDEX(新属性投放!$E$42:$E$62,卡牌属性!R306))*INDEX($G$5:$G$42,L306),2)</f>
        <v>34.53</v>
      </c>
      <c r="AC306" s="29" t="s">
        <v>179</v>
      </c>
      <c r="AD306" s="14">
        <f>ROUND(IF(Q306=1,INDEX(新属性投放!$F$14:$F$34,卡牌属性!R306),INDEX(新属性投放!$F$42:$F$62,卡牌属性!R306))*INDEX($G$5:$G$42,L306)*SQRT(INDEX($I$5:$I$42,L306)),2)</f>
        <v>207.17</v>
      </c>
      <c r="AF306" s="14">
        <f t="shared" si="81"/>
        <v>690</v>
      </c>
      <c r="AG306" s="14">
        <f t="shared" si="82"/>
        <v>345</v>
      </c>
      <c r="AH306" s="14">
        <f t="shared" si="83"/>
        <v>2071</v>
      </c>
      <c r="AJ306" s="14">
        <f t="shared" si="87"/>
        <v>2873</v>
      </c>
      <c r="AK306" s="14">
        <f t="shared" si="88"/>
        <v>1434</v>
      </c>
      <c r="AL306" s="14">
        <f t="shared" si="89"/>
        <v>8624</v>
      </c>
    </row>
    <row r="307" spans="11:38" ht="16.5" x14ac:dyDescent="0.2">
      <c r="K307" s="13">
        <v>304</v>
      </c>
      <c r="L307" s="13">
        <f t="shared" si="75"/>
        <v>15</v>
      </c>
      <c r="M307" s="13">
        <f t="shared" si="76"/>
        <v>3</v>
      </c>
      <c r="N307" s="14">
        <f t="shared" si="77"/>
        <v>1101015</v>
      </c>
      <c r="O307" s="14" t="str">
        <f t="shared" si="78"/>
        <v>阎巧巧10突</v>
      </c>
      <c r="P307" s="29" t="s">
        <v>341</v>
      </c>
      <c r="Q307" s="14">
        <f t="shared" si="79"/>
        <v>1</v>
      </c>
      <c r="R307" s="14">
        <f t="shared" si="80"/>
        <v>10</v>
      </c>
      <c r="S307" s="14" t="s">
        <v>39</v>
      </c>
      <c r="T307" s="14">
        <f>ROUND(((IF(Q307=1,INDEX(新属性投放!$J$14:$J$34,卡牌属性!R307),INDEX(新属性投放!$J$42:$J$62,卡牌属性!R307)))*INDEX($G$5:$G$42,L307)+IF(Q307=1,INDEX(新属性投放!R$20:R$23,卡牌属性!M307-1),INDEX(新属性投放!R$25:R$28,卡牌属性!M307-1)))/SQRT(INDEX($I$5:$I$42,L307)),2)</f>
        <v>3725.38</v>
      </c>
      <c r="U307" s="29" t="s">
        <v>178</v>
      </c>
      <c r="V307" s="14">
        <f>ROUND((IF(Q307=1,INDEX(新属性投放!$K$14:$K$34,卡牌属性!R307),INDEX(新属性投放!$K$42:$K$62,卡牌属性!R307))+IF(Q307=1,INDEX(新属性投放!S$20:S$23,卡牌属性!M307-1),INDEX(新属性投放!S$25:S$28,卡牌属性!M307-1)))*INDEX($G$5:$G$42,L307),2)</f>
        <v>1790.84</v>
      </c>
      <c r="W307" s="29" t="s">
        <v>179</v>
      </c>
      <c r="X307" s="14">
        <f>ROUND((IF(Q307=1,INDEX(新属性投放!$L$14:$L$34,卡牌属性!R307),INDEX(新属性投放!$L$42:$L$62,卡牌属性!R307))*INDEX($G$5:$G$42,L307)+IF(Q307=1,INDEX(新属性投放!T$20:T$23,卡牌属性!M307-1),INDEX(新属性投放!T$25:T$28,卡牌属性!M307-1)))*SQRT(INDEX($I$5:$I$42,L307)),2)</f>
        <v>11741.13</v>
      </c>
      <c r="Y307" s="29" t="s">
        <v>177</v>
      </c>
      <c r="Z307" s="14">
        <f>ROUND(IF(Q307=1,INDEX(新属性投放!$D$14:$D$34,卡牌属性!R307),INDEX(新属性投放!$D$42:$D$62,卡牌属性!R307))*INDEX($G$5:$G$42,L307)/SQRT(INDEX($I$5:$I$42,L307)),2)</f>
        <v>90.28</v>
      </c>
      <c r="AA307" s="29" t="s">
        <v>178</v>
      </c>
      <c r="AB307" s="14">
        <f>ROUND(IF(Q307=1,INDEX(新属性投放!$E$14:$E$34,卡牌属性!R307),INDEX(新属性投放!$E$42:$E$62,卡牌属性!R307))*INDEX($G$5:$G$42,L307),2)</f>
        <v>45.14</v>
      </c>
      <c r="AC307" s="29" t="s">
        <v>179</v>
      </c>
      <c r="AD307" s="14">
        <f>ROUND(IF(Q307=1,INDEX(新属性投放!$F$14:$F$34,卡牌属性!R307),INDEX(新属性投放!$F$42:$F$62,卡牌属性!R307))*INDEX($G$5:$G$42,L307)*SQRT(INDEX($I$5:$I$42,L307)),2)</f>
        <v>270.83</v>
      </c>
      <c r="AF307" s="14">
        <f t="shared" si="81"/>
        <v>902</v>
      </c>
      <c r="AG307" s="14">
        <f t="shared" si="82"/>
        <v>451</v>
      </c>
      <c r="AH307" s="14">
        <f t="shared" si="83"/>
        <v>2708</v>
      </c>
      <c r="AJ307" s="14">
        <f t="shared" si="87"/>
        <v>3775</v>
      </c>
      <c r="AK307" s="14">
        <f t="shared" si="88"/>
        <v>1885</v>
      </c>
      <c r="AL307" s="14">
        <f t="shared" si="89"/>
        <v>11332</v>
      </c>
    </row>
    <row r="308" spans="11:38" ht="16.5" x14ac:dyDescent="0.2">
      <c r="K308" s="13">
        <v>305</v>
      </c>
      <c r="L308" s="13">
        <f t="shared" si="75"/>
        <v>15</v>
      </c>
      <c r="M308" s="13">
        <f t="shared" si="76"/>
        <v>3</v>
      </c>
      <c r="N308" s="14">
        <f t="shared" si="77"/>
        <v>1101015</v>
      </c>
      <c r="O308" s="14" t="str">
        <f t="shared" si="78"/>
        <v>阎巧巧11突</v>
      </c>
      <c r="P308" s="29" t="s">
        <v>341</v>
      </c>
      <c r="Q308" s="14">
        <f t="shared" si="79"/>
        <v>1</v>
      </c>
      <c r="R308" s="14">
        <f t="shared" si="80"/>
        <v>11</v>
      </c>
      <c r="S308" s="14" t="s">
        <v>39</v>
      </c>
      <c r="T308" s="14">
        <f>ROUND(((IF(Q308=1,INDEX(新属性投放!$J$14:$J$34,卡牌属性!R308),INDEX(新属性投放!$J$42:$J$62,卡牌属性!R308)))*INDEX($G$5:$G$42,L308)+IF(Q308=1,INDEX(新属性投放!R$20:R$23,卡牌属性!M308-1),INDEX(新属性投放!R$25:R$28,卡牌属性!M308-1)))/SQRT(INDEX($I$5:$I$42,L308)),2)</f>
        <v>4853.53</v>
      </c>
      <c r="U308" s="29" t="s">
        <v>178</v>
      </c>
      <c r="V308" s="14">
        <f>ROUND((IF(Q308=1,INDEX(新属性投放!$K$14:$K$34,卡牌属性!R308),INDEX(新属性投放!$K$42:$K$62,卡牌属性!R308))+IF(Q308=1,INDEX(新属性投放!S$20:S$23,卡牌属性!M308-1),INDEX(新属性投放!S$25:S$28,卡牌属性!M308-1)))*INDEX($G$5:$G$42,L308),2)</f>
        <v>2354.91</v>
      </c>
      <c r="W308" s="29" t="s">
        <v>179</v>
      </c>
      <c r="X308" s="14">
        <f>ROUND((IF(Q308=1,INDEX(新属性投放!$L$14:$L$34,卡牌属性!R308),INDEX(新属性投放!$L$42:$L$62,卡牌属性!R308))*INDEX($G$5:$G$42,L308)+IF(Q308=1,INDEX(新属性投放!T$20:T$23,卡牌属性!M308-1),INDEX(新属性投放!T$25:T$28,卡牌属性!M308-1)))*SQRT(INDEX($I$5:$I$42,L308)),2)</f>
        <v>15125.58</v>
      </c>
      <c r="Y308" s="29" t="s">
        <v>177</v>
      </c>
      <c r="Z308" s="14">
        <f>ROUND(IF(Q308=1,INDEX(新属性投放!$D$14:$D$34,卡牌属性!R308),INDEX(新属性投放!$D$42:$D$62,卡牌属性!R308))*INDEX($G$5:$G$42,L308)/SQRT(INDEX($I$5:$I$42,L308)),2)</f>
        <v>118.84</v>
      </c>
      <c r="AA308" s="29" t="s">
        <v>178</v>
      </c>
      <c r="AB308" s="14">
        <f>ROUND(IF(Q308=1,INDEX(新属性投放!$E$14:$E$34,卡牌属性!R308),INDEX(新属性投放!$E$42:$E$62,卡牌属性!R308))*INDEX($G$5:$G$42,L308),2)</f>
        <v>59.42</v>
      </c>
      <c r="AC308" s="29" t="s">
        <v>179</v>
      </c>
      <c r="AD308" s="14">
        <f>ROUND(IF(Q308=1,INDEX(新属性投放!$F$14:$F$34,卡牌属性!R308),INDEX(新属性投放!$F$42:$F$62,卡牌属性!R308))*INDEX($G$5:$G$42,L308)*SQRT(INDEX($I$5:$I$42,L308)),2)</f>
        <v>356.52</v>
      </c>
      <c r="AF308" s="14">
        <f t="shared" si="81"/>
        <v>1188</v>
      </c>
      <c r="AG308" s="14">
        <f t="shared" si="82"/>
        <v>594</v>
      </c>
      <c r="AH308" s="14">
        <f t="shared" si="83"/>
        <v>3565</v>
      </c>
      <c r="AJ308" s="14">
        <f t="shared" si="87"/>
        <v>4963</v>
      </c>
      <c r="AK308" s="14">
        <f t="shared" si="88"/>
        <v>2479</v>
      </c>
      <c r="AL308" s="14">
        <f t="shared" si="89"/>
        <v>14897</v>
      </c>
    </row>
    <row r="309" spans="11:38" ht="16.5" x14ac:dyDescent="0.2">
      <c r="K309" s="13">
        <v>306</v>
      </c>
      <c r="L309" s="13">
        <f t="shared" si="75"/>
        <v>15</v>
      </c>
      <c r="M309" s="13">
        <f t="shared" si="76"/>
        <v>3</v>
      </c>
      <c r="N309" s="14">
        <f t="shared" si="77"/>
        <v>1101015</v>
      </c>
      <c r="O309" s="14" t="str">
        <f t="shared" si="78"/>
        <v>阎巧巧12突</v>
      </c>
      <c r="P309" s="29" t="s">
        <v>341</v>
      </c>
      <c r="Q309" s="14">
        <f t="shared" si="79"/>
        <v>1</v>
      </c>
      <c r="R309" s="14">
        <f t="shared" si="80"/>
        <v>12</v>
      </c>
      <c r="S309" s="14" t="s">
        <v>39</v>
      </c>
      <c r="T309" s="14">
        <f>ROUND(((IF(Q309=1,INDEX(新属性投放!$J$14:$J$34,卡牌属性!R309),INDEX(新属性投放!$J$42:$J$62,卡牌属性!R309)))*INDEX($G$5:$G$42,L309)+IF(Q309=1,INDEX(新属性投放!R$20:R$23,卡牌属性!M309-1),INDEX(新属性投放!R$25:R$28,卡牌属性!M309-1)))/SQRT(INDEX($I$5:$I$42,L309)),2)</f>
        <v>6338.64</v>
      </c>
      <c r="U309" s="29" t="s">
        <v>178</v>
      </c>
      <c r="V309" s="14">
        <f>ROUND((IF(Q309=1,INDEX(新属性投放!$K$14:$K$34,卡牌属性!R309),INDEX(新属性投放!$K$42:$K$62,卡牌属性!R309))+IF(Q309=1,INDEX(新属性投放!S$20:S$23,卡牌属性!M309-1),INDEX(新属性投放!S$25:S$28,卡牌属性!M309-1)))*INDEX($G$5:$G$42,L309),2)</f>
        <v>3097.47</v>
      </c>
      <c r="W309" s="29" t="s">
        <v>179</v>
      </c>
      <c r="X309" s="14">
        <f>ROUND((IF(Q309=1,INDEX(新属性投放!$L$14:$L$34,卡牌属性!R309),INDEX(新属性投放!$L$42:$L$62,卡牌属性!R309))*INDEX($G$5:$G$42,L309)+IF(Q309=1,INDEX(新属性投放!T$20:T$23,卡牌属性!M309-1),INDEX(新属性投放!T$25:T$28,卡牌属性!M309-1)))*SQRT(INDEX($I$5:$I$42,L309)),2)</f>
        <v>19580.91</v>
      </c>
      <c r="Y309" s="29" t="s">
        <v>177</v>
      </c>
      <c r="Z309" s="14">
        <f>ROUND(IF(Q309=1,INDEX(新属性投放!$D$14:$D$34,卡牌属性!R309),INDEX(新属性投放!$D$42:$D$62,卡牌属性!R309))*INDEX($G$5:$G$42,L309)/SQRT(INDEX($I$5:$I$42,L309)),2)</f>
        <v>155.96</v>
      </c>
      <c r="AA309" s="29" t="s">
        <v>178</v>
      </c>
      <c r="AB309" s="14">
        <f>ROUND(IF(Q309=1,INDEX(新属性投放!$E$14:$E$34,卡牌属性!R309),INDEX(新属性投放!$E$42:$E$62,卡牌属性!R309))*INDEX($G$5:$G$42,L309),2)</f>
        <v>77.98</v>
      </c>
      <c r="AC309" s="29" t="s">
        <v>179</v>
      </c>
      <c r="AD309" s="14">
        <f>ROUND(IF(Q309=1,INDEX(新属性投放!$F$14:$F$34,卡牌属性!R309),INDEX(新属性投放!$F$42:$F$62,卡牌属性!R309))*INDEX($G$5:$G$42,L309)*SQRT(INDEX($I$5:$I$42,L309)),2)</f>
        <v>467.89</v>
      </c>
      <c r="AF309" s="14">
        <f t="shared" si="81"/>
        <v>1559</v>
      </c>
      <c r="AG309" s="14">
        <f t="shared" si="82"/>
        <v>779</v>
      </c>
      <c r="AH309" s="14">
        <f t="shared" si="83"/>
        <v>4678</v>
      </c>
      <c r="AJ309" s="14">
        <f t="shared" si="87"/>
        <v>6522</v>
      </c>
      <c r="AK309" s="14">
        <f t="shared" si="88"/>
        <v>3258</v>
      </c>
      <c r="AL309" s="14">
        <f t="shared" si="89"/>
        <v>19575</v>
      </c>
    </row>
    <row r="310" spans="11:38" ht="16.5" x14ac:dyDescent="0.2">
      <c r="K310" s="13">
        <v>307</v>
      </c>
      <c r="L310" s="13">
        <f t="shared" si="75"/>
        <v>15</v>
      </c>
      <c r="M310" s="13">
        <f t="shared" si="76"/>
        <v>3</v>
      </c>
      <c r="N310" s="14">
        <f t="shared" si="77"/>
        <v>1101015</v>
      </c>
      <c r="O310" s="14" t="str">
        <f t="shared" si="78"/>
        <v>阎巧巧13突</v>
      </c>
      <c r="P310" s="29" t="s">
        <v>341</v>
      </c>
      <c r="Q310" s="14">
        <f t="shared" si="79"/>
        <v>1</v>
      </c>
      <c r="R310" s="14">
        <f t="shared" si="80"/>
        <v>13</v>
      </c>
      <c r="S310" s="14" t="s">
        <v>39</v>
      </c>
      <c r="T310" s="14">
        <f>ROUND(((IF(Q310=1,INDEX(新属性投放!$J$14:$J$34,卡牌属性!R310),INDEX(新属性投放!$J$42:$J$62,卡牌属性!R310)))*INDEX($G$5:$G$42,L310)+IF(Q310=1,INDEX(新属性投放!R$20:R$23,卡牌属性!M310-1),INDEX(新属性投放!R$25:R$28,卡牌属性!M310-1)))/SQRT(INDEX($I$5:$I$42,L310)),2)</f>
        <v>8288.1200000000008</v>
      </c>
      <c r="U310" s="29" t="s">
        <v>178</v>
      </c>
      <c r="V310" s="14">
        <f>ROUND((IF(Q310=1,INDEX(新属性投放!$K$14:$K$34,卡牌属性!R310),INDEX(新属性投放!$K$42:$K$62,卡牌属性!R310))+IF(Q310=1,INDEX(新属性投放!S$20:S$23,卡牌属性!M310-1),INDEX(新属性投放!S$25:S$28,卡牌属性!M310-1)))*INDEX($G$5:$G$42,L310),2)</f>
        <v>4072.78</v>
      </c>
      <c r="W310" s="29" t="s">
        <v>179</v>
      </c>
      <c r="X310" s="14">
        <f>ROUND((IF(Q310=1,INDEX(新属性投放!$L$14:$L$34,卡牌属性!R310),INDEX(新属性投放!$L$42:$L$62,卡牌属性!R310))*INDEX($G$5:$G$42,L310)+IF(Q310=1,INDEX(新属性投放!T$20:T$23,卡牌属性!M310-1),INDEX(新属性投放!T$25:T$28,卡牌属性!M310-1)))*SQRT(INDEX($I$5:$I$42,L310)),2)</f>
        <v>25429.35</v>
      </c>
      <c r="Y310" s="29" t="s">
        <v>177</v>
      </c>
      <c r="Z310" s="14">
        <f>ROUND(IF(Q310=1,INDEX(新属性投放!$D$14:$D$34,卡牌属性!R310),INDEX(新属性投放!$D$42:$D$62,卡牌属性!R310))*INDEX($G$5:$G$42,L310)/SQRT(INDEX($I$5:$I$42,L310)),2)</f>
        <v>204.7</v>
      </c>
      <c r="AA310" s="29" t="s">
        <v>178</v>
      </c>
      <c r="AB310" s="14">
        <f>ROUND(IF(Q310=1,INDEX(新属性投放!$E$14:$E$34,卡牌属性!R310),INDEX(新属性投放!$E$42:$E$62,卡牌属性!R310))*INDEX($G$5:$G$42,L310),2)</f>
        <v>102.35</v>
      </c>
      <c r="AC310" s="29" t="s">
        <v>179</v>
      </c>
      <c r="AD310" s="14">
        <f>ROUND(IF(Q310=1,INDEX(新属性投放!$F$14:$F$34,卡牌属性!R310),INDEX(新属性投放!$F$42:$F$62,卡牌属性!R310))*INDEX($G$5:$G$42,L310)*SQRT(INDEX($I$5:$I$42,L310)),2)</f>
        <v>614.1</v>
      </c>
      <c r="AF310" s="14">
        <f t="shared" si="81"/>
        <v>2047</v>
      </c>
      <c r="AG310" s="14">
        <f t="shared" si="82"/>
        <v>1023</v>
      </c>
      <c r="AH310" s="14">
        <f t="shared" si="83"/>
        <v>6141</v>
      </c>
      <c r="AJ310" s="14">
        <f t="shared" si="87"/>
        <v>8569</v>
      </c>
      <c r="AK310" s="14">
        <f t="shared" si="88"/>
        <v>4281</v>
      </c>
      <c r="AL310" s="14">
        <f t="shared" si="89"/>
        <v>25716</v>
      </c>
    </row>
    <row r="311" spans="11:38" ht="16.5" x14ac:dyDescent="0.2">
      <c r="K311" s="13">
        <v>308</v>
      </c>
      <c r="L311" s="13">
        <f t="shared" si="75"/>
        <v>15</v>
      </c>
      <c r="M311" s="13">
        <f t="shared" si="76"/>
        <v>3</v>
      </c>
      <c r="N311" s="14">
        <f t="shared" si="77"/>
        <v>1101015</v>
      </c>
      <c r="O311" s="14" t="str">
        <f t="shared" si="78"/>
        <v>阎巧巧14突</v>
      </c>
      <c r="P311" s="29" t="s">
        <v>341</v>
      </c>
      <c r="Q311" s="14">
        <f t="shared" si="79"/>
        <v>1</v>
      </c>
      <c r="R311" s="14">
        <f t="shared" si="80"/>
        <v>14</v>
      </c>
      <c r="S311" s="14" t="s">
        <v>39</v>
      </c>
      <c r="T311" s="14">
        <f>ROUND(((IF(Q311=1,INDEX(新属性投放!$J$14:$J$34,卡牌属性!R311),INDEX(新属性投放!$J$42:$J$62,卡牌属性!R311)))*INDEX($G$5:$G$42,L311)+IF(Q311=1,INDEX(新属性投放!R$20:R$23,卡牌属性!M311-1),INDEX(新属性投放!R$25:R$28,卡牌属性!M311-1)))/SQRT(INDEX($I$5:$I$42,L311)),2)</f>
        <v>10846.87</v>
      </c>
      <c r="U311" s="29" t="s">
        <v>178</v>
      </c>
      <c r="V311" s="14">
        <f>ROUND((IF(Q311=1,INDEX(新属性投放!$K$14:$K$34,卡牌属性!R311),INDEX(新属性投放!$K$42:$K$62,卡牌属性!R311))+IF(Q311=1,INDEX(新属性投放!S$20:S$23,卡牌属性!M311-1),INDEX(新属性投放!S$25:S$28,卡牌属性!M311-1)))*INDEX($G$5:$G$42,L311),2)</f>
        <v>5352.73</v>
      </c>
      <c r="W311" s="29" t="s">
        <v>179</v>
      </c>
      <c r="X311" s="14">
        <f>ROUND((IF(Q311=1,INDEX(新属性投放!$L$14:$L$34,卡牌属性!R311),INDEX(新属性投放!$L$42:$L$62,卡牌属性!R311))*INDEX($G$5:$G$42,L311)+IF(Q311=1,INDEX(新属性投放!T$20:T$23,卡牌属性!M311-1),INDEX(新属性投放!T$25:T$28,卡牌属性!M311-1)))*SQRT(INDEX($I$5:$I$42,L311)),2)</f>
        <v>33105.599999999999</v>
      </c>
      <c r="Y311" s="29" t="s">
        <v>177</v>
      </c>
      <c r="Z311" s="14">
        <f>ROUND(IF(Q311=1,INDEX(新属性投放!$D$14:$D$34,卡牌属性!R311),INDEX(新属性投放!$D$42:$D$62,卡牌属性!R311))*INDEX($G$5:$G$42,L311)/SQRT(INDEX($I$5:$I$42,L311)),2)</f>
        <v>268.67</v>
      </c>
      <c r="AA311" s="29" t="s">
        <v>178</v>
      </c>
      <c r="AB311" s="14">
        <f>ROUND(IF(Q311=1,INDEX(新属性投放!$E$14:$E$34,卡牌属性!R311),INDEX(新属性投放!$E$42:$E$62,卡牌属性!R311))*INDEX($G$5:$G$42,L311),2)</f>
        <v>134.34</v>
      </c>
      <c r="AC311" s="29" t="s">
        <v>179</v>
      </c>
      <c r="AD311" s="14">
        <f>ROUND(IF(Q311=1,INDEX(新属性投放!$F$14:$F$34,卡牌属性!R311),INDEX(新属性投放!$F$42:$F$62,卡牌属性!R311))*INDEX($G$5:$G$42,L311)*SQRT(INDEX($I$5:$I$42,L311)),2)</f>
        <v>806.02</v>
      </c>
      <c r="AF311" s="14">
        <f t="shared" si="81"/>
        <v>2686</v>
      </c>
      <c r="AG311" s="14">
        <f t="shared" si="82"/>
        <v>1343</v>
      </c>
      <c r="AH311" s="14">
        <f t="shared" si="83"/>
        <v>8060</v>
      </c>
      <c r="AJ311" s="14">
        <f t="shared" si="87"/>
        <v>11255</v>
      </c>
      <c r="AK311" s="14">
        <f t="shared" si="88"/>
        <v>5624</v>
      </c>
      <c r="AL311" s="14">
        <f t="shared" si="89"/>
        <v>33776</v>
      </c>
    </row>
    <row r="312" spans="11:38" ht="16.5" x14ac:dyDescent="0.2">
      <c r="K312" s="13">
        <v>309</v>
      </c>
      <c r="L312" s="13">
        <f t="shared" si="75"/>
        <v>15</v>
      </c>
      <c r="M312" s="13">
        <f t="shared" si="76"/>
        <v>3</v>
      </c>
      <c r="N312" s="14">
        <f t="shared" si="77"/>
        <v>1101015</v>
      </c>
      <c r="O312" s="14" t="str">
        <f t="shared" si="78"/>
        <v>阎巧巧15突</v>
      </c>
      <c r="P312" s="29" t="s">
        <v>341</v>
      </c>
      <c r="Q312" s="14">
        <f t="shared" si="79"/>
        <v>1</v>
      </c>
      <c r="R312" s="14">
        <f t="shared" si="80"/>
        <v>15</v>
      </c>
      <c r="S312" s="14" t="s">
        <v>39</v>
      </c>
      <c r="T312" s="14">
        <f>ROUND(((IF(Q312=1,INDEX(新属性投放!$J$14:$J$34,卡牌属性!R312),INDEX(新属性投放!$J$42:$J$62,卡牌属性!R312)))*INDEX($G$5:$G$42,L312)+IF(Q312=1,INDEX(新属性投放!R$20:R$23,卡牌属性!M312-1),INDEX(新属性投放!R$25:R$28,卡牌属性!M312-1)))/SQRT(INDEX($I$5:$I$42,L312)),2)</f>
        <v>14205.21</v>
      </c>
      <c r="U312" s="29" t="s">
        <v>178</v>
      </c>
      <c r="V312" s="14">
        <f>ROUND((IF(Q312=1,INDEX(新属性投放!$K$14:$K$34,卡牌属性!R312),INDEX(新属性投放!$K$42:$K$62,卡牌属性!R312))+IF(Q312=1,INDEX(新属性投放!S$20:S$23,卡牌属性!M312-1),INDEX(新属性投放!S$25:S$28,卡牌属性!M312-1)))*INDEX($G$5:$G$42,L312),2)</f>
        <v>7031.91</v>
      </c>
      <c r="W312" s="29" t="s">
        <v>179</v>
      </c>
      <c r="X312" s="14">
        <f>ROUND((IF(Q312=1,INDEX(新属性投放!$L$14:$L$34,卡牌属性!R312),INDEX(新属性投放!$L$42:$L$62,卡牌属性!R312))*INDEX($G$5:$G$42,L312)+IF(Q312=1,INDEX(新属性投放!T$20:T$23,卡牌属性!M312-1),INDEX(新属性投放!T$25:T$28,卡牌属性!M312-1)))*SQRT(INDEX($I$5:$I$42,L312)),2)</f>
        <v>43180.63</v>
      </c>
      <c r="Y312" s="29" t="s">
        <v>177</v>
      </c>
      <c r="Z312" s="14">
        <f>ROUND(IF(Q312=1,INDEX(新属性投放!$D$14:$D$34,卡牌属性!R312),INDEX(新属性投放!$D$42:$D$62,卡牌属性!R312))*INDEX($G$5:$G$42,L312)/SQRT(INDEX($I$5:$I$42,L312)),2)</f>
        <v>352.64</v>
      </c>
      <c r="AA312" s="29" t="s">
        <v>178</v>
      </c>
      <c r="AB312" s="14">
        <f>ROUND(IF(Q312=1,INDEX(新属性投放!$E$14:$E$34,卡牌属性!R312),INDEX(新属性投放!$E$42:$E$62,卡牌属性!R312))*INDEX($G$5:$G$42,L312),2)</f>
        <v>176.32</v>
      </c>
      <c r="AC312" s="29" t="s">
        <v>179</v>
      </c>
      <c r="AD312" s="14">
        <f>ROUND(IF(Q312=1,INDEX(新属性投放!$F$14:$F$34,卡牌属性!R312),INDEX(新属性投放!$F$42:$F$62,卡牌属性!R312))*INDEX($G$5:$G$42,L312)*SQRT(INDEX($I$5:$I$42,L312)),2)</f>
        <v>1057.9100000000001</v>
      </c>
      <c r="AF312" s="14">
        <f t="shared" si="81"/>
        <v>3526</v>
      </c>
      <c r="AG312" s="14">
        <f t="shared" si="82"/>
        <v>1763</v>
      </c>
      <c r="AH312" s="14">
        <f t="shared" si="83"/>
        <v>10579</v>
      </c>
      <c r="AJ312" s="14">
        <f t="shared" si="87"/>
        <v>14781</v>
      </c>
      <c r="AK312" s="14">
        <f t="shared" si="88"/>
        <v>7387</v>
      </c>
      <c r="AL312" s="14">
        <f t="shared" si="89"/>
        <v>44355</v>
      </c>
    </row>
    <row r="313" spans="11:38" ht="16.5" x14ac:dyDescent="0.2">
      <c r="K313" s="13">
        <v>310</v>
      </c>
      <c r="L313" s="13">
        <f t="shared" si="75"/>
        <v>15</v>
      </c>
      <c r="M313" s="13">
        <f t="shared" si="76"/>
        <v>3</v>
      </c>
      <c r="N313" s="14">
        <f t="shared" si="77"/>
        <v>1101015</v>
      </c>
      <c r="O313" s="14" t="str">
        <f t="shared" si="78"/>
        <v>阎巧巧16突</v>
      </c>
      <c r="P313" s="29" t="s">
        <v>341</v>
      </c>
      <c r="Q313" s="14">
        <f t="shared" si="79"/>
        <v>1</v>
      </c>
      <c r="R313" s="14">
        <f t="shared" si="80"/>
        <v>16</v>
      </c>
      <c r="S313" s="14" t="s">
        <v>39</v>
      </c>
      <c r="T313" s="14">
        <f>ROUND(((IF(Q313=1,INDEX(新属性投放!$J$14:$J$34,卡牌属性!R313),INDEX(新属性投放!$J$42:$J$62,卡牌属性!R313)))*INDEX($G$5:$G$42,L313)+IF(Q313=1,INDEX(新属性投放!R$20:R$23,卡牌属性!M313-1),INDEX(新属性投放!R$25:R$28,卡牌属性!M313-1)))/SQRT(INDEX($I$5:$I$42,L313)),2)</f>
        <v>18613.62</v>
      </c>
      <c r="U313" s="29" t="s">
        <v>178</v>
      </c>
      <c r="V313" s="14">
        <f>ROUND((IF(Q313=1,INDEX(新属性投放!$K$14:$K$34,卡牌属性!R313),INDEX(新属性投放!$K$42:$K$62,卡牌属性!R313))+IF(Q313=1,INDEX(新属性投放!S$20:S$23,卡牌属性!M313-1),INDEX(新属性投放!S$25:S$28,卡牌属性!M313-1)))*INDEX($G$5:$G$42,L313),2)</f>
        <v>9235.5400000000009</v>
      </c>
      <c r="W313" s="29" t="s">
        <v>179</v>
      </c>
      <c r="X313" s="14">
        <f>ROUND((IF(Q313=1,INDEX(新属性投放!$L$14:$L$34,卡牌属性!R313),INDEX(新属性投放!$L$42:$L$62,卡牌属性!R313))*INDEX($G$5:$G$42,L313)+IF(Q313=1,INDEX(新属性投放!T$20:T$23,卡牌属性!M313-1),INDEX(新属性投放!T$25:T$28,卡牌属性!M313-1)))*SQRT(INDEX($I$5:$I$42,L313)),2)</f>
        <v>56405.86</v>
      </c>
      <c r="Y313" s="29" t="s">
        <v>177</v>
      </c>
      <c r="Z313" s="14">
        <f>ROUND(IF(Q313=1,INDEX(新属性投放!$D$14:$D$34,卡牌属性!R313),INDEX(新属性投放!$D$42:$D$62,卡牌属性!R313))*INDEX($G$5:$G$42,L313)/SQRT(INDEX($I$5:$I$42,L313)),2)</f>
        <v>462.84</v>
      </c>
      <c r="AA313" s="29" t="s">
        <v>178</v>
      </c>
      <c r="AB313" s="14">
        <f>ROUND(IF(Q313=1,INDEX(新属性投放!$E$14:$E$34,卡牌属性!R313),INDEX(新属性投放!$E$42:$E$62,卡牌属性!R313))*INDEX($G$5:$G$42,L313),2)</f>
        <v>231.42</v>
      </c>
      <c r="AC313" s="29" t="s">
        <v>179</v>
      </c>
      <c r="AD313" s="14">
        <f>ROUND(IF(Q313=1,INDEX(新属性投放!$F$14:$F$34,卡牌属性!R313),INDEX(新属性投放!$F$42:$F$62,卡牌属性!R313))*INDEX($G$5:$G$42,L313)*SQRT(INDEX($I$5:$I$42,L313)),2)</f>
        <v>1388.52</v>
      </c>
      <c r="AF313" s="14">
        <f t="shared" si="81"/>
        <v>4628</v>
      </c>
      <c r="AG313" s="14">
        <f t="shared" si="82"/>
        <v>2314</v>
      </c>
      <c r="AH313" s="14">
        <f t="shared" si="83"/>
        <v>13885</v>
      </c>
      <c r="AJ313" s="14">
        <f t="shared" si="87"/>
        <v>19409</v>
      </c>
      <c r="AK313" s="14">
        <f t="shared" si="88"/>
        <v>9701</v>
      </c>
      <c r="AL313" s="14">
        <f t="shared" si="89"/>
        <v>58240</v>
      </c>
    </row>
    <row r="314" spans="11:38" ht="16.5" x14ac:dyDescent="0.2">
      <c r="K314" s="13">
        <v>311</v>
      </c>
      <c r="L314" s="13">
        <f t="shared" si="75"/>
        <v>15</v>
      </c>
      <c r="M314" s="13">
        <f t="shared" si="76"/>
        <v>3</v>
      </c>
      <c r="N314" s="14">
        <f t="shared" si="77"/>
        <v>1101015</v>
      </c>
      <c r="O314" s="14" t="str">
        <f t="shared" si="78"/>
        <v>阎巧巧17突</v>
      </c>
      <c r="P314" s="29" t="s">
        <v>341</v>
      </c>
      <c r="Q314" s="14">
        <f t="shared" si="79"/>
        <v>1</v>
      </c>
      <c r="R314" s="14">
        <f t="shared" si="80"/>
        <v>17</v>
      </c>
      <c r="S314" s="14" t="s">
        <v>39</v>
      </c>
      <c r="T314" s="14">
        <f>ROUND(((IF(Q314=1,INDEX(新属性投放!$J$14:$J$34,卡牌属性!R314),INDEX(新属性投放!$J$42:$J$62,卡牌属性!R314)))*INDEX($G$5:$G$42,L314)+IF(Q314=1,INDEX(新属性投放!R$20:R$23,卡牌属性!M314-1),INDEX(新属性投放!R$25:R$28,卡牌属性!M314-1)))/SQRT(INDEX($I$5:$I$42,L314)),2)</f>
        <v>24398.93</v>
      </c>
      <c r="U314" s="29" t="s">
        <v>178</v>
      </c>
      <c r="V314" s="14">
        <f>ROUND((IF(Q314=1,INDEX(新属性投放!$K$14:$K$34,卡牌属性!R314),INDEX(新属性投放!$K$42:$K$62,卡牌属性!R314))+IF(Q314=1,INDEX(新属性投放!S$20:S$23,卡牌属性!M314-1),INDEX(新属性投放!S$25:S$28,卡牌属性!M314-1)))*INDEX($G$5:$G$42,L314),2)</f>
        <v>12128.19</v>
      </c>
      <c r="W314" s="29" t="s">
        <v>179</v>
      </c>
      <c r="X314" s="14">
        <f>ROUND((IF(Q314=1,INDEX(新属性投放!$L$14:$L$34,卡牌属性!R314),INDEX(新属性投放!$L$42:$L$62,卡牌属性!R314))*INDEX($G$5:$G$42,L314)+IF(Q314=1,INDEX(新属性投放!T$20:T$23,卡牌属性!M314-1),INDEX(新属性投放!T$25:T$28,卡牌属性!M314-1)))*SQRT(INDEX($I$5:$I$42,L314)),2)</f>
        <v>73761.78</v>
      </c>
      <c r="Y314" s="29" t="s">
        <v>177</v>
      </c>
      <c r="Z314" s="14">
        <f>ROUND(IF(Q314=1,INDEX(新属性投放!$D$14:$D$34,卡牌属性!R314),INDEX(新属性投放!$D$42:$D$62,卡牌属性!R314))*INDEX($G$5:$G$42,L314)/SQRT(INDEX($I$5:$I$42,L314)),2)</f>
        <v>607.48</v>
      </c>
      <c r="AA314" s="29" t="s">
        <v>178</v>
      </c>
      <c r="AB314" s="14">
        <f>ROUND(IF(Q314=1,INDEX(新属性投放!$E$14:$E$34,卡牌属性!R314),INDEX(新属性投放!$E$42:$E$62,卡牌属性!R314))*INDEX($G$5:$G$42,L314),2)</f>
        <v>303.74</v>
      </c>
      <c r="AC314" s="29" t="s">
        <v>179</v>
      </c>
      <c r="AD314" s="14">
        <f>ROUND(IF(Q314=1,INDEX(新属性投放!$F$14:$F$34,卡牌属性!R314),INDEX(新属性投放!$F$42:$F$62,卡牌属性!R314))*INDEX($G$5:$G$42,L314)*SQRT(INDEX($I$5:$I$42,L314)),2)</f>
        <v>1822.43</v>
      </c>
      <c r="AF314" s="14">
        <f t="shared" si="81"/>
        <v>6074</v>
      </c>
      <c r="AG314" s="14">
        <f t="shared" si="82"/>
        <v>3037</v>
      </c>
      <c r="AH314" s="14">
        <f t="shared" si="83"/>
        <v>18224</v>
      </c>
      <c r="AJ314" s="14">
        <f t="shared" si="87"/>
        <v>25483</v>
      </c>
      <c r="AK314" s="14">
        <f t="shared" si="88"/>
        <v>12738</v>
      </c>
      <c r="AL314" s="14">
        <f t="shared" si="89"/>
        <v>76464</v>
      </c>
    </row>
    <row r="315" spans="11:38" ht="16.5" x14ac:dyDescent="0.2">
      <c r="K315" s="13">
        <v>312</v>
      </c>
      <c r="L315" s="13">
        <f t="shared" si="75"/>
        <v>15</v>
      </c>
      <c r="M315" s="13">
        <f t="shared" si="76"/>
        <v>3</v>
      </c>
      <c r="N315" s="14">
        <f t="shared" si="77"/>
        <v>1101015</v>
      </c>
      <c r="O315" s="14" t="str">
        <f t="shared" si="78"/>
        <v>阎巧巧18突</v>
      </c>
      <c r="P315" s="29" t="s">
        <v>341</v>
      </c>
      <c r="Q315" s="14">
        <f t="shared" si="79"/>
        <v>1</v>
      </c>
      <c r="R315" s="14">
        <f t="shared" si="80"/>
        <v>18</v>
      </c>
      <c r="S315" s="14" t="s">
        <v>39</v>
      </c>
      <c r="T315" s="14">
        <f>ROUND(((IF(Q315=1,INDEX(新属性投放!$J$14:$J$34,卡牌属性!R315),INDEX(新属性投放!$J$42:$J$62,卡牌属性!R315)))*INDEX($G$5:$G$42,L315)+IF(Q315=1,INDEX(新属性投放!R$20:R$23,卡牌属性!M315-1),INDEX(新属性投放!R$25:R$28,卡牌属性!M315-1)))/SQRT(INDEX($I$5:$I$42,L315)),2)</f>
        <v>31992.84</v>
      </c>
      <c r="U315" s="29" t="s">
        <v>178</v>
      </c>
      <c r="V315" s="14">
        <f>ROUND((IF(Q315=1,INDEX(新属性投放!$K$14:$K$34,卡牌属性!R315),INDEX(新属性投放!$K$42:$K$62,卡牌属性!R315))+IF(Q315=1,INDEX(新属性投放!S$20:S$23,卡牌属性!M315-1),INDEX(新属性投放!S$25:S$28,卡牌属性!M315-1)))*INDEX($G$5:$G$42,L315),2)</f>
        <v>15924.57</v>
      </c>
      <c r="W315" s="29" t="s">
        <v>179</v>
      </c>
      <c r="X315" s="14">
        <f>ROUND((IF(Q315=1,INDEX(新属性投放!$L$14:$L$34,卡牌属性!R315),INDEX(新属性投放!$L$42:$L$62,卡牌属性!R315))*INDEX($G$5:$G$42,L315)+IF(Q315=1,INDEX(新属性投放!T$20:T$23,卡牌属性!M315-1),INDEX(新属性投放!T$25:T$28,卡牌属性!M315-1)))*SQRT(INDEX($I$5:$I$42,L315)),2)</f>
        <v>96543.51</v>
      </c>
      <c r="Y315" s="29" t="s">
        <v>177</v>
      </c>
      <c r="Z315" s="14">
        <f>ROUND(IF(Q315=1,INDEX(新属性投放!$D$14:$D$34,卡牌属性!R315),INDEX(新属性投放!$D$42:$D$62,卡牌属性!R315))*INDEX($G$5:$G$42,L315)/SQRT(INDEX($I$5:$I$42,L315)),2)</f>
        <v>797.32</v>
      </c>
      <c r="AA315" s="29" t="s">
        <v>178</v>
      </c>
      <c r="AB315" s="14">
        <f>ROUND(IF(Q315=1,INDEX(新属性投放!$E$14:$E$34,卡牌属性!R315),INDEX(新属性投放!$E$42:$E$62,卡牌属性!R315))*INDEX($G$5:$G$42,L315),2)</f>
        <v>398.66</v>
      </c>
      <c r="AC315" s="29" t="s">
        <v>179</v>
      </c>
      <c r="AD315" s="14">
        <f>ROUND(IF(Q315=1,INDEX(新属性投放!$F$14:$F$34,卡牌属性!R315),INDEX(新属性投放!$F$42:$F$62,卡牌属性!R315))*INDEX($G$5:$G$42,L315)*SQRT(INDEX($I$5:$I$42,L315)),2)</f>
        <v>2391.9499999999998</v>
      </c>
      <c r="AF315" s="14">
        <f t="shared" si="81"/>
        <v>7973</v>
      </c>
      <c r="AG315" s="14">
        <f t="shared" si="82"/>
        <v>3986</v>
      </c>
      <c r="AH315" s="14">
        <f t="shared" si="83"/>
        <v>23919</v>
      </c>
      <c r="AJ315" s="14">
        <f t="shared" si="87"/>
        <v>33456</v>
      </c>
      <c r="AK315" s="14">
        <f t="shared" si="88"/>
        <v>16724</v>
      </c>
      <c r="AL315" s="14">
        <f t="shared" si="89"/>
        <v>100383</v>
      </c>
    </row>
    <row r="316" spans="11:38" ht="16.5" x14ac:dyDescent="0.2">
      <c r="K316" s="13">
        <v>313</v>
      </c>
      <c r="L316" s="13">
        <f t="shared" si="75"/>
        <v>15</v>
      </c>
      <c r="M316" s="13">
        <f t="shared" si="76"/>
        <v>3</v>
      </c>
      <c r="N316" s="14">
        <f t="shared" si="77"/>
        <v>1101015</v>
      </c>
      <c r="O316" s="14" t="str">
        <f t="shared" si="78"/>
        <v>阎巧巧19突</v>
      </c>
      <c r="P316" s="29" t="s">
        <v>341</v>
      </c>
      <c r="Q316" s="14">
        <f t="shared" si="79"/>
        <v>1</v>
      </c>
      <c r="R316" s="14">
        <f t="shared" si="80"/>
        <v>19</v>
      </c>
      <c r="S316" s="14" t="s">
        <v>39</v>
      </c>
      <c r="T316" s="14">
        <f>ROUND(((IF(Q316=1,INDEX(新属性投放!$J$14:$J$34,卡牌属性!R316),INDEX(新属性投放!$J$42:$J$62,卡牌属性!R316)))*INDEX($G$5:$G$42,L316)+IF(Q316=1,INDEX(新属性投放!R$20:R$23,卡牌属性!M316-1),INDEX(新属性投放!R$25:R$28,卡牌属性!M316-1)))/SQRT(INDEX($I$5:$I$42,L316)),2)</f>
        <v>41958.97</v>
      </c>
      <c r="U316" s="29" t="s">
        <v>178</v>
      </c>
      <c r="V316" s="14">
        <f>ROUND((IF(Q316=1,INDEX(新属性投放!$K$14:$K$34,卡牌属性!R316),INDEX(新属性投放!$K$42:$K$62,卡牌属性!R316))+IF(Q316=1,INDEX(新属性投放!S$20:S$23,卡牌属性!M316-1),INDEX(新属性投放!S$25:S$28,卡牌属性!M316-1)))*INDEX($G$5:$G$42,L316),2)</f>
        <v>20908.21</v>
      </c>
      <c r="W316" s="29" t="s">
        <v>179</v>
      </c>
      <c r="X316" s="14">
        <f>ROUND((IF(Q316=1,INDEX(新属性投放!$L$14:$L$34,卡牌属性!R316),INDEX(新属性投放!$L$42:$L$62,卡牌属性!R316))*INDEX($G$5:$G$42,L316)+IF(Q316=1,INDEX(新属性投放!T$20:T$23,卡牌属性!M316-1),INDEX(新属性投放!T$25:T$28,卡牌属性!M316-1)))*SQRT(INDEX($I$5:$I$42,L316)),2)</f>
        <v>126441.9</v>
      </c>
      <c r="Y316" s="29" t="s">
        <v>177</v>
      </c>
      <c r="Z316" s="14">
        <f>ROUND(IF(Q316=1,INDEX(新属性投放!$D$14:$D$34,卡牌属性!R316),INDEX(新属性投放!$D$42:$D$62,卡牌属性!R316))*INDEX($G$5:$G$42,L316)/SQRT(INDEX($I$5:$I$42,L316)),2)</f>
        <v>1046.48</v>
      </c>
      <c r="AA316" s="29" t="s">
        <v>178</v>
      </c>
      <c r="AB316" s="14">
        <f>ROUND(IF(Q316=1,INDEX(新属性投放!$E$14:$E$34,卡牌属性!R316),INDEX(新属性投放!$E$42:$E$62,卡牌属性!R316))*INDEX($G$5:$G$42,L316),2)</f>
        <v>523.24</v>
      </c>
      <c r="AC316" s="29" t="s">
        <v>179</v>
      </c>
      <c r="AD316" s="14">
        <f>ROUND(IF(Q316=1,INDEX(新属性投放!$F$14:$F$34,卡牌属性!R316),INDEX(新属性投放!$F$42:$F$62,卡牌属性!R316))*INDEX($G$5:$G$42,L316)*SQRT(INDEX($I$5:$I$42,L316)),2)</f>
        <v>3139.43</v>
      </c>
      <c r="AF316" s="14">
        <f t="shared" si="81"/>
        <v>10464</v>
      </c>
      <c r="AG316" s="14">
        <f t="shared" si="82"/>
        <v>5232</v>
      </c>
      <c r="AH316" s="14">
        <f t="shared" si="83"/>
        <v>31394</v>
      </c>
      <c r="AJ316" s="14">
        <f t="shared" si="87"/>
        <v>43920</v>
      </c>
      <c r="AK316" s="14">
        <f t="shared" si="88"/>
        <v>21956</v>
      </c>
      <c r="AL316" s="14">
        <f t="shared" si="89"/>
        <v>131777</v>
      </c>
    </row>
    <row r="317" spans="11:38" ht="16.5" x14ac:dyDescent="0.2">
      <c r="K317" s="13">
        <v>314</v>
      </c>
      <c r="L317" s="13">
        <f t="shared" si="75"/>
        <v>15</v>
      </c>
      <c r="M317" s="13">
        <f t="shared" si="76"/>
        <v>3</v>
      </c>
      <c r="N317" s="14">
        <f t="shared" si="77"/>
        <v>1101015</v>
      </c>
      <c r="O317" s="14" t="str">
        <f t="shared" si="78"/>
        <v>阎巧巧20突</v>
      </c>
      <c r="P317" s="29" t="s">
        <v>341</v>
      </c>
      <c r="Q317" s="14">
        <f t="shared" si="79"/>
        <v>1</v>
      </c>
      <c r="R317" s="14">
        <f t="shared" si="80"/>
        <v>20</v>
      </c>
      <c r="S317" s="14" t="s">
        <v>39</v>
      </c>
      <c r="T317" s="14">
        <f>ROUND(((IF(Q317=1,INDEX(新属性投放!$J$14:$J$34,卡牌属性!R317),INDEX(新属性投放!$J$42:$J$62,卡牌属性!R317)))*INDEX($G$5:$G$42,L317)+IF(Q317=1,INDEX(新属性投放!R$20:R$23,卡牌属性!M317-1),INDEX(新属性投放!R$25:R$28,卡牌属性!M317-1)))/SQRT(INDEX($I$5:$I$42,L317)),2)</f>
        <v>55039.99</v>
      </c>
      <c r="U317" s="29" t="s">
        <v>178</v>
      </c>
      <c r="V317" s="14">
        <f>ROUND((IF(Q317=1,INDEX(新属性投放!$K$14:$K$34,卡牌属性!R317),INDEX(新属性投放!$K$42:$K$62,卡牌属性!R317))+IF(Q317=1,INDEX(新属性投放!S$20:S$23,卡牌属性!M317-1),INDEX(新属性投放!S$25:S$28,卡牌属性!M317-1)))*INDEX($G$5:$G$42,L317),2)</f>
        <v>27448.14</v>
      </c>
      <c r="W317" s="29" t="s">
        <v>179</v>
      </c>
      <c r="X317" s="14">
        <f>ROUND((IF(Q317=1,INDEX(新属性投放!$L$14:$L$34,卡牌属性!R317),INDEX(新属性投放!$L$42:$L$62,卡牌属性!R317))*INDEX($G$5:$G$42,L317)+IF(Q317=1,INDEX(新属性投放!T$20:T$23,卡牌属性!M317-1),INDEX(新属性投放!T$25:T$28,卡牌属性!M317-1)))*SQRT(INDEX($I$5:$I$42,L317)),2)</f>
        <v>165684.96</v>
      </c>
      <c r="Y317" s="29" t="s">
        <v>177</v>
      </c>
      <c r="Z317" s="14">
        <f>ROUND(IF(Q317=1,INDEX(新属性投放!$D$14:$D$34,卡牌属性!R317),INDEX(新属性投放!$D$42:$D$62,卡牌属性!R317))*INDEX($G$5:$G$42,L317)/SQRT(INDEX($I$5:$I$42,L317)),2)</f>
        <v>1373.5</v>
      </c>
      <c r="AA317" s="29" t="s">
        <v>178</v>
      </c>
      <c r="AB317" s="14">
        <f>ROUND(IF(Q317=1,INDEX(新属性投放!$E$14:$E$34,卡牌属性!R317),INDEX(新属性投放!$E$42:$E$62,卡牌属性!R317))*INDEX($G$5:$G$42,L317),2)</f>
        <v>686.75</v>
      </c>
      <c r="AC317" s="29" t="s">
        <v>179</v>
      </c>
      <c r="AD317" s="14">
        <f>ROUND(IF(Q317=1,INDEX(新属性投放!$F$14:$F$34,卡牌属性!R317),INDEX(新属性投放!$F$42:$F$62,卡牌属性!R317))*INDEX($G$5:$G$42,L317)*SQRT(INDEX($I$5:$I$42,L317)),2)</f>
        <v>4120.51</v>
      </c>
      <c r="AF317" s="14">
        <f t="shared" si="81"/>
        <v>13735</v>
      </c>
      <c r="AG317" s="14">
        <f t="shared" si="82"/>
        <v>6867</v>
      </c>
      <c r="AH317" s="14">
        <f t="shared" si="83"/>
        <v>41205</v>
      </c>
      <c r="AJ317" s="14">
        <f t="shared" si="87"/>
        <v>57655</v>
      </c>
      <c r="AK317" s="14">
        <f t="shared" si="88"/>
        <v>28823</v>
      </c>
      <c r="AL317" s="14">
        <f t="shared" si="89"/>
        <v>172982</v>
      </c>
    </row>
    <row r="318" spans="11:38" ht="16.5" x14ac:dyDescent="0.2">
      <c r="K318" s="13">
        <v>315</v>
      </c>
      <c r="L318" s="13">
        <f t="shared" si="75"/>
        <v>15</v>
      </c>
      <c r="M318" s="13">
        <f t="shared" si="76"/>
        <v>3</v>
      </c>
      <c r="N318" s="14">
        <f t="shared" si="77"/>
        <v>1101015</v>
      </c>
      <c r="O318" s="14" t="str">
        <f t="shared" si="78"/>
        <v>阎巧巧21突</v>
      </c>
      <c r="P318" s="29" t="s">
        <v>341</v>
      </c>
      <c r="Q318" s="14">
        <f t="shared" si="79"/>
        <v>1</v>
      </c>
      <c r="R318" s="14">
        <f t="shared" si="80"/>
        <v>21</v>
      </c>
      <c r="S318" s="14" t="s">
        <v>39</v>
      </c>
      <c r="T318" s="14">
        <f>ROUND(((IF(Q318=1,INDEX(新属性投放!$J$14:$J$34,卡牌属性!R318),INDEX(新属性投放!$J$42:$J$62,卡牌属性!R318)))*INDEX($G$5:$G$42,L318)+IF(Q318=1,INDEX(新属性投放!R$20:R$23,卡牌属性!M318-1),INDEX(新属性投放!R$25:R$28,卡牌属性!M318-1)))/SQRT(INDEX($I$5:$I$42,L318)),2)</f>
        <v>72208.91</v>
      </c>
      <c r="U318" s="29" t="s">
        <v>178</v>
      </c>
      <c r="V318" s="14">
        <f>ROUND((IF(Q318=1,INDEX(新属性投放!$K$14:$K$34,卡牌属性!R318),INDEX(新属性投放!$K$42:$K$62,卡牌属性!R318))+IF(Q318=1,INDEX(新属性投放!S$20:S$23,卡牌属性!M318-1),INDEX(新属性投放!S$25:S$28,卡牌属性!M318-1)))*INDEX($G$5:$G$42,L318),2)</f>
        <v>36032.61</v>
      </c>
      <c r="W318" s="29" t="s">
        <v>179</v>
      </c>
      <c r="X318" s="14">
        <f>ROUND((IF(Q318=1,INDEX(新属性投放!$L$14:$L$34,卡牌属性!R318),INDEX(新属性投放!$L$42:$L$62,卡牌属性!R318))*INDEX($G$5:$G$42,L318)+IF(Q318=1,INDEX(新属性投放!T$20:T$23,卡牌属性!M318-1),INDEX(新属性投放!T$25:T$28,卡牌属性!M318-1)))*SQRT(INDEX($I$5:$I$42,L318)),2)</f>
        <v>217191.73</v>
      </c>
      <c r="Y318" s="29" t="s">
        <v>177</v>
      </c>
      <c r="Z318" s="14">
        <f>ROUND(IF(Q318=1,INDEX(新属性投放!$D$14:$D$34,卡牌属性!R318),INDEX(新属性投放!$D$42:$D$62,卡牌属性!R318))*INDEX($G$5:$G$42,L318)/SQRT(INDEX($I$5:$I$42,L318)),2)</f>
        <v>1802.73</v>
      </c>
      <c r="AA318" s="29" t="s">
        <v>178</v>
      </c>
      <c r="AB318" s="14">
        <f>ROUND(IF(Q318=1,INDEX(新属性投放!$E$14:$E$34,卡牌属性!R318),INDEX(新属性投放!$E$42:$E$62,卡牌属性!R318))*INDEX($G$5:$G$42,L318),2)</f>
        <v>901.36</v>
      </c>
      <c r="AC318" s="29" t="s">
        <v>179</v>
      </c>
      <c r="AD318" s="14">
        <f>ROUND(IF(Q318=1,INDEX(新属性投放!$F$14:$F$34,卡牌属性!R318),INDEX(新属性投放!$F$42:$F$62,卡牌属性!R318))*INDEX($G$5:$G$42,L318)*SQRT(INDEX($I$5:$I$42,L318)),2)</f>
        <v>5408.19</v>
      </c>
      <c r="AF318" s="14">
        <f t="shared" si="81"/>
        <v>18027</v>
      </c>
      <c r="AG318" s="14">
        <f t="shared" si="82"/>
        <v>9013</v>
      </c>
      <c r="AH318" s="14">
        <f t="shared" si="83"/>
        <v>54081</v>
      </c>
      <c r="AJ318" s="14">
        <f t="shared" si="87"/>
        <v>75682</v>
      </c>
      <c r="AK318" s="14">
        <f t="shared" si="88"/>
        <v>37836</v>
      </c>
      <c r="AL318" s="14">
        <f t="shared" si="89"/>
        <v>227063</v>
      </c>
    </row>
    <row r="319" spans="11:38" ht="16.5" x14ac:dyDescent="0.2">
      <c r="K319" s="13">
        <v>316</v>
      </c>
      <c r="L319" s="13">
        <f t="shared" si="75"/>
        <v>16</v>
      </c>
      <c r="M319" s="13">
        <f t="shared" si="76"/>
        <v>2</v>
      </c>
      <c r="N319" s="14">
        <f t="shared" si="77"/>
        <v>1101041</v>
      </c>
      <c r="O319" s="14" t="str">
        <f t="shared" si="78"/>
        <v>常服夏玲1突</v>
      </c>
      <c r="P319" s="29" t="s">
        <v>341</v>
      </c>
      <c r="Q319" s="14">
        <f t="shared" si="79"/>
        <v>1</v>
      </c>
      <c r="R319" s="14">
        <f t="shared" si="80"/>
        <v>1</v>
      </c>
      <c r="S319" s="14" t="s">
        <v>39</v>
      </c>
      <c r="T319" s="14">
        <f>ROUND(((IF(Q319=1,INDEX(新属性投放!$J$14:$J$34,卡牌属性!R319),INDEX(新属性投放!$J$42:$J$62,卡牌属性!R319)))*INDEX($G$5:$G$42,L319)+IF(Q319=1,INDEX(新属性投放!R$20:R$23,卡牌属性!M319-1),INDEX(新属性投放!R$25:R$28,卡牌属性!M319-1)))/SQRT(INDEX($I$5:$I$42,L319)),2)</f>
        <v>100</v>
      </c>
      <c r="U319" s="29" t="s">
        <v>178</v>
      </c>
      <c r="V319" s="14">
        <f>ROUND((IF(Q319=1,INDEX(新属性投放!$K$14:$K$34,卡牌属性!R319),INDEX(新属性投放!$K$42:$K$62,卡牌属性!R319))+IF(Q319=1,INDEX(新属性投放!S$20:S$23,卡牌属性!M319-1),INDEX(新属性投放!S$25:S$28,卡牌属性!M319-1)))*INDEX($G$5:$G$42,L319),2)</f>
        <v>0</v>
      </c>
      <c r="W319" s="29" t="s">
        <v>179</v>
      </c>
      <c r="X319" s="14">
        <f>ROUND((IF(Q319=1,INDEX(新属性投放!$L$14:$L$34,卡牌属性!R319),INDEX(新属性投放!$L$42:$L$62,卡牌属性!R319))*INDEX($G$5:$G$42,L319)+IF(Q319=1,INDEX(新属性投放!T$20:T$23,卡牌属性!M319-1),INDEX(新属性投放!T$25:T$28,卡牌属性!M319-1)))*SQRT(INDEX($I$5:$I$42,L319)),2)</f>
        <v>500</v>
      </c>
      <c r="Y319" s="29" t="s">
        <v>177</v>
      </c>
      <c r="Z319" s="14">
        <f>ROUND(IF(Q319=1,INDEX(新属性投放!$D$14:$D$34,卡牌属性!R319),INDEX(新属性投放!$D$42:$D$62,卡牌属性!R319))*INDEX($G$5:$G$42,L319)/SQRT(INDEX($I$5:$I$42,L319)),2)</f>
        <v>10</v>
      </c>
      <c r="AA319" s="29" t="s">
        <v>178</v>
      </c>
      <c r="AB319" s="14">
        <f>ROUND(IF(Q319=1,INDEX(新属性投放!$E$14:$E$34,卡牌属性!R319),INDEX(新属性投放!$E$42:$E$62,卡牌属性!R319))*INDEX($G$5:$G$42,L319),2)</f>
        <v>5</v>
      </c>
      <c r="AC319" s="29" t="s">
        <v>179</v>
      </c>
      <c r="AD319" s="14">
        <f>ROUND(IF(Q319=1,INDEX(新属性投放!$F$14:$F$34,卡牌属性!R319),INDEX(新属性投放!$F$42:$F$62,卡牌属性!R319))*INDEX($G$5:$G$42,L319)*SQRT(INDEX($I$5:$I$42,L319)),2)</f>
        <v>30</v>
      </c>
      <c r="AF319" s="14">
        <f t="shared" si="81"/>
        <v>100</v>
      </c>
      <c r="AG319" s="14">
        <f t="shared" si="82"/>
        <v>50</v>
      </c>
      <c r="AH319" s="14">
        <f t="shared" si="83"/>
        <v>300</v>
      </c>
      <c r="AJ319" s="14">
        <f>AF319</f>
        <v>100</v>
      </c>
      <c r="AK319" s="14">
        <f>AG319</f>
        <v>50</v>
      </c>
      <c r="AL319" s="14">
        <f>AH319</f>
        <v>300</v>
      </c>
    </row>
    <row r="320" spans="11:38" ht="16.5" x14ac:dyDescent="0.2">
      <c r="K320" s="13">
        <v>317</v>
      </c>
      <c r="L320" s="13">
        <f t="shared" si="75"/>
        <v>16</v>
      </c>
      <c r="M320" s="13">
        <f t="shared" si="76"/>
        <v>2</v>
      </c>
      <c r="N320" s="14">
        <f t="shared" si="77"/>
        <v>1101041</v>
      </c>
      <c r="O320" s="14" t="str">
        <f t="shared" si="78"/>
        <v>常服夏玲2突</v>
      </c>
      <c r="P320" s="29" t="s">
        <v>341</v>
      </c>
      <c r="Q320" s="14">
        <f t="shared" si="79"/>
        <v>1</v>
      </c>
      <c r="R320" s="14">
        <f t="shared" si="80"/>
        <v>2</v>
      </c>
      <c r="S320" s="14" t="s">
        <v>39</v>
      </c>
      <c r="T320" s="14">
        <f>ROUND(((IF(Q320=1,INDEX(新属性投放!$J$14:$J$34,卡牌属性!R320),INDEX(新属性投放!$J$42:$J$62,卡牌属性!R320)))*INDEX($G$5:$G$42,L320)+IF(Q320=1,INDEX(新属性投放!R$20:R$23,卡牌属性!M320-1),INDEX(新属性投放!R$25:R$28,卡牌属性!M320-1)))/SQRT(INDEX($I$5:$I$42,L320)),2)</f>
        <v>200</v>
      </c>
      <c r="U320" s="29" t="s">
        <v>178</v>
      </c>
      <c r="V320" s="14">
        <f>ROUND((IF(Q320=1,INDEX(新属性投放!$K$14:$K$34,卡牌属性!R320),INDEX(新属性投放!$K$42:$K$62,卡牌属性!R320))+IF(Q320=1,INDEX(新属性投放!S$20:S$23,卡牌属性!M320-1),INDEX(新属性投放!S$25:S$28,卡牌属性!M320-1)))*INDEX($G$5:$G$42,L320),2)</f>
        <v>56</v>
      </c>
      <c r="W320" s="29" t="s">
        <v>179</v>
      </c>
      <c r="X320" s="14">
        <f>ROUND((IF(Q320=1,INDEX(新属性投放!$L$14:$L$34,卡牌属性!R320),INDEX(新属性投放!$L$42:$L$62,卡牌属性!R320))*INDEX($G$5:$G$42,L320)+IF(Q320=1,INDEX(新属性投放!T$20:T$23,卡牌属性!M320-1),INDEX(新属性投放!T$25:T$28,卡牌属性!M320-1)))*SQRT(INDEX($I$5:$I$42,L320)),2)</f>
        <v>800</v>
      </c>
      <c r="Y320" s="29" t="s">
        <v>177</v>
      </c>
      <c r="Z320" s="14">
        <f>ROUND(IF(Q320=1,INDEX(新属性投放!$D$14:$D$34,卡牌属性!R320),INDEX(新属性投放!$D$42:$D$62,卡牌属性!R320))*INDEX($G$5:$G$42,L320)/SQRT(INDEX($I$5:$I$42,L320)),2)</f>
        <v>10</v>
      </c>
      <c r="AA320" s="29" t="s">
        <v>178</v>
      </c>
      <c r="AB320" s="14">
        <f>ROUND(IF(Q320=1,INDEX(新属性投放!$E$14:$E$34,卡牌属性!R320),INDEX(新属性投放!$E$42:$E$62,卡牌属性!R320))*INDEX($G$5:$G$42,L320),2)</f>
        <v>5</v>
      </c>
      <c r="AC320" s="29" t="s">
        <v>179</v>
      </c>
      <c r="AD320" s="14">
        <f>ROUND(IF(Q320=1,INDEX(新属性投放!$F$14:$F$34,卡牌属性!R320),INDEX(新属性投放!$F$42:$F$62,卡牌属性!R320))*INDEX($G$5:$G$42,L320)*SQRT(INDEX($I$5:$I$42,L320)),2)</f>
        <v>30</v>
      </c>
      <c r="AF320" s="14">
        <f t="shared" si="81"/>
        <v>100</v>
      </c>
      <c r="AG320" s="14">
        <f t="shared" si="82"/>
        <v>50</v>
      </c>
      <c r="AH320" s="14">
        <f t="shared" si="83"/>
        <v>300</v>
      </c>
      <c r="AJ320" s="14">
        <f t="shared" ref="AJ320:AJ339" si="90">AJ319+AF320</f>
        <v>200</v>
      </c>
      <c r="AK320" s="14">
        <f t="shared" ref="AK320:AK339" si="91">AK319+AG320</f>
        <v>100</v>
      </c>
      <c r="AL320" s="14">
        <f t="shared" ref="AL320:AL339" si="92">AL319+AH320</f>
        <v>600</v>
      </c>
    </row>
    <row r="321" spans="11:38" ht="16.5" x14ac:dyDescent="0.2">
      <c r="K321" s="13">
        <v>318</v>
      </c>
      <c r="L321" s="13">
        <f t="shared" si="75"/>
        <v>16</v>
      </c>
      <c r="M321" s="13">
        <f t="shared" si="76"/>
        <v>2</v>
      </c>
      <c r="N321" s="14">
        <f t="shared" si="77"/>
        <v>1101041</v>
      </c>
      <c r="O321" s="14" t="str">
        <f t="shared" si="78"/>
        <v>常服夏玲3突</v>
      </c>
      <c r="P321" s="29" t="s">
        <v>341</v>
      </c>
      <c r="Q321" s="14">
        <f t="shared" si="79"/>
        <v>1</v>
      </c>
      <c r="R321" s="14">
        <f t="shared" si="80"/>
        <v>3</v>
      </c>
      <c r="S321" s="14" t="s">
        <v>39</v>
      </c>
      <c r="T321" s="14">
        <f>ROUND(((IF(Q321=1,INDEX(新属性投放!$J$14:$J$34,卡牌属性!R321),INDEX(新属性投放!$J$42:$J$62,卡牌属性!R321)))*INDEX($G$5:$G$42,L321)+IF(Q321=1,INDEX(新属性投放!R$20:R$23,卡牌属性!M321-1),INDEX(新属性投放!R$25:R$28,卡牌属性!M321-1)))/SQRT(INDEX($I$5:$I$42,L321)),2)</f>
        <v>325</v>
      </c>
      <c r="U321" s="29" t="s">
        <v>178</v>
      </c>
      <c r="V321" s="14">
        <f>ROUND((IF(Q321=1,INDEX(新属性投放!$K$14:$K$34,卡牌属性!R321),INDEX(新属性投放!$K$42:$K$62,卡牌属性!R321))+IF(Q321=1,INDEX(新属性投放!S$20:S$23,卡牌属性!M321-1),INDEX(新属性投放!S$25:S$28,卡牌属性!M321-1)))*INDEX($G$5:$G$42,L321),2)</f>
        <v>119</v>
      </c>
      <c r="W321" s="29" t="s">
        <v>179</v>
      </c>
      <c r="X321" s="14">
        <f>ROUND((IF(Q321=1,INDEX(新属性投放!$L$14:$L$34,卡牌属性!R321),INDEX(新属性投放!$L$42:$L$62,卡牌属性!R321))*INDEX($G$5:$G$42,L321)+IF(Q321=1,INDEX(新属性投放!T$20:T$23,卡牌属性!M321-1),INDEX(新属性投放!T$25:T$28,卡牌属性!M321-1)))*SQRT(INDEX($I$5:$I$42,L321)),2)</f>
        <v>1175</v>
      </c>
      <c r="Y321" s="29" t="s">
        <v>177</v>
      </c>
      <c r="Z321" s="14">
        <f>ROUND(IF(Q321=1,INDEX(新属性投放!$D$14:$D$34,卡牌属性!R321),INDEX(新属性投放!$D$42:$D$62,卡牌属性!R321))*INDEX($G$5:$G$42,L321)/SQRT(INDEX($I$5:$I$42,L321)),2)</f>
        <v>15</v>
      </c>
      <c r="AA321" s="29" t="s">
        <v>178</v>
      </c>
      <c r="AB321" s="14">
        <f>ROUND(IF(Q321=1,INDEX(新属性投放!$E$14:$E$34,卡牌属性!R321),INDEX(新属性投放!$E$42:$E$62,卡牌属性!R321))*INDEX($G$5:$G$42,L321),2)</f>
        <v>7.5</v>
      </c>
      <c r="AC321" s="29" t="s">
        <v>179</v>
      </c>
      <c r="AD321" s="14">
        <f>ROUND(IF(Q321=1,INDEX(新属性投放!$F$14:$F$34,卡牌属性!R321),INDEX(新属性投放!$F$42:$F$62,卡牌属性!R321))*INDEX($G$5:$G$42,L321)*SQRT(INDEX($I$5:$I$42,L321)),2)</f>
        <v>45</v>
      </c>
      <c r="AF321" s="14">
        <f t="shared" si="81"/>
        <v>150</v>
      </c>
      <c r="AG321" s="14">
        <f t="shared" si="82"/>
        <v>75</v>
      </c>
      <c r="AH321" s="14">
        <f t="shared" si="83"/>
        <v>450</v>
      </c>
      <c r="AJ321" s="14">
        <f t="shared" si="90"/>
        <v>350</v>
      </c>
      <c r="AK321" s="14">
        <f t="shared" si="91"/>
        <v>175</v>
      </c>
      <c r="AL321" s="14">
        <f t="shared" si="92"/>
        <v>1050</v>
      </c>
    </row>
    <row r="322" spans="11:38" ht="16.5" x14ac:dyDescent="0.2">
      <c r="K322" s="13">
        <v>319</v>
      </c>
      <c r="L322" s="13">
        <f t="shared" si="75"/>
        <v>16</v>
      </c>
      <c r="M322" s="13">
        <f t="shared" si="76"/>
        <v>2</v>
      </c>
      <c r="N322" s="14">
        <f t="shared" si="77"/>
        <v>1101041</v>
      </c>
      <c r="O322" s="14" t="str">
        <f t="shared" si="78"/>
        <v>常服夏玲4突</v>
      </c>
      <c r="P322" s="29" t="s">
        <v>341</v>
      </c>
      <c r="Q322" s="14">
        <f t="shared" si="79"/>
        <v>1</v>
      </c>
      <c r="R322" s="14">
        <f t="shared" si="80"/>
        <v>4</v>
      </c>
      <c r="S322" s="14" t="s">
        <v>39</v>
      </c>
      <c r="T322" s="14">
        <f>ROUND(((IF(Q322=1,INDEX(新属性投放!$J$14:$J$34,卡牌属性!R322),INDEX(新属性投放!$J$42:$J$62,卡牌属性!R322)))*INDEX($G$5:$G$42,L322)+IF(Q322=1,INDEX(新属性投放!R$20:R$23,卡牌属性!M322-1),INDEX(新属性投放!R$25:R$28,卡牌属性!M322-1)))/SQRT(INDEX($I$5:$I$42,L322)),2)</f>
        <v>513</v>
      </c>
      <c r="U322" s="29" t="s">
        <v>178</v>
      </c>
      <c r="V322" s="14">
        <f>ROUND((IF(Q322=1,INDEX(新属性投放!$K$14:$K$34,卡牌属性!R322),INDEX(新属性投放!$K$42:$K$62,卡牌属性!R322))+IF(Q322=1,INDEX(新属性投放!S$20:S$23,卡牌属性!M322-1),INDEX(新属性投放!S$25:S$28,卡牌属性!M322-1)))*INDEX($G$5:$G$42,L322),2)</f>
        <v>213</v>
      </c>
      <c r="W322" s="29" t="s">
        <v>179</v>
      </c>
      <c r="X322" s="14">
        <f>ROUND((IF(Q322=1,INDEX(新属性投放!$L$14:$L$34,卡牌属性!R322),INDEX(新属性投放!$L$42:$L$62,卡牌属性!R322))*INDEX($G$5:$G$42,L322)+IF(Q322=1,INDEX(新属性投放!T$20:T$23,卡牌属性!M322-1),INDEX(新属性投放!T$25:T$28,卡牌属性!M322-1)))*SQRT(INDEX($I$5:$I$42,L322)),2)</f>
        <v>1739</v>
      </c>
      <c r="Y322" s="29" t="s">
        <v>177</v>
      </c>
      <c r="Z322" s="14">
        <f>ROUND(IF(Q322=1,INDEX(新属性投放!$D$14:$D$34,卡牌属性!R322),INDEX(新属性投放!$D$42:$D$62,卡牌属性!R322))*INDEX($G$5:$G$42,L322)/SQRT(INDEX($I$5:$I$42,L322)),2)</f>
        <v>20</v>
      </c>
      <c r="AA322" s="29" t="s">
        <v>178</v>
      </c>
      <c r="AB322" s="14">
        <f>ROUND(IF(Q322=1,INDEX(新属性投放!$E$14:$E$34,卡牌属性!R322),INDEX(新属性投放!$E$42:$E$62,卡牌属性!R322))*INDEX($G$5:$G$42,L322),2)</f>
        <v>10</v>
      </c>
      <c r="AC322" s="29" t="s">
        <v>179</v>
      </c>
      <c r="AD322" s="14">
        <f>ROUND(IF(Q322=1,INDEX(新属性投放!$F$14:$F$34,卡牌属性!R322),INDEX(新属性投放!$F$42:$F$62,卡牌属性!R322))*INDEX($G$5:$G$42,L322)*SQRT(INDEX($I$5:$I$42,L322)),2)</f>
        <v>60</v>
      </c>
      <c r="AF322" s="14">
        <f t="shared" si="81"/>
        <v>200</v>
      </c>
      <c r="AG322" s="14">
        <f t="shared" si="82"/>
        <v>100</v>
      </c>
      <c r="AH322" s="14">
        <f t="shared" si="83"/>
        <v>600</v>
      </c>
      <c r="AJ322" s="14">
        <f t="shared" si="90"/>
        <v>550</v>
      </c>
      <c r="AK322" s="14">
        <f t="shared" si="91"/>
        <v>275</v>
      </c>
      <c r="AL322" s="14">
        <f t="shared" si="92"/>
        <v>1650</v>
      </c>
    </row>
    <row r="323" spans="11:38" ht="16.5" x14ac:dyDescent="0.2">
      <c r="K323" s="13">
        <v>320</v>
      </c>
      <c r="L323" s="13">
        <f t="shared" si="75"/>
        <v>16</v>
      </c>
      <c r="M323" s="13">
        <f t="shared" si="76"/>
        <v>2</v>
      </c>
      <c r="N323" s="14">
        <f t="shared" si="77"/>
        <v>1101041</v>
      </c>
      <c r="O323" s="14" t="str">
        <f t="shared" si="78"/>
        <v>常服夏玲5突</v>
      </c>
      <c r="P323" s="29" t="s">
        <v>341</v>
      </c>
      <c r="Q323" s="14">
        <f t="shared" si="79"/>
        <v>1</v>
      </c>
      <c r="R323" s="14">
        <f t="shared" si="80"/>
        <v>5</v>
      </c>
      <c r="S323" s="14" t="s">
        <v>39</v>
      </c>
      <c r="T323" s="14">
        <f>ROUND(((IF(Q323=1,INDEX(新属性投放!$J$14:$J$34,卡牌属性!R323),INDEX(新属性投放!$J$42:$J$62,卡牌属性!R323)))*INDEX($G$5:$G$42,L323)+IF(Q323=1,INDEX(新属性投放!R$20:R$23,卡牌属性!M323-1),INDEX(新属性投放!R$25:R$28,卡牌属性!M323-1)))/SQRT(INDEX($I$5:$I$42,L323)),2)</f>
        <v>763</v>
      </c>
      <c r="U323" s="29" t="s">
        <v>178</v>
      </c>
      <c r="V323" s="14">
        <f>ROUND((IF(Q323=1,INDEX(新属性投放!$K$14:$K$34,卡牌属性!R323),INDEX(新属性投放!$K$42:$K$62,卡牌属性!R323))+IF(Q323=1,INDEX(新属性投放!S$20:S$23,卡牌属性!M323-1),INDEX(新属性投放!S$25:S$28,卡牌属性!M323-1)))*INDEX($G$5:$G$42,L323),2)</f>
        <v>338</v>
      </c>
      <c r="W323" s="29" t="s">
        <v>179</v>
      </c>
      <c r="X323" s="14">
        <f>ROUND((IF(Q323=1,INDEX(新属性投放!$L$14:$L$34,卡牌属性!R323),INDEX(新属性投放!$L$42:$L$62,卡牌属性!R323))*INDEX($G$5:$G$42,L323)+IF(Q323=1,INDEX(新属性投放!T$20:T$23,卡牌属性!M323-1),INDEX(新属性投放!T$25:T$28,卡牌属性!M323-1)))*SQRT(INDEX($I$5:$I$42,L323)),2)</f>
        <v>2489</v>
      </c>
      <c r="Y323" s="29" t="s">
        <v>177</v>
      </c>
      <c r="Z323" s="14">
        <f>ROUND(IF(Q323=1,INDEX(新属性投放!$D$14:$D$34,卡牌属性!R323),INDEX(新属性投放!$D$42:$D$62,卡牌属性!R323))*INDEX($G$5:$G$42,L323)/SQRT(INDEX($I$5:$I$42,L323)),2)</f>
        <v>25</v>
      </c>
      <c r="AA323" s="29" t="s">
        <v>178</v>
      </c>
      <c r="AB323" s="14">
        <f>ROUND(IF(Q323=1,INDEX(新属性投放!$E$14:$E$34,卡牌属性!R323),INDEX(新属性投放!$E$42:$E$62,卡牌属性!R323))*INDEX($G$5:$G$42,L323),2)</f>
        <v>12.5</v>
      </c>
      <c r="AC323" s="29" t="s">
        <v>179</v>
      </c>
      <c r="AD323" s="14">
        <f>ROUND(IF(Q323=1,INDEX(新属性投放!$F$14:$F$34,卡牌属性!R323),INDEX(新属性投放!$F$42:$F$62,卡牌属性!R323))*INDEX($G$5:$G$42,L323)*SQRT(INDEX($I$5:$I$42,L323)),2)</f>
        <v>75</v>
      </c>
      <c r="AF323" s="14">
        <f t="shared" si="81"/>
        <v>250</v>
      </c>
      <c r="AG323" s="14">
        <f t="shared" si="82"/>
        <v>125</v>
      </c>
      <c r="AH323" s="14">
        <f t="shared" si="83"/>
        <v>750</v>
      </c>
      <c r="AJ323" s="14">
        <f t="shared" si="90"/>
        <v>800</v>
      </c>
      <c r="AK323" s="14">
        <f t="shared" si="91"/>
        <v>400</v>
      </c>
      <c r="AL323" s="14">
        <f t="shared" si="92"/>
        <v>2400</v>
      </c>
    </row>
    <row r="324" spans="11:38" ht="16.5" x14ac:dyDescent="0.2">
      <c r="K324" s="13">
        <v>321</v>
      </c>
      <c r="L324" s="13">
        <f t="shared" si="75"/>
        <v>16</v>
      </c>
      <c r="M324" s="13">
        <f t="shared" si="76"/>
        <v>2</v>
      </c>
      <c r="N324" s="14">
        <f t="shared" si="77"/>
        <v>1101041</v>
      </c>
      <c r="O324" s="14" t="str">
        <f t="shared" si="78"/>
        <v>常服夏玲6突</v>
      </c>
      <c r="P324" s="29" t="s">
        <v>341</v>
      </c>
      <c r="Q324" s="14">
        <f t="shared" si="79"/>
        <v>1</v>
      </c>
      <c r="R324" s="14">
        <f t="shared" si="80"/>
        <v>6</v>
      </c>
      <c r="S324" s="14" t="s">
        <v>39</v>
      </c>
      <c r="T324" s="14">
        <f>ROUND(((IF(Q324=1,INDEX(新属性投放!$J$14:$J$34,卡牌属性!R324),INDEX(新属性投放!$J$42:$J$62,卡牌属性!R324)))*INDEX($G$5:$G$42,L324)+IF(Q324=1,INDEX(新属性投放!R$20:R$23,卡牌属性!M324-1),INDEX(新属性投放!R$25:R$28,卡牌属性!M324-1)))/SQRT(INDEX($I$5:$I$42,L324)),2)</f>
        <v>1076</v>
      </c>
      <c r="U324" s="29" t="s">
        <v>178</v>
      </c>
      <c r="V324" s="14">
        <f>ROUND((IF(Q324=1,INDEX(新属性投放!$K$14:$K$34,卡牌属性!R324),INDEX(新属性投放!$K$42:$K$62,卡牌属性!R324))+IF(Q324=1,INDEX(新属性投放!S$20:S$23,卡牌属性!M324-1),INDEX(新属性投放!S$25:S$28,卡牌属性!M324-1)))*INDEX($G$5:$G$42,L324),2)</f>
        <v>494</v>
      </c>
      <c r="W324" s="29" t="s">
        <v>179</v>
      </c>
      <c r="X324" s="14">
        <f>ROUND((IF(Q324=1,INDEX(新属性投放!$L$14:$L$34,卡牌属性!R324),INDEX(新属性投放!$L$42:$L$62,卡牌属性!R324))*INDEX($G$5:$G$42,L324)+IF(Q324=1,INDEX(新属性投放!T$20:T$23,卡牌属性!M324-1),INDEX(新属性投放!T$25:T$28,卡牌属性!M324-1)))*SQRT(INDEX($I$5:$I$42,L324)),2)</f>
        <v>3428</v>
      </c>
      <c r="Y324" s="29" t="s">
        <v>177</v>
      </c>
      <c r="Z324" s="14">
        <f>ROUND(IF(Q324=1,INDEX(新属性投放!$D$14:$D$34,卡牌属性!R324),INDEX(新属性投放!$D$42:$D$62,卡牌属性!R324))*INDEX($G$5:$G$42,L324)/SQRT(INDEX($I$5:$I$42,L324)),2)</f>
        <v>30</v>
      </c>
      <c r="AA324" s="29" t="s">
        <v>178</v>
      </c>
      <c r="AB324" s="14">
        <f>ROUND(IF(Q324=1,INDEX(新属性投放!$E$14:$E$34,卡牌属性!R324),INDEX(新属性投放!$E$42:$E$62,卡牌属性!R324))*INDEX($G$5:$G$42,L324),2)</f>
        <v>15</v>
      </c>
      <c r="AC324" s="29" t="s">
        <v>179</v>
      </c>
      <c r="AD324" s="14">
        <f>ROUND(IF(Q324=1,INDEX(新属性投放!$F$14:$F$34,卡牌属性!R324),INDEX(新属性投放!$F$42:$F$62,卡牌属性!R324))*INDEX($G$5:$G$42,L324)*SQRT(INDEX($I$5:$I$42,L324)),2)</f>
        <v>90</v>
      </c>
      <c r="AF324" s="14">
        <f t="shared" si="81"/>
        <v>300</v>
      </c>
      <c r="AG324" s="14">
        <f t="shared" si="82"/>
        <v>150</v>
      </c>
      <c r="AH324" s="14">
        <f t="shared" si="83"/>
        <v>900</v>
      </c>
      <c r="AJ324" s="14">
        <f t="shared" si="90"/>
        <v>1100</v>
      </c>
      <c r="AK324" s="14">
        <f t="shared" si="91"/>
        <v>550</v>
      </c>
      <c r="AL324" s="14">
        <f t="shared" si="92"/>
        <v>3300</v>
      </c>
    </row>
    <row r="325" spans="11:38" ht="16.5" x14ac:dyDescent="0.2">
      <c r="K325" s="13">
        <v>322</v>
      </c>
      <c r="L325" s="13">
        <f t="shared" ref="L325:L388" si="93">MATCH(K325-1,$F$4:$F$41,1)</f>
        <v>16</v>
      </c>
      <c r="M325" s="13">
        <f t="shared" ref="M325:M388" si="94">INDEX($D$5:$D$42,L325)</f>
        <v>2</v>
      </c>
      <c r="N325" s="14">
        <f t="shared" ref="N325:N388" si="95">INDEX($A$4:$A$42,L325+1)</f>
        <v>1101041</v>
      </c>
      <c r="O325" s="14" t="str">
        <f t="shared" ref="O325:O388" si="96">INDEX($B$4:$B$42,MATCH(N325,$A$4:$A$42,0))&amp;R325&amp;"突"</f>
        <v>常服夏玲7突</v>
      </c>
      <c r="P325" s="29" t="s">
        <v>341</v>
      </c>
      <c r="Q325" s="14">
        <f t="shared" ref="Q325:Q388" si="97">INDEX($C$4:$C$42,L325+1)</f>
        <v>1</v>
      </c>
      <c r="R325" s="14">
        <f t="shared" ref="R325:R388" si="98">K325-INDEX($F$4:$F$42,L325)</f>
        <v>7</v>
      </c>
      <c r="S325" s="14" t="s">
        <v>39</v>
      </c>
      <c r="T325" s="14">
        <f>ROUND(((IF(Q325=1,INDEX(新属性投放!$J$14:$J$34,卡牌属性!R325),INDEX(新属性投放!$J$42:$J$62,卡牌属性!R325)))*INDEX($G$5:$G$42,L325)+IF(Q325=1,INDEX(新属性投放!R$20:R$23,卡牌属性!M325-1),INDEX(新属性投放!R$25:R$28,卡牌属性!M325-1)))/SQRT(INDEX($I$5:$I$42,L325)),2)</f>
        <v>1451</v>
      </c>
      <c r="U325" s="29" t="s">
        <v>178</v>
      </c>
      <c r="V325" s="14">
        <f>ROUND((IF(Q325=1,INDEX(新属性投放!$K$14:$K$34,卡牌属性!R325),INDEX(新属性投放!$K$42:$K$62,卡牌属性!R325))+IF(Q325=1,INDEX(新属性投放!S$20:S$23,卡牌属性!M325-1),INDEX(新属性投放!S$25:S$28,卡牌属性!M325-1)))*INDEX($G$5:$G$42,L325),2)</f>
        <v>682</v>
      </c>
      <c r="W325" s="29" t="s">
        <v>179</v>
      </c>
      <c r="X325" s="14">
        <f>ROUND((IF(Q325=1,INDEX(新属性投放!$L$14:$L$34,卡牌属性!R325),INDEX(新属性投放!$L$42:$L$62,卡牌属性!R325))*INDEX($G$5:$G$42,L325)+IF(Q325=1,INDEX(新属性投放!T$20:T$23,卡牌属性!M325-1),INDEX(新属性投放!T$25:T$28,卡牌属性!M325-1)))*SQRT(INDEX($I$5:$I$42,L325)),2)</f>
        <v>4553</v>
      </c>
      <c r="Y325" s="29" t="s">
        <v>177</v>
      </c>
      <c r="Z325" s="14">
        <f>ROUND(IF(Q325=1,INDEX(新属性投放!$D$14:$D$34,卡牌属性!R325),INDEX(新属性投放!$D$42:$D$62,卡牌属性!R325))*INDEX($G$5:$G$42,L325)/SQRT(INDEX($I$5:$I$42,L325)),2)</f>
        <v>35</v>
      </c>
      <c r="AA325" s="29" t="s">
        <v>178</v>
      </c>
      <c r="AB325" s="14">
        <f>ROUND(IF(Q325=1,INDEX(新属性投放!$E$14:$E$34,卡牌属性!R325),INDEX(新属性投放!$E$42:$E$62,卡牌属性!R325))*INDEX($G$5:$G$42,L325),2)</f>
        <v>17.5</v>
      </c>
      <c r="AC325" s="29" t="s">
        <v>179</v>
      </c>
      <c r="AD325" s="14">
        <f>ROUND(IF(Q325=1,INDEX(新属性投放!$F$14:$F$34,卡牌属性!R325),INDEX(新属性投放!$F$42:$F$62,卡牌属性!R325))*INDEX($G$5:$G$42,L325)*SQRT(INDEX($I$5:$I$42,L325)),2)</f>
        <v>105</v>
      </c>
      <c r="AF325" s="14">
        <f t="shared" ref="AF325:AF388" si="99">INT(Z325*AF$2*10)</f>
        <v>350</v>
      </c>
      <c r="AG325" s="14">
        <f t="shared" ref="AG325:AG388" si="100">INT(AB325*AF$2*10)</f>
        <v>175</v>
      </c>
      <c r="AH325" s="14">
        <f t="shared" ref="AH325:AH388" si="101">INT(AD325*AF$2*10)</f>
        <v>1050</v>
      </c>
      <c r="AJ325" s="14">
        <f t="shared" si="90"/>
        <v>1450</v>
      </c>
      <c r="AK325" s="14">
        <f t="shared" si="91"/>
        <v>725</v>
      </c>
      <c r="AL325" s="14">
        <f t="shared" si="92"/>
        <v>4350</v>
      </c>
    </row>
    <row r="326" spans="11:38" ht="16.5" x14ac:dyDescent="0.2">
      <c r="K326" s="13">
        <v>323</v>
      </c>
      <c r="L326" s="13">
        <f t="shared" si="93"/>
        <v>16</v>
      </c>
      <c r="M326" s="13">
        <f t="shared" si="94"/>
        <v>2</v>
      </c>
      <c r="N326" s="14">
        <f t="shared" si="95"/>
        <v>1101041</v>
      </c>
      <c r="O326" s="14" t="str">
        <f t="shared" si="96"/>
        <v>常服夏玲8突</v>
      </c>
      <c r="P326" s="29" t="s">
        <v>341</v>
      </c>
      <c r="Q326" s="14">
        <f t="shared" si="97"/>
        <v>1</v>
      </c>
      <c r="R326" s="14">
        <f t="shared" si="98"/>
        <v>8</v>
      </c>
      <c r="S326" s="14" t="s">
        <v>39</v>
      </c>
      <c r="T326" s="14">
        <f>ROUND(((IF(Q326=1,INDEX(新属性投放!$J$14:$J$34,卡牌属性!R326),INDEX(新属性投放!$J$42:$J$62,卡牌属性!R326)))*INDEX($G$5:$G$42,L326)+IF(Q326=1,INDEX(新属性投放!R$20:R$23,卡牌属性!M326-1),INDEX(新属性投放!R$25:R$28,卡牌属性!M326-1)))/SQRT(INDEX($I$5:$I$42,L326)),2)</f>
        <v>1889</v>
      </c>
      <c r="U326" s="29" t="s">
        <v>178</v>
      </c>
      <c r="V326" s="14">
        <f>ROUND((IF(Q326=1,INDEX(新属性投放!$K$14:$K$34,卡牌属性!R326),INDEX(新属性投放!$K$42:$K$62,卡牌属性!R326))+IF(Q326=1,INDEX(新属性投放!S$20:S$23,卡牌属性!M326-1),INDEX(新属性投放!S$25:S$28,卡牌属性!M326-1)))*INDEX($G$5:$G$42,L326),2)</f>
        <v>901</v>
      </c>
      <c r="W326" s="29" t="s">
        <v>179</v>
      </c>
      <c r="X326" s="14">
        <f>ROUND((IF(Q326=1,INDEX(新属性投放!$L$14:$L$34,卡牌属性!R326),INDEX(新属性投放!$L$42:$L$62,卡牌属性!R326))*INDEX($G$5:$G$42,L326)+IF(Q326=1,INDEX(新属性投放!T$20:T$23,卡牌属性!M326-1),INDEX(新属性投放!T$25:T$28,卡牌属性!M326-1)))*SQRT(INDEX($I$5:$I$42,L326)),2)</f>
        <v>5867</v>
      </c>
      <c r="Y326" s="29" t="s">
        <v>177</v>
      </c>
      <c r="Z326" s="14">
        <f>ROUND(IF(Q326=1,INDEX(新属性投放!$D$14:$D$34,卡牌属性!R326),INDEX(新属性投放!$D$42:$D$62,卡牌属性!R326))*INDEX($G$5:$G$42,L326)/SQRT(INDEX($I$5:$I$42,L326)),2)</f>
        <v>45</v>
      </c>
      <c r="AA326" s="29" t="s">
        <v>178</v>
      </c>
      <c r="AB326" s="14">
        <f>ROUND(IF(Q326=1,INDEX(新属性投放!$E$14:$E$34,卡牌属性!R326),INDEX(新属性投放!$E$42:$E$62,卡牌属性!R326))*INDEX($G$5:$G$42,L326),2)</f>
        <v>22.5</v>
      </c>
      <c r="AC326" s="29" t="s">
        <v>179</v>
      </c>
      <c r="AD326" s="14">
        <f>ROUND(IF(Q326=1,INDEX(新属性投放!$F$14:$F$34,卡牌属性!R326),INDEX(新属性投放!$F$42:$F$62,卡牌属性!R326))*INDEX($G$5:$G$42,L326)*SQRT(INDEX($I$5:$I$42,L326)),2)</f>
        <v>135</v>
      </c>
      <c r="AF326" s="14">
        <f t="shared" si="99"/>
        <v>450</v>
      </c>
      <c r="AG326" s="14">
        <f t="shared" si="100"/>
        <v>225</v>
      </c>
      <c r="AH326" s="14">
        <f t="shared" si="101"/>
        <v>1350</v>
      </c>
      <c r="AJ326" s="14">
        <f t="shared" si="90"/>
        <v>1900</v>
      </c>
      <c r="AK326" s="14">
        <f t="shared" si="91"/>
        <v>950</v>
      </c>
      <c r="AL326" s="14">
        <f t="shared" si="92"/>
        <v>5700</v>
      </c>
    </row>
    <row r="327" spans="11:38" ht="16.5" x14ac:dyDescent="0.2">
      <c r="K327" s="13">
        <v>324</v>
      </c>
      <c r="L327" s="13">
        <f t="shared" si="93"/>
        <v>16</v>
      </c>
      <c r="M327" s="13">
        <f t="shared" si="94"/>
        <v>2</v>
      </c>
      <c r="N327" s="14">
        <f t="shared" si="95"/>
        <v>1101041</v>
      </c>
      <c r="O327" s="14" t="str">
        <f t="shared" si="96"/>
        <v>常服夏玲9突</v>
      </c>
      <c r="P327" s="29" t="s">
        <v>341</v>
      </c>
      <c r="Q327" s="14">
        <f t="shared" si="97"/>
        <v>1</v>
      </c>
      <c r="R327" s="14">
        <f t="shared" si="98"/>
        <v>9</v>
      </c>
      <c r="S327" s="14" t="s">
        <v>39</v>
      </c>
      <c r="T327" s="14">
        <f>ROUND(((IF(Q327=1,INDEX(新属性投放!$J$14:$J$34,卡牌属性!R327),INDEX(新属性投放!$J$42:$J$62,卡牌属性!R327)))*INDEX($G$5:$G$42,L327)+IF(Q327=1,INDEX(新属性投放!R$20:R$23,卡牌属性!M327-1),INDEX(新属性投放!R$25:R$28,卡牌属性!M327-1)))/SQRT(INDEX($I$5:$I$42,L327)),2)</f>
        <v>2452</v>
      </c>
      <c r="U327" s="29" t="s">
        <v>178</v>
      </c>
      <c r="V327" s="14">
        <f>ROUND((IF(Q327=1,INDEX(新属性投放!$K$14:$K$34,卡牌属性!R327),INDEX(新属性投放!$K$42:$K$62,卡牌属性!R327))+IF(Q327=1,INDEX(新属性投放!S$20:S$23,卡牌属性!M327-1),INDEX(新属性投放!S$25:S$28,卡牌属性!M327-1)))*INDEX($G$5:$G$42,L327),2)</f>
        <v>1182</v>
      </c>
      <c r="W327" s="29" t="s">
        <v>179</v>
      </c>
      <c r="X327" s="14">
        <f>ROUND((IF(Q327=1,INDEX(新属性投放!$L$14:$L$34,卡牌属性!R327),INDEX(新属性投放!$L$42:$L$62,卡牌属性!R327))*INDEX($G$5:$G$42,L327)+IF(Q327=1,INDEX(新属性投放!T$20:T$23,卡牌属性!M327-1),INDEX(新属性投放!T$25:T$28,卡牌属性!M327-1)))*SQRT(INDEX($I$5:$I$42,L327)),2)</f>
        <v>7556</v>
      </c>
      <c r="Y327" s="29" t="s">
        <v>177</v>
      </c>
      <c r="Z327" s="14">
        <f>ROUND(IF(Q327=1,INDEX(新属性投放!$D$14:$D$34,卡牌属性!R327),INDEX(新属性投放!$D$42:$D$62,卡牌属性!R327))*INDEX($G$5:$G$42,L327)/SQRT(INDEX($I$5:$I$42,L327)),2)</f>
        <v>60.05</v>
      </c>
      <c r="AA327" s="29" t="s">
        <v>178</v>
      </c>
      <c r="AB327" s="14">
        <f>ROUND(IF(Q327=1,INDEX(新属性投放!$E$14:$E$34,卡牌属性!R327),INDEX(新属性投放!$E$42:$E$62,卡牌属性!R327))*INDEX($G$5:$G$42,L327),2)</f>
        <v>30.03</v>
      </c>
      <c r="AC327" s="29" t="s">
        <v>179</v>
      </c>
      <c r="AD327" s="14">
        <f>ROUND(IF(Q327=1,INDEX(新属性投放!$F$14:$F$34,卡牌属性!R327),INDEX(新属性投放!$F$42:$F$62,卡牌属性!R327))*INDEX($G$5:$G$42,L327)*SQRT(INDEX($I$5:$I$42,L327)),2)</f>
        <v>180.15</v>
      </c>
      <c r="AF327" s="14">
        <f t="shared" si="99"/>
        <v>600</v>
      </c>
      <c r="AG327" s="14">
        <f t="shared" si="100"/>
        <v>300</v>
      </c>
      <c r="AH327" s="14">
        <f t="shared" si="101"/>
        <v>1801</v>
      </c>
      <c r="AJ327" s="14">
        <f t="shared" si="90"/>
        <v>2500</v>
      </c>
      <c r="AK327" s="14">
        <f t="shared" si="91"/>
        <v>1250</v>
      </c>
      <c r="AL327" s="14">
        <f t="shared" si="92"/>
        <v>7501</v>
      </c>
    </row>
    <row r="328" spans="11:38" ht="16.5" x14ac:dyDescent="0.2">
      <c r="K328" s="13">
        <v>325</v>
      </c>
      <c r="L328" s="13">
        <f t="shared" si="93"/>
        <v>16</v>
      </c>
      <c r="M328" s="13">
        <f t="shared" si="94"/>
        <v>2</v>
      </c>
      <c r="N328" s="14">
        <f t="shared" si="95"/>
        <v>1101041</v>
      </c>
      <c r="O328" s="14" t="str">
        <f t="shared" si="96"/>
        <v>常服夏玲10突</v>
      </c>
      <c r="P328" s="29" t="s">
        <v>341</v>
      </c>
      <c r="Q328" s="14">
        <f t="shared" si="97"/>
        <v>1</v>
      </c>
      <c r="R328" s="14">
        <f t="shared" si="98"/>
        <v>10</v>
      </c>
      <c r="S328" s="14" t="s">
        <v>39</v>
      </c>
      <c r="T328" s="14">
        <f>ROUND(((IF(Q328=1,INDEX(新属性投放!$J$14:$J$34,卡牌属性!R328),INDEX(新属性投放!$J$42:$J$62,卡牌属性!R328)))*INDEX($G$5:$G$42,L328)+IF(Q328=1,INDEX(新属性投放!R$20:R$23,卡牌属性!M328-1),INDEX(新属性投放!R$25:R$28,卡牌属性!M328-1)))/SQRT(INDEX($I$5:$I$42,L328)),2)</f>
        <v>3202.5</v>
      </c>
      <c r="U328" s="29" t="s">
        <v>178</v>
      </c>
      <c r="V328" s="14">
        <f>ROUND((IF(Q328=1,INDEX(新属性投放!$K$14:$K$34,卡牌属性!R328),INDEX(新属性投放!$K$42:$K$62,卡牌属性!R328))+IF(Q328=1,INDEX(新属性投放!S$20:S$23,卡牌属性!M328-1),INDEX(新属性投放!S$25:S$28,卡牌属性!M328-1)))*INDEX($G$5:$G$42,L328),2)</f>
        <v>1557.25</v>
      </c>
      <c r="W328" s="29" t="s">
        <v>179</v>
      </c>
      <c r="X328" s="14">
        <f>ROUND((IF(Q328=1,INDEX(新属性投放!$L$14:$L$34,卡牌属性!R328),INDEX(新属性投放!$L$42:$L$62,卡牌属性!R328))*INDEX($G$5:$G$42,L328)+IF(Q328=1,INDEX(新属性投放!T$20:T$23,卡牌属性!M328-1),INDEX(新属性投放!T$25:T$28,卡牌属性!M328-1)))*SQRT(INDEX($I$5:$I$42,L328)),2)</f>
        <v>9807.5</v>
      </c>
      <c r="Y328" s="29" t="s">
        <v>177</v>
      </c>
      <c r="Z328" s="14">
        <f>ROUND(IF(Q328=1,INDEX(新属性投放!$D$14:$D$34,卡牌属性!R328),INDEX(新属性投放!$D$42:$D$62,卡牌属性!R328))*INDEX($G$5:$G$42,L328)/SQRT(INDEX($I$5:$I$42,L328)),2)</f>
        <v>78.5</v>
      </c>
      <c r="AA328" s="29" t="s">
        <v>178</v>
      </c>
      <c r="AB328" s="14">
        <f>ROUND(IF(Q328=1,INDEX(新属性投放!$E$14:$E$34,卡牌属性!R328),INDEX(新属性投放!$E$42:$E$62,卡牌属性!R328))*INDEX($G$5:$G$42,L328),2)</f>
        <v>39.25</v>
      </c>
      <c r="AC328" s="29" t="s">
        <v>179</v>
      </c>
      <c r="AD328" s="14">
        <f>ROUND(IF(Q328=1,INDEX(新属性投放!$F$14:$F$34,卡牌属性!R328),INDEX(新属性投放!$F$42:$F$62,卡牌属性!R328))*INDEX($G$5:$G$42,L328)*SQRT(INDEX($I$5:$I$42,L328)),2)</f>
        <v>235.5</v>
      </c>
      <c r="AF328" s="14">
        <f t="shared" si="99"/>
        <v>785</v>
      </c>
      <c r="AG328" s="14">
        <f t="shared" si="100"/>
        <v>392</v>
      </c>
      <c r="AH328" s="14">
        <f t="shared" si="101"/>
        <v>2355</v>
      </c>
      <c r="AJ328" s="14">
        <f t="shared" si="90"/>
        <v>3285</v>
      </c>
      <c r="AK328" s="14">
        <f t="shared" si="91"/>
        <v>1642</v>
      </c>
      <c r="AL328" s="14">
        <f t="shared" si="92"/>
        <v>9856</v>
      </c>
    </row>
    <row r="329" spans="11:38" ht="16.5" x14ac:dyDescent="0.2">
      <c r="K329" s="13">
        <v>326</v>
      </c>
      <c r="L329" s="13">
        <f t="shared" si="93"/>
        <v>16</v>
      </c>
      <c r="M329" s="13">
        <f t="shared" si="94"/>
        <v>2</v>
      </c>
      <c r="N329" s="14">
        <f t="shared" si="95"/>
        <v>1101041</v>
      </c>
      <c r="O329" s="14" t="str">
        <f t="shared" si="96"/>
        <v>常服夏玲11突</v>
      </c>
      <c r="P329" s="29" t="s">
        <v>341</v>
      </c>
      <c r="Q329" s="14">
        <f t="shared" si="97"/>
        <v>1</v>
      </c>
      <c r="R329" s="14">
        <f t="shared" si="98"/>
        <v>11</v>
      </c>
      <c r="S329" s="14" t="s">
        <v>39</v>
      </c>
      <c r="T329" s="14">
        <f>ROUND(((IF(Q329=1,INDEX(新属性投放!$J$14:$J$34,卡牌属性!R329),INDEX(新属性投放!$J$42:$J$62,卡牌属性!R329)))*INDEX($G$5:$G$42,L329)+IF(Q329=1,INDEX(新属性投放!R$20:R$23,卡牌属性!M329-1),INDEX(新属性投放!R$25:R$28,卡牌属性!M329-1)))/SQRT(INDEX($I$5:$I$42,L329)),2)</f>
        <v>4183.5</v>
      </c>
      <c r="U329" s="29" t="s">
        <v>178</v>
      </c>
      <c r="V329" s="14">
        <f>ROUND((IF(Q329=1,INDEX(新属性投放!$K$14:$K$34,卡牌属性!R329),INDEX(新属性投放!$K$42:$K$62,卡牌属性!R329))+IF(Q329=1,INDEX(新属性投放!S$20:S$23,卡牌属性!M329-1),INDEX(新属性投放!S$25:S$28,卡牌属性!M329-1)))*INDEX($G$5:$G$42,L329),2)</f>
        <v>2047.75</v>
      </c>
      <c r="W329" s="29" t="s">
        <v>179</v>
      </c>
      <c r="X329" s="14">
        <f>ROUND((IF(Q329=1,INDEX(新属性投放!$L$14:$L$34,卡牌属性!R329),INDEX(新属性投放!$L$42:$L$62,卡牌属性!R329))*INDEX($G$5:$G$42,L329)+IF(Q329=1,INDEX(新属性投放!T$20:T$23,卡牌属性!M329-1),INDEX(新属性投放!T$25:T$28,卡牌属性!M329-1)))*SQRT(INDEX($I$5:$I$42,L329)),2)</f>
        <v>12750.5</v>
      </c>
      <c r="Y329" s="29" t="s">
        <v>177</v>
      </c>
      <c r="Z329" s="14">
        <f>ROUND(IF(Q329=1,INDEX(新属性投放!$D$14:$D$34,卡牌属性!R329),INDEX(新属性投放!$D$42:$D$62,卡牌属性!R329))*INDEX($G$5:$G$42,L329)/SQRT(INDEX($I$5:$I$42,L329)),2)</f>
        <v>103.34</v>
      </c>
      <c r="AA329" s="29" t="s">
        <v>178</v>
      </c>
      <c r="AB329" s="14">
        <f>ROUND(IF(Q329=1,INDEX(新属性投放!$E$14:$E$34,卡牌属性!R329),INDEX(新属性投放!$E$42:$E$62,卡牌属性!R329))*INDEX($G$5:$G$42,L329),2)</f>
        <v>51.67</v>
      </c>
      <c r="AC329" s="29" t="s">
        <v>179</v>
      </c>
      <c r="AD329" s="14">
        <f>ROUND(IF(Q329=1,INDEX(新属性投放!$F$14:$F$34,卡牌属性!R329),INDEX(新属性投放!$F$42:$F$62,卡牌属性!R329))*INDEX($G$5:$G$42,L329)*SQRT(INDEX($I$5:$I$42,L329)),2)</f>
        <v>310.02</v>
      </c>
      <c r="AF329" s="14">
        <f t="shared" si="99"/>
        <v>1033</v>
      </c>
      <c r="AG329" s="14">
        <f t="shared" si="100"/>
        <v>516</v>
      </c>
      <c r="AH329" s="14">
        <f t="shared" si="101"/>
        <v>3100</v>
      </c>
      <c r="AJ329" s="14">
        <f t="shared" si="90"/>
        <v>4318</v>
      </c>
      <c r="AK329" s="14">
        <f t="shared" si="91"/>
        <v>2158</v>
      </c>
      <c r="AL329" s="14">
        <f t="shared" si="92"/>
        <v>12956</v>
      </c>
    </row>
    <row r="330" spans="11:38" ht="16.5" x14ac:dyDescent="0.2">
      <c r="K330" s="13">
        <v>327</v>
      </c>
      <c r="L330" s="13">
        <f t="shared" si="93"/>
        <v>16</v>
      </c>
      <c r="M330" s="13">
        <f t="shared" si="94"/>
        <v>2</v>
      </c>
      <c r="N330" s="14">
        <f t="shared" si="95"/>
        <v>1101041</v>
      </c>
      <c r="O330" s="14" t="str">
        <f t="shared" si="96"/>
        <v>常服夏玲12突</v>
      </c>
      <c r="P330" s="29" t="s">
        <v>341</v>
      </c>
      <c r="Q330" s="14">
        <f t="shared" si="97"/>
        <v>1</v>
      </c>
      <c r="R330" s="14">
        <f t="shared" si="98"/>
        <v>12</v>
      </c>
      <c r="S330" s="14" t="s">
        <v>39</v>
      </c>
      <c r="T330" s="14">
        <f>ROUND(((IF(Q330=1,INDEX(新属性投放!$J$14:$J$34,卡牌属性!R330),INDEX(新属性投放!$J$42:$J$62,卡牌属性!R330)))*INDEX($G$5:$G$42,L330)+IF(Q330=1,INDEX(新属性投放!R$20:R$23,卡牌属性!M330-1),INDEX(新属性投放!R$25:R$28,卡牌属性!M330-1)))/SQRT(INDEX($I$5:$I$42,L330)),2)</f>
        <v>5474.9</v>
      </c>
      <c r="U330" s="29" t="s">
        <v>178</v>
      </c>
      <c r="V330" s="14">
        <f>ROUND((IF(Q330=1,INDEX(新属性投放!$K$14:$K$34,卡牌属性!R330),INDEX(新属性投放!$K$42:$K$62,卡牌属性!R330))+IF(Q330=1,INDEX(新属性投放!S$20:S$23,卡牌属性!M330-1),INDEX(新属性投放!S$25:S$28,卡牌属性!M330-1)))*INDEX($G$5:$G$42,L330),2)</f>
        <v>2693.45</v>
      </c>
      <c r="W330" s="29" t="s">
        <v>179</v>
      </c>
      <c r="X330" s="14">
        <f>ROUND((IF(Q330=1,INDEX(新属性投放!$L$14:$L$34,卡牌属性!R330),INDEX(新属性投放!$L$42:$L$62,卡牌属性!R330))*INDEX($G$5:$G$42,L330)+IF(Q330=1,INDEX(新属性投放!T$20:T$23,卡牌属性!M330-1),INDEX(新属性投放!T$25:T$28,卡牌属性!M330-1)))*SQRT(INDEX($I$5:$I$42,L330)),2)</f>
        <v>16624.7</v>
      </c>
      <c r="Y330" s="29" t="s">
        <v>177</v>
      </c>
      <c r="Z330" s="14">
        <f>ROUND(IF(Q330=1,INDEX(新属性投放!$D$14:$D$34,卡牌属性!R330),INDEX(新属性投放!$D$42:$D$62,卡牌属性!R330))*INDEX($G$5:$G$42,L330)/SQRT(INDEX($I$5:$I$42,L330)),2)</f>
        <v>135.62</v>
      </c>
      <c r="AA330" s="29" t="s">
        <v>178</v>
      </c>
      <c r="AB330" s="14">
        <f>ROUND(IF(Q330=1,INDEX(新属性投放!$E$14:$E$34,卡牌属性!R330),INDEX(新属性投放!$E$42:$E$62,卡牌属性!R330))*INDEX($G$5:$G$42,L330),2)</f>
        <v>67.81</v>
      </c>
      <c r="AC330" s="29" t="s">
        <v>179</v>
      </c>
      <c r="AD330" s="14">
        <f>ROUND(IF(Q330=1,INDEX(新属性投放!$F$14:$F$34,卡牌属性!R330),INDEX(新属性投放!$F$42:$F$62,卡牌属性!R330))*INDEX($G$5:$G$42,L330)*SQRT(INDEX($I$5:$I$42,L330)),2)</f>
        <v>406.86</v>
      </c>
      <c r="AF330" s="14">
        <f t="shared" si="99"/>
        <v>1356</v>
      </c>
      <c r="AG330" s="14">
        <f t="shared" si="100"/>
        <v>678</v>
      </c>
      <c r="AH330" s="14">
        <f t="shared" si="101"/>
        <v>4068</v>
      </c>
      <c r="AJ330" s="14">
        <f t="shared" si="90"/>
        <v>5674</v>
      </c>
      <c r="AK330" s="14">
        <f t="shared" si="91"/>
        <v>2836</v>
      </c>
      <c r="AL330" s="14">
        <f t="shared" si="92"/>
        <v>17024</v>
      </c>
    </row>
    <row r="331" spans="11:38" ht="16.5" x14ac:dyDescent="0.2">
      <c r="K331" s="13">
        <v>328</v>
      </c>
      <c r="L331" s="13">
        <f t="shared" si="93"/>
        <v>16</v>
      </c>
      <c r="M331" s="13">
        <f t="shared" si="94"/>
        <v>2</v>
      </c>
      <c r="N331" s="14">
        <f t="shared" si="95"/>
        <v>1101041</v>
      </c>
      <c r="O331" s="14" t="str">
        <f t="shared" si="96"/>
        <v>常服夏玲13突</v>
      </c>
      <c r="P331" s="29" t="s">
        <v>341</v>
      </c>
      <c r="Q331" s="14">
        <f t="shared" si="97"/>
        <v>1</v>
      </c>
      <c r="R331" s="14">
        <f t="shared" si="98"/>
        <v>13</v>
      </c>
      <c r="S331" s="14" t="s">
        <v>39</v>
      </c>
      <c r="T331" s="14">
        <f>ROUND(((IF(Q331=1,INDEX(新属性投放!$J$14:$J$34,卡牌属性!R331),INDEX(新属性投放!$J$42:$J$62,卡牌属性!R331)))*INDEX($G$5:$G$42,L331)+IF(Q331=1,INDEX(新属性投放!R$20:R$23,卡牌属性!M331-1),INDEX(新属性投放!R$25:R$28,卡牌属性!M331-1)))/SQRT(INDEX($I$5:$I$42,L331)),2)</f>
        <v>7170.1</v>
      </c>
      <c r="U331" s="29" t="s">
        <v>178</v>
      </c>
      <c r="V331" s="14">
        <f>ROUND((IF(Q331=1,INDEX(新属性投放!$K$14:$K$34,卡牌属性!R331),INDEX(新属性投放!$K$42:$K$62,卡牌属性!R331))+IF(Q331=1,INDEX(新属性投放!S$20:S$23,卡牌属性!M331-1),INDEX(新属性投放!S$25:S$28,卡牌属性!M331-1)))*INDEX($G$5:$G$42,L331),2)</f>
        <v>3541.55</v>
      </c>
      <c r="W331" s="29" t="s">
        <v>179</v>
      </c>
      <c r="X331" s="14">
        <f>ROUND((IF(Q331=1,INDEX(新属性投放!$L$14:$L$34,卡牌属性!R331),INDEX(新属性投放!$L$42:$L$62,卡牌属性!R331))*INDEX($G$5:$G$42,L331)+IF(Q331=1,INDEX(新属性投放!T$20:T$23,卡牌属性!M331-1),INDEX(新属性投放!T$25:T$28,卡牌属性!M331-1)))*SQRT(INDEX($I$5:$I$42,L331)),2)</f>
        <v>21710.3</v>
      </c>
      <c r="Y331" s="29" t="s">
        <v>177</v>
      </c>
      <c r="Z331" s="14">
        <f>ROUND(IF(Q331=1,INDEX(新属性投放!$D$14:$D$34,卡牌属性!R331),INDEX(新属性投放!$D$42:$D$62,卡牌属性!R331))*INDEX($G$5:$G$42,L331)/SQRT(INDEX($I$5:$I$42,L331)),2)</f>
        <v>178</v>
      </c>
      <c r="AA331" s="29" t="s">
        <v>178</v>
      </c>
      <c r="AB331" s="14">
        <f>ROUND(IF(Q331=1,INDEX(新属性投放!$E$14:$E$34,卡牌属性!R331),INDEX(新属性投放!$E$42:$E$62,卡牌属性!R331))*INDEX($G$5:$G$42,L331),2)</f>
        <v>89</v>
      </c>
      <c r="AC331" s="29" t="s">
        <v>179</v>
      </c>
      <c r="AD331" s="14">
        <f>ROUND(IF(Q331=1,INDEX(新属性投放!$F$14:$F$34,卡牌属性!R331),INDEX(新属性投放!$F$42:$F$62,卡牌属性!R331))*INDEX($G$5:$G$42,L331)*SQRT(INDEX($I$5:$I$42,L331)),2)</f>
        <v>534</v>
      </c>
      <c r="AF331" s="14">
        <f t="shared" si="99"/>
        <v>1780</v>
      </c>
      <c r="AG331" s="14">
        <f t="shared" si="100"/>
        <v>890</v>
      </c>
      <c r="AH331" s="14">
        <f t="shared" si="101"/>
        <v>5340</v>
      </c>
      <c r="AJ331" s="14">
        <f t="shared" si="90"/>
        <v>7454</v>
      </c>
      <c r="AK331" s="14">
        <f t="shared" si="91"/>
        <v>3726</v>
      </c>
      <c r="AL331" s="14">
        <f t="shared" si="92"/>
        <v>22364</v>
      </c>
    </row>
    <row r="332" spans="11:38" ht="16.5" x14ac:dyDescent="0.2">
      <c r="K332" s="13">
        <v>329</v>
      </c>
      <c r="L332" s="13">
        <f t="shared" si="93"/>
        <v>16</v>
      </c>
      <c r="M332" s="13">
        <f t="shared" si="94"/>
        <v>2</v>
      </c>
      <c r="N332" s="14">
        <f t="shared" si="95"/>
        <v>1101041</v>
      </c>
      <c r="O332" s="14" t="str">
        <f t="shared" si="96"/>
        <v>常服夏玲14突</v>
      </c>
      <c r="P332" s="29" t="s">
        <v>341</v>
      </c>
      <c r="Q332" s="14">
        <f t="shared" si="97"/>
        <v>1</v>
      </c>
      <c r="R332" s="14">
        <f t="shared" si="98"/>
        <v>14</v>
      </c>
      <c r="S332" s="14" t="s">
        <v>39</v>
      </c>
      <c r="T332" s="14">
        <f>ROUND(((IF(Q332=1,INDEX(新属性投放!$J$14:$J$34,卡牌属性!R332),INDEX(新属性投放!$J$42:$J$62,卡牌属性!R332)))*INDEX($G$5:$G$42,L332)+IF(Q332=1,INDEX(新属性投放!R$20:R$23,卡牌属性!M332-1),INDEX(新属性投放!R$25:R$28,卡牌属性!M332-1)))/SQRT(INDEX($I$5:$I$42,L332)),2)</f>
        <v>9395.1</v>
      </c>
      <c r="U332" s="29" t="s">
        <v>178</v>
      </c>
      <c r="V332" s="14">
        <f>ROUND((IF(Q332=1,INDEX(新属性投放!$K$14:$K$34,卡牌属性!R332),INDEX(新属性投放!$K$42:$K$62,卡牌属性!R332))+IF(Q332=1,INDEX(新属性投放!S$20:S$23,卡牌属性!M332-1),INDEX(新属性投放!S$25:S$28,卡牌属性!M332-1)))*INDEX($G$5:$G$42,L332),2)</f>
        <v>4654.55</v>
      </c>
      <c r="W332" s="29" t="s">
        <v>179</v>
      </c>
      <c r="X332" s="14">
        <f>ROUND((IF(Q332=1,INDEX(新属性投放!$L$14:$L$34,卡牌属性!R332),INDEX(新属性投放!$L$42:$L$62,卡牌属性!R332))*INDEX($G$5:$G$42,L332)+IF(Q332=1,INDEX(新属性投放!T$20:T$23,卡牌属性!M332-1),INDEX(新属性投放!T$25:T$28,卡牌属性!M332-1)))*SQRT(INDEX($I$5:$I$42,L332)),2)</f>
        <v>28385.3</v>
      </c>
      <c r="Y332" s="29" t="s">
        <v>177</v>
      </c>
      <c r="Z332" s="14">
        <f>ROUND(IF(Q332=1,INDEX(新属性投放!$D$14:$D$34,卡牌属性!R332),INDEX(新属性投放!$D$42:$D$62,卡牌属性!R332))*INDEX($G$5:$G$42,L332)/SQRT(INDEX($I$5:$I$42,L332)),2)</f>
        <v>233.63</v>
      </c>
      <c r="AA332" s="29" t="s">
        <v>178</v>
      </c>
      <c r="AB332" s="14">
        <f>ROUND(IF(Q332=1,INDEX(新属性投放!$E$14:$E$34,卡牌属性!R332),INDEX(新属性投放!$E$42:$E$62,卡牌属性!R332))*INDEX($G$5:$G$42,L332),2)</f>
        <v>116.82</v>
      </c>
      <c r="AC332" s="29" t="s">
        <v>179</v>
      </c>
      <c r="AD332" s="14">
        <f>ROUND(IF(Q332=1,INDEX(新属性投放!$F$14:$F$34,卡牌属性!R332),INDEX(新属性投放!$F$42:$F$62,卡牌属性!R332))*INDEX($G$5:$G$42,L332)*SQRT(INDEX($I$5:$I$42,L332)),2)</f>
        <v>700.89</v>
      </c>
      <c r="AF332" s="14">
        <f t="shared" si="99"/>
        <v>2336</v>
      </c>
      <c r="AG332" s="14">
        <f t="shared" si="100"/>
        <v>1168</v>
      </c>
      <c r="AH332" s="14">
        <f t="shared" si="101"/>
        <v>7008</v>
      </c>
      <c r="AJ332" s="14">
        <f t="shared" si="90"/>
        <v>9790</v>
      </c>
      <c r="AK332" s="14">
        <f t="shared" si="91"/>
        <v>4894</v>
      </c>
      <c r="AL332" s="14">
        <f t="shared" si="92"/>
        <v>29372</v>
      </c>
    </row>
    <row r="333" spans="11:38" ht="16.5" x14ac:dyDescent="0.2">
      <c r="K333" s="13">
        <v>330</v>
      </c>
      <c r="L333" s="13">
        <f t="shared" si="93"/>
        <v>16</v>
      </c>
      <c r="M333" s="13">
        <f t="shared" si="94"/>
        <v>2</v>
      </c>
      <c r="N333" s="14">
        <f t="shared" si="95"/>
        <v>1101041</v>
      </c>
      <c r="O333" s="14" t="str">
        <f t="shared" si="96"/>
        <v>常服夏玲15突</v>
      </c>
      <c r="P333" s="29" t="s">
        <v>341</v>
      </c>
      <c r="Q333" s="14">
        <f t="shared" si="97"/>
        <v>1</v>
      </c>
      <c r="R333" s="14">
        <f t="shared" si="98"/>
        <v>15</v>
      </c>
      <c r="S333" s="14" t="s">
        <v>39</v>
      </c>
      <c r="T333" s="14">
        <f>ROUND(((IF(Q333=1,INDEX(新属性投放!$J$14:$J$34,卡牌属性!R333),INDEX(新属性投放!$J$42:$J$62,卡牌属性!R333)))*INDEX($G$5:$G$42,L333)+IF(Q333=1,INDEX(新属性投放!R$20:R$23,卡牌属性!M333-1),INDEX(新属性投放!R$25:R$28,卡牌属性!M333-1)))/SQRT(INDEX($I$5:$I$42,L333)),2)</f>
        <v>12315.4</v>
      </c>
      <c r="U333" s="29" t="s">
        <v>178</v>
      </c>
      <c r="V333" s="14">
        <f>ROUND((IF(Q333=1,INDEX(新属性投放!$K$14:$K$34,卡牌属性!R333),INDEX(新属性投放!$K$42:$K$62,卡牌属性!R333))+IF(Q333=1,INDEX(新属性投放!S$20:S$23,卡牌属性!M333-1),INDEX(新属性投放!S$25:S$28,卡牌属性!M333-1)))*INDEX($G$5:$G$42,L333),2)</f>
        <v>6114.7</v>
      </c>
      <c r="W333" s="29" t="s">
        <v>179</v>
      </c>
      <c r="X333" s="14">
        <f>ROUND((IF(Q333=1,INDEX(新属性投放!$L$14:$L$34,卡牌属性!R333),INDEX(新属性投放!$L$42:$L$62,卡牌属性!R333))*INDEX($G$5:$G$42,L333)+IF(Q333=1,INDEX(新属性投放!T$20:T$23,卡牌属性!M333-1),INDEX(新属性投放!T$25:T$28,卡牌属性!M333-1)))*SQRT(INDEX($I$5:$I$42,L333)),2)</f>
        <v>37146.199999999997</v>
      </c>
      <c r="Y333" s="29" t="s">
        <v>177</v>
      </c>
      <c r="Z333" s="14">
        <f>ROUND(IF(Q333=1,INDEX(新属性投放!$D$14:$D$34,卡牌属性!R333),INDEX(新属性投放!$D$42:$D$62,卡牌属性!R333))*INDEX($G$5:$G$42,L333)/SQRT(INDEX($I$5:$I$42,L333)),2)</f>
        <v>306.64</v>
      </c>
      <c r="AA333" s="29" t="s">
        <v>178</v>
      </c>
      <c r="AB333" s="14">
        <f>ROUND(IF(Q333=1,INDEX(新属性投放!$E$14:$E$34,卡牌属性!R333),INDEX(新属性投放!$E$42:$E$62,卡牌属性!R333))*INDEX($G$5:$G$42,L333),2)</f>
        <v>153.32</v>
      </c>
      <c r="AC333" s="29" t="s">
        <v>179</v>
      </c>
      <c r="AD333" s="14">
        <f>ROUND(IF(Q333=1,INDEX(新属性投放!$F$14:$F$34,卡牌属性!R333),INDEX(新属性投放!$F$42:$F$62,卡牌属性!R333))*INDEX($G$5:$G$42,L333)*SQRT(INDEX($I$5:$I$42,L333)),2)</f>
        <v>919.92</v>
      </c>
      <c r="AF333" s="14">
        <f t="shared" si="99"/>
        <v>3066</v>
      </c>
      <c r="AG333" s="14">
        <f t="shared" si="100"/>
        <v>1533</v>
      </c>
      <c r="AH333" s="14">
        <f t="shared" si="101"/>
        <v>9199</v>
      </c>
      <c r="AJ333" s="14">
        <f t="shared" si="90"/>
        <v>12856</v>
      </c>
      <c r="AK333" s="14">
        <f t="shared" si="91"/>
        <v>6427</v>
      </c>
      <c r="AL333" s="14">
        <f t="shared" si="92"/>
        <v>38571</v>
      </c>
    </row>
    <row r="334" spans="11:38" ht="16.5" x14ac:dyDescent="0.2">
      <c r="K334" s="13">
        <v>331</v>
      </c>
      <c r="L334" s="13">
        <f t="shared" si="93"/>
        <v>16</v>
      </c>
      <c r="M334" s="13">
        <f t="shared" si="94"/>
        <v>2</v>
      </c>
      <c r="N334" s="14">
        <f t="shared" si="95"/>
        <v>1101041</v>
      </c>
      <c r="O334" s="14" t="str">
        <f t="shared" si="96"/>
        <v>常服夏玲16突</v>
      </c>
      <c r="P334" s="29" t="s">
        <v>341</v>
      </c>
      <c r="Q334" s="14">
        <f t="shared" si="97"/>
        <v>1</v>
      </c>
      <c r="R334" s="14">
        <f t="shared" si="98"/>
        <v>16</v>
      </c>
      <c r="S334" s="14" t="s">
        <v>39</v>
      </c>
      <c r="T334" s="14">
        <f>ROUND(((IF(Q334=1,INDEX(新属性投放!$J$14:$J$34,卡牌属性!R334),INDEX(新属性投放!$J$42:$J$62,卡牌属性!R334)))*INDEX($G$5:$G$42,L334)+IF(Q334=1,INDEX(新属性投放!R$20:R$23,卡牌属性!M334-1),INDEX(新属性投放!R$25:R$28,卡牌属性!M334-1)))/SQRT(INDEX($I$5:$I$42,L334)),2)</f>
        <v>16148.8</v>
      </c>
      <c r="U334" s="29" t="s">
        <v>178</v>
      </c>
      <c r="V334" s="14">
        <f>ROUND((IF(Q334=1,INDEX(新属性投放!$K$14:$K$34,卡牌属性!R334),INDEX(新属性投放!$K$42:$K$62,卡牌属性!R334))+IF(Q334=1,INDEX(新属性投放!S$20:S$23,卡牌属性!M334-1),INDEX(新属性投放!S$25:S$28,卡牌属性!M334-1)))*INDEX($G$5:$G$42,L334),2)</f>
        <v>8030.9</v>
      </c>
      <c r="W334" s="29" t="s">
        <v>179</v>
      </c>
      <c r="X334" s="14">
        <f>ROUND((IF(Q334=1,INDEX(新属性投放!$L$14:$L$34,卡牌属性!R334),INDEX(新属性投放!$L$42:$L$62,卡牌属性!R334))*INDEX($G$5:$G$42,L334)+IF(Q334=1,INDEX(新属性投放!T$20:T$23,卡牌属性!M334-1),INDEX(新属性投放!T$25:T$28,卡牌属性!M334-1)))*SQRT(INDEX($I$5:$I$42,L334)),2)</f>
        <v>48646.400000000001</v>
      </c>
      <c r="Y334" s="29" t="s">
        <v>177</v>
      </c>
      <c r="Z334" s="14">
        <f>ROUND(IF(Q334=1,INDEX(新属性投放!$D$14:$D$34,卡牌属性!R334),INDEX(新属性投放!$D$42:$D$62,卡牌属性!R334))*INDEX($G$5:$G$42,L334)/SQRT(INDEX($I$5:$I$42,L334)),2)</f>
        <v>402.47</v>
      </c>
      <c r="AA334" s="29" t="s">
        <v>178</v>
      </c>
      <c r="AB334" s="14">
        <f>ROUND(IF(Q334=1,INDEX(新属性投放!$E$14:$E$34,卡牌属性!R334),INDEX(新属性投放!$E$42:$E$62,卡牌属性!R334))*INDEX($G$5:$G$42,L334),2)</f>
        <v>201.24</v>
      </c>
      <c r="AC334" s="29" t="s">
        <v>179</v>
      </c>
      <c r="AD334" s="14">
        <f>ROUND(IF(Q334=1,INDEX(新属性投放!$F$14:$F$34,卡牌属性!R334),INDEX(新属性投放!$F$42:$F$62,卡牌属性!R334))*INDEX($G$5:$G$42,L334)*SQRT(INDEX($I$5:$I$42,L334)),2)</f>
        <v>1207.4100000000001</v>
      </c>
      <c r="AF334" s="14">
        <f t="shared" si="99"/>
        <v>4024</v>
      </c>
      <c r="AG334" s="14">
        <f t="shared" si="100"/>
        <v>2012</v>
      </c>
      <c r="AH334" s="14">
        <f t="shared" si="101"/>
        <v>12074</v>
      </c>
      <c r="AJ334" s="14">
        <f t="shared" si="90"/>
        <v>16880</v>
      </c>
      <c r="AK334" s="14">
        <f t="shared" si="91"/>
        <v>8439</v>
      </c>
      <c r="AL334" s="14">
        <f t="shared" si="92"/>
        <v>50645</v>
      </c>
    </row>
    <row r="335" spans="11:38" ht="16.5" x14ac:dyDescent="0.2">
      <c r="K335" s="13">
        <v>332</v>
      </c>
      <c r="L335" s="13">
        <f t="shared" si="93"/>
        <v>16</v>
      </c>
      <c r="M335" s="13">
        <f t="shared" si="94"/>
        <v>2</v>
      </c>
      <c r="N335" s="14">
        <f t="shared" si="95"/>
        <v>1101041</v>
      </c>
      <c r="O335" s="14" t="str">
        <f t="shared" si="96"/>
        <v>常服夏玲17突</v>
      </c>
      <c r="P335" s="29" t="s">
        <v>341</v>
      </c>
      <c r="Q335" s="14">
        <f t="shared" si="97"/>
        <v>1</v>
      </c>
      <c r="R335" s="14">
        <f t="shared" si="98"/>
        <v>17</v>
      </c>
      <c r="S335" s="14" t="s">
        <v>39</v>
      </c>
      <c r="T335" s="14">
        <f>ROUND(((IF(Q335=1,INDEX(新属性投放!$J$14:$J$34,卡牌属性!R335),INDEX(新属性投放!$J$42:$J$62,卡牌属性!R335)))*INDEX($G$5:$G$42,L335)+IF(Q335=1,INDEX(新属性投放!R$20:R$23,卡牌属性!M335-1),INDEX(新属性投放!R$25:R$28,卡牌属性!M335-1)))/SQRT(INDEX($I$5:$I$42,L335)),2)</f>
        <v>21179.5</v>
      </c>
      <c r="U335" s="29" t="s">
        <v>178</v>
      </c>
      <c r="V335" s="14">
        <f>ROUND((IF(Q335=1,INDEX(新属性投放!$K$14:$K$34,卡牌属性!R335),INDEX(新属性投放!$K$42:$K$62,卡牌属性!R335))+IF(Q335=1,INDEX(新属性投放!S$20:S$23,卡牌属性!M335-1),INDEX(新属性投放!S$25:S$28,卡牌属性!M335-1)))*INDEX($G$5:$G$42,L335),2)</f>
        <v>10546.25</v>
      </c>
      <c r="W335" s="29" t="s">
        <v>179</v>
      </c>
      <c r="X335" s="14">
        <f>ROUND((IF(Q335=1,INDEX(新属性投放!$L$14:$L$34,卡牌属性!R335),INDEX(新属性投放!$L$42:$L$62,卡牌属性!R335))*INDEX($G$5:$G$42,L335)+IF(Q335=1,INDEX(新属性投放!T$20:T$23,卡牌属性!M335-1),INDEX(新属性投放!T$25:T$28,卡牌属性!M335-1)))*SQRT(INDEX($I$5:$I$42,L335)),2)</f>
        <v>63738.5</v>
      </c>
      <c r="Y335" s="29" t="s">
        <v>177</v>
      </c>
      <c r="Z335" s="14">
        <f>ROUND(IF(Q335=1,INDEX(新属性投放!$D$14:$D$34,卡牌属性!R335),INDEX(新属性投放!$D$42:$D$62,卡牌属性!R335))*INDEX($G$5:$G$42,L335)/SQRT(INDEX($I$5:$I$42,L335)),2)</f>
        <v>528.24</v>
      </c>
      <c r="AA335" s="29" t="s">
        <v>178</v>
      </c>
      <c r="AB335" s="14">
        <f>ROUND(IF(Q335=1,INDEX(新属性投放!$E$14:$E$34,卡牌属性!R335),INDEX(新属性投放!$E$42:$E$62,卡牌属性!R335))*INDEX($G$5:$G$42,L335),2)</f>
        <v>264.12</v>
      </c>
      <c r="AC335" s="29" t="s">
        <v>179</v>
      </c>
      <c r="AD335" s="14">
        <f>ROUND(IF(Q335=1,INDEX(新属性投放!$F$14:$F$34,卡牌属性!R335),INDEX(新属性投放!$F$42:$F$62,卡牌属性!R335))*INDEX($G$5:$G$42,L335)*SQRT(INDEX($I$5:$I$42,L335)),2)</f>
        <v>1584.72</v>
      </c>
      <c r="AF335" s="14">
        <f t="shared" si="99"/>
        <v>5282</v>
      </c>
      <c r="AG335" s="14">
        <f t="shared" si="100"/>
        <v>2641</v>
      </c>
      <c r="AH335" s="14">
        <f t="shared" si="101"/>
        <v>15847</v>
      </c>
      <c r="AJ335" s="14">
        <f t="shared" si="90"/>
        <v>22162</v>
      </c>
      <c r="AK335" s="14">
        <f t="shared" si="91"/>
        <v>11080</v>
      </c>
      <c r="AL335" s="14">
        <f t="shared" si="92"/>
        <v>66492</v>
      </c>
    </row>
    <row r="336" spans="11:38" ht="16.5" x14ac:dyDescent="0.2">
      <c r="K336" s="13">
        <v>333</v>
      </c>
      <c r="L336" s="13">
        <f t="shared" si="93"/>
        <v>16</v>
      </c>
      <c r="M336" s="13">
        <f t="shared" si="94"/>
        <v>2</v>
      </c>
      <c r="N336" s="14">
        <f t="shared" si="95"/>
        <v>1101041</v>
      </c>
      <c r="O336" s="14" t="str">
        <f t="shared" si="96"/>
        <v>常服夏玲18突</v>
      </c>
      <c r="P336" s="29" t="s">
        <v>341</v>
      </c>
      <c r="Q336" s="14">
        <f t="shared" si="97"/>
        <v>1</v>
      </c>
      <c r="R336" s="14">
        <f t="shared" si="98"/>
        <v>18</v>
      </c>
      <c r="S336" s="14" t="s">
        <v>39</v>
      </c>
      <c r="T336" s="14">
        <f>ROUND(((IF(Q336=1,INDEX(新属性投放!$J$14:$J$34,卡牌属性!R336),INDEX(新属性投放!$J$42:$J$62,卡牌属性!R336)))*INDEX($G$5:$G$42,L336)+IF(Q336=1,INDEX(新属性投放!R$20:R$23,卡牌属性!M336-1),INDEX(新属性投放!R$25:R$28,卡牌属性!M336-1)))/SQRT(INDEX($I$5:$I$42,L336)),2)</f>
        <v>27782.9</v>
      </c>
      <c r="U336" s="29" t="s">
        <v>178</v>
      </c>
      <c r="V336" s="14">
        <f>ROUND((IF(Q336=1,INDEX(新属性投放!$K$14:$K$34,卡牌属性!R336),INDEX(新属性投放!$K$42:$K$62,卡牌属性!R336))+IF(Q336=1,INDEX(新属性投放!S$20:S$23,卡牌属性!M336-1),INDEX(新属性投放!S$25:S$28,卡牌属性!M336-1)))*INDEX($G$5:$G$42,L336),2)</f>
        <v>13847.45</v>
      </c>
      <c r="W336" s="29" t="s">
        <v>179</v>
      </c>
      <c r="X336" s="14">
        <f>ROUND((IF(Q336=1,INDEX(新属性投放!$L$14:$L$34,卡牌属性!R336),INDEX(新属性投放!$L$42:$L$62,卡牌属性!R336))*INDEX($G$5:$G$42,L336)+IF(Q336=1,INDEX(新属性投放!T$20:T$23,卡牌属性!M336-1),INDEX(新属性投放!T$25:T$28,卡牌属性!M336-1)))*SQRT(INDEX($I$5:$I$42,L336)),2)</f>
        <v>83548.7</v>
      </c>
      <c r="Y336" s="29" t="s">
        <v>177</v>
      </c>
      <c r="Z336" s="14">
        <f>ROUND(IF(Q336=1,INDEX(新属性投放!$D$14:$D$34,卡牌属性!R336),INDEX(新属性投放!$D$42:$D$62,卡牌属性!R336))*INDEX($G$5:$G$42,L336)/SQRT(INDEX($I$5:$I$42,L336)),2)</f>
        <v>693.32</v>
      </c>
      <c r="AA336" s="29" t="s">
        <v>178</v>
      </c>
      <c r="AB336" s="14">
        <f>ROUND(IF(Q336=1,INDEX(新属性投放!$E$14:$E$34,卡牌属性!R336),INDEX(新属性投放!$E$42:$E$62,卡牌属性!R336))*INDEX($G$5:$G$42,L336),2)</f>
        <v>346.66</v>
      </c>
      <c r="AC336" s="29" t="s">
        <v>179</v>
      </c>
      <c r="AD336" s="14">
        <f>ROUND(IF(Q336=1,INDEX(新属性投放!$F$14:$F$34,卡牌属性!R336),INDEX(新属性投放!$F$42:$F$62,卡牌属性!R336))*INDEX($G$5:$G$42,L336)*SQRT(INDEX($I$5:$I$42,L336)),2)</f>
        <v>2079.96</v>
      </c>
      <c r="AF336" s="14">
        <f t="shared" si="99"/>
        <v>6933</v>
      </c>
      <c r="AG336" s="14">
        <f t="shared" si="100"/>
        <v>3466</v>
      </c>
      <c r="AH336" s="14">
        <f t="shared" si="101"/>
        <v>20799</v>
      </c>
      <c r="AJ336" s="14">
        <f t="shared" si="90"/>
        <v>29095</v>
      </c>
      <c r="AK336" s="14">
        <f t="shared" si="91"/>
        <v>14546</v>
      </c>
      <c r="AL336" s="14">
        <f t="shared" si="92"/>
        <v>87291</v>
      </c>
    </row>
    <row r="337" spans="11:38" ht="16.5" x14ac:dyDescent="0.2">
      <c r="K337" s="13">
        <v>334</v>
      </c>
      <c r="L337" s="13">
        <f t="shared" si="93"/>
        <v>16</v>
      </c>
      <c r="M337" s="13">
        <f t="shared" si="94"/>
        <v>2</v>
      </c>
      <c r="N337" s="14">
        <f t="shared" si="95"/>
        <v>1101041</v>
      </c>
      <c r="O337" s="14" t="str">
        <f t="shared" si="96"/>
        <v>常服夏玲19突</v>
      </c>
      <c r="P337" s="29" t="s">
        <v>341</v>
      </c>
      <c r="Q337" s="14">
        <f t="shared" si="97"/>
        <v>1</v>
      </c>
      <c r="R337" s="14">
        <f t="shared" si="98"/>
        <v>19</v>
      </c>
      <c r="S337" s="14" t="s">
        <v>39</v>
      </c>
      <c r="T337" s="14">
        <f>ROUND(((IF(Q337=1,INDEX(新属性投放!$J$14:$J$34,卡牌属性!R337),INDEX(新属性投放!$J$42:$J$62,卡牌属性!R337)))*INDEX($G$5:$G$42,L337)+IF(Q337=1,INDEX(新属性投放!R$20:R$23,卡牌属性!M337-1),INDEX(新属性投放!R$25:R$28,卡牌属性!M337-1)))/SQRT(INDEX($I$5:$I$42,L337)),2)</f>
        <v>36449.1</v>
      </c>
      <c r="U337" s="29" t="s">
        <v>178</v>
      </c>
      <c r="V337" s="14">
        <f>ROUND((IF(Q337=1,INDEX(新属性投放!$K$14:$K$34,卡牌属性!R337),INDEX(新属性投放!$K$42:$K$62,卡牌属性!R337))+IF(Q337=1,INDEX(新属性投放!S$20:S$23,卡牌属性!M337-1),INDEX(新属性投放!S$25:S$28,卡牌属性!M337-1)))*INDEX($G$5:$G$42,L337),2)</f>
        <v>18181.05</v>
      </c>
      <c r="W337" s="29" t="s">
        <v>179</v>
      </c>
      <c r="X337" s="14">
        <f>ROUND((IF(Q337=1,INDEX(新属性投放!$L$14:$L$34,卡牌属性!R337),INDEX(新属性投放!$L$42:$L$62,卡牌属性!R337))*INDEX($G$5:$G$42,L337)+IF(Q337=1,INDEX(新属性投放!T$20:T$23,卡牌属性!M337-1),INDEX(新属性投放!T$25:T$28,卡牌属性!M337-1)))*SQRT(INDEX($I$5:$I$42,L337)),2)</f>
        <v>109547.3</v>
      </c>
      <c r="Y337" s="29" t="s">
        <v>177</v>
      </c>
      <c r="Z337" s="14">
        <f>ROUND(IF(Q337=1,INDEX(新属性投放!$D$14:$D$34,卡牌属性!R337),INDEX(新属性投放!$D$42:$D$62,卡牌属性!R337))*INDEX($G$5:$G$42,L337)/SQRT(INDEX($I$5:$I$42,L337)),2)</f>
        <v>909.98</v>
      </c>
      <c r="AA337" s="29" t="s">
        <v>178</v>
      </c>
      <c r="AB337" s="14">
        <f>ROUND(IF(Q337=1,INDEX(新属性投放!$E$14:$E$34,卡牌属性!R337),INDEX(新属性投放!$E$42:$E$62,卡牌属性!R337))*INDEX($G$5:$G$42,L337),2)</f>
        <v>454.99</v>
      </c>
      <c r="AC337" s="29" t="s">
        <v>179</v>
      </c>
      <c r="AD337" s="14">
        <f>ROUND(IF(Q337=1,INDEX(新属性投放!$F$14:$F$34,卡牌属性!R337),INDEX(新属性投放!$F$42:$F$62,卡牌属性!R337))*INDEX($G$5:$G$42,L337)*SQRT(INDEX($I$5:$I$42,L337)),2)</f>
        <v>2729.94</v>
      </c>
      <c r="AF337" s="14">
        <f t="shared" si="99"/>
        <v>9099</v>
      </c>
      <c r="AG337" s="14">
        <f t="shared" si="100"/>
        <v>4549</v>
      </c>
      <c r="AH337" s="14">
        <f t="shared" si="101"/>
        <v>27299</v>
      </c>
      <c r="AJ337" s="14">
        <f t="shared" si="90"/>
        <v>38194</v>
      </c>
      <c r="AK337" s="14">
        <f t="shared" si="91"/>
        <v>19095</v>
      </c>
      <c r="AL337" s="14">
        <f t="shared" si="92"/>
        <v>114590</v>
      </c>
    </row>
    <row r="338" spans="11:38" ht="16.5" x14ac:dyDescent="0.2">
      <c r="K338" s="13">
        <v>335</v>
      </c>
      <c r="L338" s="13">
        <f t="shared" si="93"/>
        <v>16</v>
      </c>
      <c r="M338" s="13">
        <f t="shared" si="94"/>
        <v>2</v>
      </c>
      <c r="N338" s="14">
        <f t="shared" si="95"/>
        <v>1101041</v>
      </c>
      <c r="O338" s="14" t="str">
        <f t="shared" si="96"/>
        <v>常服夏玲20突</v>
      </c>
      <c r="P338" s="29" t="s">
        <v>341</v>
      </c>
      <c r="Q338" s="14">
        <f t="shared" si="97"/>
        <v>1</v>
      </c>
      <c r="R338" s="14">
        <f t="shared" si="98"/>
        <v>20</v>
      </c>
      <c r="S338" s="14" t="s">
        <v>39</v>
      </c>
      <c r="T338" s="14">
        <f>ROUND(((IF(Q338=1,INDEX(新属性投放!$J$14:$J$34,卡牌属性!R338),INDEX(新属性投放!$J$42:$J$62,卡牌属性!R338)))*INDEX($G$5:$G$42,L338)+IF(Q338=1,INDEX(新属性投放!R$20:R$23,卡牌属性!M338-1),INDEX(新属性投放!R$25:R$28,卡牌属性!M338-1)))/SQRT(INDEX($I$5:$I$42,L338)),2)</f>
        <v>47823.9</v>
      </c>
      <c r="U338" s="29" t="s">
        <v>178</v>
      </c>
      <c r="V338" s="14">
        <f>ROUND((IF(Q338=1,INDEX(新属性投放!$K$14:$K$34,卡牌属性!R338),INDEX(新属性投放!$K$42:$K$62,卡牌属性!R338))+IF(Q338=1,INDEX(新属性投放!S$20:S$23,卡牌属性!M338-1),INDEX(新属性投放!S$25:S$28,卡牌属性!M338-1)))*INDEX($G$5:$G$42,L338),2)</f>
        <v>23867.95</v>
      </c>
      <c r="W338" s="29" t="s">
        <v>179</v>
      </c>
      <c r="X338" s="14">
        <f>ROUND((IF(Q338=1,INDEX(新属性投放!$L$14:$L$34,卡牌属性!R338),INDEX(新属性投放!$L$42:$L$62,卡牌属性!R338))*INDEX($G$5:$G$42,L338)+IF(Q338=1,INDEX(新属性投放!T$20:T$23,卡牌属性!M338-1),INDEX(新属性投放!T$25:T$28,卡牌属性!M338-1)))*SQRT(INDEX($I$5:$I$42,L338)),2)</f>
        <v>143671.70000000001</v>
      </c>
      <c r="Y338" s="29" t="s">
        <v>177</v>
      </c>
      <c r="Z338" s="14">
        <f>ROUND(IF(Q338=1,INDEX(新属性投放!$D$14:$D$34,卡牌属性!R338),INDEX(新属性投放!$D$42:$D$62,卡牌属性!R338))*INDEX($G$5:$G$42,L338)/SQRT(INDEX($I$5:$I$42,L338)),2)</f>
        <v>1194.3499999999999</v>
      </c>
      <c r="AA338" s="29" t="s">
        <v>178</v>
      </c>
      <c r="AB338" s="14">
        <f>ROUND(IF(Q338=1,INDEX(新属性投放!$E$14:$E$34,卡牌属性!R338),INDEX(新属性投放!$E$42:$E$62,卡牌属性!R338))*INDEX($G$5:$G$42,L338),2)</f>
        <v>597.17999999999995</v>
      </c>
      <c r="AC338" s="29" t="s">
        <v>179</v>
      </c>
      <c r="AD338" s="14">
        <f>ROUND(IF(Q338=1,INDEX(新属性投放!$F$14:$F$34,卡牌属性!R338),INDEX(新属性投放!$F$42:$F$62,卡牌属性!R338))*INDEX($G$5:$G$42,L338)*SQRT(INDEX($I$5:$I$42,L338)),2)</f>
        <v>3583.05</v>
      </c>
      <c r="AF338" s="14">
        <f t="shared" si="99"/>
        <v>11943</v>
      </c>
      <c r="AG338" s="14">
        <f t="shared" si="100"/>
        <v>5971</v>
      </c>
      <c r="AH338" s="14">
        <f t="shared" si="101"/>
        <v>35830</v>
      </c>
      <c r="AJ338" s="14">
        <f t="shared" si="90"/>
        <v>50137</v>
      </c>
      <c r="AK338" s="14">
        <f t="shared" si="91"/>
        <v>25066</v>
      </c>
      <c r="AL338" s="14">
        <f t="shared" si="92"/>
        <v>150420</v>
      </c>
    </row>
    <row r="339" spans="11:38" ht="16.5" x14ac:dyDescent="0.2">
      <c r="K339" s="13">
        <v>336</v>
      </c>
      <c r="L339" s="13">
        <f t="shared" si="93"/>
        <v>16</v>
      </c>
      <c r="M339" s="13">
        <f t="shared" si="94"/>
        <v>2</v>
      </c>
      <c r="N339" s="14">
        <f t="shared" si="95"/>
        <v>1101041</v>
      </c>
      <c r="O339" s="14" t="str">
        <f t="shared" si="96"/>
        <v>常服夏玲21突</v>
      </c>
      <c r="P339" s="29" t="s">
        <v>341</v>
      </c>
      <c r="Q339" s="14">
        <f t="shared" si="97"/>
        <v>1</v>
      </c>
      <c r="R339" s="14">
        <f t="shared" si="98"/>
        <v>21</v>
      </c>
      <c r="S339" s="14" t="s">
        <v>39</v>
      </c>
      <c r="T339" s="14">
        <f>ROUND(((IF(Q339=1,INDEX(新属性投放!$J$14:$J$34,卡牌属性!R339),INDEX(新属性投放!$J$42:$J$62,卡牌属性!R339)))*INDEX($G$5:$G$42,L339)+IF(Q339=1,INDEX(新属性投放!R$20:R$23,卡牌属性!M339-1),INDEX(新属性投放!R$25:R$28,卡牌属性!M339-1)))/SQRT(INDEX($I$5:$I$42,L339)),2)</f>
        <v>62753.4</v>
      </c>
      <c r="U339" s="29" t="s">
        <v>178</v>
      </c>
      <c r="V339" s="14">
        <f>ROUND((IF(Q339=1,INDEX(新属性投放!$K$14:$K$34,卡牌属性!R339),INDEX(新属性投放!$K$42:$K$62,卡牌属性!R339))+IF(Q339=1,INDEX(新属性投放!S$20:S$23,卡牌属性!M339-1),INDEX(新属性投放!S$25:S$28,卡牌属性!M339-1)))*INDEX($G$5:$G$42,L339),2)</f>
        <v>31332.7</v>
      </c>
      <c r="W339" s="29" t="s">
        <v>179</v>
      </c>
      <c r="X339" s="14">
        <f>ROUND((IF(Q339=1,INDEX(新属性投放!$L$14:$L$34,卡牌属性!R339),INDEX(新属性投放!$L$42:$L$62,卡牌属性!R339))*INDEX($G$5:$G$42,L339)+IF(Q339=1,INDEX(新属性投放!T$20:T$23,卡牌属性!M339-1),INDEX(新属性投放!T$25:T$28,卡牌属性!M339-1)))*SQRT(INDEX($I$5:$I$42,L339)),2)</f>
        <v>188460.2</v>
      </c>
      <c r="Y339" s="29" t="s">
        <v>177</v>
      </c>
      <c r="Z339" s="14">
        <f>ROUND(IF(Q339=1,INDEX(新属性投放!$D$14:$D$34,卡牌属性!R339),INDEX(新属性投放!$D$42:$D$62,卡牌属性!R339))*INDEX($G$5:$G$42,L339)/SQRT(INDEX($I$5:$I$42,L339)),2)</f>
        <v>1567.59</v>
      </c>
      <c r="AA339" s="29" t="s">
        <v>178</v>
      </c>
      <c r="AB339" s="14">
        <f>ROUND(IF(Q339=1,INDEX(新属性投放!$E$14:$E$34,卡牌属性!R339),INDEX(新属性投放!$E$42:$E$62,卡牌属性!R339))*INDEX($G$5:$G$42,L339),2)</f>
        <v>783.8</v>
      </c>
      <c r="AC339" s="29" t="s">
        <v>179</v>
      </c>
      <c r="AD339" s="14">
        <f>ROUND(IF(Q339=1,INDEX(新属性投放!$F$14:$F$34,卡牌属性!R339),INDEX(新属性投放!$F$42:$F$62,卡牌属性!R339))*INDEX($G$5:$G$42,L339)*SQRT(INDEX($I$5:$I$42,L339)),2)</f>
        <v>4702.7700000000004</v>
      </c>
      <c r="AF339" s="14">
        <f t="shared" si="99"/>
        <v>15675</v>
      </c>
      <c r="AG339" s="14">
        <f t="shared" si="100"/>
        <v>7838</v>
      </c>
      <c r="AH339" s="14">
        <f t="shared" si="101"/>
        <v>47027</v>
      </c>
      <c r="AJ339" s="14">
        <f t="shared" si="90"/>
        <v>65812</v>
      </c>
      <c r="AK339" s="14">
        <f t="shared" si="91"/>
        <v>32904</v>
      </c>
      <c r="AL339" s="14">
        <f t="shared" si="92"/>
        <v>197447</v>
      </c>
    </row>
    <row r="340" spans="11:38" ht="16.5" x14ac:dyDescent="0.2">
      <c r="K340" s="13">
        <v>337</v>
      </c>
      <c r="L340" s="13">
        <f t="shared" si="93"/>
        <v>17</v>
      </c>
      <c r="M340" s="13">
        <f t="shared" si="94"/>
        <v>5</v>
      </c>
      <c r="N340" s="14">
        <f t="shared" si="95"/>
        <v>1102001</v>
      </c>
      <c r="O340" s="14" t="str">
        <f t="shared" si="96"/>
        <v>关羽1突</v>
      </c>
      <c r="P340" s="29" t="s">
        <v>341</v>
      </c>
      <c r="Q340" s="14">
        <f t="shared" si="97"/>
        <v>2</v>
      </c>
      <c r="R340" s="14">
        <f t="shared" si="98"/>
        <v>1</v>
      </c>
      <c r="S340" s="14" t="s">
        <v>39</v>
      </c>
      <c r="T340" s="14">
        <f>ROUND(((IF(Q340=1,INDEX(新属性投放!$J$14:$J$34,卡牌属性!R340),INDEX(新属性投放!$J$42:$J$62,卡牌属性!R340)))*INDEX($G$5:$G$42,L340)+IF(Q340=1,INDEX(新属性投放!R$20:R$23,卡牌属性!M340-1),INDEX(新属性投放!R$25:R$28,卡牌属性!M340-1)))/SQRT(INDEX($I$5:$I$42,L340)),2)</f>
        <v>900</v>
      </c>
      <c r="U340" s="29" t="s">
        <v>178</v>
      </c>
      <c r="V340" s="14">
        <f>ROUND((IF(Q340=1,INDEX(新属性投放!$K$14:$K$34,卡牌属性!R340),INDEX(新属性投放!$K$42:$K$62,卡牌属性!R340))+IF(Q340=1,INDEX(新属性投放!S$20:S$23,卡牌属性!M340-1),INDEX(新属性投放!S$25:S$28,卡牌属性!M340-1)))*INDEX($G$5:$G$42,L340),2)</f>
        <v>150</v>
      </c>
      <c r="W340" s="29" t="s">
        <v>179</v>
      </c>
      <c r="X340" s="14">
        <f>ROUND((IF(Q340=1,INDEX(新属性投放!$L$14:$L$34,卡牌属性!R340),INDEX(新属性投放!$L$42:$L$62,卡牌属性!R340))*INDEX($G$5:$G$42,L340)+IF(Q340=1,INDEX(新属性投放!T$20:T$23,卡牌属性!M340-1),INDEX(新属性投放!T$25:T$28,卡牌属性!M340-1)))*SQRT(INDEX($I$5:$I$42,L340)),2)</f>
        <v>3475</v>
      </c>
      <c r="Y340" s="29" t="s">
        <v>177</v>
      </c>
      <c r="Z340" s="14">
        <f>ROUND(IF(Q340=1,INDEX(新属性投放!$D$14:$D$34,卡牌属性!R340),INDEX(新属性投放!$D$42:$D$62,卡牌属性!R340))*INDEX($G$5:$G$42,L340)/SQRT(INDEX($I$5:$I$42,L340)),2)</f>
        <v>15</v>
      </c>
      <c r="AA340" s="29" t="s">
        <v>178</v>
      </c>
      <c r="AB340" s="14">
        <f>ROUND(IF(Q340=1,INDEX(新属性投放!$E$14:$E$34,卡牌属性!R340),INDEX(新属性投放!$E$42:$E$62,卡牌属性!R340))*INDEX($G$5:$G$42,L340),2)</f>
        <v>7.5</v>
      </c>
      <c r="AC340" s="29" t="s">
        <v>179</v>
      </c>
      <c r="AD340" s="14">
        <f>ROUND(IF(Q340=1,INDEX(新属性投放!$F$14:$F$34,卡牌属性!R340),INDEX(新属性投放!$F$42:$F$62,卡牌属性!R340))*INDEX($G$5:$G$42,L340)*SQRT(INDEX($I$5:$I$42,L340)),2)</f>
        <v>67.5</v>
      </c>
      <c r="AF340" s="14">
        <f t="shared" si="99"/>
        <v>150</v>
      </c>
      <c r="AG340" s="14">
        <f t="shared" si="100"/>
        <v>75</v>
      </c>
      <c r="AH340" s="14">
        <f t="shared" si="101"/>
        <v>675</v>
      </c>
      <c r="AJ340" s="14">
        <f>AF340</f>
        <v>150</v>
      </c>
      <c r="AK340" s="14">
        <f>AG340</f>
        <v>75</v>
      </c>
      <c r="AL340" s="14">
        <f>AH340</f>
        <v>675</v>
      </c>
    </row>
    <row r="341" spans="11:38" ht="16.5" x14ac:dyDescent="0.2">
      <c r="K341" s="13">
        <v>338</v>
      </c>
      <c r="L341" s="13">
        <f t="shared" si="93"/>
        <v>17</v>
      </c>
      <c r="M341" s="13">
        <f t="shared" si="94"/>
        <v>5</v>
      </c>
      <c r="N341" s="14">
        <f t="shared" si="95"/>
        <v>1102001</v>
      </c>
      <c r="O341" s="14" t="str">
        <f t="shared" si="96"/>
        <v>关羽2突</v>
      </c>
      <c r="P341" s="29" t="s">
        <v>341</v>
      </c>
      <c r="Q341" s="14">
        <f t="shared" si="97"/>
        <v>2</v>
      </c>
      <c r="R341" s="14">
        <f t="shared" si="98"/>
        <v>2</v>
      </c>
      <c r="S341" s="14" t="s">
        <v>39</v>
      </c>
      <c r="T341" s="14">
        <f>ROUND(((IF(Q341=1,INDEX(新属性投放!$J$14:$J$34,卡牌属性!R341),INDEX(新属性投放!$J$42:$J$62,卡牌属性!R341)))*INDEX($G$5:$G$42,L341)+IF(Q341=1,INDEX(新属性投放!R$20:R$23,卡牌属性!M341-1),INDEX(新属性投放!R$25:R$28,卡牌属性!M341-1)))/SQRT(INDEX($I$5:$I$42,L341)),2)</f>
        <v>1072.5</v>
      </c>
      <c r="U341" s="29" t="s">
        <v>178</v>
      </c>
      <c r="V341" s="14">
        <f>ROUND((IF(Q341=1,INDEX(新属性投放!$K$14:$K$34,卡牌属性!R341),INDEX(新属性投放!$K$42:$K$62,卡牌属性!R341))+IF(Q341=1,INDEX(新属性投放!S$20:S$23,卡牌属性!M341-1),INDEX(新属性投放!S$25:S$28,卡牌属性!M341-1)))*INDEX($G$5:$G$42,L341),2)</f>
        <v>232.5</v>
      </c>
      <c r="W341" s="29" t="s">
        <v>179</v>
      </c>
      <c r="X341" s="14">
        <f>ROUND((IF(Q341=1,INDEX(新属性投放!$L$14:$L$34,卡牌属性!R341),INDEX(新属性投放!$L$42:$L$62,卡牌属性!R341))*INDEX($G$5:$G$42,L341)+IF(Q341=1,INDEX(新属性投放!T$20:T$23,卡牌属性!M341-1),INDEX(新属性投放!T$25:T$28,卡牌属性!M341-1)))*SQRT(INDEX($I$5:$I$42,L341)),2)</f>
        <v>4420</v>
      </c>
      <c r="Y341" s="29" t="s">
        <v>177</v>
      </c>
      <c r="Z341" s="14">
        <f>ROUND(IF(Q341=1,INDEX(新属性投放!$D$14:$D$34,卡牌属性!R341),INDEX(新属性投放!$D$42:$D$62,卡牌属性!R341))*INDEX($G$5:$G$42,L341)/SQRT(INDEX($I$5:$I$42,L341)),2)</f>
        <v>15</v>
      </c>
      <c r="AA341" s="29" t="s">
        <v>178</v>
      </c>
      <c r="AB341" s="14">
        <f>ROUND(IF(Q341=1,INDEX(新属性投放!$E$14:$E$34,卡牌属性!R341),INDEX(新属性投放!$E$42:$E$62,卡牌属性!R341))*INDEX($G$5:$G$42,L341),2)</f>
        <v>7.5</v>
      </c>
      <c r="AC341" s="29" t="s">
        <v>179</v>
      </c>
      <c r="AD341" s="14">
        <f>ROUND(IF(Q341=1,INDEX(新属性投放!$F$14:$F$34,卡牌属性!R341),INDEX(新属性投放!$F$42:$F$62,卡牌属性!R341))*INDEX($G$5:$G$42,L341)*SQRT(INDEX($I$5:$I$42,L341)),2)</f>
        <v>67.5</v>
      </c>
      <c r="AF341" s="14">
        <f t="shared" si="99"/>
        <v>150</v>
      </c>
      <c r="AG341" s="14">
        <f t="shared" si="100"/>
        <v>75</v>
      </c>
      <c r="AH341" s="14">
        <f t="shared" si="101"/>
        <v>675</v>
      </c>
      <c r="AJ341" s="14">
        <f t="shared" ref="AJ341:AJ360" si="102">AJ340+AF341</f>
        <v>300</v>
      </c>
      <c r="AK341" s="14">
        <f t="shared" ref="AK341:AK360" si="103">AK340+AG341</f>
        <v>150</v>
      </c>
      <c r="AL341" s="14">
        <f t="shared" ref="AL341:AL360" si="104">AL340+AH341</f>
        <v>1350</v>
      </c>
    </row>
    <row r="342" spans="11:38" ht="16.5" x14ac:dyDescent="0.2">
      <c r="K342" s="13">
        <v>339</v>
      </c>
      <c r="L342" s="13">
        <f t="shared" si="93"/>
        <v>17</v>
      </c>
      <c r="M342" s="13">
        <f t="shared" si="94"/>
        <v>5</v>
      </c>
      <c r="N342" s="14">
        <f t="shared" si="95"/>
        <v>1102001</v>
      </c>
      <c r="O342" s="14" t="str">
        <f t="shared" si="96"/>
        <v>关羽3突</v>
      </c>
      <c r="P342" s="29" t="s">
        <v>341</v>
      </c>
      <c r="Q342" s="14">
        <f t="shared" si="97"/>
        <v>2</v>
      </c>
      <c r="R342" s="14">
        <f t="shared" si="98"/>
        <v>3</v>
      </c>
      <c r="S342" s="14" t="s">
        <v>39</v>
      </c>
      <c r="T342" s="14">
        <f>ROUND(((IF(Q342=1,INDEX(新属性投放!$J$14:$J$34,卡牌属性!R342),INDEX(新属性投放!$J$42:$J$62,卡牌属性!R342)))*INDEX($G$5:$G$42,L342)+IF(Q342=1,INDEX(新属性投放!R$20:R$23,卡牌属性!M342-1),INDEX(新属性投放!R$25:R$28,卡牌属性!M342-1)))/SQRT(INDEX($I$5:$I$42,L342)),2)</f>
        <v>1260</v>
      </c>
      <c r="U342" s="29" t="s">
        <v>178</v>
      </c>
      <c r="V342" s="14">
        <f>ROUND((IF(Q342=1,INDEX(新属性投放!$K$14:$K$34,卡牌属性!R342),INDEX(新属性投放!$K$42:$K$62,卡牌属性!R342))+IF(Q342=1,INDEX(新属性投放!S$20:S$23,卡牌属性!M342-1),INDEX(新属性投放!S$25:S$28,卡牌属性!M342-1)))*INDEX($G$5:$G$42,L342),2)</f>
        <v>327</v>
      </c>
      <c r="W342" s="29" t="s">
        <v>179</v>
      </c>
      <c r="X342" s="14">
        <f>ROUND((IF(Q342=1,INDEX(新属性投放!$L$14:$L$34,卡牌属性!R342),INDEX(新属性投放!$L$42:$L$62,卡牌属性!R342))*INDEX($G$5:$G$42,L342)+IF(Q342=1,INDEX(新属性投放!T$20:T$23,卡牌属性!M342-1),INDEX(新属性投放!T$25:T$28,卡牌属性!M342-1)))*SQRT(INDEX($I$5:$I$42,L342)),2)</f>
        <v>5432.5</v>
      </c>
      <c r="Y342" s="29" t="s">
        <v>177</v>
      </c>
      <c r="Z342" s="14">
        <f>ROUND(IF(Q342=1,INDEX(新属性投放!$D$14:$D$34,卡牌属性!R342),INDEX(新属性投放!$D$42:$D$62,卡牌属性!R342))*INDEX($G$5:$G$42,L342)/SQRT(INDEX($I$5:$I$42,L342)),2)</f>
        <v>22.5</v>
      </c>
      <c r="AA342" s="29" t="s">
        <v>178</v>
      </c>
      <c r="AB342" s="14">
        <f>ROUND(IF(Q342=1,INDEX(新属性投放!$E$14:$E$34,卡牌属性!R342),INDEX(新属性投放!$E$42:$E$62,卡牌属性!R342))*INDEX($G$5:$G$42,L342),2)</f>
        <v>11.25</v>
      </c>
      <c r="AC342" s="29" t="s">
        <v>179</v>
      </c>
      <c r="AD342" s="14">
        <f>ROUND(IF(Q342=1,INDEX(新属性投放!$F$14:$F$34,卡牌属性!R342),INDEX(新属性投放!$F$42:$F$62,卡牌属性!R342))*INDEX($G$5:$G$42,L342)*SQRT(INDEX($I$5:$I$42,L342)),2)</f>
        <v>100.5</v>
      </c>
      <c r="AF342" s="14">
        <f t="shared" si="99"/>
        <v>225</v>
      </c>
      <c r="AG342" s="14">
        <f t="shared" si="100"/>
        <v>112</v>
      </c>
      <c r="AH342" s="14">
        <f t="shared" si="101"/>
        <v>1005</v>
      </c>
      <c r="AJ342" s="14">
        <f t="shared" si="102"/>
        <v>525</v>
      </c>
      <c r="AK342" s="14">
        <f t="shared" si="103"/>
        <v>262</v>
      </c>
      <c r="AL342" s="14">
        <f t="shared" si="104"/>
        <v>2355</v>
      </c>
    </row>
    <row r="343" spans="11:38" ht="16.5" x14ac:dyDescent="0.2">
      <c r="K343" s="13">
        <v>340</v>
      </c>
      <c r="L343" s="13">
        <f t="shared" si="93"/>
        <v>17</v>
      </c>
      <c r="M343" s="13">
        <f t="shared" si="94"/>
        <v>5</v>
      </c>
      <c r="N343" s="14">
        <f t="shared" si="95"/>
        <v>1102001</v>
      </c>
      <c r="O343" s="14" t="str">
        <f t="shared" si="96"/>
        <v>关羽4突</v>
      </c>
      <c r="P343" s="29" t="s">
        <v>341</v>
      </c>
      <c r="Q343" s="14">
        <f t="shared" si="97"/>
        <v>2</v>
      </c>
      <c r="R343" s="14">
        <f t="shared" si="98"/>
        <v>4</v>
      </c>
      <c r="S343" s="14" t="s">
        <v>39</v>
      </c>
      <c r="T343" s="14">
        <f>ROUND(((IF(Q343=1,INDEX(新属性投放!$J$14:$J$34,卡牌属性!R343),INDEX(新属性投放!$J$42:$J$62,卡牌属性!R343)))*INDEX($G$5:$G$42,L343)+IF(Q343=1,INDEX(新属性投放!R$20:R$23,卡牌属性!M343-1),INDEX(新属性投放!R$25:R$28,卡牌属性!M343-1)))/SQRT(INDEX($I$5:$I$42,L343)),2)</f>
        <v>1542</v>
      </c>
      <c r="U343" s="29" t="s">
        <v>178</v>
      </c>
      <c r="V343" s="14">
        <f>ROUND((IF(Q343=1,INDEX(新属性投放!$K$14:$K$34,卡牌属性!R343),INDEX(新属性投放!$K$42:$K$62,卡牌属性!R343))+IF(Q343=1,INDEX(新属性投放!S$20:S$23,卡牌属性!M343-1),INDEX(新属性投放!S$25:S$28,卡牌属性!M343-1)))*INDEX($G$5:$G$42,L343),2)</f>
        <v>468</v>
      </c>
      <c r="W343" s="29" t="s">
        <v>179</v>
      </c>
      <c r="X343" s="14">
        <f>ROUND((IF(Q343=1,INDEX(新属性投放!$L$14:$L$34,卡牌属性!R343),INDEX(新属性投放!$L$42:$L$62,卡牌属性!R343))*INDEX($G$5:$G$42,L343)+IF(Q343=1,INDEX(新属性投放!T$20:T$23,卡牌属性!M343-1),INDEX(新属性投放!T$25:T$28,卡牌属性!M343-1)))*SQRT(INDEX($I$5:$I$42,L343)),2)</f>
        <v>6950.5</v>
      </c>
      <c r="Y343" s="29" t="s">
        <v>177</v>
      </c>
      <c r="Z343" s="14">
        <f>ROUND(IF(Q343=1,INDEX(新属性投放!$D$14:$D$34,卡牌属性!R343),INDEX(新属性投放!$D$42:$D$62,卡牌属性!R343))*INDEX($G$5:$G$42,L343)/SQRT(INDEX($I$5:$I$42,L343)),2)</f>
        <v>30</v>
      </c>
      <c r="AA343" s="29" t="s">
        <v>178</v>
      </c>
      <c r="AB343" s="14">
        <f>ROUND(IF(Q343=1,INDEX(新属性投放!$E$14:$E$34,卡牌属性!R343),INDEX(新属性投放!$E$42:$E$62,卡牌属性!R343))*INDEX($G$5:$G$42,L343),2)</f>
        <v>15</v>
      </c>
      <c r="AC343" s="29" t="s">
        <v>179</v>
      </c>
      <c r="AD343" s="14">
        <f>ROUND(IF(Q343=1,INDEX(新属性投放!$F$14:$F$34,卡牌属性!R343),INDEX(新属性投放!$F$42:$F$62,卡牌属性!R343))*INDEX($G$5:$G$42,L343)*SQRT(INDEX($I$5:$I$42,L343)),2)</f>
        <v>135</v>
      </c>
      <c r="AF343" s="14">
        <f t="shared" si="99"/>
        <v>300</v>
      </c>
      <c r="AG343" s="14">
        <f t="shared" si="100"/>
        <v>150</v>
      </c>
      <c r="AH343" s="14">
        <f t="shared" si="101"/>
        <v>1350</v>
      </c>
      <c r="AJ343" s="14">
        <f t="shared" si="102"/>
        <v>825</v>
      </c>
      <c r="AK343" s="14">
        <f t="shared" si="103"/>
        <v>412</v>
      </c>
      <c r="AL343" s="14">
        <f t="shared" si="104"/>
        <v>3705</v>
      </c>
    </row>
    <row r="344" spans="11:38" ht="16.5" x14ac:dyDescent="0.2">
      <c r="K344" s="13">
        <v>341</v>
      </c>
      <c r="L344" s="13">
        <f t="shared" si="93"/>
        <v>17</v>
      </c>
      <c r="M344" s="13">
        <f t="shared" si="94"/>
        <v>5</v>
      </c>
      <c r="N344" s="14">
        <f t="shared" si="95"/>
        <v>1102001</v>
      </c>
      <c r="O344" s="14" t="str">
        <f t="shared" si="96"/>
        <v>关羽5突</v>
      </c>
      <c r="P344" s="29" t="s">
        <v>341</v>
      </c>
      <c r="Q344" s="14">
        <f t="shared" si="97"/>
        <v>2</v>
      </c>
      <c r="R344" s="14">
        <f t="shared" si="98"/>
        <v>5</v>
      </c>
      <c r="S344" s="14" t="s">
        <v>39</v>
      </c>
      <c r="T344" s="14">
        <f>ROUND(((IF(Q344=1,INDEX(新属性投放!$J$14:$J$34,卡牌属性!R344),INDEX(新属性投放!$J$42:$J$62,卡牌属性!R344)))*INDEX($G$5:$G$42,L344)+IF(Q344=1,INDEX(新属性投放!R$20:R$23,卡牌属性!M344-1),INDEX(新属性投放!R$25:R$28,卡牌属性!M344-1)))/SQRT(INDEX($I$5:$I$42,L344)),2)</f>
        <v>1917</v>
      </c>
      <c r="U344" s="29" t="s">
        <v>178</v>
      </c>
      <c r="V344" s="14">
        <f>ROUND((IF(Q344=1,INDEX(新属性投放!$K$14:$K$34,卡牌属性!R344),INDEX(新属性投放!$K$42:$K$62,卡牌属性!R344))+IF(Q344=1,INDEX(新属性投放!S$20:S$23,卡牌属性!M344-1),INDEX(新属性投放!S$25:S$28,卡牌属性!M344-1)))*INDEX($G$5:$G$42,L344),2)</f>
        <v>655.5</v>
      </c>
      <c r="W344" s="29" t="s">
        <v>179</v>
      </c>
      <c r="X344" s="14">
        <f>ROUND((IF(Q344=1,INDEX(新属性投放!$L$14:$L$34,卡牌属性!R344),INDEX(新属性投放!$L$42:$L$62,卡牌属性!R344))*INDEX($G$5:$G$42,L344)+IF(Q344=1,INDEX(新属性投放!T$20:T$23,卡牌属性!M344-1),INDEX(新属性投放!T$25:T$28,卡牌属性!M344-1)))*SQRT(INDEX($I$5:$I$42,L344)),2)</f>
        <v>8975.5</v>
      </c>
      <c r="Y344" s="29" t="s">
        <v>177</v>
      </c>
      <c r="Z344" s="14">
        <f>ROUND(IF(Q344=1,INDEX(新属性投放!$D$14:$D$34,卡牌属性!R344),INDEX(新属性投放!$D$42:$D$62,卡牌属性!R344))*INDEX($G$5:$G$42,L344)/SQRT(INDEX($I$5:$I$42,L344)),2)</f>
        <v>37.5</v>
      </c>
      <c r="AA344" s="29" t="s">
        <v>178</v>
      </c>
      <c r="AB344" s="14">
        <f>ROUND(IF(Q344=1,INDEX(新属性投放!$E$14:$E$34,卡牌属性!R344),INDEX(新属性投放!$E$42:$E$62,卡牌属性!R344))*INDEX($G$5:$G$42,L344),2)</f>
        <v>18.75</v>
      </c>
      <c r="AC344" s="29" t="s">
        <v>179</v>
      </c>
      <c r="AD344" s="14">
        <f>ROUND(IF(Q344=1,INDEX(新属性投放!$F$14:$F$34,卡牌属性!R344),INDEX(新属性投放!$F$42:$F$62,卡牌属性!R344))*INDEX($G$5:$G$42,L344)*SQRT(INDEX($I$5:$I$42,L344)),2)</f>
        <v>168</v>
      </c>
      <c r="AF344" s="14">
        <f t="shared" si="99"/>
        <v>375</v>
      </c>
      <c r="AG344" s="14">
        <f t="shared" si="100"/>
        <v>187</v>
      </c>
      <c r="AH344" s="14">
        <f t="shared" si="101"/>
        <v>1680</v>
      </c>
      <c r="AJ344" s="14">
        <f t="shared" si="102"/>
        <v>1200</v>
      </c>
      <c r="AK344" s="14">
        <f t="shared" si="103"/>
        <v>599</v>
      </c>
      <c r="AL344" s="14">
        <f t="shared" si="104"/>
        <v>5385</v>
      </c>
    </row>
    <row r="345" spans="11:38" ht="16.5" x14ac:dyDescent="0.2">
      <c r="K345" s="13">
        <v>342</v>
      </c>
      <c r="L345" s="13">
        <f t="shared" si="93"/>
        <v>17</v>
      </c>
      <c r="M345" s="13">
        <f t="shared" si="94"/>
        <v>5</v>
      </c>
      <c r="N345" s="14">
        <f t="shared" si="95"/>
        <v>1102001</v>
      </c>
      <c r="O345" s="14" t="str">
        <f t="shared" si="96"/>
        <v>关羽6突</v>
      </c>
      <c r="P345" s="29" t="s">
        <v>341</v>
      </c>
      <c r="Q345" s="14">
        <f t="shared" si="97"/>
        <v>2</v>
      </c>
      <c r="R345" s="14">
        <f t="shared" si="98"/>
        <v>6</v>
      </c>
      <c r="S345" s="14" t="s">
        <v>39</v>
      </c>
      <c r="T345" s="14">
        <f>ROUND(((IF(Q345=1,INDEX(新属性投放!$J$14:$J$34,卡牌属性!R345),INDEX(新属性投放!$J$42:$J$62,卡牌属性!R345)))*INDEX($G$5:$G$42,L345)+IF(Q345=1,INDEX(新属性投放!R$20:R$23,卡牌属性!M345-1),INDEX(新属性投放!R$25:R$28,卡牌属性!M345-1)))/SQRT(INDEX($I$5:$I$42,L345)),2)</f>
        <v>2386.5</v>
      </c>
      <c r="U345" s="29" t="s">
        <v>178</v>
      </c>
      <c r="V345" s="14">
        <f>ROUND((IF(Q345=1,INDEX(新属性投放!$K$14:$K$34,卡牌属性!R345),INDEX(新属性投放!$K$42:$K$62,卡牌属性!R345))+IF(Q345=1,INDEX(新属性投放!S$20:S$23,卡牌属性!M345-1),INDEX(新属性投放!S$25:S$28,卡牌属性!M345-1)))*INDEX($G$5:$G$42,L345),2)</f>
        <v>889.5</v>
      </c>
      <c r="W345" s="29" t="s">
        <v>179</v>
      </c>
      <c r="X345" s="14">
        <f>ROUND((IF(Q345=1,INDEX(新属性投放!$L$14:$L$34,卡牌属性!R345),INDEX(新属性投放!$L$42:$L$62,卡牌属性!R345))*INDEX($G$5:$G$42,L345)+IF(Q345=1,INDEX(新属性投放!T$20:T$23,卡牌属性!M345-1),INDEX(新属性投放!T$25:T$28,卡牌属性!M345-1)))*SQRT(INDEX($I$5:$I$42,L345)),2)</f>
        <v>11506</v>
      </c>
      <c r="Y345" s="29" t="s">
        <v>177</v>
      </c>
      <c r="Z345" s="14">
        <f>ROUND(IF(Q345=1,INDEX(新属性投放!$D$14:$D$34,卡牌属性!R345),INDEX(新属性投放!$D$42:$D$62,卡牌属性!R345))*INDEX($G$5:$G$42,L345)/SQRT(INDEX($I$5:$I$42,L345)),2)</f>
        <v>45</v>
      </c>
      <c r="AA345" s="29" t="s">
        <v>178</v>
      </c>
      <c r="AB345" s="14">
        <f>ROUND(IF(Q345=1,INDEX(新属性投放!$E$14:$E$34,卡牌属性!R345),INDEX(新属性投放!$E$42:$E$62,卡牌属性!R345))*INDEX($G$5:$G$42,L345),2)</f>
        <v>22.5</v>
      </c>
      <c r="AC345" s="29" t="s">
        <v>179</v>
      </c>
      <c r="AD345" s="14">
        <f>ROUND(IF(Q345=1,INDEX(新属性投放!$F$14:$F$34,卡牌属性!R345),INDEX(新属性投放!$F$42:$F$62,卡牌属性!R345))*INDEX($G$5:$G$42,L345)*SQRT(INDEX($I$5:$I$42,L345)),2)</f>
        <v>202.5</v>
      </c>
      <c r="AF345" s="14">
        <f t="shared" si="99"/>
        <v>450</v>
      </c>
      <c r="AG345" s="14">
        <f t="shared" si="100"/>
        <v>225</v>
      </c>
      <c r="AH345" s="14">
        <f t="shared" si="101"/>
        <v>2025</v>
      </c>
      <c r="AJ345" s="14">
        <f t="shared" si="102"/>
        <v>1650</v>
      </c>
      <c r="AK345" s="14">
        <f t="shared" si="103"/>
        <v>824</v>
      </c>
      <c r="AL345" s="14">
        <f t="shared" si="104"/>
        <v>7410</v>
      </c>
    </row>
    <row r="346" spans="11:38" ht="16.5" x14ac:dyDescent="0.2">
      <c r="K346" s="13">
        <v>343</v>
      </c>
      <c r="L346" s="13">
        <f t="shared" si="93"/>
        <v>17</v>
      </c>
      <c r="M346" s="13">
        <f t="shared" si="94"/>
        <v>5</v>
      </c>
      <c r="N346" s="14">
        <f t="shared" si="95"/>
        <v>1102001</v>
      </c>
      <c r="O346" s="14" t="str">
        <f t="shared" si="96"/>
        <v>关羽7突</v>
      </c>
      <c r="P346" s="29" t="s">
        <v>341</v>
      </c>
      <c r="Q346" s="14">
        <f t="shared" si="97"/>
        <v>2</v>
      </c>
      <c r="R346" s="14">
        <f t="shared" si="98"/>
        <v>7</v>
      </c>
      <c r="S346" s="14" t="s">
        <v>39</v>
      </c>
      <c r="T346" s="14">
        <f>ROUND(((IF(Q346=1,INDEX(新属性投放!$J$14:$J$34,卡牌属性!R346),INDEX(新属性投放!$J$42:$J$62,卡牌属性!R346)))*INDEX($G$5:$G$42,L346)+IF(Q346=1,INDEX(新属性投放!R$20:R$23,卡牌属性!M346-1),INDEX(新属性投放!R$25:R$28,卡牌属性!M346-1)))/SQRT(INDEX($I$5:$I$42,L346)),2)</f>
        <v>2949</v>
      </c>
      <c r="U346" s="29" t="s">
        <v>178</v>
      </c>
      <c r="V346" s="14">
        <f>ROUND((IF(Q346=1,INDEX(新属性投放!$K$14:$K$34,卡牌属性!R346),INDEX(新属性投放!$K$42:$K$62,卡牌属性!R346))+IF(Q346=1,INDEX(新属性投放!S$20:S$23,卡牌属性!M346-1),INDEX(新属性投放!S$25:S$28,卡牌属性!M346-1)))*INDEX($G$5:$G$42,L346),2)</f>
        <v>1171.5</v>
      </c>
      <c r="W346" s="29" t="s">
        <v>179</v>
      </c>
      <c r="X346" s="14">
        <f>ROUND((IF(Q346=1,INDEX(新属性投放!$L$14:$L$34,卡牌属性!R346),INDEX(新属性投放!$L$42:$L$62,卡牌属性!R346))*INDEX($G$5:$G$42,L346)+IF(Q346=1,INDEX(新属性投放!T$20:T$23,卡牌属性!M346-1),INDEX(新属性投放!T$25:T$28,卡牌属性!M346-1)))*SQRT(INDEX($I$5:$I$42,L346)),2)</f>
        <v>14543.5</v>
      </c>
      <c r="Y346" s="29" t="s">
        <v>177</v>
      </c>
      <c r="Z346" s="14">
        <f>ROUND(IF(Q346=1,INDEX(新属性投放!$D$14:$D$34,卡牌属性!R346),INDEX(新属性投放!$D$42:$D$62,卡牌属性!R346))*INDEX($G$5:$G$42,L346)/SQRT(INDEX($I$5:$I$42,L346)),2)</f>
        <v>52.5</v>
      </c>
      <c r="AA346" s="29" t="s">
        <v>178</v>
      </c>
      <c r="AB346" s="14">
        <f>ROUND(IF(Q346=1,INDEX(新属性投放!$E$14:$E$34,卡牌属性!R346),INDEX(新属性投放!$E$42:$E$62,卡牌属性!R346))*INDEX($G$5:$G$42,L346),2)</f>
        <v>26.25</v>
      </c>
      <c r="AC346" s="29" t="s">
        <v>179</v>
      </c>
      <c r="AD346" s="14">
        <f>ROUND(IF(Q346=1,INDEX(新属性投放!$F$14:$F$34,卡牌属性!R346),INDEX(新属性投放!$F$42:$F$62,卡牌属性!R346))*INDEX($G$5:$G$42,L346)*SQRT(INDEX($I$5:$I$42,L346)),2)</f>
        <v>235.5</v>
      </c>
      <c r="AF346" s="14">
        <f t="shared" si="99"/>
        <v>525</v>
      </c>
      <c r="AG346" s="14">
        <f t="shared" si="100"/>
        <v>262</v>
      </c>
      <c r="AH346" s="14">
        <f t="shared" si="101"/>
        <v>2355</v>
      </c>
      <c r="AJ346" s="14">
        <f t="shared" si="102"/>
        <v>2175</v>
      </c>
      <c r="AK346" s="14">
        <f t="shared" si="103"/>
        <v>1086</v>
      </c>
      <c r="AL346" s="14">
        <f t="shared" si="104"/>
        <v>9765</v>
      </c>
    </row>
    <row r="347" spans="11:38" ht="16.5" x14ac:dyDescent="0.2">
      <c r="K347" s="13">
        <v>344</v>
      </c>
      <c r="L347" s="13">
        <f t="shared" si="93"/>
        <v>17</v>
      </c>
      <c r="M347" s="13">
        <f t="shared" si="94"/>
        <v>5</v>
      </c>
      <c r="N347" s="14">
        <f t="shared" si="95"/>
        <v>1102001</v>
      </c>
      <c r="O347" s="14" t="str">
        <f t="shared" si="96"/>
        <v>关羽8突</v>
      </c>
      <c r="P347" s="29" t="s">
        <v>341</v>
      </c>
      <c r="Q347" s="14">
        <f t="shared" si="97"/>
        <v>2</v>
      </c>
      <c r="R347" s="14">
        <f t="shared" si="98"/>
        <v>8</v>
      </c>
      <c r="S347" s="14" t="s">
        <v>39</v>
      </c>
      <c r="T347" s="14">
        <f>ROUND(((IF(Q347=1,INDEX(新属性投放!$J$14:$J$34,卡牌属性!R347),INDEX(新属性投放!$J$42:$J$62,卡牌属性!R347)))*INDEX($G$5:$G$42,L347)+IF(Q347=1,INDEX(新属性投放!R$20:R$23,卡牌属性!M347-1),INDEX(新属性投放!R$25:R$28,卡牌属性!M347-1)))/SQRT(INDEX($I$5:$I$42,L347)),2)</f>
        <v>3606</v>
      </c>
      <c r="U347" s="29" t="s">
        <v>178</v>
      </c>
      <c r="V347" s="14">
        <f>ROUND((IF(Q347=1,INDEX(新属性投放!$K$14:$K$34,卡牌属性!R347),INDEX(新属性投放!$K$42:$K$62,卡牌属性!R347))+IF(Q347=1,INDEX(新属性投放!S$20:S$23,卡牌属性!M347-1),INDEX(新属性投放!S$25:S$28,卡牌属性!M347-1)))*INDEX($G$5:$G$42,L347),2)</f>
        <v>1500</v>
      </c>
      <c r="W347" s="29" t="s">
        <v>179</v>
      </c>
      <c r="X347" s="14">
        <f>ROUND((IF(Q347=1,INDEX(新属性投放!$L$14:$L$34,卡牌属性!R347),INDEX(新属性投放!$L$42:$L$62,卡牌属性!R347))*INDEX($G$5:$G$42,L347)+IF(Q347=1,INDEX(新属性投放!T$20:T$23,卡牌属性!M347-1),INDEX(新属性投放!T$25:T$28,卡牌属性!M347-1)))*SQRT(INDEX($I$5:$I$42,L347)),2)</f>
        <v>18086.5</v>
      </c>
      <c r="Y347" s="29" t="s">
        <v>177</v>
      </c>
      <c r="Z347" s="14">
        <f>ROUND(IF(Q347=1,INDEX(新属性投放!$D$14:$D$34,卡牌属性!R347),INDEX(新属性投放!$D$42:$D$62,卡牌属性!R347))*INDEX($G$5:$G$42,L347)/SQRT(INDEX($I$5:$I$42,L347)),2)</f>
        <v>67.5</v>
      </c>
      <c r="AA347" s="29" t="s">
        <v>178</v>
      </c>
      <c r="AB347" s="14">
        <f>ROUND(IF(Q347=1,INDEX(新属性投放!$E$14:$E$34,卡牌属性!R347),INDEX(新属性投放!$E$42:$E$62,卡牌属性!R347))*INDEX($G$5:$G$42,L347),2)</f>
        <v>33.75</v>
      </c>
      <c r="AC347" s="29" t="s">
        <v>179</v>
      </c>
      <c r="AD347" s="14">
        <f>ROUND(IF(Q347=1,INDEX(新属性投放!$F$14:$F$34,卡牌属性!R347),INDEX(新属性投放!$F$42:$F$62,卡牌属性!R347))*INDEX($G$5:$G$42,L347)*SQRT(INDEX($I$5:$I$42,L347)),2)</f>
        <v>303</v>
      </c>
      <c r="AF347" s="14">
        <f t="shared" si="99"/>
        <v>675</v>
      </c>
      <c r="AG347" s="14">
        <f t="shared" si="100"/>
        <v>337</v>
      </c>
      <c r="AH347" s="14">
        <f t="shared" si="101"/>
        <v>3030</v>
      </c>
      <c r="AJ347" s="14">
        <f t="shared" si="102"/>
        <v>2850</v>
      </c>
      <c r="AK347" s="14">
        <f t="shared" si="103"/>
        <v>1423</v>
      </c>
      <c r="AL347" s="14">
        <f t="shared" si="104"/>
        <v>12795</v>
      </c>
    </row>
    <row r="348" spans="11:38" ht="16.5" x14ac:dyDescent="0.2">
      <c r="K348" s="13">
        <v>345</v>
      </c>
      <c r="L348" s="13">
        <f t="shared" si="93"/>
        <v>17</v>
      </c>
      <c r="M348" s="13">
        <f t="shared" si="94"/>
        <v>5</v>
      </c>
      <c r="N348" s="14">
        <f t="shared" si="95"/>
        <v>1102001</v>
      </c>
      <c r="O348" s="14" t="str">
        <f t="shared" si="96"/>
        <v>关羽9突</v>
      </c>
      <c r="P348" s="29" t="s">
        <v>341</v>
      </c>
      <c r="Q348" s="14">
        <f t="shared" si="97"/>
        <v>2</v>
      </c>
      <c r="R348" s="14">
        <f t="shared" si="98"/>
        <v>9</v>
      </c>
      <c r="S348" s="14" t="s">
        <v>39</v>
      </c>
      <c r="T348" s="14">
        <f>ROUND(((IF(Q348=1,INDEX(新属性投放!$J$14:$J$34,卡牌属性!R348),INDEX(新属性投放!$J$42:$J$62,卡牌属性!R348)))*INDEX($G$5:$G$42,L348)+IF(Q348=1,INDEX(新属性投放!R$20:R$23,卡牌属性!M348-1),INDEX(新属性投放!R$25:R$28,卡牌属性!M348-1)))/SQRT(INDEX($I$5:$I$42,L348)),2)</f>
        <v>4450.5</v>
      </c>
      <c r="U348" s="29" t="s">
        <v>178</v>
      </c>
      <c r="V348" s="14">
        <f>ROUND((IF(Q348=1,INDEX(新属性投放!$K$14:$K$34,卡牌属性!R348),INDEX(新属性投放!$K$42:$K$62,卡牌属性!R348))+IF(Q348=1,INDEX(新属性投放!S$20:S$23,卡牌属性!M348-1),INDEX(新属性投放!S$25:S$28,卡牌属性!M348-1)))*INDEX($G$5:$G$42,L348),2)</f>
        <v>1921.5</v>
      </c>
      <c r="W348" s="29" t="s">
        <v>179</v>
      </c>
      <c r="X348" s="14">
        <f>ROUND((IF(Q348=1,INDEX(新属性投放!$L$14:$L$34,卡牌属性!R348),INDEX(新属性投放!$L$42:$L$62,卡牌属性!R348))*INDEX($G$5:$G$42,L348)+IF(Q348=1,INDEX(新属性投放!T$20:T$23,卡牌属性!M348-1),INDEX(新属性投放!T$25:T$28,卡牌属性!M348-1)))*SQRT(INDEX($I$5:$I$42,L348)),2)</f>
        <v>22642</v>
      </c>
      <c r="Y348" s="29" t="s">
        <v>177</v>
      </c>
      <c r="Z348" s="14">
        <f>ROUND(IF(Q348=1,INDEX(新属性投放!$D$14:$D$34,卡牌属性!R348),INDEX(新属性投放!$D$42:$D$62,卡牌属性!R348))*INDEX($G$5:$G$42,L348)/SQRT(INDEX($I$5:$I$42,L348)),2)</f>
        <v>90.08</v>
      </c>
      <c r="AA348" s="29" t="s">
        <v>178</v>
      </c>
      <c r="AB348" s="14">
        <f>ROUND(IF(Q348=1,INDEX(新属性投放!$E$14:$E$34,卡牌属性!R348),INDEX(新属性投放!$E$42:$E$62,卡牌属性!R348))*INDEX($G$5:$G$42,L348),2)</f>
        <v>45.04</v>
      </c>
      <c r="AC348" s="29" t="s">
        <v>179</v>
      </c>
      <c r="AD348" s="14">
        <f>ROUND(IF(Q348=1,INDEX(新属性投放!$F$14:$F$34,卡牌属性!R348),INDEX(新属性投放!$F$42:$F$62,卡牌属性!R348))*INDEX($G$5:$G$42,L348)*SQRT(INDEX($I$5:$I$42,L348)),2)</f>
        <v>405</v>
      </c>
      <c r="AF348" s="14">
        <f t="shared" si="99"/>
        <v>900</v>
      </c>
      <c r="AG348" s="14">
        <f t="shared" si="100"/>
        <v>450</v>
      </c>
      <c r="AH348" s="14">
        <f t="shared" si="101"/>
        <v>4050</v>
      </c>
      <c r="AJ348" s="14">
        <f t="shared" si="102"/>
        <v>3750</v>
      </c>
      <c r="AK348" s="14">
        <f t="shared" si="103"/>
        <v>1873</v>
      </c>
      <c r="AL348" s="14">
        <f t="shared" si="104"/>
        <v>16845</v>
      </c>
    </row>
    <row r="349" spans="11:38" ht="16.5" x14ac:dyDescent="0.2">
      <c r="K349" s="13">
        <v>346</v>
      </c>
      <c r="L349" s="13">
        <f t="shared" si="93"/>
        <v>17</v>
      </c>
      <c r="M349" s="13">
        <f t="shared" si="94"/>
        <v>5</v>
      </c>
      <c r="N349" s="14">
        <f t="shared" si="95"/>
        <v>1102001</v>
      </c>
      <c r="O349" s="14" t="str">
        <f t="shared" si="96"/>
        <v>关羽10突</v>
      </c>
      <c r="P349" s="29" t="s">
        <v>341</v>
      </c>
      <c r="Q349" s="14">
        <f t="shared" si="97"/>
        <v>2</v>
      </c>
      <c r="R349" s="14">
        <f t="shared" si="98"/>
        <v>10</v>
      </c>
      <c r="S349" s="14" t="s">
        <v>39</v>
      </c>
      <c r="T349" s="14">
        <f>ROUND(((IF(Q349=1,INDEX(新属性投放!$J$14:$J$34,卡牌属性!R349),INDEX(新属性投放!$J$42:$J$62,卡牌属性!R349)))*INDEX($G$5:$G$42,L349)+IF(Q349=1,INDEX(新属性投放!R$20:R$23,卡牌属性!M349-1),INDEX(新属性投放!R$25:R$28,卡牌属性!M349-1)))/SQRT(INDEX($I$5:$I$42,L349)),2)</f>
        <v>5576.25</v>
      </c>
      <c r="U349" s="29" t="s">
        <v>178</v>
      </c>
      <c r="V349" s="14">
        <f>ROUND((IF(Q349=1,INDEX(新属性投放!$K$14:$K$34,卡牌属性!R349),INDEX(新属性投放!$K$42:$K$62,卡牌属性!R349))+IF(Q349=1,INDEX(新属性投放!S$20:S$23,卡牌属性!M349-1),INDEX(新属性投放!S$25:S$28,卡牌属性!M349-1)))*INDEX($G$5:$G$42,L349),2)</f>
        <v>2484.38</v>
      </c>
      <c r="W349" s="29" t="s">
        <v>179</v>
      </c>
      <c r="X349" s="14">
        <f>ROUND((IF(Q349=1,INDEX(新属性投放!$L$14:$L$34,卡牌属性!R349),INDEX(新属性投放!$L$42:$L$62,卡牌属性!R349))*INDEX($G$5:$G$42,L349)+IF(Q349=1,INDEX(新属性投放!T$20:T$23,卡牌属性!M349-1),INDEX(新属性投放!T$25:T$28,卡牌属性!M349-1)))*SQRT(INDEX($I$5:$I$42,L349)),2)</f>
        <v>28717</v>
      </c>
      <c r="Y349" s="29" t="s">
        <v>177</v>
      </c>
      <c r="Z349" s="14">
        <f>ROUND(IF(Q349=1,INDEX(新属性投放!$D$14:$D$34,卡牌属性!R349),INDEX(新属性投放!$D$42:$D$62,卡牌属性!R349))*INDEX($G$5:$G$42,L349)/SQRT(INDEX($I$5:$I$42,L349)),2)</f>
        <v>117.75</v>
      </c>
      <c r="AA349" s="29" t="s">
        <v>178</v>
      </c>
      <c r="AB349" s="14">
        <f>ROUND(IF(Q349=1,INDEX(新属性投放!$E$14:$E$34,卡牌属性!R349),INDEX(新属性投放!$E$42:$E$62,卡牌属性!R349))*INDEX($G$5:$G$42,L349),2)</f>
        <v>58.88</v>
      </c>
      <c r="AC349" s="29" t="s">
        <v>179</v>
      </c>
      <c r="AD349" s="14">
        <f>ROUND(IF(Q349=1,INDEX(新属性投放!$F$14:$F$34,卡牌属性!R349),INDEX(新属性投放!$F$42:$F$62,卡牌属性!R349))*INDEX($G$5:$G$42,L349)*SQRT(INDEX($I$5:$I$42,L349)),2)</f>
        <v>529.5</v>
      </c>
      <c r="AF349" s="14">
        <f t="shared" si="99"/>
        <v>1177</v>
      </c>
      <c r="AG349" s="14">
        <f t="shared" si="100"/>
        <v>588</v>
      </c>
      <c r="AH349" s="14">
        <f t="shared" si="101"/>
        <v>5295</v>
      </c>
      <c r="AJ349" s="14">
        <f t="shared" si="102"/>
        <v>4927</v>
      </c>
      <c r="AK349" s="14">
        <f t="shared" si="103"/>
        <v>2461</v>
      </c>
      <c r="AL349" s="14">
        <f t="shared" si="104"/>
        <v>22140</v>
      </c>
    </row>
    <row r="350" spans="11:38" ht="16.5" x14ac:dyDescent="0.2">
      <c r="K350" s="13">
        <v>347</v>
      </c>
      <c r="L350" s="13">
        <f t="shared" si="93"/>
        <v>17</v>
      </c>
      <c r="M350" s="13">
        <f t="shared" si="94"/>
        <v>5</v>
      </c>
      <c r="N350" s="14">
        <f t="shared" si="95"/>
        <v>1102001</v>
      </c>
      <c r="O350" s="14" t="str">
        <f t="shared" si="96"/>
        <v>关羽11突</v>
      </c>
      <c r="P350" s="29" t="s">
        <v>341</v>
      </c>
      <c r="Q350" s="14">
        <f t="shared" si="97"/>
        <v>2</v>
      </c>
      <c r="R350" s="14">
        <f t="shared" si="98"/>
        <v>11</v>
      </c>
      <c r="S350" s="14" t="s">
        <v>39</v>
      </c>
      <c r="T350" s="14">
        <f>ROUND(((IF(Q350=1,INDEX(新属性投放!$J$14:$J$34,卡牌属性!R350),INDEX(新属性投放!$J$42:$J$62,卡牌属性!R350)))*INDEX($G$5:$G$42,L350)+IF(Q350=1,INDEX(新属性投放!R$20:R$23,卡牌属性!M350-1),INDEX(新属性投放!R$25:R$28,卡牌属性!M350-1)))/SQRT(INDEX($I$5:$I$42,L350)),2)</f>
        <v>7047.75</v>
      </c>
      <c r="U350" s="29" t="s">
        <v>178</v>
      </c>
      <c r="V350" s="14">
        <f>ROUND((IF(Q350=1,INDEX(新属性投放!$K$14:$K$34,卡牌属性!R350),INDEX(新属性投放!$K$42:$K$62,卡牌属性!R350))+IF(Q350=1,INDEX(新属性投放!S$20:S$23,卡牌属性!M350-1),INDEX(新属性投放!S$25:S$28,卡牌属性!M350-1)))*INDEX($G$5:$G$42,L350),2)</f>
        <v>3220.13</v>
      </c>
      <c r="W350" s="29" t="s">
        <v>179</v>
      </c>
      <c r="X350" s="14">
        <f>ROUND((IF(Q350=1,INDEX(新属性投放!$L$14:$L$34,卡牌属性!R350),INDEX(新属性投放!$L$42:$L$62,卡牌属性!R350))*INDEX($G$5:$G$42,L350)+IF(Q350=1,INDEX(新属性投放!T$20:T$23,卡牌属性!M350-1),INDEX(新属性投放!T$25:T$28,卡牌属性!M350-1)))*SQRT(INDEX($I$5:$I$42,L350)),2)</f>
        <v>36658</v>
      </c>
      <c r="Y350" s="29" t="s">
        <v>177</v>
      </c>
      <c r="Z350" s="14">
        <f>ROUND(IF(Q350=1,INDEX(新属性投放!$D$14:$D$34,卡牌属性!R350),INDEX(新属性投放!$D$42:$D$62,卡牌属性!R350))*INDEX($G$5:$G$42,L350)/SQRT(INDEX($I$5:$I$42,L350)),2)</f>
        <v>155.01</v>
      </c>
      <c r="AA350" s="29" t="s">
        <v>178</v>
      </c>
      <c r="AB350" s="14">
        <f>ROUND(IF(Q350=1,INDEX(新属性投放!$E$14:$E$34,卡牌属性!R350),INDEX(新属性投放!$E$42:$E$62,卡牌属性!R350))*INDEX($G$5:$G$42,L350),2)</f>
        <v>77.510000000000005</v>
      </c>
      <c r="AC350" s="29" t="s">
        <v>179</v>
      </c>
      <c r="AD350" s="14">
        <f>ROUND(IF(Q350=1,INDEX(新属性投放!$F$14:$F$34,卡牌属性!R350),INDEX(新属性投放!$F$42:$F$62,卡牌属性!R350))*INDEX($G$5:$G$42,L350)*SQRT(INDEX($I$5:$I$42,L350)),2)</f>
        <v>697.5</v>
      </c>
      <c r="AF350" s="14">
        <f t="shared" si="99"/>
        <v>1550</v>
      </c>
      <c r="AG350" s="14">
        <f t="shared" si="100"/>
        <v>775</v>
      </c>
      <c r="AH350" s="14">
        <f t="shared" si="101"/>
        <v>6975</v>
      </c>
      <c r="AJ350" s="14">
        <f t="shared" si="102"/>
        <v>6477</v>
      </c>
      <c r="AK350" s="14">
        <f t="shared" si="103"/>
        <v>3236</v>
      </c>
      <c r="AL350" s="14">
        <f t="shared" si="104"/>
        <v>29115</v>
      </c>
    </row>
    <row r="351" spans="11:38" ht="16.5" x14ac:dyDescent="0.2">
      <c r="K351" s="13">
        <v>348</v>
      </c>
      <c r="L351" s="13">
        <f t="shared" si="93"/>
        <v>17</v>
      </c>
      <c r="M351" s="13">
        <f t="shared" si="94"/>
        <v>5</v>
      </c>
      <c r="N351" s="14">
        <f t="shared" si="95"/>
        <v>1102001</v>
      </c>
      <c r="O351" s="14" t="str">
        <f t="shared" si="96"/>
        <v>关羽12突</v>
      </c>
      <c r="P351" s="29" t="s">
        <v>341</v>
      </c>
      <c r="Q351" s="14">
        <f t="shared" si="97"/>
        <v>2</v>
      </c>
      <c r="R351" s="14">
        <f t="shared" si="98"/>
        <v>12</v>
      </c>
      <c r="S351" s="14" t="s">
        <v>39</v>
      </c>
      <c r="T351" s="14">
        <f>ROUND(((IF(Q351=1,INDEX(新属性投放!$J$14:$J$34,卡牌属性!R351),INDEX(新属性投放!$J$42:$J$62,卡牌属性!R351)))*INDEX($G$5:$G$42,L351)+IF(Q351=1,INDEX(新属性投放!R$20:R$23,卡牌属性!M351-1),INDEX(新属性投放!R$25:R$28,卡牌属性!M351-1)))/SQRT(INDEX($I$5:$I$42,L351)),2)</f>
        <v>8984.85</v>
      </c>
      <c r="U351" s="29" t="s">
        <v>178</v>
      </c>
      <c r="V351" s="14">
        <f>ROUND((IF(Q351=1,INDEX(新属性投放!$K$14:$K$34,卡牌属性!R351),INDEX(新属性投放!$K$42:$K$62,卡牌属性!R351))+IF(Q351=1,INDEX(新属性投放!S$20:S$23,卡牌属性!M351-1),INDEX(新属性投放!S$25:S$28,卡牌属性!M351-1)))*INDEX($G$5:$G$42,L351),2)</f>
        <v>4188.68</v>
      </c>
      <c r="W351" s="29" t="s">
        <v>179</v>
      </c>
      <c r="X351" s="14">
        <f>ROUND((IF(Q351=1,INDEX(新属性投放!$L$14:$L$34,卡牌属性!R351),INDEX(新属性投放!$L$42:$L$62,卡牌属性!R351))*INDEX($G$5:$G$42,L351)+IF(Q351=1,INDEX(新属性投放!T$20:T$23,卡牌属性!M351-1),INDEX(新属性投放!T$25:T$28,卡牌属性!M351-1)))*SQRT(INDEX($I$5:$I$42,L351)),2)</f>
        <v>47116</v>
      </c>
      <c r="Y351" s="29" t="s">
        <v>177</v>
      </c>
      <c r="Z351" s="14">
        <f>ROUND(IF(Q351=1,INDEX(新属性投放!$D$14:$D$34,卡牌属性!R351),INDEX(新属性投放!$D$42:$D$62,卡牌属性!R351))*INDEX($G$5:$G$42,L351)/SQRT(INDEX($I$5:$I$42,L351)),2)</f>
        <v>203.43</v>
      </c>
      <c r="AA351" s="29" t="s">
        <v>178</v>
      </c>
      <c r="AB351" s="14">
        <f>ROUND(IF(Q351=1,INDEX(新属性投放!$E$14:$E$34,卡牌属性!R351),INDEX(新属性投放!$E$42:$E$62,卡牌属性!R351))*INDEX($G$5:$G$42,L351),2)</f>
        <v>101.72</v>
      </c>
      <c r="AC351" s="29" t="s">
        <v>179</v>
      </c>
      <c r="AD351" s="14">
        <f>ROUND(IF(Q351=1,INDEX(新属性投放!$F$14:$F$34,卡牌属性!R351),INDEX(新属性投放!$F$42:$F$62,卡牌属性!R351))*INDEX($G$5:$G$42,L351)*SQRT(INDEX($I$5:$I$42,L351)),2)</f>
        <v>915</v>
      </c>
      <c r="AF351" s="14">
        <f t="shared" si="99"/>
        <v>2034</v>
      </c>
      <c r="AG351" s="14">
        <f t="shared" si="100"/>
        <v>1017</v>
      </c>
      <c r="AH351" s="14">
        <f t="shared" si="101"/>
        <v>9150</v>
      </c>
      <c r="AJ351" s="14">
        <f t="shared" si="102"/>
        <v>8511</v>
      </c>
      <c r="AK351" s="14">
        <f t="shared" si="103"/>
        <v>4253</v>
      </c>
      <c r="AL351" s="14">
        <f t="shared" si="104"/>
        <v>38265</v>
      </c>
    </row>
    <row r="352" spans="11:38" ht="16.5" x14ac:dyDescent="0.2">
      <c r="K352" s="13">
        <v>349</v>
      </c>
      <c r="L352" s="13">
        <f t="shared" si="93"/>
        <v>17</v>
      </c>
      <c r="M352" s="13">
        <f t="shared" si="94"/>
        <v>5</v>
      </c>
      <c r="N352" s="14">
        <f t="shared" si="95"/>
        <v>1102001</v>
      </c>
      <c r="O352" s="14" t="str">
        <f t="shared" si="96"/>
        <v>关羽13突</v>
      </c>
      <c r="P352" s="29" t="s">
        <v>341</v>
      </c>
      <c r="Q352" s="14">
        <f t="shared" si="97"/>
        <v>2</v>
      </c>
      <c r="R352" s="14">
        <f t="shared" si="98"/>
        <v>13</v>
      </c>
      <c r="S352" s="14" t="s">
        <v>39</v>
      </c>
      <c r="T352" s="14">
        <f>ROUND(((IF(Q352=1,INDEX(新属性投放!$J$14:$J$34,卡牌属性!R352),INDEX(新属性投放!$J$42:$J$62,卡牌属性!R352)))*INDEX($G$5:$G$42,L352)+IF(Q352=1,INDEX(新属性投放!R$20:R$23,卡牌属性!M352-1),INDEX(新属性投放!R$25:R$28,卡牌属性!M352-1)))/SQRT(INDEX($I$5:$I$42,L352)),2)</f>
        <v>11527.65</v>
      </c>
      <c r="U352" s="29" t="s">
        <v>178</v>
      </c>
      <c r="V352" s="14">
        <f>ROUND((IF(Q352=1,INDEX(新属性投放!$K$14:$K$34,卡牌属性!R352),INDEX(新属性投放!$K$42:$K$62,卡牌属性!R352))+IF(Q352=1,INDEX(新属性投放!S$20:S$23,卡牌属性!M352-1),INDEX(新属性投放!S$25:S$28,卡牌属性!M352-1)))*INDEX($G$5:$G$42,L352),2)</f>
        <v>5460.83</v>
      </c>
      <c r="W352" s="29" t="s">
        <v>179</v>
      </c>
      <c r="X352" s="14">
        <f>ROUND((IF(Q352=1,INDEX(新属性投放!$L$14:$L$34,卡牌属性!R352),INDEX(新属性投放!$L$42:$L$62,卡牌属性!R352))*INDEX($G$5:$G$42,L352)+IF(Q352=1,INDEX(新属性投放!T$20:T$23,卡牌属性!M352-1),INDEX(新属性投放!T$25:T$28,卡牌属性!M352-1)))*SQRT(INDEX($I$5:$I$42,L352)),2)</f>
        <v>60842.5</v>
      </c>
      <c r="Y352" s="29" t="s">
        <v>177</v>
      </c>
      <c r="Z352" s="14">
        <f>ROUND(IF(Q352=1,INDEX(新属性投放!$D$14:$D$34,卡牌属性!R352),INDEX(新属性投放!$D$42:$D$62,卡牌属性!R352))*INDEX($G$5:$G$42,L352)/SQRT(INDEX($I$5:$I$42,L352)),2)</f>
        <v>267</v>
      </c>
      <c r="AA352" s="29" t="s">
        <v>178</v>
      </c>
      <c r="AB352" s="14">
        <f>ROUND(IF(Q352=1,INDEX(新属性投放!$E$14:$E$34,卡牌属性!R352),INDEX(新属性投放!$E$42:$E$62,卡牌属性!R352))*INDEX($G$5:$G$42,L352),2)</f>
        <v>133.5</v>
      </c>
      <c r="AC352" s="29" t="s">
        <v>179</v>
      </c>
      <c r="AD352" s="14">
        <f>ROUND(IF(Q352=1,INDEX(新属性投放!$F$14:$F$34,卡牌属性!R352),INDEX(新属性投放!$F$42:$F$62,卡牌属性!R352))*INDEX($G$5:$G$42,L352)*SQRT(INDEX($I$5:$I$42,L352)),2)</f>
        <v>1201.5</v>
      </c>
      <c r="AF352" s="14">
        <f t="shared" si="99"/>
        <v>2670</v>
      </c>
      <c r="AG352" s="14">
        <f t="shared" si="100"/>
        <v>1335</v>
      </c>
      <c r="AH352" s="14">
        <f t="shared" si="101"/>
        <v>12015</v>
      </c>
      <c r="AJ352" s="14">
        <f t="shared" si="102"/>
        <v>11181</v>
      </c>
      <c r="AK352" s="14">
        <f t="shared" si="103"/>
        <v>5588</v>
      </c>
      <c r="AL352" s="14">
        <f t="shared" si="104"/>
        <v>50280</v>
      </c>
    </row>
    <row r="353" spans="11:38" ht="16.5" x14ac:dyDescent="0.2">
      <c r="K353" s="13">
        <v>350</v>
      </c>
      <c r="L353" s="13">
        <f t="shared" si="93"/>
        <v>17</v>
      </c>
      <c r="M353" s="13">
        <f t="shared" si="94"/>
        <v>5</v>
      </c>
      <c r="N353" s="14">
        <f t="shared" si="95"/>
        <v>1102001</v>
      </c>
      <c r="O353" s="14" t="str">
        <f t="shared" si="96"/>
        <v>关羽14突</v>
      </c>
      <c r="P353" s="29" t="s">
        <v>341</v>
      </c>
      <c r="Q353" s="14">
        <f t="shared" si="97"/>
        <v>2</v>
      </c>
      <c r="R353" s="14">
        <f t="shared" si="98"/>
        <v>14</v>
      </c>
      <c r="S353" s="14" t="s">
        <v>39</v>
      </c>
      <c r="T353" s="14">
        <f>ROUND(((IF(Q353=1,INDEX(新属性投放!$J$14:$J$34,卡牌属性!R353),INDEX(新属性投放!$J$42:$J$62,卡牌属性!R353)))*INDEX($G$5:$G$42,L353)+IF(Q353=1,INDEX(新属性投放!R$20:R$23,卡牌属性!M353-1),INDEX(新属性投放!R$25:R$28,卡牌属性!M353-1)))/SQRT(INDEX($I$5:$I$42,L353)),2)</f>
        <v>14865.15</v>
      </c>
      <c r="U353" s="29" t="s">
        <v>178</v>
      </c>
      <c r="V353" s="14">
        <f>ROUND((IF(Q353=1,INDEX(新属性投放!$K$14:$K$34,卡牌属性!R353),INDEX(新属性投放!$K$42:$K$62,卡牌属性!R353))+IF(Q353=1,INDEX(新属性投放!S$20:S$23,卡牌属性!M353-1),INDEX(新属性投放!S$25:S$28,卡牌属性!M353-1)))*INDEX($G$5:$G$42,L353),2)</f>
        <v>7130.33</v>
      </c>
      <c r="W353" s="29" t="s">
        <v>179</v>
      </c>
      <c r="X353" s="14">
        <f>ROUND((IF(Q353=1,INDEX(新属性投放!$L$14:$L$34,卡牌属性!R353),INDEX(新属性投放!$L$42:$L$62,卡牌属性!R353))*INDEX($G$5:$G$42,L353)+IF(Q353=1,INDEX(新属性投放!T$20:T$23,卡牌属性!M353-1),INDEX(新属性投放!T$25:T$28,卡牌属性!M353-1)))*SQRT(INDEX($I$5:$I$42,L353)),2)</f>
        <v>78865</v>
      </c>
      <c r="Y353" s="29" t="s">
        <v>177</v>
      </c>
      <c r="Z353" s="14">
        <f>ROUND(IF(Q353=1,INDEX(新属性投放!$D$14:$D$34,卡牌属性!R353),INDEX(新属性投放!$D$42:$D$62,卡牌属性!R353))*INDEX($G$5:$G$42,L353)/SQRT(INDEX($I$5:$I$42,L353)),2)</f>
        <v>350.45</v>
      </c>
      <c r="AA353" s="29" t="s">
        <v>178</v>
      </c>
      <c r="AB353" s="14">
        <f>ROUND(IF(Q353=1,INDEX(新属性投放!$E$14:$E$34,卡牌属性!R353),INDEX(新属性投放!$E$42:$E$62,卡牌属性!R353))*INDEX($G$5:$G$42,L353),2)</f>
        <v>175.22</v>
      </c>
      <c r="AC353" s="29" t="s">
        <v>179</v>
      </c>
      <c r="AD353" s="14">
        <f>ROUND(IF(Q353=1,INDEX(新属性投放!$F$14:$F$34,卡牌属性!R353),INDEX(新属性投放!$F$42:$F$62,卡牌属性!R353))*INDEX($G$5:$G$42,L353)*SQRT(INDEX($I$5:$I$42,L353)),2)</f>
        <v>1576.5</v>
      </c>
      <c r="AF353" s="14">
        <f t="shared" si="99"/>
        <v>3504</v>
      </c>
      <c r="AG353" s="14">
        <f t="shared" si="100"/>
        <v>1752</v>
      </c>
      <c r="AH353" s="14">
        <f t="shared" si="101"/>
        <v>15765</v>
      </c>
      <c r="AJ353" s="14">
        <f t="shared" si="102"/>
        <v>14685</v>
      </c>
      <c r="AK353" s="14">
        <f t="shared" si="103"/>
        <v>7340</v>
      </c>
      <c r="AL353" s="14">
        <f t="shared" si="104"/>
        <v>66045</v>
      </c>
    </row>
    <row r="354" spans="11:38" ht="16.5" x14ac:dyDescent="0.2">
      <c r="K354" s="13">
        <v>351</v>
      </c>
      <c r="L354" s="13">
        <f t="shared" si="93"/>
        <v>17</v>
      </c>
      <c r="M354" s="13">
        <f t="shared" si="94"/>
        <v>5</v>
      </c>
      <c r="N354" s="14">
        <f t="shared" si="95"/>
        <v>1102001</v>
      </c>
      <c r="O354" s="14" t="str">
        <f t="shared" si="96"/>
        <v>关羽15突</v>
      </c>
      <c r="P354" s="29" t="s">
        <v>341</v>
      </c>
      <c r="Q354" s="14">
        <f t="shared" si="97"/>
        <v>2</v>
      </c>
      <c r="R354" s="14">
        <f t="shared" si="98"/>
        <v>15</v>
      </c>
      <c r="S354" s="14" t="s">
        <v>39</v>
      </c>
      <c r="T354" s="14">
        <f>ROUND(((IF(Q354=1,INDEX(新属性投放!$J$14:$J$34,卡牌属性!R354),INDEX(新属性投放!$J$42:$J$62,卡牌属性!R354)))*INDEX($G$5:$G$42,L354)+IF(Q354=1,INDEX(新属性投放!R$20:R$23,卡牌属性!M354-1),INDEX(新属性投放!R$25:R$28,卡牌属性!M354-1)))/SQRT(INDEX($I$5:$I$42,L354)),2)</f>
        <v>19245.599999999999</v>
      </c>
      <c r="U354" s="29" t="s">
        <v>178</v>
      </c>
      <c r="V354" s="14">
        <f>ROUND((IF(Q354=1,INDEX(新属性投放!$K$14:$K$34,卡牌属性!R354),INDEX(新属性投放!$K$42:$K$62,卡牌属性!R354))+IF(Q354=1,INDEX(新属性投放!S$20:S$23,卡牌属性!M354-1),INDEX(新属性投放!S$25:S$28,卡牌属性!M354-1)))*INDEX($G$5:$G$42,L354),2)</f>
        <v>9320.5499999999993</v>
      </c>
      <c r="W354" s="29" t="s">
        <v>179</v>
      </c>
      <c r="X354" s="14">
        <f>ROUND((IF(Q354=1,INDEX(新属性投放!$L$14:$L$34,卡牌属性!R354),INDEX(新属性投放!$L$42:$L$62,卡牌属性!R354))*INDEX($G$5:$G$42,L354)+IF(Q354=1,INDEX(新属性投放!T$20:T$23,卡牌属性!M354-1),INDEX(新属性投放!T$25:T$28,卡牌属性!M354-1)))*SQRT(INDEX($I$5:$I$42,L354)),2)</f>
        <v>102514</v>
      </c>
      <c r="Y354" s="29" t="s">
        <v>177</v>
      </c>
      <c r="Z354" s="14">
        <f>ROUND(IF(Q354=1,INDEX(新属性投放!$D$14:$D$34,卡牌属性!R354),INDEX(新属性投放!$D$42:$D$62,卡牌属性!R354))*INDEX($G$5:$G$42,L354)/SQRT(INDEX($I$5:$I$42,L354)),2)</f>
        <v>459.96</v>
      </c>
      <c r="AA354" s="29" t="s">
        <v>178</v>
      </c>
      <c r="AB354" s="14">
        <f>ROUND(IF(Q354=1,INDEX(新属性投放!$E$14:$E$34,卡牌属性!R354),INDEX(新属性投放!$E$42:$E$62,卡牌属性!R354))*INDEX($G$5:$G$42,L354),2)</f>
        <v>229.98</v>
      </c>
      <c r="AC354" s="29" t="s">
        <v>179</v>
      </c>
      <c r="AD354" s="14">
        <f>ROUND(IF(Q354=1,INDEX(新属性投放!$F$14:$F$34,卡牌属性!R354),INDEX(新属性投放!$F$42:$F$62,卡牌属性!R354))*INDEX($G$5:$G$42,L354)*SQRT(INDEX($I$5:$I$42,L354)),2)</f>
        <v>2068.5</v>
      </c>
      <c r="AF354" s="14">
        <f t="shared" si="99"/>
        <v>4599</v>
      </c>
      <c r="AG354" s="14">
        <f t="shared" si="100"/>
        <v>2299</v>
      </c>
      <c r="AH354" s="14">
        <f t="shared" si="101"/>
        <v>20685</v>
      </c>
      <c r="AJ354" s="14">
        <f t="shared" si="102"/>
        <v>19284</v>
      </c>
      <c r="AK354" s="14">
        <f t="shared" si="103"/>
        <v>9639</v>
      </c>
      <c r="AL354" s="14">
        <f t="shared" si="104"/>
        <v>86730</v>
      </c>
    </row>
    <row r="355" spans="11:38" ht="16.5" x14ac:dyDescent="0.2">
      <c r="K355" s="13">
        <v>352</v>
      </c>
      <c r="L355" s="13">
        <f t="shared" si="93"/>
        <v>17</v>
      </c>
      <c r="M355" s="13">
        <f t="shared" si="94"/>
        <v>5</v>
      </c>
      <c r="N355" s="14">
        <f t="shared" si="95"/>
        <v>1102001</v>
      </c>
      <c r="O355" s="14" t="str">
        <f t="shared" si="96"/>
        <v>关羽16突</v>
      </c>
      <c r="P355" s="29" t="s">
        <v>341</v>
      </c>
      <c r="Q355" s="14">
        <f t="shared" si="97"/>
        <v>2</v>
      </c>
      <c r="R355" s="14">
        <f t="shared" si="98"/>
        <v>16</v>
      </c>
      <c r="S355" s="14" t="s">
        <v>39</v>
      </c>
      <c r="T355" s="14">
        <f>ROUND(((IF(Q355=1,INDEX(新属性投放!$J$14:$J$34,卡牌属性!R355),INDEX(新属性投放!$J$42:$J$62,卡牌属性!R355)))*INDEX($G$5:$G$42,L355)+IF(Q355=1,INDEX(新属性投放!R$20:R$23,卡牌属性!M355-1),INDEX(新属性投放!R$25:R$28,卡牌属性!M355-1)))/SQRT(INDEX($I$5:$I$42,L355)),2)</f>
        <v>24995.7</v>
      </c>
      <c r="U355" s="29" t="s">
        <v>178</v>
      </c>
      <c r="V355" s="14">
        <f>ROUND((IF(Q355=1,INDEX(新属性投放!$K$14:$K$34,卡牌属性!R355),INDEX(新属性投放!$K$42:$K$62,卡牌属性!R355))+IF(Q355=1,INDEX(新属性投放!S$20:S$23,卡牌属性!M355-1),INDEX(新属性投放!S$25:S$28,卡牌属性!M355-1)))*INDEX($G$5:$G$42,L355),2)</f>
        <v>12194.85</v>
      </c>
      <c r="W355" s="29" t="s">
        <v>179</v>
      </c>
      <c r="X355" s="14">
        <f>ROUND((IF(Q355=1,INDEX(新属性投放!$L$14:$L$34,卡牌属性!R355),INDEX(新属性投放!$L$42:$L$62,卡牌属性!R355))*INDEX($G$5:$G$42,L355)+IF(Q355=1,INDEX(新属性投放!T$20:T$23,卡牌属性!M355-1),INDEX(新属性投放!T$25:T$28,卡牌属性!M355-1)))*SQRT(INDEX($I$5:$I$42,L355)),2)</f>
        <v>133553.5</v>
      </c>
      <c r="Y355" s="29" t="s">
        <v>177</v>
      </c>
      <c r="Z355" s="14">
        <f>ROUND(IF(Q355=1,INDEX(新属性投放!$D$14:$D$34,卡牌属性!R355),INDEX(新属性投放!$D$42:$D$62,卡牌属性!R355))*INDEX($G$5:$G$42,L355)/SQRT(INDEX($I$5:$I$42,L355)),2)</f>
        <v>603.71</v>
      </c>
      <c r="AA355" s="29" t="s">
        <v>178</v>
      </c>
      <c r="AB355" s="14">
        <f>ROUND(IF(Q355=1,INDEX(新属性投放!$E$14:$E$34,卡牌属性!R355),INDEX(新属性投放!$E$42:$E$62,卡牌属性!R355))*INDEX($G$5:$G$42,L355),2)</f>
        <v>301.85000000000002</v>
      </c>
      <c r="AC355" s="29" t="s">
        <v>179</v>
      </c>
      <c r="AD355" s="14">
        <f>ROUND(IF(Q355=1,INDEX(新属性投放!$F$14:$F$34,卡牌属性!R355),INDEX(新属性投放!$F$42:$F$62,卡牌属性!R355))*INDEX($G$5:$G$42,L355)*SQRT(INDEX($I$5:$I$42,L355)),2)</f>
        <v>2716.5</v>
      </c>
      <c r="AF355" s="14">
        <f t="shared" si="99"/>
        <v>6037</v>
      </c>
      <c r="AG355" s="14">
        <f t="shared" si="100"/>
        <v>3018</v>
      </c>
      <c r="AH355" s="14">
        <f t="shared" si="101"/>
        <v>27165</v>
      </c>
      <c r="AJ355" s="14">
        <f t="shared" si="102"/>
        <v>25321</v>
      </c>
      <c r="AK355" s="14">
        <f t="shared" si="103"/>
        <v>12657</v>
      </c>
      <c r="AL355" s="14">
        <f t="shared" si="104"/>
        <v>113895</v>
      </c>
    </row>
    <row r="356" spans="11:38" ht="16.5" x14ac:dyDescent="0.2">
      <c r="K356" s="13">
        <v>353</v>
      </c>
      <c r="L356" s="13">
        <f t="shared" si="93"/>
        <v>17</v>
      </c>
      <c r="M356" s="13">
        <f t="shared" si="94"/>
        <v>5</v>
      </c>
      <c r="N356" s="14">
        <f t="shared" si="95"/>
        <v>1102001</v>
      </c>
      <c r="O356" s="14" t="str">
        <f t="shared" si="96"/>
        <v>关羽17突</v>
      </c>
      <c r="P356" s="29" t="s">
        <v>341</v>
      </c>
      <c r="Q356" s="14">
        <f t="shared" si="97"/>
        <v>2</v>
      </c>
      <c r="R356" s="14">
        <f t="shared" si="98"/>
        <v>17</v>
      </c>
      <c r="S356" s="14" t="s">
        <v>39</v>
      </c>
      <c r="T356" s="14">
        <f>ROUND(((IF(Q356=1,INDEX(新属性投放!$J$14:$J$34,卡牌属性!R356),INDEX(新属性投放!$J$42:$J$62,卡牌属性!R356)))*INDEX($G$5:$G$42,L356)+IF(Q356=1,INDEX(新属性投放!R$20:R$23,卡牌属性!M356-1),INDEX(新属性投放!R$25:R$28,卡牌属性!M356-1)))/SQRT(INDEX($I$5:$I$42,L356)),2)</f>
        <v>32541.75</v>
      </c>
      <c r="U356" s="29" t="s">
        <v>178</v>
      </c>
      <c r="V356" s="14">
        <f>ROUND((IF(Q356=1,INDEX(新属性投放!$K$14:$K$34,卡牌属性!R356),INDEX(新属性投放!$K$42:$K$62,卡牌属性!R356))+IF(Q356=1,INDEX(新属性投放!S$20:S$23,卡牌属性!M356-1),INDEX(新属性投放!S$25:S$28,卡牌属性!M356-1)))*INDEX($G$5:$G$42,L356),2)</f>
        <v>15967.88</v>
      </c>
      <c r="W356" s="29" t="s">
        <v>179</v>
      </c>
      <c r="X356" s="14">
        <f>ROUND((IF(Q356=1,INDEX(新属性投放!$L$14:$L$34,卡牌属性!R356),INDEX(新属性投放!$L$42:$L$62,卡牌属性!R356))*INDEX($G$5:$G$42,L356)+IF(Q356=1,INDEX(新属性投放!T$20:T$23,卡牌属性!M356-1),INDEX(新属性投放!T$25:T$28,卡牌属性!M356-1)))*SQRT(INDEX($I$5:$I$42,L356)),2)</f>
        <v>174299.5</v>
      </c>
      <c r="Y356" s="29" t="s">
        <v>177</v>
      </c>
      <c r="Z356" s="14">
        <f>ROUND(IF(Q356=1,INDEX(新属性投放!$D$14:$D$34,卡牌属性!R356),INDEX(新属性投放!$D$42:$D$62,卡牌属性!R356))*INDEX($G$5:$G$42,L356)/SQRT(INDEX($I$5:$I$42,L356)),2)</f>
        <v>792.36</v>
      </c>
      <c r="AA356" s="29" t="s">
        <v>178</v>
      </c>
      <c r="AB356" s="14">
        <f>ROUND(IF(Q356=1,INDEX(新属性投放!$E$14:$E$34,卡牌属性!R356),INDEX(新属性投放!$E$42:$E$62,卡牌属性!R356))*INDEX($G$5:$G$42,L356),2)</f>
        <v>396.18</v>
      </c>
      <c r="AC356" s="29" t="s">
        <v>179</v>
      </c>
      <c r="AD356" s="14">
        <f>ROUND(IF(Q356=1,INDEX(新属性投放!$F$14:$F$34,卡牌属性!R356),INDEX(新属性投放!$F$42:$F$62,卡牌属性!R356))*INDEX($G$5:$G$42,L356)*SQRT(INDEX($I$5:$I$42,L356)),2)</f>
        <v>3565.5</v>
      </c>
      <c r="AF356" s="14">
        <f t="shared" si="99"/>
        <v>7923</v>
      </c>
      <c r="AG356" s="14">
        <f t="shared" si="100"/>
        <v>3961</v>
      </c>
      <c r="AH356" s="14">
        <f t="shared" si="101"/>
        <v>35655</v>
      </c>
      <c r="AJ356" s="14">
        <f t="shared" si="102"/>
        <v>33244</v>
      </c>
      <c r="AK356" s="14">
        <f t="shared" si="103"/>
        <v>16618</v>
      </c>
      <c r="AL356" s="14">
        <f t="shared" si="104"/>
        <v>149550</v>
      </c>
    </row>
    <row r="357" spans="11:38" ht="16.5" x14ac:dyDescent="0.2">
      <c r="K357" s="13">
        <v>354</v>
      </c>
      <c r="L357" s="13">
        <f t="shared" si="93"/>
        <v>17</v>
      </c>
      <c r="M357" s="13">
        <f t="shared" si="94"/>
        <v>5</v>
      </c>
      <c r="N357" s="14">
        <f t="shared" si="95"/>
        <v>1102001</v>
      </c>
      <c r="O357" s="14" t="str">
        <f t="shared" si="96"/>
        <v>关羽18突</v>
      </c>
      <c r="P357" s="29" t="s">
        <v>341</v>
      </c>
      <c r="Q357" s="14">
        <f t="shared" si="97"/>
        <v>2</v>
      </c>
      <c r="R357" s="14">
        <f t="shared" si="98"/>
        <v>18</v>
      </c>
      <c r="S357" s="14" t="s">
        <v>39</v>
      </c>
      <c r="T357" s="14">
        <f>ROUND(((IF(Q357=1,INDEX(新属性投放!$J$14:$J$34,卡牌属性!R357),INDEX(新属性投放!$J$42:$J$62,卡牌属性!R357)))*INDEX($G$5:$G$42,L357)+IF(Q357=1,INDEX(新属性投放!R$20:R$23,卡牌属性!M357-1),INDEX(新属性投放!R$25:R$28,卡牌属性!M357-1)))/SQRT(INDEX($I$5:$I$42,L357)),2)</f>
        <v>42446.85</v>
      </c>
      <c r="U357" s="29" t="s">
        <v>178</v>
      </c>
      <c r="V357" s="14">
        <f>ROUND((IF(Q357=1,INDEX(新属性投放!$K$14:$K$34,卡牌属性!R357),INDEX(新属性投放!$K$42:$K$62,卡牌属性!R357))+IF(Q357=1,INDEX(新属性投放!S$20:S$23,卡牌属性!M357-1),INDEX(新属性投放!S$25:S$28,卡牌属性!M357-1)))*INDEX($G$5:$G$42,L357),2)</f>
        <v>20919.68</v>
      </c>
      <c r="W357" s="29" t="s">
        <v>179</v>
      </c>
      <c r="X357" s="14">
        <f>ROUND((IF(Q357=1,INDEX(新属性投放!$L$14:$L$34,卡牌属性!R357),INDEX(新属性投放!$L$42:$L$62,卡牌属性!R357))*INDEX($G$5:$G$42,L357)+IF(Q357=1,INDEX(新属性投放!T$20:T$23,卡牌属性!M357-1),INDEX(新属性投放!T$25:T$28,卡牌属性!M357-1)))*SQRT(INDEX($I$5:$I$42,L357)),2)</f>
        <v>227788</v>
      </c>
      <c r="Y357" s="29" t="s">
        <v>177</v>
      </c>
      <c r="Z357" s="14">
        <f>ROUND(IF(Q357=1,INDEX(新属性投放!$D$14:$D$34,卡牌属性!R357),INDEX(新属性投放!$D$42:$D$62,卡牌属性!R357))*INDEX($G$5:$G$42,L357)/SQRT(INDEX($I$5:$I$42,L357)),2)</f>
        <v>1039.98</v>
      </c>
      <c r="AA357" s="29" t="s">
        <v>178</v>
      </c>
      <c r="AB357" s="14">
        <f>ROUND(IF(Q357=1,INDEX(新属性投放!$E$14:$E$34,卡牌属性!R357),INDEX(新属性投放!$E$42:$E$62,卡牌属性!R357))*INDEX($G$5:$G$42,L357),2)</f>
        <v>519.99</v>
      </c>
      <c r="AC357" s="29" t="s">
        <v>179</v>
      </c>
      <c r="AD357" s="14">
        <f>ROUND(IF(Q357=1,INDEX(新属性投放!$F$14:$F$34,卡牌属性!R357),INDEX(新属性投放!$F$42:$F$62,卡牌属性!R357))*INDEX($G$5:$G$42,L357)*SQRT(INDEX($I$5:$I$42,L357)),2)</f>
        <v>4678.5</v>
      </c>
      <c r="AF357" s="14">
        <f t="shared" si="99"/>
        <v>10399</v>
      </c>
      <c r="AG357" s="14">
        <f t="shared" si="100"/>
        <v>5199</v>
      </c>
      <c r="AH357" s="14">
        <f t="shared" si="101"/>
        <v>46785</v>
      </c>
      <c r="AJ357" s="14">
        <f t="shared" si="102"/>
        <v>43643</v>
      </c>
      <c r="AK357" s="14">
        <f t="shared" si="103"/>
        <v>21817</v>
      </c>
      <c r="AL357" s="14">
        <f t="shared" si="104"/>
        <v>196335</v>
      </c>
    </row>
    <row r="358" spans="11:38" ht="16.5" x14ac:dyDescent="0.2">
      <c r="K358" s="13">
        <v>355</v>
      </c>
      <c r="L358" s="13">
        <f t="shared" si="93"/>
        <v>17</v>
      </c>
      <c r="M358" s="13">
        <f t="shared" si="94"/>
        <v>5</v>
      </c>
      <c r="N358" s="14">
        <f t="shared" si="95"/>
        <v>1102001</v>
      </c>
      <c r="O358" s="14" t="str">
        <f t="shared" si="96"/>
        <v>关羽19突</v>
      </c>
      <c r="P358" s="29" t="s">
        <v>341</v>
      </c>
      <c r="Q358" s="14">
        <f t="shared" si="97"/>
        <v>2</v>
      </c>
      <c r="R358" s="14">
        <f t="shared" si="98"/>
        <v>19</v>
      </c>
      <c r="S358" s="14" t="s">
        <v>39</v>
      </c>
      <c r="T358" s="14">
        <f>ROUND(((IF(Q358=1,INDEX(新属性投放!$J$14:$J$34,卡牌属性!R358),INDEX(新属性投放!$J$42:$J$62,卡牌属性!R358)))*INDEX($G$5:$G$42,L358)+IF(Q358=1,INDEX(新属性投放!R$20:R$23,卡牌属性!M358-1),INDEX(新属性投放!R$25:R$28,卡牌属性!M358-1)))/SQRT(INDEX($I$5:$I$42,L358)),2)</f>
        <v>55446.15</v>
      </c>
      <c r="U358" s="29" t="s">
        <v>178</v>
      </c>
      <c r="V358" s="14">
        <f>ROUND((IF(Q358=1,INDEX(新属性投放!$K$14:$K$34,卡牌属性!R358),INDEX(新属性投放!$K$42:$K$62,卡牌属性!R358))+IF(Q358=1,INDEX(新属性投放!S$20:S$23,卡牌属性!M358-1),INDEX(新属性投放!S$25:S$28,卡牌属性!M358-1)))*INDEX($G$5:$G$42,L358),2)</f>
        <v>27420.080000000002</v>
      </c>
      <c r="W358" s="29" t="s">
        <v>179</v>
      </c>
      <c r="X358" s="14">
        <f>ROUND((IF(Q358=1,INDEX(新属性投放!$L$14:$L$34,卡牌属性!R358),INDEX(新属性投放!$L$42:$L$62,卡牌属性!R358))*INDEX($G$5:$G$42,L358)+IF(Q358=1,INDEX(新属性投放!T$20:T$23,卡牌属性!M358-1),INDEX(新属性投放!T$25:T$28,卡牌属性!M358-1)))*SQRT(INDEX($I$5:$I$42,L358)),2)</f>
        <v>297968.5</v>
      </c>
      <c r="Y358" s="29" t="s">
        <v>177</v>
      </c>
      <c r="Z358" s="14">
        <f>ROUND(IF(Q358=1,INDEX(新属性投放!$D$14:$D$34,卡牌属性!R358),INDEX(新属性投放!$D$42:$D$62,卡牌属性!R358))*INDEX($G$5:$G$42,L358)/SQRT(INDEX($I$5:$I$42,L358)),2)</f>
        <v>1364.97</v>
      </c>
      <c r="AA358" s="29" t="s">
        <v>178</v>
      </c>
      <c r="AB358" s="14">
        <f>ROUND(IF(Q358=1,INDEX(新属性投放!$E$14:$E$34,卡牌属性!R358),INDEX(新属性投放!$E$42:$E$62,卡牌属性!R358))*INDEX($G$5:$G$42,L358),2)</f>
        <v>682.49</v>
      </c>
      <c r="AC358" s="29" t="s">
        <v>179</v>
      </c>
      <c r="AD358" s="14">
        <f>ROUND(IF(Q358=1,INDEX(新属性投放!$F$14:$F$34,卡牌属性!R358),INDEX(新属性投放!$F$42:$F$62,卡牌属性!R358))*INDEX($G$5:$G$42,L358)*SQRT(INDEX($I$5:$I$42,L358)),2)</f>
        <v>6141</v>
      </c>
      <c r="AF358" s="14">
        <f t="shared" si="99"/>
        <v>13649</v>
      </c>
      <c r="AG358" s="14">
        <f t="shared" si="100"/>
        <v>6824</v>
      </c>
      <c r="AH358" s="14">
        <f t="shared" si="101"/>
        <v>61410</v>
      </c>
      <c r="AJ358" s="14">
        <f t="shared" si="102"/>
        <v>57292</v>
      </c>
      <c r="AK358" s="14">
        <f t="shared" si="103"/>
        <v>28641</v>
      </c>
      <c r="AL358" s="14">
        <f t="shared" si="104"/>
        <v>257745</v>
      </c>
    </row>
    <row r="359" spans="11:38" ht="16.5" x14ac:dyDescent="0.2">
      <c r="K359" s="13">
        <v>356</v>
      </c>
      <c r="L359" s="13">
        <f t="shared" si="93"/>
        <v>17</v>
      </c>
      <c r="M359" s="13">
        <f t="shared" si="94"/>
        <v>5</v>
      </c>
      <c r="N359" s="14">
        <f t="shared" si="95"/>
        <v>1102001</v>
      </c>
      <c r="O359" s="14" t="str">
        <f t="shared" si="96"/>
        <v>关羽20突</v>
      </c>
      <c r="P359" s="29" t="s">
        <v>341</v>
      </c>
      <c r="Q359" s="14">
        <f t="shared" si="97"/>
        <v>2</v>
      </c>
      <c r="R359" s="14">
        <f t="shared" si="98"/>
        <v>20</v>
      </c>
      <c r="S359" s="14" t="s">
        <v>39</v>
      </c>
      <c r="T359" s="14">
        <f>ROUND(((IF(Q359=1,INDEX(新属性投放!$J$14:$J$34,卡牌属性!R359),INDEX(新属性投放!$J$42:$J$62,卡牌属性!R359)))*INDEX($G$5:$G$42,L359)+IF(Q359=1,INDEX(新属性投放!R$20:R$23,卡牌属性!M359-1),INDEX(新属性投放!R$25:R$28,卡牌属性!M359-1)))/SQRT(INDEX($I$5:$I$42,L359)),2)</f>
        <v>72508.350000000006</v>
      </c>
      <c r="U359" s="29" t="s">
        <v>178</v>
      </c>
      <c r="V359" s="14">
        <f>ROUND((IF(Q359=1,INDEX(新属性投放!$K$14:$K$34,卡牌属性!R359),INDEX(新属性投放!$K$42:$K$62,卡牌属性!R359))+IF(Q359=1,INDEX(新属性投放!S$20:S$23,卡牌属性!M359-1),INDEX(新属性投放!S$25:S$28,卡牌属性!M359-1)))*INDEX($G$5:$G$42,L359),2)</f>
        <v>35950.43</v>
      </c>
      <c r="W359" s="29" t="s">
        <v>179</v>
      </c>
      <c r="X359" s="14">
        <f>ROUND((IF(Q359=1,INDEX(新属性投放!$L$14:$L$34,卡牌属性!R359),INDEX(新属性投放!$L$42:$L$62,卡牌属性!R359))*INDEX($G$5:$G$42,L359)+IF(Q359=1,INDEX(新属性投放!T$20:T$23,卡牌属性!M359-1),INDEX(新属性投放!T$25:T$28,卡牌属性!M359-1)))*SQRT(INDEX($I$5:$I$42,L359)),2)</f>
        <v>390091</v>
      </c>
      <c r="Y359" s="29" t="s">
        <v>177</v>
      </c>
      <c r="Z359" s="14">
        <f>ROUND(IF(Q359=1,INDEX(新属性投放!$D$14:$D$34,卡牌属性!R359),INDEX(新属性投放!$D$42:$D$62,卡牌属性!R359))*INDEX($G$5:$G$42,L359)/SQRT(INDEX($I$5:$I$42,L359)),2)</f>
        <v>1791.53</v>
      </c>
      <c r="AA359" s="29" t="s">
        <v>178</v>
      </c>
      <c r="AB359" s="14">
        <f>ROUND(IF(Q359=1,INDEX(新属性投放!$E$14:$E$34,卡牌属性!R359),INDEX(新属性投放!$E$42:$E$62,卡牌属性!R359))*INDEX($G$5:$G$42,L359),2)</f>
        <v>895.76</v>
      </c>
      <c r="AC359" s="29" t="s">
        <v>179</v>
      </c>
      <c r="AD359" s="14">
        <f>ROUND(IF(Q359=1,INDEX(新属性投放!$F$14:$F$34,卡牌属性!R359),INDEX(新属性投放!$F$42:$F$62,卡牌属性!R359))*INDEX($G$5:$G$42,L359)*SQRT(INDEX($I$5:$I$42,L359)),2)</f>
        <v>8061</v>
      </c>
      <c r="AF359" s="14">
        <f t="shared" si="99"/>
        <v>17915</v>
      </c>
      <c r="AG359" s="14">
        <f t="shared" si="100"/>
        <v>8957</v>
      </c>
      <c r="AH359" s="14">
        <f t="shared" si="101"/>
        <v>80610</v>
      </c>
      <c r="AJ359" s="14">
        <f t="shared" si="102"/>
        <v>75207</v>
      </c>
      <c r="AK359" s="14">
        <f t="shared" si="103"/>
        <v>37598</v>
      </c>
      <c r="AL359" s="14">
        <f t="shared" si="104"/>
        <v>338355</v>
      </c>
    </row>
    <row r="360" spans="11:38" ht="16.5" x14ac:dyDescent="0.2">
      <c r="K360" s="13">
        <v>357</v>
      </c>
      <c r="L360" s="13">
        <f t="shared" si="93"/>
        <v>17</v>
      </c>
      <c r="M360" s="13">
        <f t="shared" si="94"/>
        <v>5</v>
      </c>
      <c r="N360" s="14">
        <f t="shared" si="95"/>
        <v>1102001</v>
      </c>
      <c r="O360" s="14" t="str">
        <f t="shared" si="96"/>
        <v>关羽21突</v>
      </c>
      <c r="P360" s="29" t="s">
        <v>341</v>
      </c>
      <c r="Q360" s="14">
        <f t="shared" si="97"/>
        <v>2</v>
      </c>
      <c r="R360" s="14">
        <f t="shared" si="98"/>
        <v>21</v>
      </c>
      <c r="S360" s="14" t="s">
        <v>39</v>
      </c>
      <c r="T360" s="14">
        <f>ROUND(((IF(Q360=1,INDEX(新属性投放!$J$14:$J$34,卡牌属性!R360),INDEX(新属性投放!$J$42:$J$62,卡牌属性!R360)))*INDEX($G$5:$G$42,L360)+IF(Q360=1,INDEX(新属性投放!R$20:R$23,卡牌属性!M360-1),INDEX(新属性投放!R$25:R$28,卡牌属性!M360-1)))/SQRT(INDEX($I$5:$I$42,L360)),2)</f>
        <v>94902.6</v>
      </c>
      <c r="U360" s="29" t="s">
        <v>178</v>
      </c>
      <c r="V360" s="14">
        <f>ROUND((IF(Q360=1,INDEX(新属性投放!$K$14:$K$34,卡牌属性!R360),INDEX(新属性投放!$K$42:$K$62,卡牌属性!R360))+IF(Q360=1,INDEX(新属性投放!S$20:S$23,卡牌属性!M360-1),INDEX(新属性投放!S$25:S$28,卡牌属性!M360-1)))*INDEX($G$5:$G$42,L360),2)</f>
        <v>47147.55</v>
      </c>
      <c r="W360" s="29" t="s">
        <v>179</v>
      </c>
      <c r="X360" s="14">
        <f>ROUND((IF(Q360=1,INDEX(新属性投放!$L$14:$L$34,卡牌属性!R360),INDEX(新属性投放!$L$42:$L$62,卡牌属性!R360))*INDEX($G$5:$G$42,L360)+IF(Q360=1,INDEX(新属性投放!T$20:T$23,卡牌属性!M360-1),INDEX(新属性投放!T$25:T$28,卡牌属性!M360-1)))*SQRT(INDEX($I$5:$I$42,L360)),2)</f>
        <v>511012</v>
      </c>
      <c r="Y360" s="29" t="s">
        <v>177</v>
      </c>
      <c r="Z360" s="14">
        <f>ROUND(IF(Q360=1,INDEX(新属性投放!$D$14:$D$34,卡牌属性!R360),INDEX(新属性投放!$D$42:$D$62,卡牌属性!R360))*INDEX($G$5:$G$42,L360)/SQRT(INDEX($I$5:$I$42,L360)),2)</f>
        <v>2351.39</v>
      </c>
      <c r="AA360" s="29" t="s">
        <v>178</v>
      </c>
      <c r="AB360" s="14">
        <f>ROUND(IF(Q360=1,INDEX(新属性投放!$E$14:$E$34,卡牌属性!R360),INDEX(新属性投放!$E$42:$E$62,卡牌属性!R360))*INDEX($G$5:$G$42,L360),2)</f>
        <v>1175.69</v>
      </c>
      <c r="AC360" s="29" t="s">
        <v>179</v>
      </c>
      <c r="AD360" s="14">
        <f>ROUND(IF(Q360=1,INDEX(新属性投放!$F$14:$F$34,卡牌属性!R360),INDEX(新属性投放!$F$42:$F$62,卡牌属性!R360))*INDEX($G$5:$G$42,L360)*SQRT(INDEX($I$5:$I$42,L360)),2)</f>
        <v>10581</v>
      </c>
      <c r="AF360" s="14">
        <f t="shared" si="99"/>
        <v>23513</v>
      </c>
      <c r="AG360" s="14">
        <f t="shared" si="100"/>
        <v>11756</v>
      </c>
      <c r="AH360" s="14">
        <f t="shared" si="101"/>
        <v>105810</v>
      </c>
      <c r="AJ360" s="14">
        <f t="shared" si="102"/>
        <v>98720</v>
      </c>
      <c r="AK360" s="14">
        <f t="shared" si="103"/>
        <v>49354</v>
      </c>
      <c r="AL360" s="14">
        <f t="shared" si="104"/>
        <v>444165</v>
      </c>
    </row>
    <row r="361" spans="11:38" ht="16.5" x14ac:dyDescent="0.2">
      <c r="K361" s="13">
        <v>358</v>
      </c>
      <c r="L361" s="13">
        <f t="shared" si="93"/>
        <v>18</v>
      </c>
      <c r="M361" s="13">
        <f t="shared" si="94"/>
        <v>3</v>
      </c>
      <c r="N361" s="14">
        <f t="shared" si="95"/>
        <v>1102002</v>
      </c>
      <c r="O361" s="14" t="str">
        <f t="shared" si="96"/>
        <v>许褚1突</v>
      </c>
      <c r="P361" s="29" t="s">
        <v>341</v>
      </c>
      <c r="Q361" s="14">
        <f t="shared" si="97"/>
        <v>2</v>
      </c>
      <c r="R361" s="14">
        <f t="shared" si="98"/>
        <v>1</v>
      </c>
      <c r="S361" s="14" t="s">
        <v>39</v>
      </c>
      <c r="T361" s="14">
        <f>ROUND(((IF(Q361=1,INDEX(新属性投放!$J$14:$J$34,卡牌属性!R361),INDEX(新属性投放!$J$42:$J$62,卡牌属性!R361)))*INDEX($G$5:$G$42,L361)+IF(Q361=1,INDEX(新属性投放!R$20:R$23,卡牌属性!M361-1),INDEX(新属性投放!R$25:R$28,卡牌属性!M361-1)))/SQRT(INDEX($I$5:$I$42,L361)),2)</f>
        <v>480</v>
      </c>
      <c r="U361" s="29" t="s">
        <v>178</v>
      </c>
      <c r="V361" s="14">
        <f>ROUND((IF(Q361=1,INDEX(新属性投放!$K$14:$K$34,卡牌属性!R361),INDEX(新属性投放!$K$42:$K$62,卡牌属性!R361))+IF(Q361=1,INDEX(新属性投放!S$20:S$23,卡牌属性!M361-1),INDEX(新属性投放!S$25:S$28,卡牌属性!M361-1)))*INDEX($G$5:$G$42,L361),2)</f>
        <v>115</v>
      </c>
      <c r="W361" s="29" t="s">
        <v>179</v>
      </c>
      <c r="X361" s="14">
        <f>ROUND((IF(Q361=1,INDEX(新属性投放!$L$14:$L$34,卡牌属性!R361),INDEX(新属性投放!$L$42:$L$62,卡牌属性!R361))*INDEX($G$5:$G$42,L361)+IF(Q361=1,INDEX(新属性投放!T$20:T$23,卡牌属性!M361-1),INDEX(新属性投放!T$25:T$28,卡牌属性!M361-1)))*SQRT(INDEX($I$5:$I$42,L361)),2)</f>
        <v>1317.5</v>
      </c>
      <c r="Y361" s="29" t="s">
        <v>177</v>
      </c>
      <c r="Z361" s="14">
        <f>ROUND(IF(Q361=1,INDEX(新属性投放!$D$14:$D$34,卡牌属性!R361),INDEX(新属性投放!$D$42:$D$62,卡牌属性!R361))*INDEX($G$5:$G$42,L361)/SQRT(INDEX($I$5:$I$42,L361)),2)</f>
        <v>11.5</v>
      </c>
      <c r="AA361" s="29" t="s">
        <v>178</v>
      </c>
      <c r="AB361" s="14">
        <f>ROUND(IF(Q361=1,INDEX(新属性投放!$E$14:$E$34,卡牌属性!R361),INDEX(新属性投放!$E$42:$E$62,卡牌属性!R361))*INDEX($G$5:$G$42,L361),2)</f>
        <v>5.75</v>
      </c>
      <c r="AC361" s="29" t="s">
        <v>179</v>
      </c>
      <c r="AD361" s="14">
        <f>ROUND(IF(Q361=1,INDEX(新属性投放!$F$14:$F$34,卡牌属性!R361),INDEX(新属性投放!$F$42:$F$62,卡牌属性!R361))*INDEX($G$5:$G$42,L361)*SQRT(INDEX($I$5:$I$42,L361)),2)</f>
        <v>51.75</v>
      </c>
      <c r="AF361" s="14">
        <f t="shared" si="99"/>
        <v>115</v>
      </c>
      <c r="AG361" s="14">
        <f t="shared" si="100"/>
        <v>57</v>
      </c>
      <c r="AH361" s="14">
        <f t="shared" si="101"/>
        <v>517</v>
      </c>
      <c r="AJ361" s="14">
        <f>AF361</f>
        <v>115</v>
      </c>
      <c r="AK361" s="14">
        <f>AG361</f>
        <v>57</v>
      </c>
      <c r="AL361" s="14">
        <f>AH361</f>
        <v>517</v>
      </c>
    </row>
    <row r="362" spans="11:38" ht="16.5" x14ac:dyDescent="0.2">
      <c r="K362" s="13">
        <v>359</v>
      </c>
      <c r="L362" s="13">
        <f t="shared" si="93"/>
        <v>18</v>
      </c>
      <c r="M362" s="13">
        <f t="shared" si="94"/>
        <v>3</v>
      </c>
      <c r="N362" s="14">
        <f t="shared" si="95"/>
        <v>1102002</v>
      </c>
      <c r="O362" s="14" t="str">
        <f t="shared" si="96"/>
        <v>许褚2突</v>
      </c>
      <c r="P362" s="29" t="s">
        <v>341</v>
      </c>
      <c r="Q362" s="14">
        <f t="shared" si="97"/>
        <v>2</v>
      </c>
      <c r="R362" s="14">
        <f t="shared" si="98"/>
        <v>2</v>
      </c>
      <c r="S362" s="14" t="s">
        <v>39</v>
      </c>
      <c r="T362" s="14">
        <f>ROUND(((IF(Q362=1,INDEX(新属性投放!$J$14:$J$34,卡牌属性!R362),INDEX(新属性投放!$J$42:$J$62,卡牌属性!R362)))*INDEX($G$5:$G$42,L362)+IF(Q362=1,INDEX(新属性投放!R$20:R$23,卡牌属性!M362-1),INDEX(新属性投放!R$25:R$28,卡牌属性!M362-1)))/SQRT(INDEX($I$5:$I$42,L362)),2)</f>
        <v>612.25</v>
      </c>
      <c r="U362" s="29" t="s">
        <v>178</v>
      </c>
      <c r="V362" s="14">
        <f>ROUND((IF(Q362=1,INDEX(新属性投放!$K$14:$K$34,卡牌属性!R362),INDEX(新属性投放!$K$42:$K$62,卡牌属性!R362))+IF(Q362=1,INDEX(新属性投放!S$20:S$23,卡牌属性!M362-1),INDEX(新属性投放!S$25:S$28,卡牌属性!M362-1)))*INDEX($G$5:$G$42,L362),2)</f>
        <v>178.25</v>
      </c>
      <c r="W362" s="29" t="s">
        <v>179</v>
      </c>
      <c r="X362" s="14">
        <f>ROUND((IF(Q362=1,INDEX(新属性投放!$L$14:$L$34,卡牌属性!R362),INDEX(新属性投放!$L$42:$L$62,卡牌属性!R362))*INDEX($G$5:$G$42,L362)+IF(Q362=1,INDEX(新属性投放!T$20:T$23,卡牌属性!M362-1),INDEX(新属性投放!T$25:T$28,卡牌属性!M362-1)))*SQRT(INDEX($I$5:$I$42,L362)),2)</f>
        <v>2042</v>
      </c>
      <c r="Y362" s="29" t="s">
        <v>177</v>
      </c>
      <c r="Z362" s="14">
        <f>ROUND(IF(Q362=1,INDEX(新属性投放!$D$14:$D$34,卡牌属性!R362),INDEX(新属性投放!$D$42:$D$62,卡牌属性!R362))*INDEX($G$5:$G$42,L362)/SQRT(INDEX($I$5:$I$42,L362)),2)</f>
        <v>11.5</v>
      </c>
      <c r="AA362" s="29" t="s">
        <v>178</v>
      </c>
      <c r="AB362" s="14">
        <f>ROUND(IF(Q362=1,INDEX(新属性投放!$E$14:$E$34,卡牌属性!R362),INDEX(新属性投放!$E$42:$E$62,卡牌属性!R362))*INDEX($G$5:$G$42,L362),2)</f>
        <v>5.75</v>
      </c>
      <c r="AC362" s="29" t="s">
        <v>179</v>
      </c>
      <c r="AD362" s="14">
        <f>ROUND(IF(Q362=1,INDEX(新属性投放!$F$14:$F$34,卡牌属性!R362),INDEX(新属性投放!$F$42:$F$62,卡牌属性!R362))*INDEX($G$5:$G$42,L362)*SQRT(INDEX($I$5:$I$42,L362)),2)</f>
        <v>51.75</v>
      </c>
      <c r="AF362" s="14">
        <f t="shared" si="99"/>
        <v>115</v>
      </c>
      <c r="AG362" s="14">
        <f t="shared" si="100"/>
        <v>57</v>
      </c>
      <c r="AH362" s="14">
        <f t="shared" si="101"/>
        <v>517</v>
      </c>
      <c r="AJ362" s="14">
        <f t="shared" ref="AJ362:AJ381" si="105">AJ361+AF362</f>
        <v>230</v>
      </c>
      <c r="AK362" s="14">
        <f t="shared" ref="AK362:AK381" si="106">AK361+AG362</f>
        <v>114</v>
      </c>
      <c r="AL362" s="14">
        <f t="shared" ref="AL362:AL381" si="107">AL361+AH362</f>
        <v>1034</v>
      </c>
    </row>
    <row r="363" spans="11:38" ht="16.5" x14ac:dyDescent="0.2">
      <c r="K363" s="13">
        <v>360</v>
      </c>
      <c r="L363" s="13">
        <f t="shared" si="93"/>
        <v>18</v>
      </c>
      <c r="M363" s="13">
        <f t="shared" si="94"/>
        <v>3</v>
      </c>
      <c r="N363" s="14">
        <f t="shared" si="95"/>
        <v>1102002</v>
      </c>
      <c r="O363" s="14" t="str">
        <f t="shared" si="96"/>
        <v>许褚3突</v>
      </c>
      <c r="P363" s="29" t="s">
        <v>341</v>
      </c>
      <c r="Q363" s="14">
        <f t="shared" si="97"/>
        <v>2</v>
      </c>
      <c r="R363" s="14">
        <f t="shared" si="98"/>
        <v>3</v>
      </c>
      <c r="S363" s="14" t="s">
        <v>39</v>
      </c>
      <c r="T363" s="14">
        <f>ROUND(((IF(Q363=1,INDEX(新属性投放!$J$14:$J$34,卡牌属性!R363),INDEX(新属性投放!$J$42:$J$62,卡牌属性!R363)))*INDEX($G$5:$G$42,L363)+IF(Q363=1,INDEX(新属性投放!R$20:R$23,卡牌属性!M363-1),INDEX(新属性投放!R$25:R$28,卡牌属性!M363-1)))/SQRT(INDEX($I$5:$I$42,L363)),2)</f>
        <v>756</v>
      </c>
      <c r="U363" s="29" t="s">
        <v>178</v>
      </c>
      <c r="V363" s="14">
        <f>ROUND((IF(Q363=1,INDEX(新属性投放!$K$14:$K$34,卡牌属性!R363),INDEX(新属性投放!$K$42:$K$62,卡牌属性!R363))+IF(Q363=1,INDEX(新属性投放!S$20:S$23,卡牌属性!M363-1),INDEX(新属性投放!S$25:S$28,卡牌属性!M363-1)))*INDEX($G$5:$G$42,L363),2)</f>
        <v>250.7</v>
      </c>
      <c r="W363" s="29" t="s">
        <v>179</v>
      </c>
      <c r="X363" s="14">
        <f>ROUND((IF(Q363=1,INDEX(新属性投放!$L$14:$L$34,卡牌属性!R363),INDEX(新属性投放!$L$42:$L$62,卡牌属性!R363))*INDEX($G$5:$G$42,L363)+IF(Q363=1,INDEX(新属性投放!T$20:T$23,卡牌属性!M363-1),INDEX(新属性投放!T$25:T$28,卡牌属性!M363-1)))*SQRT(INDEX($I$5:$I$42,L363)),2)</f>
        <v>2818.25</v>
      </c>
      <c r="Y363" s="29" t="s">
        <v>177</v>
      </c>
      <c r="Z363" s="14">
        <f>ROUND(IF(Q363=1,INDEX(新属性投放!$D$14:$D$34,卡牌属性!R363),INDEX(新属性投放!$D$42:$D$62,卡牌属性!R363))*INDEX($G$5:$G$42,L363)/SQRT(INDEX($I$5:$I$42,L363)),2)</f>
        <v>17.25</v>
      </c>
      <c r="AA363" s="29" t="s">
        <v>178</v>
      </c>
      <c r="AB363" s="14">
        <f>ROUND(IF(Q363=1,INDEX(新属性投放!$E$14:$E$34,卡牌属性!R363),INDEX(新属性投放!$E$42:$E$62,卡牌属性!R363))*INDEX($G$5:$G$42,L363),2)</f>
        <v>8.6300000000000008</v>
      </c>
      <c r="AC363" s="29" t="s">
        <v>179</v>
      </c>
      <c r="AD363" s="14">
        <f>ROUND(IF(Q363=1,INDEX(新属性投放!$F$14:$F$34,卡牌属性!R363),INDEX(新属性投放!$F$42:$F$62,卡牌属性!R363))*INDEX($G$5:$G$42,L363)*SQRT(INDEX($I$5:$I$42,L363)),2)</f>
        <v>77.05</v>
      </c>
      <c r="AF363" s="14">
        <f t="shared" si="99"/>
        <v>172</v>
      </c>
      <c r="AG363" s="14">
        <f t="shared" si="100"/>
        <v>86</v>
      </c>
      <c r="AH363" s="14">
        <f t="shared" si="101"/>
        <v>770</v>
      </c>
      <c r="AJ363" s="14">
        <f t="shared" si="105"/>
        <v>402</v>
      </c>
      <c r="AK363" s="14">
        <f t="shared" si="106"/>
        <v>200</v>
      </c>
      <c r="AL363" s="14">
        <f t="shared" si="107"/>
        <v>1804</v>
      </c>
    </row>
    <row r="364" spans="11:38" ht="16.5" x14ac:dyDescent="0.2">
      <c r="K364" s="13">
        <v>361</v>
      </c>
      <c r="L364" s="13">
        <f t="shared" si="93"/>
        <v>18</v>
      </c>
      <c r="M364" s="13">
        <f t="shared" si="94"/>
        <v>3</v>
      </c>
      <c r="N364" s="14">
        <f t="shared" si="95"/>
        <v>1102002</v>
      </c>
      <c r="O364" s="14" t="str">
        <f t="shared" si="96"/>
        <v>许褚4突</v>
      </c>
      <c r="P364" s="29" t="s">
        <v>341</v>
      </c>
      <c r="Q364" s="14">
        <f t="shared" si="97"/>
        <v>2</v>
      </c>
      <c r="R364" s="14">
        <f t="shared" si="98"/>
        <v>4</v>
      </c>
      <c r="S364" s="14" t="s">
        <v>39</v>
      </c>
      <c r="T364" s="14">
        <f>ROUND(((IF(Q364=1,INDEX(新属性投放!$J$14:$J$34,卡牌属性!R364),INDEX(新属性投放!$J$42:$J$62,卡牌属性!R364)))*INDEX($G$5:$G$42,L364)+IF(Q364=1,INDEX(新属性投放!R$20:R$23,卡牌属性!M364-1),INDEX(新属性投放!R$25:R$28,卡牌属性!M364-1)))/SQRT(INDEX($I$5:$I$42,L364)),2)</f>
        <v>972.2</v>
      </c>
      <c r="U364" s="29" t="s">
        <v>178</v>
      </c>
      <c r="V364" s="14">
        <f>ROUND((IF(Q364=1,INDEX(新属性投放!$K$14:$K$34,卡牌属性!R364),INDEX(新属性投放!$K$42:$K$62,卡牌属性!R364))+IF(Q364=1,INDEX(新属性投放!S$20:S$23,卡牌属性!M364-1),INDEX(新属性投放!S$25:S$28,卡牌属性!M364-1)))*INDEX($G$5:$G$42,L364),2)</f>
        <v>358.8</v>
      </c>
      <c r="W364" s="29" t="s">
        <v>179</v>
      </c>
      <c r="X364" s="14">
        <f>ROUND((IF(Q364=1,INDEX(新属性投放!$L$14:$L$34,卡牌属性!R364),INDEX(新属性投放!$L$42:$L$62,卡牌属性!R364))*INDEX($G$5:$G$42,L364)+IF(Q364=1,INDEX(新属性投放!T$20:T$23,卡牌属性!M364-1),INDEX(新属性投放!T$25:T$28,卡牌属性!M364-1)))*SQRT(INDEX($I$5:$I$42,L364)),2)</f>
        <v>3982.05</v>
      </c>
      <c r="Y364" s="29" t="s">
        <v>177</v>
      </c>
      <c r="Z364" s="14">
        <f>ROUND(IF(Q364=1,INDEX(新属性投放!$D$14:$D$34,卡牌属性!R364),INDEX(新属性投放!$D$42:$D$62,卡牌属性!R364))*INDEX($G$5:$G$42,L364)/SQRT(INDEX($I$5:$I$42,L364)),2)</f>
        <v>23</v>
      </c>
      <c r="AA364" s="29" t="s">
        <v>178</v>
      </c>
      <c r="AB364" s="14">
        <f>ROUND(IF(Q364=1,INDEX(新属性投放!$E$14:$E$34,卡牌属性!R364),INDEX(新属性投放!$E$42:$E$62,卡牌属性!R364))*INDEX($G$5:$G$42,L364),2)</f>
        <v>11.5</v>
      </c>
      <c r="AC364" s="29" t="s">
        <v>179</v>
      </c>
      <c r="AD364" s="14">
        <f>ROUND(IF(Q364=1,INDEX(新属性投放!$F$14:$F$34,卡牌属性!R364),INDEX(新属性投放!$F$42:$F$62,卡牌属性!R364))*INDEX($G$5:$G$42,L364)*SQRT(INDEX($I$5:$I$42,L364)),2)</f>
        <v>103.5</v>
      </c>
      <c r="AF364" s="14">
        <f t="shared" si="99"/>
        <v>230</v>
      </c>
      <c r="AG364" s="14">
        <f t="shared" si="100"/>
        <v>115</v>
      </c>
      <c r="AH364" s="14">
        <f t="shared" si="101"/>
        <v>1035</v>
      </c>
      <c r="AJ364" s="14">
        <f t="shared" si="105"/>
        <v>632</v>
      </c>
      <c r="AK364" s="14">
        <f t="shared" si="106"/>
        <v>315</v>
      </c>
      <c r="AL364" s="14">
        <f t="shared" si="107"/>
        <v>2839</v>
      </c>
    </row>
    <row r="365" spans="11:38" ht="16.5" x14ac:dyDescent="0.2">
      <c r="K365" s="13">
        <v>362</v>
      </c>
      <c r="L365" s="13">
        <f t="shared" si="93"/>
        <v>18</v>
      </c>
      <c r="M365" s="13">
        <f t="shared" si="94"/>
        <v>3</v>
      </c>
      <c r="N365" s="14">
        <f t="shared" si="95"/>
        <v>1102002</v>
      </c>
      <c r="O365" s="14" t="str">
        <f t="shared" si="96"/>
        <v>许褚5突</v>
      </c>
      <c r="P365" s="29" t="s">
        <v>341</v>
      </c>
      <c r="Q365" s="14">
        <f t="shared" si="97"/>
        <v>2</v>
      </c>
      <c r="R365" s="14">
        <f t="shared" si="98"/>
        <v>5</v>
      </c>
      <c r="S365" s="14" t="s">
        <v>39</v>
      </c>
      <c r="T365" s="14">
        <f>ROUND(((IF(Q365=1,INDEX(新属性投放!$J$14:$J$34,卡牌属性!R365),INDEX(新属性投放!$J$42:$J$62,卡牌属性!R365)))*INDEX($G$5:$G$42,L365)+IF(Q365=1,INDEX(新属性投放!R$20:R$23,卡牌属性!M365-1),INDEX(新属性投放!R$25:R$28,卡牌属性!M365-1)))/SQRT(INDEX($I$5:$I$42,L365)),2)</f>
        <v>1259.7</v>
      </c>
      <c r="U365" s="29" t="s">
        <v>178</v>
      </c>
      <c r="V365" s="14">
        <f>ROUND((IF(Q365=1,INDEX(新属性投放!$K$14:$K$34,卡牌属性!R365),INDEX(新属性投放!$K$42:$K$62,卡牌属性!R365))+IF(Q365=1,INDEX(新属性投放!S$20:S$23,卡牌属性!M365-1),INDEX(新属性投放!S$25:S$28,卡牌属性!M365-1)))*INDEX($G$5:$G$42,L365),2)</f>
        <v>502.55</v>
      </c>
      <c r="W365" s="29" t="s">
        <v>179</v>
      </c>
      <c r="X365" s="14">
        <f>ROUND((IF(Q365=1,INDEX(新属性投放!$L$14:$L$34,卡牌属性!R365),INDEX(新属性投放!$L$42:$L$62,卡牌属性!R365))*INDEX($G$5:$G$42,L365)+IF(Q365=1,INDEX(新属性投放!T$20:T$23,卡牌属性!M365-1),INDEX(新属性投放!T$25:T$28,卡牌属性!M365-1)))*SQRT(INDEX($I$5:$I$42,L365)),2)</f>
        <v>5534.55</v>
      </c>
      <c r="Y365" s="29" t="s">
        <v>177</v>
      </c>
      <c r="Z365" s="14">
        <f>ROUND(IF(Q365=1,INDEX(新属性投放!$D$14:$D$34,卡牌属性!R365),INDEX(新属性投放!$D$42:$D$62,卡牌属性!R365))*INDEX($G$5:$G$42,L365)/SQRT(INDEX($I$5:$I$42,L365)),2)</f>
        <v>28.75</v>
      </c>
      <c r="AA365" s="29" t="s">
        <v>178</v>
      </c>
      <c r="AB365" s="14">
        <f>ROUND(IF(Q365=1,INDEX(新属性投放!$E$14:$E$34,卡牌属性!R365),INDEX(新属性投放!$E$42:$E$62,卡牌属性!R365))*INDEX($G$5:$G$42,L365),2)</f>
        <v>14.38</v>
      </c>
      <c r="AC365" s="29" t="s">
        <v>179</v>
      </c>
      <c r="AD365" s="14">
        <f>ROUND(IF(Q365=1,INDEX(新属性投放!$F$14:$F$34,卡牌属性!R365),INDEX(新属性投放!$F$42:$F$62,卡牌属性!R365))*INDEX($G$5:$G$42,L365)*SQRT(INDEX($I$5:$I$42,L365)),2)</f>
        <v>128.80000000000001</v>
      </c>
      <c r="AF365" s="14">
        <f t="shared" si="99"/>
        <v>287</v>
      </c>
      <c r="AG365" s="14">
        <f t="shared" si="100"/>
        <v>143</v>
      </c>
      <c r="AH365" s="14">
        <f t="shared" si="101"/>
        <v>1288</v>
      </c>
      <c r="AJ365" s="14">
        <f t="shared" si="105"/>
        <v>919</v>
      </c>
      <c r="AK365" s="14">
        <f t="shared" si="106"/>
        <v>458</v>
      </c>
      <c r="AL365" s="14">
        <f t="shared" si="107"/>
        <v>4127</v>
      </c>
    </row>
    <row r="366" spans="11:38" ht="16.5" x14ac:dyDescent="0.2">
      <c r="K366" s="13">
        <v>363</v>
      </c>
      <c r="L366" s="13">
        <f t="shared" si="93"/>
        <v>18</v>
      </c>
      <c r="M366" s="13">
        <f t="shared" si="94"/>
        <v>3</v>
      </c>
      <c r="N366" s="14">
        <f t="shared" si="95"/>
        <v>1102002</v>
      </c>
      <c r="O366" s="14" t="str">
        <f t="shared" si="96"/>
        <v>许褚6突</v>
      </c>
      <c r="P366" s="29" t="s">
        <v>341</v>
      </c>
      <c r="Q366" s="14">
        <f t="shared" si="97"/>
        <v>2</v>
      </c>
      <c r="R366" s="14">
        <f t="shared" si="98"/>
        <v>6</v>
      </c>
      <c r="S366" s="14" t="s">
        <v>39</v>
      </c>
      <c r="T366" s="14">
        <f>ROUND(((IF(Q366=1,INDEX(新属性投放!$J$14:$J$34,卡牌属性!R366),INDEX(新属性投放!$J$42:$J$62,卡牌属性!R366)))*INDEX($G$5:$G$42,L366)+IF(Q366=1,INDEX(新属性投放!R$20:R$23,卡牌属性!M366-1),INDEX(新属性投放!R$25:R$28,卡牌属性!M366-1)))/SQRT(INDEX($I$5:$I$42,L366)),2)</f>
        <v>1619.65</v>
      </c>
      <c r="U366" s="29" t="s">
        <v>178</v>
      </c>
      <c r="V366" s="14">
        <f>ROUND((IF(Q366=1,INDEX(新属性投放!$K$14:$K$34,卡牌属性!R366),INDEX(新属性投放!$K$42:$K$62,卡牌属性!R366))+IF(Q366=1,INDEX(新属性投放!S$20:S$23,卡牌属性!M366-1),INDEX(新属性投放!S$25:S$28,卡牌属性!M366-1)))*INDEX($G$5:$G$42,L366),2)</f>
        <v>681.95</v>
      </c>
      <c r="W366" s="29" t="s">
        <v>179</v>
      </c>
      <c r="X366" s="14">
        <f>ROUND((IF(Q366=1,INDEX(新属性投放!$L$14:$L$34,卡牌属性!R366),INDEX(新属性投放!$L$42:$L$62,卡牌属性!R366))*INDEX($G$5:$G$42,L366)+IF(Q366=1,INDEX(新属性投放!T$20:T$23,卡牌属性!M366-1),INDEX(新属性投放!T$25:T$28,卡牌属性!M366-1)))*SQRT(INDEX($I$5:$I$42,L366)),2)</f>
        <v>7474.6</v>
      </c>
      <c r="Y366" s="29" t="s">
        <v>177</v>
      </c>
      <c r="Z366" s="14">
        <f>ROUND(IF(Q366=1,INDEX(新属性投放!$D$14:$D$34,卡牌属性!R366),INDEX(新属性投放!$D$42:$D$62,卡牌属性!R366))*INDEX($G$5:$G$42,L366)/SQRT(INDEX($I$5:$I$42,L366)),2)</f>
        <v>34.5</v>
      </c>
      <c r="AA366" s="29" t="s">
        <v>178</v>
      </c>
      <c r="AB366" s="14">
        <f>ROUND(IF(Q366=1,INDEX(新属性投放!$E$14:$E$34,卡牌属性!R366),INDEX(新属性投放!$E$42:$E$62,卡牌属性!R366))*INDEX($G$5:$G$42,L366),2)</f>
        <v>17.25</v>
      </c>
      <c r="AC366" s="29" t="s">
        <v>179</v>
      </c>
      <c r="AD366" s="14">
        <f>ROUND(IF(Q366=1,INDEX(新属性投放!$F$14:$F$34,卡牌属性!R366),INDEX(新属性投放!$F$42:$F$62,卡牌属性!R366))*INDEX($G$5:$G$42,L366)*SQRT(INDEX($I$5:$I$42,L366)),2)</f>
        <v>155.25</v>
      </c>
      <c r="AF366" s="14">
        <f t="shared" si="99"/>
        <v>345</v>
      </c>
      <c r="AG366" s="14">
        <f t="shared" si="100"/>
        <v>172</v>
      </c>
      <c r="AH366" s="14">
        <f t="shared" si="101"/>
        <v>1552</v>
      </c>
      <c r="AJ366" s="14">
        <f t="shared" si="105"/>
        <v>1264</v>
      </c>
      <c r="AK366" s="14">
        <f t="shared" si="106"/>
        <v>630</v>
      </c>
      <c r="AL366" s="14">
        <f t="shared" si="107"/>
        <v>5679</v>
      </c>
    </row>
    <row r="367" spans="11:38" ht="16.5" x14ac:dyDescent="0.2">
      <c r="K367" s="13">
        <v>364</v>
      </c>
      <c r="L367" s="13">
        <f t="shared" si="93"/>
        <v>18</v>
      </c>
      <c r="M367" s="13">
        <f t="shared" si="94"/>
        <v>3</v>
      </c>
      <c r="N367" s="14">
        <f t="shared" si="95"/>
        <v>1102002</v>
      </c>
      <c r="O367" s="14" t="str">
        <f t="shared" si="96"/>
        <v>许褚7突</v>
      </c>
      <c r="P367" s="29" t="s">
        <v>341</v>
      </c>
      <c r="Q367" s="14">
        <f t="shared" si="97"/>
        <v>2</v>
      </c>
      <c r="R367" s="14">
        <f t="shared" si="98"/>
        <v>7</v>
      </c>
      <c r="S367" s="14" t="s">
        <v>39</v>
      </c>
      <c r="T367" s="14">
        <f>ROUND(((IF(Q367=1,INDEX(新属性投放!$J$14:$J$34,卡牌属性!R367),INDEX(新属性投放!$J$42:$J$62,卡牌属性!R367)))*INDEX($G$5:$G$42,L367)+IF(Q367=1,INDEX(新属性投放!R$20:R$23,卡牌属性!M367-1),INDEX(新属性投放!R$25:R$28,卡牌属性!M367-1)))/SQRT(INDEX($I$5:$I$42,L367)),2)</f>
        <v>2050.9</v>
      </c>
      <c r="U367" s="29" t="s">
        <v>178</v>
      </c>
      <c r="V367" s="14">
        <f>ROUND((IF(Q367=1,INDEX(新属性投放!$K$14:$K$34,卡牌属性!R367),INDEX(新属性投放!$K$42:$K$62,卡牌属性!R367))+IF(Q367=1,INDEX(新属性投放!S$20:S$23,卡牌属性!M367-1),INDEX(新属性投放!S$25:S$28,卡牌属性!M367-1)))*INDEX($G$5:$G$42,L367),2)</f>
        <v>898.15</v>
      </c>
      <c r="W367" s="29" t="s">
        <v>179</v>
      </c>
      <c r="X367" s="14">
        <f>ROUND((IF(Q367=1,INDEX(新属性投放!$L$14:$L$34,卡牌属性!R367),INDEX(新属性投放!$L$42:$L$62,卡牌属性!R367))*INDEX($G$5:$G$42,L367)+IF(Q367=1,INDEX(新属性投放!T$20:T$23,卡牌属性!M367-1),INDEX(新属性投放!T$25:T$28,卡牌属性!M367-1)))*SQRT(INDEX($I$5:$I$42,L367)),2)</f>
        <v>9803.35</v>
      </c>
      <c r="Y367" s="29" t="s">
        <v>177</v>
      </c>
      <c r="Z367" s="14">
        <f>ROUND(IF(Q367=1,INDEX(新属性投放!$D$14:$D$34,卡牌属性!R367),INDEX(新属性投放!$D$42:$D$62,卡牌属性!R367))*INDEX($G$5:$G$42,L367)/SQRT(INDEX($I$5:$I$42,L367)),2)</f>
        <v>40.25</v>
      </c>
      <c r="AA367" s="29" t="s">
        <v>178</v>
      </c>
      <c r="AB367" s="14">
        <f>ROUND(IF(Q367=1,INDEX(新属性投放!$E$14:$E$34,卡牌属性!R367),INDEX(新属性投放!$E$42:$E$62,卡牌属性!R367))*INDEX($G$5:$G$42,L367),2)</f>
        <v>20.13</v>
      </c>
      <c r="AC367" s="29" t="s">
        <v>179</v>
      </c>
      <c r="AD367" s="14">
        <f>ROUND(IF(Q367=1,INDEX(新属性投放!$F$14:$F$34,卡牌属性!R367),INDEX(新属性投放!$F$42:$F$62,卡牌属性!R367))*INDEX($G$5:$G$42,L367)*SQRT(INDEX($I$5:$I$42,L367)),2)</f>
        <v>180.55</v>
      </c>
      <c r="AF367" s="14">
        <f t="shared" si="99"/>
        <v>402</v>
      </c>
      <c r="AG367" s="14">
        <f t="shared" si="100"/>
        <v>201</v>
      </c>
      <c r="AH367" s="14">
        <f t="shared" si="101"/>
        <v>1805</v>
      </c>
      <c r="AJ367" s="14">
        <f t="shared" si="105"/>
        <v>1666</v>
      </c>
      <c r="AK367" s="14">
        <f t="shared" si="106"/>
        <v>831</v>
      </c>
      <c r="AL367" s="14">
        <f t="shared" si="107"/>
        <v>7484</v>
      </c>
    </row>
    <row r="368" spans="11:38" ht="16.5" x14ac:dyDescent="0.2">
      <c r="K368" s="13">
        <v>365</v>
      </c>
      <c r="L368" s="13">
        <f t="shared" si="93"/>
        <v>18</v>
      </c>
      <c r="M368" s="13">
        <f t="shared" si="94"/>
        <v>3</v>
      </c>
      <c r="N368" s="14">
        <f t="shared" si="95"/>
        <v>1102002</v>
      </c>
      <c r="O368" s="14" t="str">
        <f t="shared" si="96"/>
        <v>许褚8突</v>
      </c>
      <c r="P368" s="29" t="s">
        <v>341</v>
      </c>
      <c r="Q368" s="14">
        <f t="shared" si="97"/>
        <v>2</v>
      </c>
      <c r="R368" s="14">
        <f t="shared" si="98"/>
        <v>8</v>
      </c>
      <c r="S368" s="14" t="s">
        <v>39</v>
      </c>
      <c r="T368" s="14">
        <f>ROUND(((IF(Q368=1,INDEX(新属性投放!$J$14:$J$34,卡牌属性!R368),INDEX(新属性投放!$J$42:$J$62,卡牌属性!R368)))*INDEX($G$5:$G$42,L368)+IF(Q368=1,INDEX(新属性投放!R$20:R$23,卡牌属性!M368-1),INDEX(新属性投放!R$25:R$28,卡牌属性!M368-1)))/SQRT(INDEX($I$5:$I$42,L368)),2)</f>
        <v>2554.6</v>
      </c>
      <c r="U368" s="29" t="s">
        <v>178</v>
      </c>
      <c r="V368" s="14">
        <f>ROUND((IF(Q368=1,INDEX(新属性投放!$K$14:$K$34,卡牌属性!R368),INDEX(新属性投放!$K$42:$K$62,卡牌属性!R368))+IF(Q368=1,INDEX(新属性投放!S$20:S$23,卡牌属性!M368-1),INDEX(新属性投放!S$25:S$28,卡牌属性!M368-1)))*INDEX($G$5:$G$42,L368),2)</f>
        <v>1150</v>
      </c>
      <c r="W368" s="29" t="s">
        <v>179</v>
      </c>
      <c r="X368" s="14">
        <f>ROUND((IF(Q368=1,INDEX(新属性投放!$L$14:$L$34,卡牌属性!R368),INDEX(新属性投放!$L$42:$L$62,卡牌属性!R368))*INDEX($G$5:$G$42,L368)+IF(Q368=1,INDEX(新属性投放!T$20:T$23,卡牌属性!M368-1),INDEX(新属性投放!T$25:T$28,卡牌属性!M368-1)))*SQRT(INDEX($I$5:$I$42,L368)),2)</f>
        <v>12519.65</v>
      </c>
      <c r="Y368" s="29" t="s">
        <v>177</v>
      </c>
      <c r="Z368" s="14">
        <f>ROUND(IF(Q368=1,INDEX(新属性投放!$D$14:$D$34,卡牌属性!R368),INDEX(新属性投放!$D$42:$D$62,卡牌属性!R368))*INDEX($G$5:$G$42,L368)/SQRT(INDEX($I$5:$I$42,L368)),2)</f>
        <v>51.75</v>
      </c>
      <c r="AA368" s="29" t="s">
        <v>178</v>
      </c>
      <c r="AB368" s="14">
        <f>ROUND(IF(Q368=1,INDEX(新属性投放!$E$14:$E$34,卡牌属性!R368),INDEX(新属性投放!$E$42:$E$62,卡牌属性!R368))*INDEX($G$5:$G$42,L368),2)</f>
        <v>25.88</v>
      </c>
      <c r="AC368" s="29" t="s">
        <v>179</v>
      </c>
      <c r="AD368" s="14">
        <f>ROUND(IF(Q368=1,INDEX(新属性投放!$F$14:$F$34,卡牌属性!R368),INDEX(新属性投放!$F$42:$F$62,卡牌属性!R368))*INDEX($G$5:$G$42,L368)*SQRT(INDEX($I$5:$I$42,L368)),2)</f>
        <v>232.3</v>
      </c>
      <c r="AF368" s="14">
        <f t="shared" si="99"/>
        <v>517</v>
      </c>
      <c r="AG368" s="14">
        <f t="shared" si="100"/>
        <v>258</v>
      </c>
      <c r="AH368" s="14">
        <f t="shared" si="101"/>
        <v>2323</v>
      </c>
      <c r="AJ368" s="14">
        <f t="shared" si="105"/>
        <v>2183</v>
      </c>
      <c r="AK368" s="14">
        <f t="shared" si="106"/>
        <v>1089</v>
      </c>
      <c r="AL368" s="14">
        <f t="shared" si="107"/>
        <v>9807</v>
      </c>
    </row>
    <row r="369" spans="11:38" ht="16.5" x14ac:dyDescent="0.2">
      <c r="K369" s="13">
        <v>366</v>
      </c>
      <c r="L369" s="13">
        <f t="shared" si="93"/>
        <v>18</v>
      </c>
      <c r="M369" s="13">
        <f t="shared" si="94"/>
        <v>3</v>
      </c>
      <c r="N369" s="14">
        <f t="shared" si="95"/>
        <v>1102002</v>
      </c>
      <c r="O369" s="14" t="str">
        <f t="shared" si="96"/>
        <v>许褚9突</v>
      </c>
      <c r="P369" s="29" t="s">
        <v>341</v>
      </c>
      <c r="Q369" s="14">
        <f t="shared" si="97"/>
        <v>2</v>
      </c>
      <c r="R369" s="14">
        <f t="shared" si="98"/>
        <v>9</v>
      </c>
      <c r="S369" s="14" t="s">
        <v>39</v>
      </c>
      <c r="T369" s="14">
        <f>ROUND(((IF(Q369=1,INDEX(新属性投放!$J$14:$J$34,卡牌属性!R369),INDEX(新属性投放!$J$42:$J$62,卡牌属性!R369)))*INDEX($G$5:$G$42,L369)+IF(Q369=1,INDEX(新属性投放!R$20:R$23,卡牌属性!M369-1),INDEX(新属性投放!R$25:R$28,卡牌属性!M369-1)))/SQRT(INDEX($I$5:$I$42,L369)),2)</f>
        <v>3202.05</v>
      </c>
      <c r="U369" s="29" t="s">
        <v>178</v>
      </c>
      <c r="V369" s="14">
        <f>ROUND((IF(Q369=1,INDEX(新属性投放!$K$14:$K$34,卡牌属性!R369),INDEX(新属性投放!$K$42:$K$62,卡牌属性!R369))+IF(Q369=1,INDEX(新属性投放!S$20:S$23,卡牌属性!M369-1),INDEX(新属性投放!S$25:S$28,卡牌属性!M369-1)))*INDEX($G$5:$G$42,L369),2)</f>
        <v>1473.15</v>
      </c>
      <c r="W369" s="29" t="s">
        <v>179</v>
      </c>
      <c r="X369" s="14">
        <f>ROUND((IF(Q369=1,INDEX(新属性投放!$L$14:$L$34,卡牌属性!R369),INDEX(新属性投放!$L$42:$L$62,卡牌属性!R369))*INDEX($G$5:$G$42,L369)+IF(Q369=1,INDEX(新属性投放!T$20:T$23,卡牌属性!M369-1),INDEX(新属性投放!T$25:T$28,卡牌属性!M369-1)))*SQRT(INDEX($I$5:$I$42,L369)),2)</f>
        <v>16012.2</v>
      </c>
      <c r="Y369" s="29" t="s">
        <v>177</v>
      </c>
      <c r="Z369" s="14">
        <f>ROUND(IF(Q369=1,INDEX(新属性投放!$D$14:$D$34,卡牌属性!R369),INDEX(新属性投放!$D$42:$D$62,卡牌属性!R369))*INDEX($G$5:$G$42,L369)/SQRT(INDEX($I$5:$I$42,L369)),2)</f>
        <v>69.06</v>
      </c>
      <c r="AA369" s="29" t="s">
        <v>178</v>
      </c>
      <c r="AB369" s="14">
        <f>ROUND(IF(Q369=1,INDEX(新属性投放!$E$14:$E$34,卡牌属性!R369),INDEX(新属性投放!$E$42:$E$62,卡牌属性!R369))*INDEX($G$5:$G$42,L369),2)</f>
        <v>34.53</v>
      </c>
      <c r="AC369" s="29" t="s">
        <v>179</v>
      </c>
      <c r="AD369" s="14">
        <f>ROUND(IF(Q369=1,INDEX(新属性投放!$F$14:$F$34,卡牌属性!R369),INDEX(新属性投放!$F$42:$F$62,卡牌属性!R369))*INDEX($G$5:$G$42,L369)*SQRT(INDEX($I$5:$I$42,L369)),2)</f>
        <v>310.5</v>
      </c>
      <c r="AF369" s="14">
        <f t="shared" si="99"/>
        <v>690</v>
      </c>
      <c r="AG369" s="14">
        <f t="shared" si="100"/>
        <v>345</v>
      </c>
      <c r="AH369" s="14">
        <f t="shared" si="101"/>
        <v>3105</v>
      </c>
      <c r="AJ369" s="14">
        <f t="shared" si="105"/>
        <v>2873</v>
      </c>
      <c r="AK369" s="14">
        <f t="shared" si="106"/>
        <v>1434</v>
      </c>
      <c r="AL369" s="14">
        <f t="shared" si="107"/>
        <v>12912</v>
      </c>
    </row>
    <row r="370" spans="11:38" ht="16.5" x14ac:dyDescent="0.2">
      <c r="K370" s="13">
        <v>367</v>
      </c>
      <c r="L370" s="13">
        <f t="shared" si="93"/>
        <v>18</v>
      </c>
      <c r="M370" s="13">
        <f t="shared" si="94"/>
        <v>3</v>
      </c>
      <c r="N370" s="14">
        <f t="shared" si="95"/>
        <v>1102002</v>
      </c>
      <c r="O370" s="14" t="str">
        <f t="shared" si="96"/>
        <v>许褚10突</v>
      </c>
      <c r="P370" s="29" t="s">
        <v>341</v>
      </c>
      <c r="Q370" s="14">
        <f t="shared" si="97"/>
        <v>2</v>
      </c>
      <c r="R370" s="14">
        <f t="shared" si="98"/>
        <v>10</v>
      </c>
      <c r="S370" s="14" t="s">
        <v>39</v>
      </c>
      <c r="T370" s="14">
        <f>ROUND(((IF(Q370=1,INDEX(新属性投放!$J$14:$J$34,卡牌属性!R370),INDEX(新属性投放!$J$42:$J$62,卡牌属性!R370)))*INDEX($G$5:$G$42,L370)+IF(Q370=1,INDEX(新属性投放!R$20:R$23,卡牌属性!M370-1),INDEX(新属性投放!R$25:R$28,卡牌属性!M370-1)))/SQRT(INDEX($I$5:$I$42,L370)),2)</f>
        <v>4065.13</v>
      </c>
      <c r="U370" s="29" t="s">
        <v>178</v>
      </c>
      <c r="V370" s="14">
        <f>ROUND((IF(Q370=1,INDEX(新属性投放!$K$14:$K$34,卡牌属性!R370),INDEX(新属性投放!$K$42:$K$62,卡牌属性!R370))+IF(Q370=1,INDEX(新属性投放!S$20:S$23,卡牌属性!M370-1),INDEX(新属性投放!S$25:S$28,卡牌属性!M370-1)))*INDEX($G$5:$G$42,L370),2)</f>
        <v>1904.69</v>
      </c>
      <c r="W370" s="29" t="s">
        <v>179</v>
      </c>
      <c r="X370" s="14">
        <f>ROUND((IF(Q370=1,INDEX(新属性投放!$L$14:$L$34,卡牌属性!R370),INDEX(新属性投放!$L$42:$L$62,卡牌属性!R370))*INDEX($G$5:$G$42,L370)+IF(Q370=1,INDEX(新属性投放!T$20:T$23,卡牌属性!M370-1),INDEX(新属性投放!T$25:T$28,卡牌属性!M370-1)))*SQRT(INDEX($I$5:$I$42,L370)),2)</f>
        <v>20669.7</v>
      </c>
      <c r="Y370" s="29" t="s">
        <v>177</v>
      </c>
      <c r="Z370" s="14">
        <f>ROUND(IF(Q370=1,INDEX(新属性投放!$D$14:$D$34,卡牌属性!R370),INDEX(新属性投放!$D$42:$D$62,卡牌属性!R370))*INDEX($G$5:$G$42,L370)/SQRT(INDEX($I$5:$I$42,L370)),2)</f>
        <v>90.28</v>
      </c>
      <c r="AA370" s="29" t="s">
        <v>178</v>
      </c>
      <c r="AB370" s="14">
        <f>ROUND(IF(Q370=1,INDEX(新属性投放!$E$14:$E$34,卡牌属性!R370),INDEX(新属性投放!$E$42:$E$62,卡牌属性!R370))*INDEX($G$5:$G$42,L370),2)</f>
        <v>45.14</v>
      </c>
      <c r="AC370" s="29" t="s">
        <v>179</v>
      </c>
      <c r="AD370" s="14">
        <f>ROUND(IF(Q370=1,INDEX(新属性投放!$F$14:$F$34,卡牌属性!R370),INDEX(新属性投放!$F$42:$F$62,卡牌属性!R370))*INDEX($G$5:$G$42,L370)*SQRT(INDEX($I$5:$I$42,L370)),2)</f>
        <v>405.95</v>
      </c>
      <c r="AF370" s="14">
        <f t="shared" si="99"/>
        <v>902</v>
      </c>
      <c r="AG370" s="14">
        <f t="shared" si="100"/>
        <v>451</v>
      </c>
      <c r="AH370" s="14">
        <f t="shared" si="101"/>
        <v>4059</v>
      </c>
      <c r="AJ370" s="14">
        <f t="shared" si="105"/>
        <v>3775</v>
      </c>
      <c r="AK370" s="14">
        <f t="shared" si="106"/>
        <v>1885</v>
      </c>
      <c r="AL370" s="14">
        <f t="shared" si="107"/>
        <v>16971</v>
      </c>
    </row>
    <row r="371" spans="11:38" ht="16.5" x14ac:dyDescent="0.2">
      <c r="K371" s="13">
        <v>368</v>
      </c>
      <c r="L371" s="13">
        <f t="shared" si="93"/>
        <v>18</v>
      </c>
      <c r="M371" s="13">
        <f t="shared" si="94"/>
        <v>3</v>
      </c>
      <c r="N371" s="14">
        <f t="shared" si="95"/>
        <v>1102002</v>
      </c>
      <c r="O371" s="14" t="str">
        <f t="shared" si="96"/>
        <v>许褚11突</v>
      </c>
      <c r="P371" s="29" t="s">
        <v>341</v>
      </c>
      <c r="Q371" s="14">
        <f t="shared" si="97"/>
        <v>2</v>
      </c>
      <c r="R371" s="14">
        <f t="shared" si="98"/>
        <v>11</v>
      </c>
      <c r="S371" s="14" t="s">
        <v>39</v>
      </c>
      <c r="T371" s="14">
        <f>ROUND(((IF(Q371=1,INDEX(新属性投放!$J$14:$J$34,卡牌属性!R371),INDEX(新属性投放!$J$42:$J$62,卡牌属性!R371)))*INDEX($G$5:$G$42,L371)+IF(Q371=1,INDEX(新属性投放!R$20:R$23,卡牌属性!M371-1),INDEX(新属性投放!R$25:R$28,卡牌属性!M371-1)))/SQRT(INDEX($I$5:$I$42,L371)),2)</f>
        <v>5193.28</v>
      </c>
      <c r="U371" s="29" t="s">
        <v>178</v>
      </c>
      <c r="V371" s="14">
        <f>ROUND((IF(Q371=1,INDEX(新属性投放!$K$14:$K$34,卡牌属性!R371),INDEX(新属性投放!$K$42:$K$62,卡牌属性!R371))+IF(Q371=1,INDEX(新属性投放!S$20:S$23,卡牌属性!M371-1),INDEX(新属性投放!S$25:S$28,卡牌属性!M371-1)))*INDEX($G$5:$G$42,L371),2)</f>
        <v>2468.7600000000002</v>
      </c>
      <c r="W371" s="29" t="s">
        <v>179</v>
      </c>
      <c r="X371" s="14">
        <f>ROUND((IF(Q371=1,INDEX(新属性投放!$L$14:$L$34,卡牌属性!R371),INDEX(新属性投放!$L$42:$L$62,卡牌属性!R371))*INDEX($G$5:$G$42,L371)+IF(Q371=1,INDEX(新属性投放!T$20:T$23,卡牌属性!M371-1),INDEX(新属性投放!T$25:T$28,卡牌属性!M371-1)))*SQRT(INDEX($I$5:$I$42,L371)),2)</f>
        <v>26757.8</v>
      </c>
      <c r="Y371" s="29" t="s">
        <v>177</v>
      </c>
      <c r="Z371" s="14">
        <f>ROUND(IF(Q371=1,INDEX(新属性投放!$D$14:$D$34,卡牌属性!R371),INDEX(新属性投放!$D$42:$D$62,卡牌属性!R371))*INDEX($G$5:$G$42,L371)/SQRT(INDEX($I$5:$I$42,L371)),2)</f>
        <v>118.84</v>
      </c>
      <c r="AA371" s="29" t="s">
        <v>178</v>
      </c>
      <c r="AB371" s="14">
        <f>ROUND(IF(Q371=1,INDEX(新属性投放!$E$14:$E$34,卡牌属性!R371),INDEX(新属性投放!$E$42:$E$62,卡牌属性!R371))*INDEX($G$5:$G$42,L371),2)</f>
        <v>59.42</v>
      </c>
      <c r="AC371" s="29" t="s">
        <v>179</v>
      </c>
      <c r="AD371" s="14">
        <f>ROUND(IF(Q371=1,INDEX(新属性投放!$F$14:$F$34,卡牌属性!R371),INDEX(新属性投放!$F$42:$F$62,卡牌属性!R371))*INDEX($G$5:$G$42,L371)*SQRT(INDEX($I$5:$I$42,L371)),2)</f>
        <v>534.75</v>
      </c>
      <c r="AF371" s="14">
        <f t="shared" si="99"/>
        <v>1188</v>
      </c>
      <c r="AG371" s="14">
        <f t="shared" si="100"/>
        <v>594</v>
      </c>
      <c r="AH371" s="14">
        <f t="shared" si="101"/>
        <v>5347</v>
      </c>
      <c r="AJ371" s="14">
        <f t="shared" si="105"/>
        <v>4963</v>
      </c>
      <c r="AK371" s="14">
        <f t="shared" si="106"/>
        <v>2479</v>
      </c>
      <c r="AL371" s="14">
        <f t="shared" si="107"/>
        <v>22318</v>
      </c>
    </row>
    <row r="372" spans="11:38" ht="16.5" x14ac:dyDescent="0.2">
      <c r="K372" s="13">
        <v>369</v>
      </c>
      <c r="L372" s="13">
        <f t="shared" si="93"/>
        <v>18</v>
      </c>
      <c r="M372" s="13">
        <f t="shared" si="94"/>
        <v>3</v>
      </c>
      <c r="N372" s="14">
        <f t="shared" si="95"/>
        <v>1102002</v>
      </c>
      <c r="O372" s="14" t="str">
        <f t="shared" si="96"/>
        <v>许褚12突</v>
      </c>
      <c r="P372" s="29" t="s">
        <v>341</v>
      </c>
      <c r="Q372" s="14">
        <f t="shared" si="97"/>
        <v>2</v>
      </c>
      <c r="R372" s="14">
        <f t="shared" si="98"/>
        <v>12</v>
      </c>
      <c r="S372" s="14" t="s">
        <v>39</v>
      </c>
      <c r="T372" s="14">
        <f>ROUND(((IF(Q372=1,INDEX(新属性投放!$J$14:$J$34,卡牌属性!R372),INDEX(新属性投放!$J$42:$J$62,卡牌属性!R372)))*INDEX($G$5:$G$42,L372)+IF(Q372=1,INDEX(新属性投放!R$20:R$23,卡牌属性!M372-1),INDEX(新属性投放!R$25:R$28,卡牌属性!M372-1)))/SQRT(INDEX($I$5:$I$42,L372)),2)</f>
        <v>6678.39</v>
      </c>
      <c r="U372" s="29" t="s">
        <v>178</v>
      </c>
      <c r="V372" s="14">
        <f>ROUND((IF(Q372=1,INDEX(新属性投放!$K$14:$K$34,卡牌属性!R372),INDEX(新属性投放!$K$42:$K$62,卡牌属性!R372))+IF(Q372=1,INDEX(新属性投放!S$20:S$23,卡牌属性!M372-1),INDEX(新属性投放!S$25:S$28,卡牌属性!M372-1)))*INDEX($G$5:$G$42,L372),2)</f>
        <v>3211.32</v>
      </c>
      <c r="W372" s="29" t="s">
        <v>179</v>
      </c>
      <c r="X372" s="14">
        <f>ROUND((IF(Q372=1,INDEX(新属性投放!$L$14:$L$34,卡牌属性!R372),INDEX(新属性投放!$L$42:$L$62,卡牌属性!R372))*INDEX($G$5:$G$42,L372)+IF(Q372=1,INDEX(新属性投放!T$20:T$23,卡牌属性!M372-1),INDEX(新属性投放!T$25:T$28,卡牌属性!M372-1)))*SQRT(INDEX($I$5:$I$42,L372)),2)</f>
        <v>34775.599999999999</v>
      </c>
      <c r="Y372" s="29" t="s">
        <v>177</v>
      </c>
      <c r="Z372" s="14">
        <f>ROUND(IF(Q372=1,INDEX(新属性投放!$D$14:$D$34,卡牌属性!R372),INDEX(新属性投放!$D$42:$D$62,卡牌属性!R372))*INDEX($G$5:$G$42,L372)/SQRT(INDEX($I$5:$I$42,L372)),2)</f>
        <v>155.96</v>
      </c>
      <c r="AA372" s="29" t="s">
        <v>178</v>
      </c>
      <c r="AB372" s="14">
        <f>ROUND(IF(Q372=1,INDEX(新属性投放!$E$14:$E$34,卡牌属性!R372),INDEX(新属性投放!$E$42:$E$62,卡牌属性!R372))*INDEX($G$5:$G$42,L372),2)</f>
        <v>77.98</v>
      </c>
      <c r="AC372" s="29" t="s">
        <v>179</v>
      </c>
      <c r="AD372" s="14">
        <f>ROUND(IF(Q372=1,INDEX(新属性投放!$F$14:$F$34,卡牌属性!R372),INDEX(新属性投放!$F$42:$F$62,卡牌属性!R372))*INDEX($G$5:$G$42,L372)*SQRT(INDEX($I$5:$I$42,L372)),2)</f>
        <v>701.5</v>
      </c>
      <c r="AF372" s="14">
        <f t="shared" si="99"/>
        <v>1559</v>
      </c>
      <c r="AG372" s="14">
        <f t="shared" si="100"/>
        <v>779</v>
      </c>
      <c r="AH372" s="14">
        <f t="shared" si="101"/>
        <v>7015</v>
      </c>
      <c r="AJ372" s="14">
        <f t="shared" si="105"/>
        <v>6522</v>
      </c>
      <c r="AK372" s="14">
        <f t="shared" si="106"/>
        <v>3258</v>
      </c>
      <c r="AL372" s="14">
        <f t="shared" si="107"/>
        <v>29333</v>
      </c>
    </row>
    <row r="373" spans="11:38" ht="16.5" x14ac:dyDescent="0.2">
      <c r="K373" s="13">
        <v>370</v>
      </c>
      <c r="L373" s="13">
        <f t="shared" si="93"/>
        <v>18</v>
      </c>
      <c r="M373" s="13">
        <f t="shared" si="94"/>
        <v>3</v>
      </c>
      <c r="N373" s="14">
        <f t="shared" si="95"/>
        <v>1102002</v>
      </c>
      <c r="O373" s="14" t="str">
        <f t="shared" si="96"/>
        <v>许褚13突</v>
      </c>
      <c r="P373" s="29" t="s">
        <v>341</v>
      </c>
      <c r="Q373" s="14">
        <f t="shared" si="97"/>
        <v>2</v>
      </c>
      <c r="R373" s="14">
        <f t="shared" si="98"/>
        <v>13</v>
      </c>
      <c r="S373" s="14" t="s">
        <v>39</v>
      </c>
      <c r="T373" s="14">
        <f>ROUND(((IF(Q373=1,INDEX(新属性投放!$J$14:$J$34,卡牌属性!R373),INDEX(新属性投放!$J$42:$J$62,卡牌属性!R373)))*INDEX($G$5:$G$42,L373)+IF(Q373=1,INDEX(新属性投放!R$20:R$23,卡牌属性!M373-1),INDEX(新属性投放!R$25:R$28,卡牌属性!M373-1)))/SQRT(INDEX($I$5:$I$42,L373)),2)</f>
        <v>8627.8700000000008</v>
      </c>
      <c r="U373" s="29" t="s">
        <v>178</v>
      </c>
      <c r="V373" s="14">
        <f>ROUND((IF(Q373=1,INDEX(新属性投放!$K$14:$K$34,卡牌属性!R373),INDEX(新属性投放!$K$42:$K$62,卡牌属性!R373))+IF(Q373=1,INDEX(新属性投放!S$20:S$23,卡牌属性!M373-1),INDEX(新属性投放!S$25:S$28,卡牌属性!M373-1)))*INDEX($G$5:$G$42,L373),2)</f>
        <v>4186.63</v>
      </c>
      <c r="W373" s="29" t="s">
        <v>179</v>
      </c>
      <c r="X373" s="14">
        <f>ROUND((IF(Q373=1,INDEX(新属性投放!$L$14:$L$34,卡牌属性!R373),INDEX(新属性投放!$L$42:$L$62,卡牌属性!R373))*INDEX($G$5:$G$42,L373)+IF(Q373=1,INDEX(新属性投放!T$20:T$23,卡牌属性!M373-1),INDEX(新属性投放!T$25:T$28,卡牌属性!M373-1)))*SQRT(INDEX($I$5:$I$42,L373)),2)</f>
        <v>45299.25</v>
      </c>
      <c r="Y373" s="29" t="s">
        <v>177</v>
      </c>
      <c r="Z373" s="14">
        <f>ROUND(IF(Q373=1,INDEX(新属性投放!$D$14:$D$34,卡牌属性!R373),INDEX(新属性投放!$D$42:$D$62,卡牌属性!R373))*INDEX($G$5:$G$42,L373)/SQRT(INDEX($I$5:$I$42,L373)),2)</f>
        <v>204.7</v>
      </c>
      <c r="AA373" s="29" t="s">
        <v>178</v>
      </c>
      <c r="AB373" s="14">
        <f>ROUND(IF(Q373=1,INDEX(新属性投放!$E$14:$E$34,卡牌属性!R373),INDEX(新属性投放!$E$42:$E$62,卡牌属性!R373))*INDEX($G$5:$G$42,L373),2)</f>
        <v>102.35</v>
      </c>
      <c r="AC373" s="29" t="s">
        <v>179</v>
      </c>
      <c r="AD373" s="14">
        <f>ROUND(IF(Q373=1,INDEX(新属性投放!$F$14:$F$34,卡牌属性!R373),INDEX(新属性投放!$F$42:$F$62,卡牌属性!R373))*INDEX($G$5:$G$42,L373)*SQRT(INDEX($I$5:$I$42,L373)),2)</f>
        <v>921.15</v>
      </c>
      <c r="AF373" s="14">
        <f t="shared" si="99"/>
        <v>2047</v>
      </c>
      <c r="AG373" s="14">
        <f t="shared" si="100"/>
        <v>1023</v>
      </c>
      <c r="AH373" s="14">
        <f t="shared" si="101"/>
        <v>9211</v>
      </c>
      <c r="AJ373" s="14">
        <f t="shared" si="105"/>
        <v>8569</v>
      </c>
      <c r="AK373" s="14">
        <f t="shared" si="106"/>
        <v>4281</v>
      </c>
      <c r="AL373" s="14">
        <f t="shared" si="107"/>
        <v>38544</v>
      </c>
    </row>
    <row r="374" spans="11:38" ht="16.5" x14ac:dyDescent="0.2">
      <c r="K374" s="13">
        <v>371</v>
      </c>
      <c r="L374" s="13">
        <f t="shared" si="93"/>
        <v>18</v>
      </c>
      <c r="M374" s="13">
        <f t="shared" si="94"/>
        <v>3</v>
      </c>
      <c r="N374" s="14">
        <f t="shared" si="95"/>
        <v>1102002</v>
      </c>
      <c r="O374" s="14" t="str">
        <f t="shared" si="96"/>
        <v>许褚14突</v>
      </c>
      <c r="P374" s="29" t="s">
        <v>341</v>
      </c>
      <c r="Q374" s="14">
        <f t="shared" si="97"/>
        <v>2</v>
      </c>
      <c r="R374" s="14">
        <f t="shared" si="98"/>
        <v>14</v>
      </c>
      <c r="S374" s="14" t="s">
        <v>39</v>
      </c>
      <c r="T374" s="14">
        <f>ROUND(((IF(Q374=1,INDEX(新属性投放!$J$14:$J$34,卡牌属性!R374),INDEX(新属性投放!$J$42:$J$62,卡牌属性!R374)))*INDEX($G$5:$G$42,L374)+IF(Q374=1,INDEX(新属性投放!R$20:R$23,卡牌属性!M374-1),INDEX(新属性投放!R$25:R$28,卡牌属性!M374-1)))/SQRT(INDEX($I$5:$I$42,L374)),2)</f>
        <v>11186.62</v>
      </c>
      <c r="U374" s="29" t="s">
        <v>178</v>
      </c>
      <c r="V374" s="14">
        <f>ROUND((IF(Q374=1,INDEX(新属性投放!$K$14:$K$34,卡牌属性!R374),INDEX(新属性投放!$K$42:$K$62,卡牌属性!R374))+IF(Q374=1,INDEX(新属性投放!S$20:S$23,卡牌属性!M374-1),INDEX(新属性投放!S$25:S$28,卡牌属性!M374-1)))*INDEX($G$5:$G$42,L374),2)</f>
        <v>5466.58</v>
      </c>
      <c r="W374" s="29" t="s">
        <v>179</v>
      </c>
      <c r="X374" s="14">
        <f>ROUND((IF(Q374=1,INDEX(新属性投放!$L$14:$L$34,卡牌属性!R374),INDEX(新属性投放!$L$42:$L$62,卡牌属性!R374))*INDEX($G$5:$G$42,L374)+IF(Q374=1,INDEX(新属性投放!T$20:T$23,卡牌属性!M374-1),INDEX(新属性投放!T$25:T$28,卡牌属性!M374-1)))*SQRT(INDEX($I$5:$I$42,L374)),2)</f>
        <v>59116.5</v>
      </c>
      <c r="Y374" s="29" t="s">
        <v>177</v>
      </c>
      <c r="Z374" s="14">
        <f>ROUND(IF(Q374=1,INDEX(新属性投放!$D$14:$D$34,卡牌属性!R374),INDEX(新属性投放!$D$42:$D$62,卡牌属性!R374))*INDEX($G$5:$G$42,L374)/SQRT(INDEX($I$5:$I$42,L374)),2)</f>
        <v>268.67</v>
      </c>
      <c r="AA374" s="29" t="s">
        <v>178</v>
      </c>
      <c r="AB374" s="14">
        <f>ROUND(IF(Q374=1,INDEX(新属性投放!$E$14:$E$34,卡牌属性!R374),INDEX(新属性投放!$E$42:$E$62,卡牌属性!R374))*INDEX($G$5:$G$42,L374),2)</f>
        <v>134.34</v>
      </c>
      <c r="AC374" s="29" t="s">
        <v>179</v>
      </c>
      <c r="AD374" s="14">
        <f>ROUND(IF(Q374=1,INDEX(新属性投放!$F$14:$F$34,卡牌属性!R374),INDEX(新属性投放!$F$42:$F$62,卡牌属性!R374))*INDEX($G$5:$G$42,L374)*SQRT(INDEX($I$5:$I$42,L374)),2)</f>
        <v>1208.6500000000001</v>
      </c>
      <c r="AF374" s="14">
        <f t="shared" si="99"/>
        <v>2686</v>
      </c>
      <c r="AG374" s="14">
        <f t="shared" si="100"/>
        <v>1343</v>
      </c>
      <c r="AH374" s="14">
        <f t="shared" si="101"/>
        <v>12086</v>
      </c>
      <c r="AJ374" s="14">
        <f t="shared" si="105"/>
        <v>11255</v>
      </c>
      <c r="AK374" s="14">
        <f t="shared" si="106"/>
        <v>5624</v>
      </c>
      <c r="AL374" s="14">
        <f t="shared" si="107"/>
        <v>50630</v>
      </c>
    </row>
    <row r="375" spans="11:38" ht="16.5" x14ac:dyDescent="0.2">
      <c r="K375" s="13">
        <v>372</v>
      </c>
      <c r="L375" s="13">
        <f t="shared" si="93"/>
        <v>18</v>
      </c>
      <c r="M375" s="13">
        <f t="shared" si="94"/>
        <v>3</v>
      </c>
      <c r="N375" s="14">
        <f t="shared" si="95"/>
        <v>1102002</v>
      </c>
      <c r="O375" s="14" t="str">
        <f t="shared" si="96"/>
        <v>许褚15突</v>
      </c>
      <c r="P375" s="29" t="s">
        <v>341</v>
      </c>
      <c r="Q375" s="14">
        <f t="shared" si="97"/>
        <v>2</v>
      </c>
      <c r="R375" s="14">
        <f t="shared" si="98"/>
        <v>15</v>
      </c>
      <c r="S375" s="14" t="s">
        <v>39</v>
      </c>
      <c r="T375" s="14">
        <f>ROUND(((IF(Q375=1,INDEX(新属性投放!$J$14:$J$34,卡牌属性!R375),INDEX(新属性投放!$J$42:$J$62,卡牌属性!R375)))*INDEX($G$5:$G$42,L375)+IF(Q375=1,INDEX(新属性投放!R$20:R$23,卡牌属性!M375-1),INDEX(新属性投放!R$25:R$28,卡牌属性!M375-1)))/SQRT(INDEX($I$5:$I$42,L375)),2)</f>
        <v>14544.96</v>
      </c>
      <c r="U375" s="29" t="s">
        <v>178</v>
      </c>
      <c r="V375" s="14">
        <f>ROUND((IF(Q375=1,INDEX(新属性投放!$K$14:$K$34,卡牌属性!R375),INDEX(新属性投放!$K$42:$K$62,卡牌属性!R375))+IF(Q375=1,INDEX(新属性投放!S$20:S$23,卡牌属性!M375-1),INDEX(新属性投放!S$25:S$28,卡牌属性!M375-1)))*INDEX($G$5:$G$42,L375),2)</f>
        <v>7145.76</v>
      </c>
      <c r="W375" s="29" t="s">
        <v>179</v>
      </c>
      <c r="X375" s="14">
        <f>ROUND((IF(Q375=1,INDEX(新属性投放!$L$14:$L$34,卡牌属性!R375),INDEX(新属性投放!$L$42:$L$62,卡牌属性!R375))*INDEX($G$5:$G$42,L375)+IF(Q375=1,INDEX(新属性投放!T$20:T$23,卡牌属性!M375-1),INDEX(新属性投放!T$25:T$28,卡牌属性!M375-1)))*SQRT(INDEX($I$5:$I$42,L375)),2)</f>
        <v>77247.399999999994</v>
      </c>
      <c r="Y375" s="29" t="s">
        <v>177</v>
      </c>
      <c r="Z375" s="14">
        <f>ROUND(IF(Q375=1,INDEX(新属性投放!$D$14:$D$34,卡牌属性!R375),INDEX(新属性投放!$D$42:$D$62,卡牌属性!R375))*INDEX($G$5:$G$42,L375)/SQRT(INDEX($I$5:$I$42,L375)),2)</f>
        <v>352.64</v>
      </c>
      <c r="AA375" s="29" t="s">
        <v>178</v>
      </c>
      <c r="AB375" s="14">
        <f>ROUND(IF(Q375=1,INDEX(新属性投放!$E$14:$E$34,卡牌属性!R375),INDEX(新属性投放!$E$42:$E$62,卡牌属性!R375))*INDEX($G$5:$G$42,L375),2)</f>
        <v>176.32</v>
      </c>
      <c r="AC375" s="29" t="s">
        <v>179</v>
      </c>
      <c r="AD375" s="14">
        <f>ROUND(IF(Q375=1,INDEX(新属性投放!$F$14:$F$34,卡牌属性!R375),INDEX(新属性投放!$F$42:$F$62,卡牌属性!R375))*INDEX($G$5:$G$42,L375)*SQRT(INDEX($I$5:$I$42,L375)),2)</f>
        <v>1585.85</v>
      </c>
      <c r="AF375" s="14">
        <f t="shared" si="99"/>
        <v>3526</v>
      </c>
      <c r="AG375" s="14">
        <f t="shared" si="100"/>
        <v>1763</v>
      </c>
      <c r="AH375" s="14">
        <f t="shared" si="101"/>
        <v>15858</v>
      </c>
      <c r="AJ375" s="14">
        <f t="shared" si="105"/>
        <v>14781</v>
      </c>
      <c r="AK375" s="14">
        <f t="shared" si="106"/>
        <v>7387</v>
      </c>
      <c r="AL375" s="14">
        <f t="shared" si="107"/>
        <v>66488</v>
      </c>
    </row>
    <row r="376" spans="11:38" ht="16.5" x14ac:dyDescent="0.2">
      <c r="K376" s="13">
        <v>373</v>
      </c>
      <c r="L376" s="13">
        <f t="shared" si="93"/>
        <v>18</v>
      </c>
      <c r="M376" s="13">
        <f t="shared" si="94"/>
        <v>3</v>
      </c>
      <c r="N376" s="14">
        <f t="shared" si="95"/>
        <v>1102002</v>
      </c>
      <c r="O376" s="14" t="str">
        <f t="shared" si="96"/>
        <v>许褚16突</v>
      </c>
      <c r="P376" s="29" t="s">
        <v>341</v>
      </c>
      <c r="Q376" s="14">
        <f t="shared" si="97"/>
        <v>2</v>
      </c>
      <c r="R376" s="14">
        <f t="shared" si="98"/>
        <v>16</v>
      </c>
      <c r="S376" s="14" t="s">
        <v>39</v>
      </c>
      <c r="T376" s="14">
        <f>ROUND(((IF(Q376=1,INDEX(新属性投放!$J$14:$J$34,卡牌属性!R376),INDEX(新属性投放!$J$42:$J$62,卡牌属性!R376)))*INDEX($G$5:$G$42,L376)+IF(Q376=1,INDEX(新属性投放!R$20:R$23,卡牌属性!M376-1),INDEX(新属性投放!R$25:R$28,卡牌属性!M376-1)))/SQRT(INDEX($I$5:$I$42,L376)),2)</f>
        <v>18953.37</v>
      </c>
      <c r="U376" s="29" t="s">
        <v>178</v>
      </c>
      <c r="V376" s="14">
        <f>ROUND((IF(Q376=1,INDEX(新属性投放!$K$14:$K$34,卡牌属性!R376),INDEX(新属性投放!$K$42:$K$62,卡牌属性!R376))+IF(Q376=1,INDEX(新属性投放!S$20:S$23,卡牌属性!M376-1),INDEX(新属性投放!S$25:S$28,卡牌属性!M376-1)))*INDEX($G$5:$G$42,L376),2)</f>
        <v>9349.39</v>
      </c>
      <c r="W376" s="29" t="s">
        <v>179</v>
      </c>
      <c r="X376" s="14">
        <f>ROUND((IF(Q376=1,INDEX(新属性投放!$L$14:$L$34,卡牌属性!R376),INDEX(新属性投放!$L$42:$L$62,卡牌属性!R376))*INDEX($G$5:$G$42,L376)+IF(Q376=1,INDEX(新属性投放!T$20:T$23,卡牌属性!M376-1),INDEX(新属性投放!T$25:T$28,卡牌属性!M376-1)))*SQRT(INDEX($I$5:$I$42,L376)),2)</f>
        <v>101044.35</v>
      </c>
      <c r="Y376" s="29" t="s">
        <v>177</v>
      </c>
      <c r="Z376" s="14">
        <f>ROUND(IF(Q376=1,INDEX(新属性投放!$D$14:$D$34,卡牌属性!R376),INDEX(新属性投放!$D$42:$D$62,卡牌属性!R376))*INDEX($G$5:$G$42,L376)/SQRT(INDEX($I$5:$I$42,L376)),2)</f>
        <v>462.84</v>
      </c>
      <c r="AA376" s="29" t="s">
        <v>178</v>
      </c>
      <c r="AB376" s="14">
        <f>ROUND(IF(Q376=1,INDEX(新属性投放!$E$14:$E$34,卡牌属性!R376),INDEX(新属性投放!$E$42:$E$62,卡牌属性!R376))*INDEX($G$5:$G$42,L376),2)</f>
        <v>231.42</v>
      </c>
      <c r="AC376" s="29" t="s">
        <v>179</v>
      </c>
      <c r="AD376" s="14">
        <f>ROUND(IF(Q376=1,INDEX(新属性投放!$F$14:$F$34,卡牌属性!R376),INDEX(新属性投放!$F$42:$F$62,卡牌属性!R376))*INDEX($G$5:$G$42,L376)*SQRT(INDEX($I$5:$I$42,L376)),2)</f>
        <v>2082.65</v>
      </c>
      <c r="AF376" s="14">
        <f t="shared" si="99"/>
        <v>4628</v>
      </c>
      <c r="AG376" s="14">
        <f t="shared" si="100"/>
        <v>2314</v>
      </c>
      <c r="AH376" s="14">
        <f t="shared" si="101"/>
        <v>20826</v>
      </c>
      <c r="AJ376" s="14">
        <f t="shared" si="105"/>
        <v>19409</v>
      </c>
      <c r="AK376" s="14">
        <f t="shared" si="106"/>
        <v>9701</v>
      </c>
      <c r="AL376" s="14">
        <f t="shared" si="107"/>
        <v>87314</v>
      </c>
    </row>
    <row r="377" spans="11:38" ht="16.5" x14ac:dyDescent="0.2">
      <c r="K377" s="13">
        <v>374</v>
      </c>
      <c r="L377" s="13">
        <f t="shared" si="93"/>
        <v>18</v>
      </c>
      <c r="M377" s="13">
        <f t="shared" si="94"/>
        <v>3</v>
      </c>
      <c r="N377" s="14">
        <f t="shared" si="95"/>
        <v>1102002</v>
      </c>
      <c r="O377" s="14" t="str">
        <f t="shared" si="96"/>
        <v>许褚17突</v>
      </c>
      <c r="P377" s="29" t="s">
        <v>341</v>
      </c>
      <c r="Q377" s="14">
        <f t="shared" si="97"/>
        <v>2</v>
      </c>
      <c r="R377" s="14">
        <f t="shared" si="98"/>
        <v>17</v>
      </c>
      <c r="S377" s="14" t="s">
        <v>39</v>
      </c>
      <c r="T377" s="14">
        <f>ROUND(((IF(Q377=1,INDEX(新属性投放!$J$14:$J$34,卡牌属性!R377),INDEX(新属性投放!$J$42:$J$62,卡牌属性!R377)))*INDEX($G$5:$G$42,L377)+IF(Q377=1,INDEX(新属性投放!R$20:R$23,卡牌属性!M377-1),INDEX(新属性投放!R$25:R$28,卡牌属性!M377-1)))/SQRT(INDEX($I$5:$I$42,L377)),2)</f>
        <v>24738.68</v>
      </c>
      <c r="U377" s="29" t="s">
        <v>178</v>
      </c>
      <c r="V377" s="14">
        <f>ROUND((IF(Q377=1,INDEX(新属性投放!$K$14:$K$34,卡牌属性!R377),INDEX(新属性投放!$K$42:$K$62,卡牌属性!R377))+IF(Q377=1,INDEX(新属性投放!S$20:S$23,卡牌属性!M377-1),INDEX(新属性投放!S$25:S$28,卡牌属性!M377-1)))*INDEX($G$5:$G$42,L377),2)</f>
        <v>12242.04</v>
      </c>
      <c r="W377" s="29" t="s">
        <v>179</v>
      </c>
      <c r="X377" s="14">
        <f>ROUND((IF(Q377=1,INDEX(新属性投放!$L$14:$L$34,卡牌属性!R377),INDEX(新属性投放!$L$42:$L$62,卡牌属性!R377))*INDEX($G$5:$G$42,L377)+IF(Q377=1,INDEX(新属性投放!T$20:T$23,卡牌属性!M377-1),INDEX(新属性投放!T$25:T$28,卡牌属性!M377-1)))*SQRT(INDEX($I$5:$I$42,L377)),2)</f>
        <v>132282.95000000001</v>
      </c>
      <c r="Y377" s="29" t="s">
        <v>177</v>
      </c>
      <c r="Z377" s="14">
        <f>ROUND(IF(Q377=1,INDEX(新属性投放!$D$14:$D$34,卡牌属性!R377),INDEX(新属性投放!$D$42:$D$62,卡牌属性!R377))*INDEX($G$5:$G$42,L377)/SQRT(INDEX($I$5:$I$42,L377)),2)</f>
        <v>607.48</v>
      </c>
      <c r="AA377" s="29" t="s">
        <v>178</v>
      </c>
      <c r="AB377" s="14">
        <f>ROUND(IF(Q377=1,INDEX(新属性投放!$E$14:$E$34,卡牌属性!R377),INDEX(新属性投放!$E$42:$E$62,卡牌属性!R377))*INDEX($G$5:$G$42,L377),2)</f>
        <v>303.74</v>
      </c>
      <c r="AC377" s="29" t="s">
        <v>179</v>
      </c>
      <c r="AD377" s="14">
        <f>ROUND(IF(Q377=1,INDEX(新属性投放!$F$14:$F$34,卡牌属性!R377),INDEX(新属性投放!$F$42:$F$62,卡牌属性!R377))*INDEX($G$5:$G$42,L377)*SQRT(INDEX($I$5:$I$42,L377)),2)</f>
        <v>2733.55</v>
      </c>
      <c r="AF377" s="14">
        <f t="shared" si="99"/>
        <v>6074</v>
      </c>
      <c r="AG377" s="14">
        <f t="shared" si="100"/>
        <v>3037</v>
      </c>
      <c r="AH377" s="14">
        <f t="shared" si="101"/>
        <v>27335</v>
      </c>
      <c r="AJ377" s="14">
        <f t="shared" si="105"/>
        <v>25483</v>
      </c>
      <c r="AK377" s="14">
        <f t="shared" si="106"/>
        <v>12738</v>
      </c>
      <c r="AL377" s="14">
        <f t="shared" si="107"/>
        <v>114649</v>
      </c>
    </row>
    <row r="378" spans="11:38" ht="16.5" x14ac:dyDescent="0.2">
      <c r="K378" s="13">
        <v>375</v>
      </c>
      <c r="L378" s="13">
        <f t="shared" si="93"/>
        <v>18</v>
      </c>
      <c r="M378" s="13">
        <f t="shared" si="94"/>
        <v>3</v>
      </c>
      <c r="N378" s="14">
        <f t="shared" si="95"/>
        <v>1102002</v>
      </c>
      <c r="O378" s="14" t="str">
        <f t="shared" si="96"/>
        <v>许褚18突</v>
      </c>
      <c r="P378" s="29" t="s">
        <v>341</v>
      </c>
      <c r="Q378" s="14">
        <f t="shared" si="97"/>
        <v>2</v>
      </c>
      <c r="R378" s="14">
        <f t="shared" si="98"/>
        <v>18</v>
      </c>
      <c r="S378" s="14" t="s">
        <v>39</v>
      </c>
      <c r="T378" s="14">
        <f>ROUND(((IF(Q378=1,INDEX(新属性投放!$J$14:$J$34,卡牌属性!R378),INDEX(新属性投放!$J$42:$J$62,卡牌属性!R378)))*INDEX($G$5:$G$42,L378)+IF(Q378=1,INDEX(新属性投放!R$20:R$23,卡牌属性!M378-1),INDEX(新属性投放!R$25:R$28,卡牌属性!M378-1)))/SQRT(INDEX($I$5:$I$42,L378)),2)</f>
        <v>32332.59</v>
      </c>
      <c r="U378" s="29" t="s">
        <v>178</v>
      </c>
      <c r="V378" s="14">
        <f>ROUND((IF(Q378=1,INDEX(新属性投放!$K$14:$K$34,卡牌属性!R378),INDEX(新属性投放!$K$42:$K$62,卡牌属性!R378))+IF(Q378=1,INDEX(新属性投放!S$20:S$23,卡牌属性!M378-1),INDEX(新属性投放!S$25:S$28,卡牌属性!M378-1)))*INDEX($G$5:$G$42,L378),2)</f>
        <v>16038.42</v>
      </c>
      <c r="W378" s="29" t="s">
        <v>179</v>
      </c>
      <c r="X378" s="14">
        <f>ROUND((IF(Q378=1,INDEX(新属性投放!$L$14:$L$34,卡牌属性!R378),INDEX(新属性投放!$L$42:$L$62,卡牌属性!R378))*INDEX($G$5:$G$42,L378)+IF(Q378=1,INDEX(新属性投放!T$20:T$23,卡牌属性!M378-1),INDEX(新属性投放!T$25:T$28,卡牌属性!M378-1)))*SQRT(INDEX($I$5:$I$42,L378)),2)</f>
        <v>173290.8</v>
      </c>
      <c r="Y378" s="29" t="s">
        <v>177</v>
      </c>
      <c r="Z378" s="14">
        <f>ROUND(IF(Q378=1,INDEX(新属性投放!$D$14:$D$34,卡牌属性!R378),INDEX(新属性投放!$D$42:$D$62,卡牌属性!R378))*INDEX($G$5:$G$42,L378)/SQRT(INDEX($I$5:$I$42,L378)),2)</f>
        <v>797.32</v>
      </c>
      <c r="AA378" s="29" t="s">
        <v>178</v>
      </c>
      <c r="AB378" s="14">
        <f>ROUND(IF(Q378=1,INDEX(新属性投放!$E$14:$E$34,卡牌属性!R378),INDEX(新属性投放!$E$42:$E$62,卡牌属性!R378))*INDEX($G$5:$G$42,L378),2)</f>
        <v>398.66</v>
      </c>
      <c r="AC378" s="29" t="s">
        <v>179</v>
      </c>
      <c r="AD378" s="14">
        <f>ROUND(IF(Q378=1,INDEX(新属性投放!$F$14:$F$34,卡牌属性!R378),INDEX(新属性投放!$F$42:$F$62,卡牌属性!R378))*INDEX($G$5:$G$42,L378)*SQRT(INDEX($I$5:$I$42,L378)),2)</f>
        <v>3586.85</v>
      </c>
      <c r="AF378" s="14">
        <f t="shared" si="99"/>
        <v>7973</v>
      </c>
      <c r="AG378" s="14">
        <f t="shared" si="100"/>
        <v>3986</v>
      </c>
      <c r="AH378" s="14">
        <f t="shared" si="101"/>
        <v>35868</v>
      </c>
      <c r="AJ378" s="14">
        <f t="shared" si="105"/>
        <v>33456</v>
      </c>
      <c r="AK378" s="14">
        <f t="shared" si="106"/>
        <v>16724</v>
      </c>
      <c r="AL378" s="14">
        <f t="shared" si="107"/>
        <v>150517</v>
      </c>
    </row>
    <row r="379" spans="11:38" ht="16.5" x14ac:dyDescent="0.2">
      <c r="K379" s="13">
        <v>376</v>
      </c>
      <c r="L379" s="13">
        <f t="shared" si="93"/>
        <v>18</v>
      </c>
      <c r="M379" s="13">
        <f t="shared" si="94"/>
        <v>3</v>
      </c>
      <c r="N379" s="14">
        <f t="shared" si="95"/>
        <v>1102002</v>
      </c>
      <c r="O379" s="14" t="str">
        <f t="shared" si="96"/>
        <v>许褚19突</v>
      </c>
      <c r="P379" s="29" t="s">
        <v>341</v>
      </c>
      <c r="Q379" s="14">
        <f t="shared" si="97"/>
        <v>2</v>
      </c>
      <c r="R379" s="14">
        <f t="shared" si="98"/>
        <v>19</v>
      </c>
      <c r="S379" s="14" t="s">
        <v>39</v>
      </c>
      <c r="T379" s="14">
        <f>ROUND(((IF(Q379=1,INDEX(新属性投放!$J$14:$J$34,卡牌属性!R379),INDEX(新属性投放!$J$42:$J$62,卡牌属性!R379)))*INDEX($G$5:$G$42,L379)+IF(Q379=1,INDEX(新属性投放!R$20:R$23,卡牌属性!M379-1),INDEX(新属性投放!R$25:R$28,卡牌属性!M379-1)))/SQRT(INDEX($I$5:$I$42,L379)),2)</f>
        <v>42298.720000000001</v>
      </c>
      <c r="U379" s="29" t="s">
        <v>178</v>
      </c>
      <c r="V379" s="14">
        <f>ROUND((IF(Q379=1,INDEX(新属性投放!$K$14:$K$34,卡牌属性!R379),INDEX(新属性投放!$K$42:$K$62,卡牌属性!R379))+IF(Q379=1,INDEX(新属性投放!S$20:S$23,卡牌属性!M379-1),INDEX(新属性投放!S$25:S$28,卡牌属性!M379-1)))*INDEX($G$5:$G$42,L379),2)</f>
        <v>21022.06</v>
      </c>
      <c r="W379" s="29" t="s">
        <v>179</v>
      </c>
      <c r="X379" s="14">
        <f>ROUND((IF(Q379=1,INDEX(新属性投放!$L$14:$L$34,卡牌属性!R379),INDEX(新属性投放!$L$42:$L$62,卡牌属性!R379))*INDEX($G$5:$G$42,L379)+IF(Q379=1,INDEX(新属性投放!T$20:T$23,卡牌属性!M379-1),INDEX(新属性投放!T$25:T$28,卡牌属性!M379-1)))*SQRT(INDEX($I$5:$I$42,L379)),2)</f>
        <v>227095.85</v>
      </c>
      <c r="Y379" s="29" t="s">
        <v>177</v>
      </c>
      <c r="Z379" s="14">
        <f>ROUND(IF(Q379=1,INDEX(新属性投放!$D$14:$D$34,卡牌属性!R379),INDEX(新属性投放!$D$42:$D$62,卡牌属性!R379))*INDEX($G$5:$G$42,L379)/SQRT(INDEX($I$5:$I$42,L379)),2)</f>
        <v>1046.48</v>
      </c>
      <c r="AA379" s="29" t="s">
        <v>178</v>
      </c>
      <c r="AB379" s="14">
        <f>ROUND(IF(Q379=1,INDEX(新属性投放!$E$14:$E$34,卡牌属性!R379),INDEX(新属性投放!$E$42:$E$62,卡牌属性!R379))*INDEX($G$5:$G$42,L379),2)</f>
        <v>523.24</v>
      </c>
      <c r="AC379" s="29" t="s">
        <v>179</v>
      </c>
      <c r="AD379" s="14">
        <f>ROUND(IF(Q379=1,INDEX(新属性投放!$F$14:$F$34,卡牌属性!R379),INDEX(新属性投放!$F$42:$F$62,卡牌属性!R379))*INDEX($G$5:$G$42,L379)*SQRT(INDEX($I$5:$I$42,L379)),2)</f>
        <v>4708.1000000000004</v>
      </c>
      <c r="AF379" s="14">
        <f t="shared" si="99"/>
        <v>10464</v>
      </c>
      <c r="AG379" s="14">
        <f t="shared" si="100"/>
        <v>5232</v>
      </c>
      <c r="AH379" s="14">
        <f t="shared" si="101"/>
        <v>47081</v>
      </c>
      <c r="AJ379" s="14">
        <f t="shared" si="105"/>
        <v>43920</v>
      </c>
      <c r="AK379" s="14">
        <f t="shared" si="106"/>
        <v>21956</v>
      </c>
      <c r="AL379" s="14">
        <f t="shared" si="107"/>
        <v>197598</v>
      </c>
    </row>
    <row r="380" spans="11:38" ht="16.5" x14ac:dyDescent="0.2">
      <c r="K380" s="13">
        <v>377</v>
      </c>
      <c r="L380" s="13">
        <f t="shared" si="93"/>
        <v>18</v>
      </c>
      <c r="M380" s="13">
        <f t="shared" si="94"/>
        <v>3</v>
      </c>
      <c r="N380" s="14">
        <f t="shared" si="95"/>
        <v>1102002</v>
      </c>
      <c r="O380" s="14" t="str">
        <f t="shared" si="96"/>
        <v>许褚20突</v>
      </c>
      <c r="P380" s="29" t="s">
        <v>341</v>
      </c>
      <c r="Q380" s="14">
        <f t="shared" si="97"/>
        <v>2</v>
      </c>
      <c r="R380" s="14">
        <f t="shared" si="98"/>
        <v>20</v>
      </c>
      <c r="S380" s="14" t="s">
        <v>39</v>
      </c>
      <c r="T380" s="14">
        <f>ROUND(((IF(Q380=1,INDEX(新属性投放!$J$14:$J$34,卡牌属性!R380),INDEX(新属性投放!$J$42:$J$62,卡牌属性!R380)))*INDEX($G$5:$G$42,L380)+IF(Q380=1,INDEX(新属性投放!R$20:R$23,卡牌属性!M380-1),INDEX(新属性投放!R$25:R$28,卡牌属性!M380-1)))/SQRT(INDEX($I$5:$I$42,L380)),2)</f>
        <v>55379.74</v>
      </c>
      <c r="U380" s="29" t="s">
        <v>178</v>
      </c>
      <c r="V380" s="14">
        <f>ROUND((IF(Q380=1,INDEX(新属性投放!$K$14:$K$34,卡牌属性!R380),INDEX(新属性投放!$K$42:$K$62,卡牌属性!R380))+IF(Q380=1,INDEX(新属性投放!S$20:S$23,卡牌属性!M380-1),INDEX(新属性投放!S$25:S$28,卡牌属性!M380-1)))*INDEX($G$5:$G$42,L380),2)</f>
        <v>27561.99</v>
      </c>
      <c r="W380" s="29" t="s">
        <v>179</v>
      </c>
      <c r="X380" s="14">
        <f>ROUND((IF(Q380=1,INDEX(新属性投放!$L$14:$L$34,卡牌属性!R380),INDEX(新属性投放!$L$42:$L$62,卡牌属性!R380))*INDEX($G$5:$G$42,L380)+IF(Q380=1,INDEX(新属性投放!T$20:T$23,卡牌属性!M380-1),INDEX(新属性投放!T$25:T$28,卡牌属性!M380-1)))*SQRT(INDEX($I$5:$I$42,L380)),2)</f>
        <v>297723.09999999998</v>
      </c>
      <c r="Y380" s="29" t="s">
        <v>177</v>
      </c>
      <c r="Z380" s="14">
        <f>ROUND(IF(Q380=1,INDEX(新属性投放!$D$14:$D$34,卡牌属性!R380),INDEX(新属性投放!$D$42:$D$62,卡牌属性!R380))*INDEX($G$5:$G$42,L380)/SQRT(INDEX($I$5:$I$42,L380)),2)</f>
        <v>1373.5</v>
      </c>
      <c r="AA380" s="29" t="s">
        <v>178</v>
      </c>
      <c r="AB380" s="14">
        <f>ROUND(IF(Q380=1,INDEX(新属性投放!$E$14:$E$34,卡牌属性!R380),INDEX(新属性投放!$E$42:$E$62,卡牌属性!R380))*INDEX($G$5:$G$42,L380),2)</f>
        <v>686.75</v>
      </c>
      <c r="AC380" s="29" t="s">
        <v>179</v>
      </c>
      <c r="AD380" s="14">
        <f>ROUND(IF(Q380=1,INDEX(新属性投放!$F$14:$F$34,卡牌属性!R380),INDEX(新属性投放!$F$42:$F$62,卡牌属性!R380))*INDEX($G$5:$G$42,L380)*SQRT(INDEX($I$5:$I$42,L380)),2)</f>
        <v>6180.1</v>
      </c>
      <c r="AF380" s="14">
        <f t="shared" si="99"/>
        <v>13735</v>
      </c>
      <c r="AG380" s="14">
        <f t="shared" si="100"/>
        <v>6867</v>
      </c>
      <c r="AH380" s="14">
        <f t="shared" si="101"/>
        <v>61801</v>
      </c>
      <c r="AJ380" s="14">
        <f t="shared" si="105"/>
        <v>57655</v>
      </c>
      <c r="AK380" s="14">
        <f t="shared" si="106"/>
        <v>28823</v>
      </c>
      <c r="AL380" s="14">
        <f t="shared" si="107"/>
        <v>259399</v>
      </c>
    </row>
    <row r="381" spans="11:38" ht="16.5" x14ac:dyDescent="0.2">
      <c r="K381" s="13">
        <v>378</v>
      </c>
      <c r="L381" s="13">
        <f t="shared" si="93"/>
        <v>18</v>
      </c>
      <c r="M381" s="13">
        <f t="shared" si="94"/>
        <v>3</v>
      </c>
      <c r="N381" s="14">
        <f t="shared" si="95"/>
        <v>1102002</v>
      </c>
      <c r="O381" s="14" t="str">
        <f t="shared" si="96"/>
        <v>许褚21突</v>
      </c>
      <c r="P381" s="29" t="s">
        <v>341</v>
      </c>
      <c r="Q381" s="14">
        <f t="shared" si="97"/>
        <v>2</v>
      </c>
      <c r="R381" s="14">
        <f t="shared" si="98"/>
        <v>21</v>
      </c>
      <c r="S381" s="14" t="s">
        <v>39</v>
      </c>
      <c r="T381" s="14">
        <f>ROUND(((IF(Q381=1,INDEX(新属性投放!$J$14:$J$34,卡牌属性!R381),INDEX(新属性投放!$J$42:$J$62,卡牌属性!R381)))*INDEX($G$5:$G$42,L381)+IF(Q381=1,INDEX(新属性投放!R$20:R$23,卡牌属性!M381-1),INDEX(新属性投放!R$25:R$28,卡牌属性!M381-1)))/SQRT(INDEX($I$5:$I$42,L381)),2)</f>
        <v>72548.66</v>
      </c>
      <c r="U381" s="29" t="s">
        <v>178</v>
      </c>
      <c r="V381" s="14">
        <f>ROUND((IF(Q381=1,INDEX(新属性投放!$K$14:$K$34,卡牌属性!R381),INDEX(新属性投放!$K$42:$K$62,卡牌属性!R381))+IF(Q381=1,INDEX(新属性投放!S$20:S$23,卡牌属性!M381-1),INDEX(新属性投放!S$25:S$28,卡牌属性!M381-1)))*INDEX($G$5:$G$42,L381),2)</f>
        <v>36146.46</v>
      </c>
      <c r="W381" s="29" t="s">
        <v>179</v>
      </c>
      <c r="X381" s="14">
        <f>ROUND((IF(Q381=1,INDEX(新属性投放!$L$14:$L$34,卡牌属性!R381),INDEX(新属性投放!$L$42:$L$62,卡牌属性!R381))*INDEX($G$5:$G$42,L381)+IF(Q381=1,INDEX(新属性投放!T$20:T$23,卡牌属性!M381-1),INDEX(新属性投放!T$25:T$28,卡牌属性!M381-1)))*SQRT(INDEX($I$5:$I$42,L381)),2)</f>
        <v>390429.2</v>
      </c>
      <c r="Y381" s="29" t="s">
        <v>177</v>
      </c>
      <c r="Z381" s="14">
        <f>ROUND(IF(Q381=1,INDEX(新属性投放!$D$14:$D$34,卡牌属性!R381),INDEX(新属性投放!$D$42:$D$62,卡牌属性!R381))*INDEX($G$5:$G$42,L381)/SQRT(INDEX($I$5:$I$42,L381)),2)</f>
        <v>1802.73</v>
      </c>
      <c r="AA381" s="29" t="s">
        <v>178</v>
      </c>
      <c r="AB381" s="14">
        <f>ROUND(IF(Q381=1,INDEX(新属性投放!$E$14:$E$34,卡牌属性!R381),INDEX(新属性投放!$E$42:$E$62,卡牌属性!R381))*INDEX($G$5:$G$42,L381),2)</f>
        <v>901.36</v>
      </c>
      <c r="AC381" s="29" t="s">
        <v>179</v>
      </c>
      <c r="AD381" s="14">
        <f>ROUND(IF(Q381=1,INDEX(新属性投放!$F$14:$F$34,卡牌属性!R381),INDEX(新属性投放!$F$42:$F$62,卡牌属性!R381))*INDEX($G$5:$G$42,L381)*SQRT(INDEX($I$5:$I$42,L381)),2)</f>
        <v>8112.1</v>
      </c>
      <c r="AF381" s="14">
        <f t="shared" si="99"/>
        <v>18027</v>
      </c>
      <c r="AG381" s="14">
        <f t="shared" si="100"/>
        <v>9013</v>
      </c>
      <c r="AH381" s="14">
        <f t="shared" si="101"/>
        <v>81121</v>
      </c>
      <c r="AJ381" s="14">
        <f t="shared" si="105"/>
        <v>75682</v>
      </c>
      <c r="AK381" s="14">
        <f t="shared" si="106"/>
        <v>37836</v>
      </c>
      <c r="AL381" s="14">
        <f t="shared" si="107"/>
        <v>340520</v>
      </c>
    </row>
    <row r="382" spans="11:38" ht="16.5" x14ac:dyDescent="0.2">
      <c r="K382" s="13">
        <v>379</v>
      </c>
      <c r="L382" s="13">
        <f t="shared" si="93"/>
        <v>19</v>
      </c>
      <c r="M382" s="13">
        <f t="shared" si="94"/>
        <v>3</v>
      </c>
      <c r="N382" s="14">
        <f t="shared" si="95"/>
        <v>1102003</v>
      </c>
      <c r="O382" s="14" t="str">
        <f t="shared" si="96"/>
        <v>典韦1突</v>
      </c>
      <c r="P382" s="29" t="s">
        <v>341</v>
      </c>
      <c r="Q382" s="14">
        <f t="shared" si="97"/>
        <v>2</v>
      </c>
      <c r="R382" s="14">
        <f t="shared" si="98"/>
        <v>1</v>
      </c>
      <c r="S382" s="14" t="s">
        <v>39</v>
      </c>
      <c r="T382" s="14">
        <f>ROUND(((IF(Q382=1,INDEX(新属性投放!$J$14:$J$34,卡牌属性!R382),INDEX(新属性投放!$J$42:$J$62,卡牌属性!R382)))*INDEX($G$5:$G$42,L382)+IF(Q382=1,INDEX(新属性投放!R$20:R$23,卡牌属性!M382-1),INDEX(新属性投放!R$25:R$28,卡牌属性!M382-1)))/SQRT(INDEX($I$5:$I$42,L382)),2)</f>
        <v>480</v>
      </c>
      <c r="U382" s="29" t="s">
        <v>178</v>
      </c>
      <c r="V382" s="14">
        <f>ROUND((IF(Q382=1,INDEX(新属性投放!$K$14:$K$34,卡牌属性!R382),INDEX(新属性投放!$K$42:$K$62,卡牌属性!R382))+IF(Q382=1,INDEX(新属性投放!S$20:S$23,卡牌属性!M382-1),INDEX(新属性投放!S$25:S$28,卡牌属性!M382-1)))*INDEX($G$5:$G$42,L382),2)</f>
        <v>115</v>
      </c>
      <c r="W382" s="29" t="s">
        <v>179</v>
      </c>
      <c r="X382" s="14">
        <f>ROUND((IF(Q382=1,INDEX(新属性投放!$L$14:$L$34,卡牌属性!R382),INDEX(新属性投放!$L$42:$L$62,卡牌属性!R382))*INDEX($G$5:$G$42,L382)+IF(Q382=1,INDEX(新属性投放!T$20:T$23,卡牌属性!M382-1),INDEX(新属性投放!T$25:T$28,卡牌属性!M382-1)))*SQRT(INDEX($I$5:$I$42,L382)),2)</f>
        <v>1317.5</v>
      </c>
      <c r="Y382" s="29" t="s">
        <v>177</v>
      </c>
      <c r="Z382" s="14">
        <f>ROUND(IF(Q382=1,INDEX(新属性投放!$D$14:$D$34,卡牌属性!R382),INDEX(新属性投放!$D$42:$D$62,卡牌属性!R382))*INDEX($G$5:$G$42,L382)/SQRT(INDEX($I$5:$I$42,L382)),2)</f>
        <v>11.5</v>
      </c>
      <c r="AA382" s="29" t="s">
        <v>178</v>
      </c>
      <c r="AB382" s="14">
        <f>ROUND(IF(Q382=1,INDEX(新属性投放!$E$14:$E$34,卡牌属性!R382),INDEX(新属性投放!$E$42:$E$62,卡牌属性!R382))*INDEX($G$5:$G$42,L382),2)</f>
        <v>5.75</v>
      </c>
      <c r="AC382" s="29" t="s">
        <v>179</v>
      </c>
      <c r="AD382" s="14">
        <f>ROUND(IF(Q382=1,INDEX(新属性投放!$F$14:$F$34,卡牌属性!R382),INDEX(新属性投放!$F$42:$F$62,卡牌属性!R382))*INDEX($G$5:$G$42,L382)*SQRT(INDEX($I$5:$I$42,L382)),2)</f>
        <v>51.75</v>
      </c>
      <c r="AF382" s="14">
        <f t="shared" si="99"/>
        <v>115</v>
      </c>
      <c r="AG382" s="14">
        <f t="shared" si="100"/>
        <v>57</v>
      </c>
      <c r="AH382" s="14">
        <f t="shared" si="101"/>
        <v>517</v>
      </c>
      <c r="AJ382" s="14">
        <f>AF382</f>
        <v>115</v>
      </c>
      <c r="AK382" s="14">
        <f>AG382</f>
        <v>57</v>
      </c>
      <c r="AL382" s="14">
        <f>AH382</f>
        <v>517</v>
      </c>
    </row>
    <row r="383" spans="11:38" ht="16.5" x14ac:dyDescent="0.2">
      <c r="K383" s="13">
        <v>380</v>
      </c>
      <c r="L383" s="13">
        <f t="shared" si="93"/>
        <v>19</v>
      </c>
      <c r="M383" s="13">
        <f t="shared" si="94"/>
        <v>3</v>
      </c>
      <c r="N383" s="14">
        <f t="shared" si="95"/>
        <v>1102003</v>
      </c>
      <c r="O383" s="14" t="str">
        <f t="shared" si="96"/>
        <v>典韦2突</v>
      </c>
      <c r="P383" s="29" t="s">
        <v>341</v>
      </c>
      <c r="Q383" s="14">
        <f t="shared" si="97"/>
        <v>2</v>
      </c>
      <c r="R383" s="14">
        <f t="shared" si="98"/>
        <v>2</v>
      </c>
      <c r="S383" s="14" t="s">
        <v>39</v>
      </c>
      <c r="T383" s="14">
        <f>ROUND(((IF(Q383=1,INDEX(新属性投放!$J$14:$J$34,卡牌属性!R383),INDEX(新属性投放!$J$42:$J$62,卡牌属性!R383)))*INDEX($G$5:$G$42,L383)+IF(Q383=1,INDEX(新属性投放!R$20:R$23,卡牌属性!M383-1),INDEX(新属性投放!R$25:R$28,卡牌属性!M383-1)))/SQRT(INDEX($I$5:$I$42,L383)),2)</f>
        <v>612.25</v>
      </c>
      <c r="U383" s="29" t="s">
        <v>178</v>
      </c>
      <c r="V383" s="14">
        <f>ROUND((IF(Q383=1,INDEX(新属性投放!$K$14:$K$34,卡牌属性!R383),INDEX(新属性投放!$K$42:$K$62,卡牌属性!R383))+IF(Q383=1,INDEX(新属性投放!S$20:S$23,卡牌属性!M383-1),INDEX(新属性投放!S$25:S$28,卡牌属性!M383-1)))*INDEX($G$5:$G$42,L383),2)</f>
        <v>178.25</v>
      </c>
      <c r="W383" s="29" t="s">
        <v>179</v>
      </c>
      <c r="X383" s="14">
        <f>ROUND((IF(Q383=1,INDEX(新属性投放!$L$14:$L$34,卡牌属性!R383),INDEX(新属性投放!$L$42:$L$62,卡牌属性!R383))*INDEX($G$5:$G$42,L383)+IF(Q383=1,INDEX(新属性投放!T$20:T$23,卡牌属性!M383-1),INDEX(新属性投放!T$25:T$28,卡牌属性!M383-1)))*SQRT(INDEX($I$5:$I$42,L383)),2)</f>
        <v>2042</v>
      </c>
      <c r="Y383" s="29" t="s">
        <v>177</v>
      </c>
      <c r="Z383" s="14">
        <f>ROUND(IF(Q383=1,INDEX(新属性投放!$D$14:$D$34,卡牌属性!R383),INDEX(新属性投放!$D$42:$D$62,卡牌属性!R383))*INDEX($G$5:$G$42,L383)/SQRT(INDEX($I$5:$I$42,L383)),2)</f>
        <v>11.5</v>
      </c>
      <c r="AA383" s="29" t="s">
        <v>178</v>
      </c>
      <c r="AB383" s="14">
        <f>ROUND(IF(Q383=1,INDEX(新属性投放!$E$14:$E$34,卡牌属性!R383),INDEX(新属性投放!$E$42:$E$62,卡牌属性!R383))*INDEX($G$5:$G$42,L383),2)</f>
        <v>5.75</v>
      </c>
      <c r="AC383" s="29" t="s">
        <v>179</v>
      </c>
      <c r="AD383" s="14">
        <f>ROUND(IF(Q383=1,INDEX(新属性投放!$F$14:$F$34,卡牌属性!R383),INDEX(新属性投放!$F$42:$F$62,卡牌属性!R383))*INDEX($G$5:$G$42,L383)*SQRT(INDEX($I$5:$I$42,L383)),2)</f>
        <v>51.75</v>
      </c>
      <c r="AF383" s="14">
        <f t="shared" si="99"/>
        <v>115</v>
      </c>
      <c r="AG383" s="14">
        <f t="shared" si="100"/>
        <v>57</v>
      </c>
      <c r="AH383" s="14">
        <f t="shared" si="101"/>
        <v>517</v>
      </c>
      <c r="AJ383" s="14">
        <f t="shared" ref="AJ383:AJ402" si="108">AJ382+AF383</f>
        <v>230</v>
      </c>
      <c r="AK383" s="14">
        <f t="shared" ref="AK383:AK402" si="109">AK382+AG383</f>
        <v>114</v>
      </c>
      <c r="AL383" s="14">
        <f t="shared" ref="AL383:AL402" si="110">AL382+AH383</f>
        <v>1034</v>
      </c>
    </row>
    <row r="384" spans="11:38" ht="16.5" x14ac:dyDescent="0.2">
      <c r="K384" s="13">
        <v>381</v>
      </c>
      <c r="L384" s="13">
        <f t="shared" si="93"/>
        <v>19</v>
      </c>
      <c r="M384" s="13">
        <f t="shared" si="94"/>
        <v>3</v>
      </c>
      <c r="N384" s="14">
        <f t="shared" si="95"/>
        <v>1102003</v>
      </c>
      <c r="O384" s="14" t="str">
        <f t="shared" si="96"/>
        <v>典韦3突</v>
      </c>
      <c r="P384" s="29" t="s">
        <v>341</v>
      </c>
      <c r="Q384" s="14">
        <f t="shared" si="97"/>
        <v>2</v>
      </c>
      <c r="R384" s="14">
        <f t="shared" si="98"/>
        <v>3</v>
      </c>
      <c r="S384" s="14" t="s">
        <v>39</v>
      </c>
      <c r="T384" s="14">
        <f>ROUND(((IF(Q384=1,INDEX(新属性投放!$J$14:$J$34,卡牌属性!R384),INDEX(新属性投放!$J$42:$J$62,卡牌属性!R384)))*INDEX($G$5:$G$42,L384)+IF(Q384=1,INDEX(新属性投放!R$20:R$23,卡牌属性!M384-1),INDEX(新属性投放!R$25:R$28,卡牌属性!M384-1)))/SQRT(INDEX($I$5:$I$42,L384)),2)</f>
        <v>756</v>
      </c>
      <c r="U384" s="29" t="s">
        <v>178</v>
      </c>
      <c r="V384" s="14">
        <f>ROUND((IF(Q384=1,INDEX(新属性投放!$K$14:$K$34,卡牌属性!R384),INDEX(新属性投放!$K$42:$K$62,卡牌属性!R384))+IF(Q384=1,INDEX(新属性投放!S$20:S$23,卡牌属性!M384-1),INDEX(新属性投放!S$25:S$28,卡牌属性!M384-1)))*INDEX($G$5:$G$42,L384),2)</f>
        <v>250.7</v>
      </c>
      <c r="W384" s="29" t="s">
        <v>179</v>
      </c>
      <c r="X384" s="14">
        <f>ROUND((IF(Q384=1,INDEX(新属性投放!$L$14:$L$34,卡牌属性!R384),INDEX(新属性投放!$L$42:$L$62,卡牌属性!R384))*INDEX($G$5:$G$42,L384)+IF(Q384=1,INDEX(新属性投放!T$20:T$23,卡牌属性!M384-1),INDEX(新属性投放!T$25:T$28,卡牌属性!M384-1)))*SQRT(INDEX($I$5:$I$42,L384)),2)</f>
        <v>2818.25</v>
      </c>
      <c r="Y384" s="29" t="s">
        <v>177</v>
      </c>
      <c r="Z384" s="14">
        <f>ROUND(IF(Q384=1,INDEX(新属性投放!$D$14:$D$34,卡牌属性!R384),INDEX(新属性投放!$D$42:$D$62,卡牌属性!R384))*INDEX($G$5:$G$42,L384)/SQRT(INDEX($I$5:$I$42,L384)),2)</f>
        <v>17.25</v>
      </c>
      <c r="AA384" s="29" t="s">
        <v>178</v>
      </c>
      <c r="AB384" s="14">
        <f>ROUND(IF(Q384=1,INDEX(新属性投放!$E$14:$E$34,卡牌属性!R384),INDEX(新属性投放!$E$42:$E$62,卡牌属性!R384))*INDEX($G$5:$G$42,L384),2)</f>
        <v>8.6300000000000008</v>
      </c>
      <c r="AC384" s="29" t="s">
        <v>179</v>
      </c>
      <c r="AD384" s="14">
        <f>ROUND(IF(Q384=1,INDEX(新属性投放!$F$14:$F$34,卡牌属性!R384),INDEX(新属性投放!$F$42:$F$62,卡牌属性!R384))*INDEX($G$5:$G$42,L384)*SQRT(INDEX($I$5:$I$42,L384)),2)</f>
        <v>77.05</v>
      </c>
      <c r="AF384" s="14">
        <f t="shared" si="99"/>
        <v>172</v>
      </c>
      <c r="AG384" s="14">
        <f t="shared" si="100"/>
        <v>86</v>
      </c>
      <c r="AH384" s="14">
        <f t="shared" si="101"/>
        <v>770</v>
      </c>
      <c r="AJ384" s="14">
        <f t="shared" si="108"/>
        <v>402</v>
      </c>
      <c r="AK384" s="14">
        <f t="shared" si="109"/>
        <v>200</v>
      </c>
      <c r="AL384" s="14">
        <f t="shared" si="110"/>
        <v>1804</v>
      </c>
    </row>
    <row r="385" spans="11:38" ht="16.5" x14ac:dyDescent="0.2">
      <c r="K385" s="13">
        <v>382</v>
      </c>
      <c r="L385" s="13">
        <f t="shared" si="93"/>
        <v>19</v>
      </c>
      <c r="M385" s="13">
        <f t="shared" si="94"/>
        <v>3</v>
      </c>
      <c r="N385" s="14">
        <f t="shared" si="95"/>
        <v>1102003</v>
      </c>
      <c r="O385" s="14" t="str">
        <f t="shared" si="96"/>
        <v>典韦4突</v>
      </c>
      <c r="P385" s="29" t="s">
        <v>341</v>
      </c>
      <c r="Q385" s="14">
        <f t="shared" si="97"/>
        <v>2</v>
      </c>
      <c r="R385" s="14">
        <f t="shared" si="98"/>
        <v>4</v>
      </c>
      <c r="S385" s="14" t="s">
        <v>39</v>
      </c>
      <c r="T385" s="14">
        <f>ROUND(((IF(Q385=1,INDEX(新属性投放!$J$14:$J$34,卡牌属性!R385),INDEX(新属性投放!$J$42:$J$62,卡牌属性!R385)))*INDEX($G$5:$G$42,L385)+IF(Q385=1,INDEX(新属性投放!R$20:R$23,卡牌属性!M385-1),INDEX(新属性投放!R$25:R$28,卡牌属性!M385-1)))/SQRT(INDEX($I$5:$I$42,L385)),2)</f>
        <v>972.2</v>
      </c>
      <c r="U385" s="29" t="s">
        <v>178</v>
      </c>
      <c r="V385" s="14">
        <f>ROUND((IF(Q385=1,INDEX(新属性投放!$K$14:$K$34,卡牌属性!R385),INDEX(新属性投放!$K$42:$K$62,卡牌属性!R385))+IF(Q385=1,INDEX(新属性投放!S$20:S$23,卡牌属性!M385-1),INDEX(新属性投放!S$25:S$28,卡牌属性!M385-1)))*INDEX($G$5:$G$42,L385),2)</f>
        <v>358.8</v>
      </c>
      <c r="W385" s="29" t="s">
        <v>179</v>
      </c>
      <c r="X385" s="14">
        <f>ROUND((IF(Q385=1,INDEX(新属性投放!$L$14:$L$34,卡牌属性!R385),INDEX(新属性投放!$L$42:$L$62,卡牌属性!R385))*INDEX($G$5:$G$42,L385)+IF(Q385=1,INDEX(新属性投放!T$20:T$23,卡牌属性!M385-1),INDEX(新属性投放!T$25:T$28,卡牌属性!M385-1)))*SQRT(INDEX($I$5:$I$42,L385)),2)</f>
        <v>3982.05</v>
      </c>
      <c r="Y385" s="29" t="s">
        <v>177</v>
      </c>
      <c r="Z385" s="14">
        <f>ROUND(IF(Q385=1,INDEX(新属性投放!$D$14:$D$34,卡牌属性!R385),INDEX(新属性投放!$D$42:$D$62,卡牌属性!R385))*INDEX($G$5:$G$42,L385)/SQRT(INDEX($I$5:$I$42,L385)),2)</f>
        <v>23</v>
      </c>
      <c r="AA385" s="29" t="s">
        <v>178</v>
      </c>
      <c r="AB385" s="14">
        <f>ROUND(IF(Q385=1,INDEX(新属性投放!$E$14:$E$34,卡牌属性!R385),INDEX(新属性投放!$E$42:$E$62,卡牌属性!R385))*INDEX($G$5:$G$42,L385),2)</f>
        <v>11.5</v>
      </c>
      <c r="AC385" s="29" t="s">
        <v>179</v>
      </c>
      <c r="AD385" s="14">
        <f>ROUND(IF(Q385=1,INDEX(新属性投放!$F$14:$F$34,卡牌属性!R385),INDEX(新属性投放!$F$42:$F$62,卡牌属性!R385))*INDEX($G$5:$G$42,L385)*SQRT(INDEX($I$5:$I$42,L385)),2)</f>
        <v>103.5</v>
      </c>
      <c r="AF385" s="14">
        <f t="shared" si="99"/>
        <v>230</v>
      </c>
      <c r="AG385" s="14">
        <f t="shared" si="100"/>
        <v>115</v>
      </c>
      <c r="AH385" s="14">
        <f t="shared" si="101"/>
        <v>1035</v>
      </c>
      <c r="AJ385" s="14">
        <f t="shared" si="108"/>
        <v>632</v>
      </c>
      <c r="AK385" s="14">
        <f t="shared" si="109"/>
        <v>315</v>
      </c>
      <c r="AL385" s="14">
        <f t="shared" si="110"/>
        <v>2839</v>
      </c>
    </row>
    <row r="386" spans="11:38" ht="16.5" x14ac:dyDescent="0.2">
      <c r="K386" s="13">
        <v>383</v>
      </c>
      <c r="L386" s="13">
        <f t="shared" si="93"/>
        <v>19</v>
      </c>
      <c r="M386" s="13">
        <f t="shared" si="94"/>
        <v>3</v>
      </c>
      <c r="N386" s="14">
        <f t="shared" si="95"/>
        <v>1102003</v>
      </c>
      <c r="O386" s="14" t="str">
        <f t="shared" si="96"/>
        <v>典韦5突</v>
      </c>
      <c r="P386" s="29" t="s">
        <v>341</v>
      </c>
      <c r="Q386" s="14">
        <f t="shared" si="97"/>
        <v>2</v>
      </c>
      <c r="R386" s="14">
        <f t="shared" si="98"/>
        <v>5</v>
      </c>
      <c r="S386" s="14" t="s">
        <v>39</v>
      </c>
      <c r="T386" s="14">
        <f>ROUND(((IF(Q386=1,INDEX(新属性投放!$J$14:$J$34,卡牌属性!R386),INDEX(新属性投放!$J$42:$J$62,卡牌属性!R386)))*INDEX($G$5:$G$42,L386)+IF(Q386=1,INDEX(新属性投放!R$20:R$23,卡牌属性!M386-1),INDEX(新属性投放!R$25:R$28,卡牌属性!M386-1)))/SQRT(INDEX($I$5:$I$42,L386)),2)</f>
        <v>1259.7</v>
      </c>
      <c r="U386" s="29" t="s">
        <v>178</v>
      </c>
      <c r="V386" s="14">
        <f>ROUND((IF(Q386=1,INDEX(新属性投放!$K$14:$K$34,卡牌属性!R386),INDEX(新属性投放!$K$42:$K$62,卡牌属性!R386))+IF(Q386=1,INDEX(新属性投放!S$20:S$23,卡牌属性!M386-1),INDEX(新属性投放!S$25:S$28,卡牌属性!M386-1)))*INDEX($G$5:$G$42,L386),2)</f>
        <v>502.55</v>
      </c>
      <c r="W386" s="29" t="s">
        <v>179</v>
      </c>
      <c r="X386" s="14">
        <f>ROUND((IF(Q386=1,INDEX(新属性投放!$L$14:$L$34,卡牌属性!R386),INDEX(新属性投放!$L$42:$L$62,卡牌属性!R386))*INDEX($G$5:$G$42,L386)+IF(Q386=1,INDEX(新属性投放!T$20:T$23,卡牌属性!M386-1),INDEX(新属性投放!T$25:T$28,卡牌属性!M386-1)))*SQRT(INDEX($I$5:$I$42,L386)),2)</f>
        <v>5534.55</v>
      </c>
      <c r="Y386" s="29" t="s">
        <v>177</v>
      </c>
      <c r="Z386" s="14">
        <f>ROUND(IF(Q386=1,INDEX(新属性投放!$D$14:$D$34,卡牌属性!R386),INDEX(新属性投放!$D$42:$D$62,卡牌属性!R386))*INDEX($G$5:$G$42,L386)/SQRT(INDEX($I$5:$I$42,L386)),2)</f>
        <v>28.75</v>
      </c>
      <c r="AA386" s="29" t="s">
        <v>178</v>
      </c>
      <c r="AB386" s="14">
        <f>ROUND(IF(Q386=1,INDEX(新属性投放!$E$14:$E$34,卡牌属性!R386),INDEX(新属性投放!$E$42:$E$62,卡牌属性!R386))*INDEX($G$5:$G$42,L386),2)</f>
        <v>14.38</v>
      </c>
      <c r="AC386" s="29" t="s">
        <v>179</v>
      </c>
      <c r="AD386" s="14">
        <f>ROUND(IF(Q386=1,INDEX(新属性投放!$F$14:$F$34,卡牌属性!R386),INDEX(新属性投放!$F$42:$F$62,卡牌属性!R386))*INDEX($G$5:$G$42,L386)*SQRT(INDEX($I$5:$I$42,L386)),2)</f>
        <v>128.80000000000001</v>
      </c>
      <c r="AF386" s="14">
        <f t="shared" si="99"/>
        <v>287</v>
      </c>
      <c r="AG386" s="14">
        <f t="shared" si="100"/>
        <v>143</v>
      </c>
      <c r="AH386" s="14">
        <f t="shared" si="101"/>
        <v>1288</v>
      </c>
      <c r="AJ386" s="14">
        <f t="shared" si="108"/>
        <v>919</v>
      </c>
      <c r="AK386" s="14">
        <f t="shared" si="109"/>
        <v>458</v>
      </c>
      <c r="AL386" s="14">
        <f t="shared" si="110"/>
        <v>4127</v>
      </c>
    </row>
    <row r="387" spans="11:38" ht="16.5" x14ac:dyDescent="0.2">
      <c r="K387" s="13">
        <v>384</v>
      </c>
      <c r="L387" s="13">
        <f t="shared" si="93"/>
        <v>19</v>
      </c>
      <c r="M387" s="13">
        <f t="shared" si="94"/>
        <v>3</v>
      </c>
      <c r="N387" s="14">
        <f t="shared" si="95"/>
        <v>1102003</v>
      </c>
      <c r="O387" s="14" t="str">
        <f t="shared" si="96"/>
        <v>典韦6突</v>
      </c>
      <c r="P387" s="29" t="s">
        <v>341</v>
      </c>
      <c r="Q387" s="14">
        <f t="shared" si="97"/>
        <v>2</v>
      </c>
      <c r="R387" s="14">
        <f t="shared" si="98"/>
        <v>6</v>
      </c>
      <c r="S387" s="14" t="s">
        <v>39</v>
      </c>
      <c r="T387" s="14">
        <f>ROUND(((IF(Q387=1,INDEX(新属性投放!$J$14:$J$34,卡牌属性!R387),INDEX(新属性投放!$J$42:$J$62,卡牌属性!R387)))*INDEX($G$5:$G$42,L387)+IF(Q387=1,INDEX(新属性投放!R$20:R$23,卡牌属性!M387-1),INDEX(新属性投放!R$25:R$28,卡牌属性!M387-1)))/SQRT(INDEX($I$5:$I$42,L387)),2)</f>
        <v>1619.65</v>
      </c>
      <c r="U387" s="29" t="s">
        <v>178</v>
      </c>
      <c r="V387" s="14">
        <f>ROUND((IF(Q387=1,INDEX(新属性投放!$K$14:$K$34,卡牌属性!R387),INDEX(新属性投放!$K$42:$K$62,卡牌属性!R387))+IF(Q387=1,INDEX(新属性投放!S$20:S$23,卡牌属性!M387-1),INDEX(新属性投放!S$25:S$28,卡牌属性!M387-1)))*INDEX($G$5:$G$42,L387),2)</f>
        <v>681.95</v>
      </c>
      <c r="W387" s="29" t="s">
        <v>179</v>
      </c>
      <c r="X387" s="14">
        <f>ROUND((IF(Q387=1,INDEX(新属性投放!$L$14:$L$34,卡牌属性!R387),INDEX(新属性投放!$L$42:$L$62,卡牌属性!R387))*INDEX($G$5:$G$42,L387)+IF(Q387=1,INDEX(新属性投放!T$20:T$23,卡牌属性!M387-1),INDEX(新属性投放!T$25:T$28,卡牌属性!M387-1)))*SQRT(INDEX($I$5:$I$42,L387)),2)</f>
        <v>7474.6</v>
      </c>
      <c r="Y387" s="29" t="s">
        <v>177</v>
      </c>
      <c r="Z387" s="14">
        <f>ROUND(IF(Q387=1,INDEX(新属性投放!$D$14:$D$34,卡牌属性!R387),INDEX(新属性投放!$D$42:$D$62,卡牌属性!R387))*INDEX($G$5:$G$42,L387)/SQRT(INDEX($I$5:$I$42,L387)),2)</f>
        <v>34.5</v>
      </c>
      <c r="AA387" s="29" t="s">
        <v>178</v>
      </c>
      <c r="AB387" s="14">
        <f>ROUND(IF(Q387=1,INDEX(新属性投放!$E$14:$E$34,卡牌属性!R387),INDEX(新属性投放!$E$42:$E$62,卡牌属性!R387))*INDEX($G$5:$G$42,L387),2)</f>
        <v>17.25</v>
      </c>
      <c r="AC387" s="29" t="s">
        <v>179</v>
      </c>
      <c r="AD387" s="14">
        <f>ROUND(IF(Q387=1,INDEX(新属性投放!$F$14:$F$34,卡牌属性!R387),INDEX(新属性投放!$F$42:$F$62,卡牌属性!R387))*INDEX($G$5:$G$42,L387)*SQRT(INDEX($I$5:$I$42,L387)),2)</f>
        <v>155.25</v>
      </c>
      <c r="AF387" s="14">
        <f t="shared" si="99"/>
        <v>345</v>
      </c>
      <c r="AG387" s="14">
        <f t="shared" si="100"/>
        <v>172</v>
      </c>
      <c r="AH387" s="14">
        <f t="shared" si="101"/>
        <v>1552</v>
      </c>
      <c r="AJ387" s="14">
        <f t="shared" si="108"/>
        <v>1264</v>
      </c>
      <c r="AK387" s="14">
        <f t="shared" si="109"/>
        <v>630</v>
      </c>
      <c r="AL387" s="14">
        <f t="shared" si="110"/>
        <v>5679</v>
      </c>
    </row>
    <row r="388" spans="11:38" ht="16.5" x14ac:dyDescent="0.2">
      <c r="K388" s="13">
        <v>385</v>
      </c>
      <c r="L388" s="13">
        <f t="shared" si="93"/>
        <v>19</v>
      </c>
      <c r="M388" s="13">
        <f t="shared" si="94"/>
        <v>3</v>
      </c>
      <c r="N388" s="14">
        <f t="shared" si="95"/>
        <v>1102003</v>
      </c>
      <c r="O388" s="14" t="str">
        <f t="shared" si="96"/>
        <v>典韦7突</v>
      </c>
      <c r="P388" s="29" t="s">
        <v>341</v>
      </c>
      <c r="Q388" s="14">
        <f t="shared" si="97"/>
        <v>2</v>
      </c>
      <c r="R388" s="14">
        <f t="shared" si="98"/>
        <v>7</v>
      </c>
      <c r="S388" s="14" t="s">
        <v>39</v>
      </c>
      <c r="T388" s="14">
        <f>ROUND(((IF(Q388=1,INDEX(新属性投放!$J$14:$J$34,卡牌属性!R388),INDEX(新属性投放!$J$42:$J$62,卡牌属性!R388)))*INDEX($G$5:$G$42,L388)+IF(Q388=1,INDEX(新属性投放!R$20:R$23,卡牌属性!M388-1),INDEX(新属性投放!R$25:R$28,卡牌属性!M388-1)))/SQRT(INDEX($I$5:$I$42,L388)),2)</f>
        <v>2050.9</v>
      </c>
      <c r="U388" s="29" t="s">
        <v>178</v>
      </c>
      <c r="V388" s="14">
        <f>ROUND((IF(Q388=1,INDEX(新属性投放!$K$14:$K$34,卡牌属性!R388),INDEX(新属性投放!$K$42:$K$62,卡牌属性!R388))+IF(Q388=1,INDEX(新属性投放!S$20:S$23,卡牌属性!M388-1),INDEX(新属性投放!S$25:S$28,卡牌属性!M388-1)))*INDEX($G$5:$G$42,L388),2)</f>
        <v>898.15</v>
      </c>
      <c r="W388" s="29" t="s">
        <v>179</v>
      </c>
      <c r="X388" s="14">
        <f>ROUND((IF(Q388=1,INDEX(新属性投放!$L$14:$L$34,卡牌属性!R388),INDEX(新属性投放!$L$42:$L$62,卡牌属性!R388))*INDEX($G$5:$G$42,L388)+IF(Q388=1,INDEX(新属性投放!T$20:T$23,卡牌属性!M388-1),INDEX(新属性投放!T$25:T$28,卡牌属性!M388-1)))*SQRT(INDEX($I$5:$I$42,L388)),2)</f>
        <v>9803.35</v>
      </c>
      <c r="Y388" s="29" t="s">
        <v>177</v>
      </c>
      <c r="Z388" s="14">
        <f>ROUND(IF(Q388=1,INDEX(新属性投放!$D$14:$D$34,卡牌属性!R388),INDEX(新属性投放!$D$42:$D$62,卡牌属性!R388))*INDEX($G$5:$G$42,L388)/SQRT(INDEX($I$5:$I$42,L388)),2)</f>
        <v>40.25</v>
      </c>
      <c r="AA388" s="29" t="s">
        <v>178</v>
      </c>
      <c r="AB388" s="14">
        <f>ROUND(IF(Q388=1,INDEX(新属性投放!$E$14:$E$34,卡牌属性!R388),INDEX(新属性投放!$E$42:$E$62,卡牌属性!R388))*INDEX($G$5:$G$42,L388),2)</f>
        <v>20.13</v>
      </c>
      <c r="AC388" s="29" t="s">
        <v>179</v>
      </c>
      <c r="AD388" s="14">
        <f>ROUND(IF(Q388=1,INDEX(新属性投放!$F$14:$F$34,卡牌属性!R388),INDEX(新属性投放!$F$42:$F$62,卡牌属性!R388))*INDEX($G$5:$G$42,L388)*SQRT(INDEX($I$5:$I$42,L388)),2)</f>
        <v>180.55</v>
      </c>
      <c r="AF388" s="14">
        <f t="shared" si="99"/>
        <v>402</v>
      </c>
      <c r="AG388" s="14">
        <f t="shared" si="100"/>
        <v>201</v>
      </c>
      <c r="AH388" s="14">
        <f t="shared" si="101"/>
        <v>1805</v>
      </c>
      <c r="AJ388" s="14">
        <f t="shared" si="108"/>
        <v>1666</v>
      </c>
      <c r="AK388" s="14">
        <f t="shared" si="109"/>
        <v>831</v>
      </c>
      <c r="AL388" s="14">
        <f t="shared" si="110"/>
        <v>7484</v>
      </c>
    </row>
    <row r="389" spans="11:38" ht="16.5" x14ac:dyDescent="0.2">
      <c r="K389" s="13">
        <v>386</v>
      </c>
      <c r="L389" s="13">
        <f t="shared" ref="L389:L452" si="111">MATCH(K389-1,$F$4:$F$41,1)</f>
        <v>19</v>
      </c>
      <c r="M389" s="13">
        <f t="shared" ref="M389:M452" si="112">INDEX($D$5:$D$42,L389)</f>
        <v>3</v>
      </c>
      <c r="N389" s="14">
        <f t="shared" ref="N389:N452" si="113">INDEX($A$4:$A$42,L389+1)</f>
        <v>1102003</v>
      </c>
      <c r="O389" s="14" t="str">
        <f t="shared" ref="O389:O452" si="114">INDEX($B$4:$B$42,MATCH(N389,$A$4:$A$42,0))&amp;R389&amp;"突"</f>
        <v>典韦8突</v>
      </c>
      <c r="P389" s="29" t="s">
        <v>341</v>
      </c>
      <c r="Q389" s="14">
        <f t="shared" ref="Q389:Q452" si="115">INDEX($C$4:$C$42,L389+1)</f>
        <v>2</v>
      </c>
      <c r="R389" s="14">
        <f t="shared" ref="R389:R452" si="116">K389-INDEX($F$4:$F$42,L389)</f>
        <v>8</v>
      </c>
      <c r="S389" s="14" t="s">
        <v>39</v>
      </c>
      <c r="T389" s="14">
        <f>ROUND(((IF(Q389=1,INDEX(新属性投放!$J$14:$J$34,卡牌属性!R389),INDEX(新属性投放!$J$42:$J$62,卡牌属性!R389)))*INDEX($G$5:$G$42,L389)+IF(Q389=1,INDEX(新属性投放!R$20:R$23,卡牌属性!M389-1),INDEX(新属性投放!R$25:R$28,卡牌属性!M389-1)))/SQRT(INDEX($I$5:$I$42,L389)),2)</f>
        <v>2554.6</v>
      </c>
      <c r="U389" s="29" t="s">
        <v>178</v>
      </c>
      <c r="V389" s="14">
        <f>ROUND((IF(Q389=1,INDEX(新属性投放!$K$14:$K$34,卡牌属性!R389),INDEX(新属性投放!$K$42:$K$62,卡牌属性!R389))+IF(Q389=1,INDEX(新属性投放!S$20:S$23,卡牌属性!M389-1),INDEX(新属性投放!S$25:S$28,卡牌属性!M389-1)))*INDEX($G$5:$G$42,L389),2)</f>
        <v>1150</v>
      </c>
      <c r="W389" s="29" t="s">
        <v>179</v>
      </c>
      <c r="X389" s="14">
        <f>ROUND((IF(Q389=1,INDEX(新属性投放!$L$14:$L$34,卡牌属性!R389),INDEX(新属性投放!$L$42:$L$62,卡牌属性!R389))*INDEX($G$5:$G$42,L389)+IF(Q389=1,INDEX(新属性投放!T$20:T$23,卡牌属性!M389-1),INDEX(新属性投放!T$25:T$28,卡牌属性!M389-1)))*SQRT(INDEX($I$5:$I$42,L389)),2)</f>
        <v>12519.65</v>
      </c>
      <c r="Y389" s="29" t="s">
        <v>177</v>
      </c>
      <c r="Z389" s="14">
        <f>ROUND(IF(Q389=1,INDEX(新属性投放!$D$14:$D$34,卡牌属性!R389),INDEX(新属性投放!$D$42:$D$62,卡牌属性!R389))*INDEX($G$5:$G$42,L389)/SQRT(INDEX($I$5:$I$42,L389)),2)</f>
        <v>51.75</v>
      </c>
      <c r="AA389" s="29" t="s">
        <v>178</v>
      </c>
      <c r="AB389" s="14">
        <f>ROUND(IF(Q389=1,INDEX(新属性投放!$E$14:$E$34,卡牌属性!R389),INDEX(新属性投放!$E$42:$E$62,卡牌属性!R389))*INDEX($G$5:$G$42,L389),2)</f>
        <v>25.88</v>
      </c>
      <c r="AC389" s="29" t="s">
        <v>179</v>
      </c>
      <c r="AD389" s="14">
        <f>ROUND(IF(Q389=1,INDEX(新属性投放!$F$14:$F$34,卡牌属性!R389),INDEX(新属性投放!$F$42:$F$62,卡牌属性!R389))*INDEX($G$5:$G$42,L389)*SQRT(INDEX($I$5:$I$42,L389)),2)</f>
        <v>232.3</v>
      </c>
      <c r="AF389" s="14">
        <f t="shared" ref="AF389:AF452" si="117">INT(Z389*AF$2*10)</f>
        <v>517</v>
      </c>
      <c r="AG389" s="14">
        <f t="shared" ref="AG389:AG452" si="118">INT(AB389*AF$2*10)</f>
        <v>258</v>
      </c>
      <c r="AH389" s="14">
        <f t="shared" ref="AH389:AH452" si="119">INT(AD389*AF$2*10)</f>
        <v>2323</v>
      </c>
      <c r="AJ389" s="14">
        <f t="shared" si="108"/>
        <v>2183</v>
      </c>
      <c r="AK389" s="14">
        <f t="shared" si="109"/>
        <v>1089</v>
      </c>
      <c r="AL389" s="14">
        <f t="shared" si="110"/>
        <v>9807</v>
      </c>
    </row>
    <row r="390" spans="11:38" ht="16.5" x14ac:dyDescent="0.2">
      <c r="K390" s="13">
        <v>387</v>
      </c>
      <c r="L390" s="13">
        <f t="shared" si="111"/>
        <v>19</v>
      </c>
      <c r="M390" s="13">
        <f t="shared" si="112"/>
        <v>3</v>
      </c>
      <c r="N390" s="14">
        <f t="shared" si="113"/>
        <v>1102003</v>
      </c>
      <c r="O390" s="14" t="str">
        <f t="shared" si="114"/>
        <v>典韦9突</v>
      </c>
      <c r="P390" s="29" t="s">
        <v>341</v>
      </c>
      <c r="Q390" s="14">
        <f t="shared" si="115"/>
        <v>2</v>
      </c>
      <c r="R390" s="14">
        <f t="shared" si="116"/>
        <v>9</v>
      </c>
      <c r="S390" s="14" t="s">
        <v>39</v>
      </c>
      <c r="T390" s="14">
        <f>ROUND(((IF(Q390=1,INDEX(新属性投放!$J$14:$J$34,卡牌属性!R390),INDEX(新属性投放!$J$42:$J$62,卡牌属性!R390)))*INDEX($G$5:$G$42,L390)+IF(Q390=1,INDEX(新属性投放!R$20:R$23,卡牌属性!M390-1),INDEX(新属性投放!R$25:R$28,卡牌属性!M390-1)))/SQRT(INDEX($I$5:$I$42,L390)),2)</f>
        <v>3202.05</v>
      </c>
      <c r="U390" s="29" t="s">
        <v>178</v>
      </c>
      <c r="V390" s="14">
        <f>ROUND((IF(Q390=1,INDEX(新属性投放!$K$14:$K$34,卡牌属性!R390),INDEX(新属性投放!$K$42:$K$62,卡牌属性!R390))+IF(Q390=1,INDEX(新属性投放!S$20:S$23,卡牌属性!M390-1),INDEX(新属性投放!S$25:S$28,卡牌属性!M390-1)))*INDEX($G$5:$G$42,L390),2)</f>
        <v>1473.15</v>
      </c>
      <c r="W390" s="29" t="s">
        <v>179</v>
      </c>
      <c r="X390" s="14">
        <f>ROUND((IF(Q390=1,INDEX(新属性投放!$L$14:$L$34,卡牌属性!R390),INDEX(新属性投放!$L$42:$L$62,卡牌属性!R390))*INDEX($G$5:$G$42,L390)+IF(Q390=1,INDEX(新属性投放!T$20:T$23,卡牌属性!M390-1),INDEX(新属性投放!T$25:T$28,卡牌属性!M390-1)))*SQRT(INDEX($I$5:$I$42,L390)),2)</f>
        <v>16012.2</v>
      </c>
      <c r="Y390" s="29" t="s">
        <v>177</v>
      </c>
      <c r="Z390" s="14">
        <f>ROUND(IF(Q390=1,INDEX(新属性投放!$D$14:$D$34,卡牌属性!R390),INDEX(新属性投放!$D$42:$D$62,卡牌属性!R390))*INDEX($G$5:$G$42,L390)/SQRT(INDEX($I$5:$I$42,L390)),2)</f>
        <v>69.06</v>
      </c>
      <c r="AA390" s="29" t="s">
        <v>178</v>
      </c>
      <c r="AB390" s="14">
        <f>ROUND(IF(Q390=1,INDEX(新属性投放!$E$14:$E$34,卡牌属性!R390),INDEX(新属性投放!$E$42:$E$62,卡牌属性!R390))*INDEX($G$5:$G$42,L390),2)</f>
        <v>34.53</v>
      </c>
      <c r="AC390" s="29" t="s">
        <v>179</v>
      </c>
      <c r="AD390" s="14">
        <f>ROUND(IF(Q390=1,INDEX(新属性投放!$F$14:$F$34,卡牌属性!R390),INDEX(新属性投放!$F$42:$F$62,卡牌属性!R390))*INDEX($G$5:$G$42,L390)*SQRT(INDEX($I$5:$I$42,L390)),2)</f>
        <v>310.5</v>
      </c>
      <c r="AF390" s="14">
        <f t="shared" si="117"/>
        <v>690</v>
      </c>
      <c r="AG390" s="14">
        <f t="shared" si="118"/>
        <v>345</v>
      </c>
      <c r="AH390" s="14">
        <f t="shared" si="119"/>
        <v>3105</v>
      </c>
      <c r="AJ390" s="14">
        <f t="shared" si="108"/>
        <v>2873</v>
      </c>
      <c r="AK390" s="14">
        <f t="shared" si="109"/>
        <v>1434</v>
      </c>
      <c r="AL390" s="14">
        <f t="shared" si="110"/>
        <v>12912</v>
      </c>
    </row>
    <row r="391" spans="11:38" ht="16.5" x14ac:dyDescent="0.2">
      <c r="K391" s="13">
        <v>388</v>
      </c>
      <c r="L391" s="13">
        <f t="shared" si="111"/>
        <v>19</v>
      </c>
      <c r="M391" s="13">
        <f t="shared" si="112"/>
        <v>3</v>
      </c>
      <c r="N391" s="14">
        <f t="shared" si="113"/>
        <v>1102003</v>
      </c>
      <c r="O391" s="14" t="str">
        <f t="shared" si="114"/>
        <v>典韦10突</v>
      </c>
      <c r="P391" s="29" t="s">
        <v>341</v>
      </c>
      <c r="Q391" s="14">
        <f t="shared" si="115"/>
        <v>2</v>
      </c>
      <c r="R391" s="14">
        <f t="shared" si="116"/>
        <v>10</v>
      </c>
      <c r="S391" s="14" t="s">
        <v>39</v>
      </c>
      <c r="T391" s="14">
        <f>ROUND(((IF(Q391=1,INDEX(新属性投放!$J$14:$J$34,卡牌属性!R391),INDEX(新属性投放!$J$42:$J$62,卡牌属性!R391)))*INDEX($G$5:$G$42,L391)+IF(Q391=1,INDEX(新属性投放!R$20:R$23,卡牌属性!M391-1),INDEX(新属性投放!R$25:R$28,卡牌属性!M391-1)))/SQRT(INDEX($I$5:$I$42,L391)),2)</f>
        <v>4065.13</v>
      </c>
      <c r="U391" s="29" t="s">
        <v>178</v>
      </c>
      <c r="V391" s="14">
        <f>ROUND((IF(Q391=1,INDEX(新属性投放!$K$14:$K$34,卡牌属性!R391),INDEX(新属性投放!$K$42:$K$62,卡牌属性!R391))+IF(Q391=1,INDEX(新属性投放!S$20:S$23,卡牌属性!M391-1),INDEX(新属性投放!S$25:S$28,卡牌属性!M391-1)))*INDEX($G$5:$G$42,L391),2)</f>
        <v>1904.69</v>
      </c>
      <c r="W391" s="29" t="s">
        <v>179</v>
      </c>
      <c r="X391" s="14">
        <f>ROUND((IF(Q391=1,INDEX(新属性投放!$L$14:$L$34,卡牌属性!R391),INDEX(新属性投放!$L$42:$L$62,卡牌属性!R391))*INDEX($G$5:$G$42,L391)+IF(Q391=1,INDEX(新属性投放!T$20:T$23,卡牌属性!M391-1),INDEX(新属性投放!T$25:T$28,卡牌属性!M391-1)))*SQRT(INDEX($I$5:$I$42,L391)),2)</f>
        <v>20669.7</v>
      </c>
      <c r="Y391" s="29" t="s">
        <v>177</v>
      </c>
      <c r="Z391" s="14">
        <f>ROUND(IF(Q391=1,INDEX(新属性投放!$D$14:$D$34,卡牌属性!R391),INDEX(新属性投放!$D$42:$D$62,卡牌属性!R391))*INDEX($G$5:$G$42,L391)/SQRT(INDEX($I$5:$I$42,L391)),2)</f>
        <v>90.28</v>
      </c>
      <c r="AA391" s="29" t="s">
        <v>178</v>
      </c>
      <c r="AB391" s="14">
        <f>ROUND(IF(Q391=1,INDEX(新属性投放!$E$14:$E$34,卡牌属性!R391),INDEX(新属性投放!$E$42:$E$62,卡牌属性!R391))*INDEX($G$5:$G$42,L391),2)</f>
        <v>45.14</v>
      </c>
      <c r="AC391" s="29" t="s">
        <v>179</v>
      </c>
      <c r="AD391" s="14">
        <f>ROUND(IF(Q391=1,INDEX(新属性投放!$F$14:$F$34,卡牌属性!R391),INDEX(新属性投放!$F$42:$F$62,卡牌属性!R391))*INDEX($G$5:$G$42,L391)*SQRT(INDEX($I$5:$I$42,L391)),2)</f>
        <v>405.95</v>
      </c>
      <c r="AF391" s="14">
        <f t="shared" si="117"/>
        <v>902</v>
      </c>
      <c r="AG391" s="14">
        <f t="shared" si="118"/>
        <v>451</v>
      </c>
      <c r="AH391" s="14">
        <f t="shared" si="119"/>
        <v>4059</v>
      </c>
      <c r="AJ391" s="14">
        <f t="shared" si="108"/>
        <v>3775</v>
      </c>
      <c r="AK391" s="14">
        <f t="shared" si="109"/>
        <v>1885</v>
      </c>
      <c r="AL391" s="14">
        <f t="shared" si="110"/>
        <v>16971</v>
      </c>
    </row>
    <row r="392" spans="11:38" ht="16.5" x14ac:dyDescent="0.2">
      <c r="K392" s="13">
        <v>389</v>
      </c>
      <c r="L392" s="13">
        <f t="shared" si="111"/>
        <v>19</v>
      </c>
      <c r="M392" s="13">
        <f t="shared" si="112"/>
        <v>3</v>
      </c>
      <c r="N392" s="14">
        <f t="shared" si="113"/>
        <v>1102003</v>
      </c>
      <c r="O392" s="14" t="str">
        <f t="shared" si="114"/>
        <v>典韦11突</v>
      </c>
      <c r="P392" s="29" t="s">
        <v>341</v>
      </c>
      <c r="Q392" s="14">
        <f t="shared" si="115"/>
        <v>2</v>
      </c>
      <c r="R392" s="14">
        <f t="shared" si="116"/>
        <v>11</v>
      </c>
      <c r="S392" s="14" t="s">
        <v>39</v>
      </c>
      <c r="T392" s="14">
        <f>ROUND(((IF(Q392=1,INDEX(新属性投放!$J$14:$J$34,卡牌属性!R392),INDEX(新属性投放!$J$42:$J$62,卡牌属性!R392)))*INDEX($G$5:$G$42,L392)+IF(Q392=1,INDEX(新属性投放!R$20:R$23,卡牌属性!M392-1),INDEX(新属性投放!R$25:R$28,卡牌属性!M392-1)))/SQRT(INDEX($I$5:$I$42,L392)),2)</f>
        <v>5193.28</v>
      </c>
      <c r="U392" s="29" t="s">
        <v>178</v>
      </c>
      <c r="V392" s="14">
        <f>ROUND((IF(Q392=1,INDEX(新属性投放!$K$14:$K$34,卡牌属性!R392),INDEX(新属性投放!$K$42:$K$62,卡牌属性!R392))+IF(Q392=1,INDEX(新属性投放!S$20:S$23,卡牌属性!M392-1),INDEX(新属性投放!S$25:S$28,卡牌属性!M392-1)))*INDEX($G$5:$G$42,L392),2)</f>
        <v>2468.7600000000002</v>
      </c>
      <c r="W392" s="29" t="s">
        <v>179</v>
      </c>
      <c r="X392" s="14">
        <f>ROUND((IF(Q392=1,INDEX(新属性投放!$L$14:$L$34,卡牌属性!R392),INDEX(新属性投放!$L$42:$L$62,卡牌属性!R392))*INDEX($G$5:$G$42,L392)+IF(Q392=1,INDEX(新属性投放!T$20:T$23,卡牌属性!M392-1),INDEX(新属性投放!T$25:T$28,卡牌属性!M392-1)))*SQRT(INDEX($I$5:$I$42,L392)),2)</f>
        <v>26757.8</v>
      </c>
      <c r="Y392" s="29" t="s">
        <v>177</v>
      </c>
      <c r="Z392" s="14">
        <f>ROUND(IF(Q392=1,INDEX(新属性投放!$D$14:$D$34,卡牌属性!R392),INDEX(新属性投放!$D$42:$D$62,卡牌属性!R392))*INDEX($G$5:$G$42,L392)/SQRT(INDEX($I$5:$I$42,L392)),2)</f>
        <v>118.84</v>
      </c>
      <c r="AA392" s="29" t="s">
        <v>178</v>
      </c>
      <c r="AB392" s="14">
        <f>ROUND(IF(Q392=1,INDEX(新属性投放!$E$14:$E$34,卡牌属性!R392),INDEX(新属性投放!$E$42:$E$62,卡牌属性!R392))*INDEX($G$5:$G$42,L392),2)</f>
        <v>59.42</v>
      </c>
      <c r="AC392" s="29" t="s">
        <v>179</v>
      </c>
      <c r="AD392" s="14">
        <f>ROUND(IF(Q392=1,INDEX(新属性投放!$F$14:$F$34,卡牌属性!R392),INDEX(新属性投放!$F$42:$F$62,卡牌属性!R392))*INDEX($G$5:$G$42,L392)*SQRT(INDEX($I$5:$I$42,L392)),2)</f>
        <v>534.75</v>
      </c>
      <c r="AF392" s="14">
        <f t="shared" si="117"/>
        <v>1188</v>
      </c>
      <c r="AG392" s="14">
        <f t="shared" si="118"/>
        <v>594</v>
      </c>
      <c r="AH392" s="14">
        <f t="shared" si="119"/>
        <v>5347</v>
      </c>
      <c r="AJ392" s="14">
        <f t="shared" si="108"/>
        <v>4963</v>
      </c>
      <c r="AK392" s="14">
        <f t="shared" si="109"/>
        <v>2479</v>
      </c>
      <c r="AL392" s="14">
        <f t="shared" si="110"/>
        <v>22318</v>
      </c>
    </row>
    <row r="393" spans="11:38" ht="16.5" x14ac:dyDescent="0.2">
      <c r="K393" s="13">
        <v>390</v>
      </c>
      <c r="L393" s="13">
        <f t="shared" si="111"/>
        <v>19</v>
      </c>
      <c r="M393" s="13">
        <f t="shared" si="112"/>
        <v>3</v>
      </c>
      <c r="N393" s="14">
        <f t="shared" si="113"/>
        <v>1102003</v>
      </c>
      <c r="O393" s="14" t="str">
        <f t="shared" si="114"/>
        <v>典韦12突</v>
      </c>
      <c r="P393" s="29" t="s">
        <v>341</v>
      </c>
      <c r="Q393" s="14">
        <f t="shared" si="115"/>
        <v>2</v>
      </c>
      <c r="R393" s="14">
        <f t="shared" si="116"/>
        <v>12</v>
      </c>
      <c r="S393" s="14" t="s">
        <v>39</v>
      </c>
      <c r="T393" s="14">
        <f>ROUND(((IF(Q393=1,INDEX(新属性投放!$J$14:$J$34,卡牌属性!R393),INDEX(新属性投放!$J$42:$J$62,卡牌属性!R393)))*INDEX($G$5:$G$42,L393)+IF(Q393=1,INDEX(新属性投放!R$20:R$23,卡牌属性!M393-1),INDEX(新属性投放!R$25:R$28,卡牌属性!M393-1)))/SQRT(INDEX($I$5:$I$42,L393)),2)</f>
        <v>6678.39</v>
      </c>
      <c r="U393" s="29" t="s">
        <v>178</v>
      </c>
      <c r="V393" s="14">
        <f>ROUND((IF(Q393=1,INDEX(新属性投放!$K$14:$K$34,卡牌属性!R393),INDEX(新属性投放!$K$42:$K$62,卡牌属性!R393))+IF(Q393=1,INDEX(新属性投放!S$20:S$23,卡牌属性!M393-1),INDEX(新属性投放!S$25:S$28,卡牌属性!M393-1)))*INDEX($G$5:$G$42,L393),2)</f>
        <v>3211.32</v>
      </c>
      <c r="W393" s="29" t="s">
        <v>179</v>
      </c>
      <c r="X393" s="14">
        <f>ROUND((IF(Q393=1,INDEX(新属性投放!$L$14:$L$34,卡牌属性!R393),INDEX(新属性投放!$L$42:$L$62,卡牌属性!R393))*INDEX($G$5:$G$42,L393)+IF(Q393=1,INDEX(新属性投放!T$20:T$23,卡牌属性!M393-1),INDEX(新属性投放!T$25:T$28,卡牌属性!M393-1)))*SQRT(INDEX($I$5:$I$42,L393)),2)</f>
        <v>34775.599999999999</v>
      </c>
      <c r="Y393" s="29" t="s">
        <v>177</v>
      </c>
      <c r="Z393" s="14">
        <f>ROUND(IF(Q393=1,INDEX(新属性投放!$D$14:$D$34,卡牌属性!R393),INDEX(新属性投放!$D$42:$D$62,卡牌属性!R393))*INDEX($G$5:$G$42,L393)/SQRT(INDEX($I$5:$I$42,L393)),2)</f>
        <v>155.96</v>
      </c>
      <c r="AA393" s="29" t="s">
        <v>178</v>
      </c>
      <c r="AB393" s="14">
        <f>ROUND(IF(Q393=1,INDEX(新属性投放!$E$14:$E$34,卡牌属性!R393),INDEX(新属性投放!$E$42:$E$62,卡牌属性!R393))*INDEX($G$5:$G$42,L393),2)</f>
        <v>77.98</v>
      </c>
      <c r="AC393" s="29" t="s">
        <v>179</v>
      </c>
      <c r="AD393" s="14">
        <f>ROUND(IF(Q393=1,INDEX(新属性投放!$F$14:$F$34,卡牌属性!R393),INDEX(新属性投放!$F$42:$F$62,卡牌属性!R393))*INDEX($G$5:$G$42,L393)*SQRT(INDEX($I$5:$I$42,L393)),2)</f>
        <v>701.5</v>
      </c>
      <c r="AF393" s="14">
        <f t="shared" si="117"/>
        <v>1559</v>
      </c>
      <c r="AG393" s="14">
        <f t="shared" si="118"/>
        <v>779</v>
      </c>
      <c r="AH393" s="14">
        <f t="shared" si="119"/>
        <v>7015</v>
      </c>
      <c r="AJ393" s="14">
        <f t="shared" si="108"/>
        <v>6522</v>
      </c>
      <c r="AK393" s="14">
        <f t="shared" si="109"/>
        <v>3258</v>
      </c>
      <c r="AL393" s="14">
        <f t="shared" si="110"/>
        <v>29333</v>
      </c>
    </row>
    <row r="394" spans="11:38" ht="16.5" x14ac:dyDescent="0.2">
      <c r="K394" s="13">
        <v>391</v>
      </c>
      <c r="L394" s="13">
        <f t="shared" si="111"/>
        <v>19</v>
      </c>
      <c r="M394" s="13">
        <f t="shared" si="112"/>
        <v>3</v>
      </c>
      <c r="N394" s="14">
        <f t="shared" si="113"/>
        <v>1102003</v>
      </c>
      <c r="O394" s="14" t="str">
        <f t="shared" si="114"/>
        <v>典韦13突</v>
      </c>
      <c r="P394" s="29" t="s">
        <v>341</v>
      </c>
      <c r="Q394" s="14">
        <f t="shared" si="115"/>
        <v>2</v>
      </c>
      <c r="R394" s="14">
        <f t="shared" si="116"/>
        <v>13</v>
      </c>
      <c r="S394" s="14" t="s">
        <v>39</v>
      </c>
      <c r="T394" s="14">
        <f>ROUND(((IF(Q394=1,INDEX(新属性投放!$J$14:$J$34,卡牌属性!R394),INDEX(新属性投放!$J$42:$J$62,卡牌属性!R394)))*INDEX($G$5:$G$42,L394)+IF(Q394=1,INDEX(新属性投放!R$20:R$23,卡牌属性!M394-1),INDEX(新属性投放!R$25:R$28,卡牌属性!M394-1)))/SQRT(INDEX($I$5:$I$42,L394)),2)</f>
        <v>8627.8700000000008</v>
      </c>
      <c r="U394" s="29" t="s">
        <v>178</v>
      </c>
      <c r="V394" s="14">
        <f>ROUND((IF(Q394=1,INDEX(新属性投放!$K$14:$K$34,卡牌属性!R394),INDEX(新属性投放!$K$42:$K$62,卡牌属性!R394))+IF(Q394=1,INDEX(新属性投放!S$20:S$23,卡牌属性!M394-1),INDEX(新属性投放!S$25:S$28,卡牌属性!M394-1)))*INDEX($G$5:$G$42,L394),2)</f>
        <v>4186.63</v>
      </c>
      <c r="W394" s="29" t="s">
        <v>179</v>
      </c>
      <c r="X394" s="14">
        <f>ROUND((IF(Q394=1,INDEX(新属性投放!$L$14:$L$34,卡牌属性!R394),INDEX(新属性投放!$L$42:$L$62,卡牌属性!R394))*INDEX($G$5:$G$42,L394)+IF(Q394=1,INDEX(新属性投放!T$20:T$23,卡牌属性!M394-1),INDEX(新属性投放!T$25:T$28,卡牌属性!M394-1)))*SQRT(INDEX($I$5:$I$42,L394)),2)</f>
        <v>45299.25</v>
      </c>
      <c r="Y394" s="29" t="s">
        <v>177</v>
      </c>
      <c r="Z394" s="14">
        <f>ROUND(IF(Q394=1,INDEX(新属性投放!$D$14:$D$34,卡牌属性!R394),INDEX(新属性投放!$D$42:$D$62,卡牌属性!R394))*INDEX($G$5:$G$42,L394)/SQRT(INDEX($I$5:$I$42,L394)),2)</f>
        <v>204.7</v>
      </c>
      <c r="AA394" s="29" t="s">
        <v>178</v>
      </c>
      <c r="AB394" s="14">
        <f>ROUND(IF(Q394=1,INDEX(新属性投放!$E$14:$E$34,卡牌属性!R394),INDEX(新属性投放!$E$42:$E$62,卡牌属性!R394))*INDEX($G$5:$G$42,L394),2)</f>
        <v>102.35</v>
      </c>
      <c r="AC394" s="29" t="s">
        <v>179</v>
      </c>
      <c r="AD394" s="14">
        <f>ROUND(IF(Q394=1,INDEX(新属性投放!$F$14:$F$34,卡牌属性!R394),INDEX(新属性投放!$F$42:$F$62,卡牌属性!R394))*INDEX($G$5:$G$42,L394)*SQRT(INDEX($I$5:$I$42,L394)),2)</f>
        <v>921.15</v>
      </c>
      <c r="AF394" s="14">
        <f t="shared" si="117"/>
        <v>2047</v>
      </c>
      <c r="AG394" s="14">
        <f t="shared" si="118"/>
        <v>1023</v>
      </c>
      <c r="AH394" s="14">
        <f t="shared" si="119"/>
        <v>9211</v>
      </c>
      <c r="AJ394" s="14">
        <f t="shared" si="108"/>
        <v>8569</v>
      </c>
      <c r="AK394" s="14">
        <f t="shared" si="109"/>
        <v>4281</v>
      </c>
      <c r="AL394" s="14">
        <f t="shared" si="110"/>
        <v>38544</v>
      </c>
    </row>
    <row r="395" spans="11:38" ht="16.5" x14ac:dyDescent="0.2">
      <c r="K395" s="13">
        <v>392</v>
      </c>
      <c r="L395" s="13">
        <f t="shared" si="111"/>
        <v>19</v>
      </c>
      <c r="M395" s="13">
        <f t="shared" si="112"/>
        <v>3</v>
      </c>
      <c r="N395" s="14">
        <f t="shared" si="113"/>
        <v>1102003</v>
      </c>
      <c r="O395" s="14" t="str">
        <f t="shared" si="114"/>
        <v>典韦14突</v>
      </c>
      <c r="P395" s="29" t="s">
        <v>341</v>
      </c>
      <c r="Q395" s="14">
        <f t="shared" si="115"/>
        <v>2</v>
      </c>
      <c r="R395" s="14">
        <f t="shared" si="116"/>
        <v>14</v>
      </c>
      <c r="S395" s="14" t="s">
        <v>39</v>
      </c>
      <c r="T395" s="14">
        <f>ROUND(((IF(Q395=1,INDEX(新属性投放!$J$14:$J$34,卡牌属性!R395),INDEX(新属性投放!$J$42:$J$62,卡牌属性!R395)))*INDEX($G$5:$G$42,L395)+IF(Q395=1,INDEX(新属性投放!R$20:R$23,卡牌属性!M395-1),INDEX(新属性投放!R$25:R$28,卡牌属性!M395-1)))/SQRT(INDEX($I$5:$I$42,L395)),2)</f>
        <v>11186.62</v>
      </c>
      <c r="U395" s="29" t="s">
        <v>178</v>
      </c>
      <c r="V395" s="14">
        <f>ROUND((IF(Q395=1,INDEX(新属性投放!$K$14:$K$34,卡牌属性!R395),INDEX(新属性投放!$K$42:$K$62,卡牌属性!R395))+IF(Q395=1,INDEX(新属性投放!S$20:S$23,卡牌属性!M395-1),INDEX(新属性投放!S$25:S$28,卡牌属性!M395-1)))*INDEX($G$5:$G$42,L395),2)</f>
        <v>5466.58</v>
      </c>
      <c r="W395" s="29" t="s">
        <v>179</v>
      </c>
      <c r="X395" s="14">
        <f>ROUND((IF(Q395=1,INDEX(新属性投放!$L$14:$L$34,卡牌属性!R395),INDEX(新属性投放!$L$42:$L$62,卡牌属性!R395))*INDEX($G$5:$G$42,L395)+IF(Q395=1,INDEX(新属性投放!T$20:T$23,卡牌属性!M395-1),INDEX(新属性投放!T$25:T$28,卡牌属性!M395-1)))*SQRT(INDEX($I$5:$I$42,L395)),2)</f>
        <v>59116.5</v>
      </c>
      <c r="Y395" s="29" t="s">
        <v>177</v>
      </c>
      <c r="Z395" s="14">
        <f>ROUND(IF(Q395=1,INDEX(新属性投放!$D$14:$D$34,卡牌属性!R395),INDEX(新属性投放!$D$42:$D$62,卡牌属性!R395))*INDEX($G$5:$G$42,L395)/SQRT(INDEX($I$5:$I$42,L395)),2)</f>
        <v>268.67</v>
      </c>
      <c r="AA395" s="29" t="s">
        <v>178</v>
      </c>
      <c r="AB395" s="14">
        <f>ROUND(IF(Q395=1,INDEX(新属性投放!$E$14:$E$34,卡牌属性!R395),INDEX(新属性投放!$E$42:$E$62,卡牌属性!R395))*INDEX($G$5:$G$42,L395),2)</f>
        <v>134.34</v>
      </c>
      <c r="AC395" s="29" t="s">
        <v>179</v>
      </c>
      <c r="AD395" s="14">
        <f>ROUND(IF(Q395=1,INDEX(新属性投放!$F$14:$F$34,卡牌属性!R395),INDEX(新属性投放!$F$42:$F$62,卡牌属性!R395))*INDEX($G$5:$G$42,L395)*SQRT(INDEX($I$5:$I$42,L395)),2)</f>
        <v>1208.6500000000001</v>
      </c>
      <c r="AF395" s="14">
        <f t="shared" si="117"/>
        <v>2686</v>
      </c>
      <c r="AG395" s="14">
        <f t="shared" si="118"/>
        <v>1343</v>
      </c>
      <c r="AH395" s="14">
        <f t="shared" si="119"/>
        <v>12086</v>
      </c>
      <c r="AJ395" s="14">
        <f t="shared" si="108"/>
        <v>11255</v>
      </c>
      <c r="AK395" s="14">
        <f t="shared" si="109"/>
        <v>5624</v>
      </c>
      <c r="AL395" s="14">
        <f t="shared" si="110"/>
        <v>50630</v>
      </c>
    </row>
    <row r="396" spans="11:38" ht="16.5" x14ac:dyDescent="0.2">
      <c r="K396" s="13">
        <v>393</v>
      </c>
      <c r="L396" s="13">
        <f t="shared" si="111"/>
        <v>19</v>
      </c>
      <c r="M396" s="13">
        <f t="shared" si="112"/>
        <v>3</v>
      </c>
      <c r="N396" s="14">
        <f t="shared" si="113"/>
        <v>1102003</v>
      </c>
      <c r="O396" s="14" t="str">
        <f t="shared" si="114"/>
        <v>典韦15突</v>
      </c>
      <c r="P396" s="29" t="s">
        <v>341</v>
      </c>
      <c r="Q396" s="14">
        <f t="shared" si="115"/>
        <v>2</v>
      </c>
      <c r="R396" s="14">
        <f t="shared" si="116"/>
        <v>15</v>
      </c>
      <c r="S396" s="14" t="s">
        <v>39</v>
      </c>
      <c r="T396" s="14">
        <f>ROUND(((IF(Q396=1,INDEX(新属性投放!$J$14:$J$34,卡牌属性!R396),INDEX(新属性投放!$J$42:$J$62,卡牌属性!R396)))*INDEX($G$5:$G$42,L396)+IF(Q396=1,INDEX(新属性投放!R$20:R$23,卡牌属性!M396-1),INDEX(新属性投放!R$25:R$28,卡牌属性!M396-1)))/SQRT(INDEX($I$5:$I$42,L396)),2)</f>
        <v>14544.96</v>
      </c>
      <c r="U396" s="29" t="s">
        <v>178</v>
      </c>
      <c r="V396" s="14">
        <f>ROUND((IF(Q396=1,INDEX(新属性投放!$K$14:$K$34,卡牌属性!R396),INDEX(新属性投放!$K$42:$K$62,卡牌属性!R396))+IF(Q396=1,INDEX(新属性投放!S$20:S$23,卡牌属性!M396-1),INDEX(新属性投放!S$25:S$28,卡牌属性!M396-1)))*INDEX($G$5:$G$42,L396),2)</f>
        <v>7145.76</v>
      </c>
      <c r="W396" s="29" t="s">
        <v>179</v>
      </c>
      <c r="X396" s="14">
        <f>ROUND((IF(Q396=1,INDEX(新属性投放!$L$14:$L$34,卡牌属性!R396),INDEX(新属性投放!$L$42:$L$62,卡牌属性!R396))*INDEX($G$5:$G$42,L396)+IF(Q396=1,INDEX(新属性投放!T$20:T$23,卡牌属性!M396-1),INDEX(新属性投放!T$25:T$28,卡牌属性!M396-1)))*SQRT(INDEX($I$5:$I$42,L396)),2)</f>
        <v>77247.399999999994</v>
      </c>
      <c r="Y396" s="29" t="s">
        <v>177</v>
      </c>
      <c r="Z396" s="14">
        <f>ROUND(IF(Q396=1,INDEX(新属性投放!$D$14:$D$34,卡牌属性!R396),INDEX(新属性投放!$D$42:$D$62,卡牌属性!R396))*INDEX($G$5:$G$42,L396)/SQRT(INDEX($I$5:$I$42,L396)),2)</f>
        <v>352.64</v>
      </c>
      <c r="AA396" s="29" t="s">
        <v>178</v>
      </c>
      <c r="AB396" s="14">
        <f>ROUND(IF(Q396=1,INDEX(新属性投放!$E$14:$E$34,卡牌属性!R396),INDEX(新属性投放!$E$42:$E$62,卡牌属性!R396))*INDEX($G$5:$G$42,L396),2)</f>
        <v>176.32</v>
      </c>
      <c r="AC396" s="29" t="s">
        <v>179</v>
      </c>
      <c r="AD396" s="14">
        <f>ROUND(IF(Q396=1,INDEX(新属性投放!$F$14:$F$34,卡牌属性!R396),INDEX(新属性投放!$F$42:$F$62,卡牌属性!R396))*INDEX($G$5:$G$42,L396)*SQRT(INDEX($I$5:$I$42,L396)),2)</f>
        <v>1585.85</v>
      </c>
      <c r="AF396" s="14">
        <f t="shared" si="117"/>
        <v>3526</v>
      </c>
      <c r="AG396" s="14">
        <f t="shared" si="118"/>
        <v>1763</v>
      </c>
      <c r="AH396" s="14">
        <f t="shared" si="119"/>
        <v>15858</v>
      </c>
      <c r="AJ396" s="14">
        <f t="shared" si="108"/>
        <v>14781</v>
      </c>
      <c r="AK396" s="14">
        <f t="shared" si="109"/>
        <v>7387</v>
      </c>
      <c r="AL396" s="14">
        <f t="shared" si="110"/>
        <v>66488</v>
      </c>
    </row>
    <row r="397" spans="11:38" ht="16.5" x14ac:dyDescent="0.2">
      <c r="K397" s="13">
        <v>394</v>
      </c>
      <c r="L397" s="13">
        <f t="shared" si="111"/>
        <v>19</v>
      </c>
      <c r="M397" s="13">
        <f t="shared" si="112"/>
        <v>3</v>
      </c>
      <c r="N397" s="14">
        <f t="shared" si="113"/>
        <v>1102003</v>
      </c>
      <c r="O397" s="14" t="str">
        <f t="shared" si="114"/>
        <v>典韦16突</v>
      </c>
      <c r="P397" s="29" t="s">
        <v>341</v>
      </c>
      <c r="Q397" s="14">
        <f t="shared" si="115"/>
        <v>2</v>
      </c>
      <c r="R397" s="14">
        <f t="shared" si="116"/>
        <v>16</v>
      </c>
      <c r="S397" s="14" t="s">
        <v>39</v>
      </c>
      <c r="T397" s="14">
        <f>ROUND(((IF(Q397=1,INDEX(新属性投放!$J$14:$J$34,卡牌属性!R397),INDEX(新属性投放!$J$42:$J$62,卡牌属性!R397)))*INDEX($G$5:$G$42,L397)+IF(Q397=1,INDEX(新属性投放!R$20:R$23,卡牌属性!M397-1),INDEX(新属性投放!R$25:R$28,卡牌属性!M397-1)))/SQRT(INDEX($I$5:$I$42,L397)),2)</f>
        <v>18953.37</v>
      </c>
      <c r="U397" s="29" t="s">
        <v>178</v>
      </c>
      <c r="V397" s="14">
        <f>ROUND((IF(Q397=1,INDEX(新属性投放!$K$14:$K$34,卡牌属性!R397),INDEX(新属性投放!$K$42:$K$62,卡牌属性!R397))+IF(Q397=1,INDEX(新属性投放!S$20:S$23,卡牌属性!M397-1),INDEX(新属性投放!S$25:S$28,卡牌属性!M397-1)))*INDEX($G$5:$G$42,L397),2)</f>
        <v>9349.39</v>
      </c>
      <c r="W397" s="29" t="s">
        <v>179</v>
      </c>
      <c r="X397" s="14">
        <f>ROUND((IF(Q397=1,INDEX(新属性投放!$L$14:$L$34,卡牌属性!R397),INDEX(新属性投放!$L$42:$L$62,卡牌属性!R397))*INDEX($G$5:$G$42,L397)+IF(Q397=1,INDEX(新属性投放!T$20:T$23,卡牌属性!M397-1),INDEX(新属性投放!T$25:T$28,卡牌属性!M397-1)))*SQRT(INDEX($I$5:$I$42,L397)),2)</f>
        <v>101044.35</v>
      </c>
      <c r="Y397" s="29" t="s">
        <v>177</v>
      </c>
      <c r="Z397" s="14">
        <f>ROUND(IF(Q397=1,INDEX(新属性投放!$D$14:$D$34,卡牌属性!R397),INDEX(新属性投放!$D$42:$D$62,卡牌属性!R397))*INDEX($G$5:$G$42,L397)/SQRT(INDEX($I$5:$I$42,L397)),2)</f>
        <v>462.84</v>
      </c>
      <c r="AA397" s="29" t="s">
        <v>178</v>
      </c>
      <c r="AB397" s="14">
        <f>ROUND(IF(Q397=1,INDEX(新属性投放!$E$14:$E$34,卡牌属性!R397),INDEX(新属性投放!$E$42:$E$62,卡牌属性!R397))*INDEX($G$5:$G$42,L397),2)</f>
        <v>231.42</v>
      </c>
      <c r="AC397" s="29" t="s">
        <v>179</v>
      </c>
      <c r="AD397" s="14">
        <f>ROUND(IF(Q397=1,INDEX(新属性投放!$F$14:$F$34,卡牌属性!R397),INDEX(新属性投放!$F$42:$F$62,卡牌属性!R397))*INDEX($G$5:$G$42,L397)*SQRT(INDEX($I$5:$I$42,L397)),2)</f>
        <v>2082.65</v>
      </c>
      <c r="AF397" s="14">
        <f t="shared" si="117"/>
        <v>4628</v>
      </c>
      <c r="AG397" s="14">
        <f t="shared" si="118"/>
        <v>2314</v>
      </c>
      <c r="AH397" s="14">
        <f t="shared" si="119"/>
        <v>20826</v>
      </c>
      <c r="AJ397" s="14">
        <f t="shared" si="108"/>
        <v>19409</v>
      </c>
      <c r="AK397" s="14">
        <f t="shared" si="109"/>
        <v>9701</v>
      </c>
      <c r="AL397" s="14">
        <f t="shared" si="110"/>
        <v>87314</v>
      </c>
    </row>
    <row r="398" spans="11:38" ht="16.5" x14ac:dyDescent="0.2">
      <c r="K398" s="13">
        <v>395</v>
      </c>
      <c r="L398" s="13">
        <f t="shared" si="111"/>
        <v>19</v>
      </c>
      <c r="M398" s="13">
        <f t="shared" si="112"/>
        <v>3</v>
      </c>
      <c r="N398" s="14">
        <f t="shared" si="113"/>
        <v>1102003</v>
      </c>
      <c r="O398" s="14" t="str">
        <f t="shared" si="114"/>
        <v>典韦17突</v>
      </c>
      <c r="P398" s="29" t="s">
        <v>341</v>
      </c>
      <c r="Q398" s="14">
        <f t="shared" si="115"/>
        <v>2</v>
      </c>
      <c r="R398" s="14">
        <f t="shared" si="116"/>
        <v>17</v>
      </c>
      <c r="S398" s="14" t="s">
        <v>39</v>
      </c>
      <c r="T398" s="14">
        <f>ROUND(((IF(Q398=1,INDEX(新属性投放!$J$14:$J$34,卡牌属性!R398),INDEX(新属性投放!$J$42:$J$62,卡牌属性!R398)))*INDEX($G$5:$G$42,L398)+IF(Q398=1,INDEX(新属性投放!R$20:R$23,卡牌属性!M398-1),INDEX(新属性投放!R$25:R$28,卡牌属性!M398-1)))/SQRT(INDEX($I$5:$I$42,L398)),2)</f>
        <v>24738.68</v>
      </c>
      <c r="U398" s="29" t="s">
        <v>178</v>
      </c>
      <c r="V398" s="14">
        <f>ROUND((IF(Q398=1,INDEX(新属性投放!$K$14:$K$34,卡牌属性!R398),INDEX(新属性投放!$K$42:$K$62,卡牌属性!R398))+IF(Q398=1,INDEX(新属性投放!S$20:S$23,卡牌属性!M398-1),INDEX(新属性投放!S$25:S$28,卡牌属性!M398-1)))*INDEX($G$5:$G$42,L398),2)</f>
        <v>12242.04</v>
      </c>
      <c r="W398" s="29" t="s">
        <v>179</v>
      </c>
      <c r="X398" s="14">
        <f>ROUND((IF(Q398=1,INDEX(新属性投放!$L$14:$L$34,卡牌属性!R398),INDEX(新属性投放!$L$42:$L$62,卡牌属性!R398))*INDEX($G$5:$G$42,L398)+IF(Q398=1,INDEX(新属性投放!T$20:T$23,卡牌属性!M398-1),INDEX(新属性投放!T$25:T$28,卡牌属性!M398-1)))*SQRT(INDEX($I$5:$I$42,L398)),2)</f>
        <v>132282.95000000001</v>
      </c>
      <c r="Y398" s="29" t="s">
        <v>177</v>
      </c>
      <c r="Z398" s="14">
        <f>ROUND(IF(Q398=1,INDEX(新属性投放!$D$14:$D$34,卡牌属性!R398),INDEX(新属性投放!$D$42:$D$62,卡牌属性!R398))*INDEX($G$5:$G$42,L398)/SQRT(INDEX($I$5:$I$42,L398)),2)</f>
        <v>607.48</v>
      </c>
      <c r="AA398" s="29" t="s">
        <v>178</v>
      </c>
      <c r="AB398" s="14">
        <f>ROUND(IF(Q398=1,INDEX(新属性投放!$E$14:$E$34,卡牌属性!R398),INDEX(新属性投放!$E$42:$E$62,卡牌属性!R398))*INDEX($G$5:$G$42,L398),2)</f>
        <v>303.74</v>
      </c>
      <c r="AC398" s="29" t="s">
        <v>179</v>
      </c>
      <c r="AD398" s="14">
        <f>ROUND(IF(Q398=1,INDEX(新属性投放!$F$14:$F$34,卡牌属性!R398),INDEX(新属性投放!$F$42:$F$62,卡牌属性!R398))*INDEX($G$5:$G$42,L398)*SQRT(INDEX($I$5:$I$42,L398)),2)</f>
        <v>2733.55</v>
      </c>
      <c r="AF398" s="14">
        <f t="shared" si="117"/>
        <v>6074</v>
      </c>
      <c r="AG398" s="14">
        <f t="shared" si="118"/>
        <v>3037</v>
      </c>
      <c r="AH398" s="14">
        <f t="shared" si="119"/>
        <v>27335</v>
      </c>
      <c r="AJ398" s="14">
        <f t="shared" si="108"/>
        <v>25483</v>
      </c>
      <c r="AK398" s="14">
        <f t="shared" si="109"/>
        <v>12738</v>
      </c>
      <c r="AL398" s="14">
        <f t="shared" si="110"/>
        <v>114649</v>
      </c>
    </row>
    <row r="399" spans="11:38" ht="16.5" x14ac:dyDescent="0.2">
      <c r="K399" s="13">
        <v>396</v>
      </c>
      <c r="L399" s="13">
        <f t="shared" si="111"/>
        <v>19</v>
      </c>
      <c r="M399" s="13">
        <f t="shared" si="112"/>
        <v>3</v>
      </c>
      <c r="N399" s="14">
        <f t="shared" si="113"/>
        <v>1102003</v>
      </c>
      <c r="O399" s="14" t="str">
        <f t="shared" si="114"/>
        <v>典韦18突</v>
      </c>
      <c r="P399" s="29" t="s">
        <v>341</v>
      </c>
      <c r="Q399" s="14">
        <f t="shared" si="115"/>
        <v>2</v>
      </c>
      <c r="R399" s="14">
        <f t="shared" si="116"/>
        <v>18</v>
      </c>
      <c r="S399" s="14" t="s">
        <v>39</v>
      </c>
      <c r="T399" s="14">
        <f>ROUND(((IF(Q399=1,INDEX(新属性投放!$J$14:$J$34,卡牌属性!R399),INDEX(新属性投放!$J$42:$J$62,卡牌属性!R399)))*INDEX($G$5:$G$42,L399)+IF(Q399=1,INDEX(新属性投放!R$20:R$23,卡牌属性!M399-1),INDEX(新属性投放!R$25:R$28,卡牌属性!M399-1)))/SQRT(INDEX($I$5:$I$42,L399)),2)</f>
        <v>32332.59</v>
      </c>
      <c r="U399" s="29" t="s">
        <v>178</v>
      </c>
      <c r="V399" s="14">
        <f>ROUND((IF(Q399=1,INDEX(新属性投放!$K$14:$K$34,卡牌属性!R399),INDEX(新属性投放!$K$42:$K$62,卡牌属性!R399))+IF(Q399=1,INDEX(新属性投放!S$20:S$23,卡牌属性!M399-1),INDEX(新属性投放!S$25:S$28,卡牌属性!M399-1)))*INDEX($G$5:$G$42,L399),2)</f>
        <v>16038.42</v>
      </c>
      <c r="W399" s="29" t="s">
        <v>179</v>
      </c>
      <c r="X399" s="14">
        <f>ROUND((IF(Q399=1,INDEX(新属性投放!$L$14:$L$34,卡牌属性!R399),INDEX(新属性投放!$L$42:$L$62,卡牌属性!R399))*INDEX($G$5:$G$42,L399)+IF(Q399=1,INDEX(新属性投放!T$20:T$23,卡牌属性!M399-1),INDEX(新属性投放!T$25:T$28,卡牌属性!M399-1)))*SQRT(INDEX($I$5:$I$42,L399)),2)</f>
        <v>173290.8</v>
      </c>
      <c r="Y399" s="29" t="s">
        <v>177</v>
      </c>
      <c r="Z399" s="14">
        <f>ROUND(IF(Q399=1,INDEX(新属性投放!$D$14:$D$34,卡牌属性!R399),INDEX(新属性投放!$D$42:$D$62,卡牌属性!R399))*INDEX($G$5:$G$42,L399)/SQRT(INDEX($I$5:$I$42,L399)),2)</f>
        <v>797.32</v>
      </c>
      <c r="AA399" s="29" t="s">
        <v>178</v>
      </c>
      <c r="AB399" s="14">
        <f>ROUND(IF(Q399=1,INDEX(新属性投放!$E$14:$E$34,卡牌属性!R399),INDEX(新属性投放!$E$42:$E$62,卡牌属性!R399))*INDEX($G$5:$G$42,L399),2)</f>
        <v>398.66</v>
      </c>
      <c r="AC399" s="29" t="s">
        <v>179</v>
      </c>
      <c r="AD399" s="14">
        <f>ROUND(IF(Q399=1,INDEX(新属性投放!$F$14:$F$34,卡牌属性!R399),INDEX(新属性投放!$F$42:$F$62,卡牌属性!R399))*INDEX($G$5:$G$42,L399)*SQRT(INDEX($I$5:$I$42,L399)),2)</f>
        <v>3586.85</v>
      </c>
      <c r="AF399" s="14">
        <f t="shared" si="117"/>
        <v>7973</v>
      </c>
      <c r="AG399" s="14">
        <f t="shared" si="118"/>
        <v>3986</v>
      </c>
      <c r="AH399" s="14">
        <f t="shared" si="119"/>
        <v>35868</v>
      </c>
      <c r="AJ399" s="14">
        <f t="shared" si="108"/>
        <v>33456</v>
      </c>
      <c r="AK399" s="14">
        <f t="shared" si="109"/>
        <v>16724</v>
      </c>
      <c r="AL399" s="14">
        <f t="shared" si="110"/>
        <v>150517</v>
      </c>
    </row>
    <row r="400" spans="11:38" ht="16.5" x14ac:dyDescent="0.2">
      <c r="K400" s="13">
        <v>397</v>
      </c>
      <c r="L400" s="13">
        <f t="shared" si="111"/>
        <v>19</v>
      </c>
      <c r="M400" s="13">
        <f t="shared" si="112"/>
        <v>3</v>
      </c>
      <c r="N400" s="14">
        <f t="shared" si="113"/>
        <v>1102003</v>
      </c>
      <c r="O400" s="14" t="str">
        <f t="shared" si="114"/>
        <v>典韦19突</v>
      </c>
      <c r="P400" s="29" t="s">
        <v>341</v>
      </c>
      <c r="Q400" s="14">
        <f t="shared" si="115"/>
        <v>2</v>
      </c>
      <c r="R400" s="14">
        <f t="shared" si="116"/>
        <v>19</v>
      </c>
      <c r="S400" s="14" t="s">
        <v>39</v>
      </c>
      <c r="T400" s="14">
        <f>ROUND(((IF(Q400=1,INDEX(新属性投放!$J$14:$J$34,卡牌属性!R400),INDEX(新属性投放!$J$42:$J$62,卡牌属性!R400)))*INDEX($G$5:$G$42,L400)+IF(Q400=1,INDEX(新属性投放!R$20:R$23,卡牌属性!M400-1),INDEX(新属性投放!R$25:R$28,卡牌属性!M400-1)))/SQRT(INDEX($I$5:$I$42,L400)),2)</f>
        <v>42298.720000000001</v>
      </c>
      <c r="U400" s="29" t="s">
        <v>178</v>
      </c>
      <c r="V400" s="14">
        <f>ROUND((IF(Q400=1,INDEX(新属性投放!$K$14:$K$34,卡牌属性!R400),INDEX(新属性投放!$K$42:$K$62,卡牌属性!R400))+IF(Q400=1,INDEX(新属性投放!S$20:S$23,卡牌属性!M400-1),INDEX(新属性投放!S$25:S$28,卡牌属性!M400-1)))*INDEX($G$5:$G$42,L400),2)</f>
        <v>21022.06</v>
      </c>
      <c r="W400" s="29" t="s">
        <v>179</v>
      </c>
      <c r="X400" s="14">
        <f>ROUND((IF(Q400=1,INDEX(新属性投放!$L$14:$L$34,卡牌属性!R400),INDEX(新属性投放!$L$42:$L$62,卡牌属性!R400))*INDEX($G$5:$G$42,L400)+IF(Q400=1,INDEX(新属性投放!T$20:T$23,卡牌属性!M400-1),INDEX(新属性投放!T$25:T$28,卡牌属性!M400-1)))*SQRT(INDEX($I$5:$I$42,L400)),2)</f>
        <v>227095.85</v>
      </c>
      <c r="Y400" s="29" t="s">
        <v>177</v>
      </c>
      <c r="Z400" s="14">
        <f>ROUND(IF(Q400=1,INDEX(新属性投放!$D$14:$D$34,卡牌属性!R400),INDEX(新属性投放!$D$42:$D$62,卡牌属性!R400))*INDEX($G$5:$G$42,L400)/SQRT(INDEX($I$5:$I$42,L400)),2)</f>
        <v>1046.48</v>
      </c>
      <c r="AA400" s="29" t="s">
        <v>178</v>
      </c>
      <c r="AB400" s="14">
        <f>ROUND(IF(Q400=1,INDEX(新属性投放!$E$14:$E$34,卡牌属性!R400),INDEX(新属性投放!$E$42:$E$62,卡牌属性!R400))*INDEX($G$5:$G$42,L400),2)</f>
        <v>523.24</v>
      </c>
      <c r="AC400" s="29" t="s">
        <v>179</v>
      </c>
      <c r="AD400" s="14">
        <f>ROUND(IF(Q400=1,INDEX(新属性投放!$F$14:$F$34,卡牌属性!R400),INDEX(新属性投放!$F$42:$F$62,卡牌属性!R400))*INDEX($G$5:$G$42,L400)*SQRT(INDEX($I$5:$I$42,L400)),2)</f>
        <v>4708.1000000000004</v>
      </c>
      <c r="AF400" s="14">
        <f t="shared" si="117"/>
        <v>10464</v>
      </c>
      <c r="AG400" s="14">
        <f t="shared" si="118"/>
        <v>5232</v>
      </c>
      <c r="AH400" s="14">
        <f t="shared" si="119"/>
        <v>47081</v>
      </c>
      <c r="AJ400" s="14">
        <f t="shared" si="108"/>
        <v>43920</v>
      </c>
      <c r="AK400" s="14">
        <f t="shared" si="109"/>
        <v>21956</v>
      </c>
      <c r="AL400" s="14">
        <f t="shared" si="110"/>
        <v>197598</v>
      </c>
    </row>
    <row r="401" spans="11:38" ht="16.5" x14ac:dyDescent="0.2">
      <c r="K401" s="13">
        <v>398</v>
      </c>
      <c r="L401" s="13">
        <f t="shared" si="111"/>
        <v>19</v>
      </c>
      <c r="M401" s="13">
        <f t="shared" si="112"/>
        <v>3</v>
      </c>
      <c r="N401" s="14">
        <f t="shared" si="113"/>
        <v>1102003</v>
      </c>
      <c r="O401" s="14" t="str">
        <f t="shared" si="114"/>
        <v>典韦20突</v>
      </c>
      <c r="P401" s="29" t="s">
        <v>341</v>
      </c>
      <c r="Q401" s="14">
        <f t="shared" si="115"/>
        <v>2</v>
      </c>
      <c r="R401" s="14">
        <f t="shared" si="116"/>
        <v>20</v>
      </c>
      <c r="S401" s="14" t="s">
        <v>39</v>
      </c>
      <c r="T401" s="14">
        <f>ROUND(((IF(Q401=1,INDEX(新属性投放!$J$14:$J$34,卡牌属性!R401),INDEX(新属性投放!$J$42:$J$62,卡牌属性!R401)))*INDEX($G$5:$G$42,L401)+IF(Q401=1,INDEX(新属性投放!R$20:R$23,卡牌属性!M401-1),INDEX(新属性投放!R$25:R$28,卡牌属性!M401-1)))/SQRT(INDEX($I$5:$I$42,L401)),2)</f>
        <v>55379.74</v>
      </c>
      <c r="U401" s="29" t="s">
        <v>178</v>
      </c>
      <c r="V401" s="14">
        <f>ROUND((IF(Q401=1,INDEX(新属性投放!$K$14:$K$34,卡牌属性!R401),INDEX(新属性投放!$K$42:$K$62,卡牌属性!R401))+IF(Q401=1,INDEX(新属性投放!S$20:S$23,卡牌属性!M401-1),INDEX(新属性投放!S$25:S$28,卡牌属性!M401-1)))*INDEX($G$5:$G$42,L401),2)</f>
        <v>27561.99</v>
      </c>
      <c r="W401" s="29" t="s">
        <v>179</v>
      </c>
      <c r="X401" s="14">
        <f>ROUND((IF(Q401=1,INDEX(新属性投放!$L$14:$L$34,卡牌属性!R401),INDEX(新属性投放!$L$42:$L$62,卡牌属性!R401))*INDEX($G$5:$G$42,L401)+IF(Q401=1,INDEX(新属性投放!T$20:T$23,卡牌属性!M401-1),INDEX(新属性投放!T$25:T$28,卡牌属性!M401-1)))*SQRT(INDEX($I$5:$I$42,L401)),2)</f>
        <v>297723.09999999998</v>
      </c>
      <c r="Y401" s="29" t="s">
        <v>177</v>
      </c>
      <c r="Z401" s="14">
        <f>ROUND(IF(Q401=1,INDEX(新属性投放!$D$14:$D$34,卡牌属性!R401),INDEX(新属性投放!$D$42:$D$62,卡牌属性!R401))*INDEX($G$5:$G$42,L401)/SQRT(INDEX($I$5:$I$42,L401)),2)</f>
        <v>1373.5</v>
      </c>
      <c r="AA401" s="29" t="s">
        <v>178</v>
      </c>
      <c r="AB401" s="14">
        <f>ROUND(IF(Q401=1,INDEX(新属性投放!$E$14:$E$34,卡牌属性!R401),INDEX(新属性投放!$E$42:$E$62,卡牌属性!R401))*INDEX($G$5:$G$42,L401),2)</f>
        <v>686.75</v>
      </c>
      <c r="AC401" s="29" t="s">
        <v>179</v>
      </c>
      <c r="AD401" s="14">
        <f>ROUND(IF(Q401=1,INDEX(新属性投放!$F$14:$F$34,卡牌属性!R401),INDEX(新属性投放!$F$42:$F$62,卡牌属性!R401))*INDEX($G$5:$G$42,L401)*SQRT(INDEX($I$5:$I$42,L401)),2)</f>
        <v>6180.1</v>
      </c>
      <c r="AF401" s="14">
        <f t="shared" si="117"/>
        <v>13735</v>
      </c>
      <c r="AG401" s="14">
        <f t="shared" si="118"/>
        <v>6867</v>
      </c>
      <c r="AH401" s="14">
        <f t="shared" si="119"/>
        <v>61801</v>
      </c>
      <c r="AJ401" s="14">
        <f t="shared" si="108"/>
        <v>57655</v>
      </c>
      <c r="AK401" s="14">
        <f t="shared" si="109"/>
        <v>28823</v>
      </c>
      <c r="AL401" s="14">
        <f t="shared" si="110"/>
        <v>259399</v>
      </c>
    </row>
    <row r="402" spans="11:38" ht="16.5" x14ac:dyDescent="0.2">
      <c r="K402" s="13">
        <v>399</v>
      </c>
      <c r="L402" s="13">
        <f t="shared" si="111"/>
        <v>19</v>
      </c>
      <c r="M402" s="13">
        <f t="shared" si="112"/>
        <v>3</v>
      </c>
      <c r="N402" s="14">
        <f t="shared" si="113"/>
        <v>1102003</v>
      </c>
      <c r="O402" s="14" t="str">
        <f t="shared" si="114"/>
        <v>典韦21突</v>
      </c>
      <c r="P402" s="29" t="s">
        <v>341</v>
      </c>
      <c r="Q402" s="14">
        <f t="shared" si="115"/>
        <v>2</v>
      </c>
      <c r="R402" s="14">
        <f t="shared" si="116"/>
        <v>21</v>
      </c>
      <c r="S402" s="14" t="s">
        <v>39</v>
      </c>
      <c r="T402" s="14">
        <f>ROUND(((IF(Q402=1,INDEX(新属性投放!$J$14:$J$34,卡牌属性!R402),INDEX(新属性投放!$J$42:$J$62,卡牌属性!R402)))*INDEX($G$5:$G$42,L402)+IF(Q402=1,INDEX(新属性投放!R$20:R$23,卡牌属性!M402-1),INDEX(新属性投放!R$25:R$28,卡牌属性!M402-1)))/SQRT(INDEX($I$5:$I$42,L402)),2)</f>
        <v>72548.66</v>
      </c>
      <c r="U402" s="29" t="s">
        <v>178</v>
      </c>
      <c r="V402" s="14">
        <f>ROUND((IF(Q402=1,INDEX(新属性投放!$K$14:$K$34,卡牌属性!R402),INDEX(新属性投放!$K$42:$K$62,卡牌属性!R402))+IF(Q402=1,INDEX(新属性投放!S$20:S$23,卡牌属性!M402-1),INDEX(新属性投放!S$25:S$28,卡牌属性!M402-1)))*INDEX($G$5:$G$42,L402),2)</f>
        <v>36146.46</v>
      </c>
      <c r="W402" s="29" t="s">
        <v>179</v>
      </c>
      <c r="X402" s="14">
        <f>ROUND((IF(Q402=1,INDEX(新属性投放!$L$14:$L$34,卡牌属性!R402),INDEX(新属性投放!$L$42:$L$62,卡牌属性!R402))*INDEX($G$5:$G$42,L402)+IF(Q402=1,INDEX(新属性投放!T$20:T$23,卡牌属性!M402-1),INDEX(新属性投放!T$25:T$28,卡牌属性!M402-1)))*SQRT(INDEX($I$5:$I$42,L402)),2)</f>
        <v>390429.2</v>
      </c>
      <c r="Y402" s="29" t="s">
        <v>177</v>
      </c>
      <c r="Z402" s="14">
        <f>ROUND(IF(Q402=1,INDEX(新属性投放!$D$14:$D$34,卡牌属性!R402),INDEX(新属性投放!$D$42:$D$62,卡牌属性!R402))*INDEX($G$5:$G$42,L402)/SQRT(INDEX($I$5:$I$42,L402)),2)</f>
        <v>1802.73</v>
      </c>
      <c r="AA402" s="29" t="s">
        <v>178</v>
      </c>
      <c r="AB402" s="14">
        <f>ROUND(IF(Q402=1,INDEX(新属性投放!$E$14:$E$34,卡牌属性!R402),INDEX(新属性投放!$E$42:$E$62,卡牌属性!R402))*INDEX($G$5:$G$42,L402),2)</f>
        <v>901.36</v>
      </c>
      <c r="AC402" s="29" t="s">
        <v>179</v>
      </c>
      <c r="AD402" s="14">
        <f>ROUND(IF(Q402=1,INDEX(新属性投放!$F$14:$F$34,卡牌属性!R402),INDEX(新属性投放!$F$42:$F$62,卡牌属性!R402))*INDEX($G$5:$G$42,L402)*SQRT(INDEX($I$5:$I$42,L402)),2)</f>
        <v>8112.1</v>
      </c>
      <c r="AF402" s="14">
        <f t="shared" si="117"/>
        <v>18027</v>
      </c>
      <c r="AG402" s="14">
        <f t="shared" si="118"/>
        <v>9013</v>
      </c>
      <c r="AH402" s="14">
        <f t="shared" si="119"/>
        <v>81121</v>
      </c>
      <c r="AJ402" s="14">
        <f t="shared" si="108"/>
        <v>75682</v>
      </c>
      <c r="AK402" s="14">
        <f t="shared" si="109"/>
        <v>37836</v>
      </c>
      <c r="AL402" s="14">
        <f t="shared" si="110"/>
        <v>340520</v>
      </c>
    </row>
    <row r="403" spans="11:38" ht="16.5" x14ac:dyDescent="0.2">
      <c r="K403" s="13">
        <v>400</v>
      </c>
      <c r="L403" s="13">
        <f t="shared" si="111"/>
        <v>20</v>
      </c>
      <c r="M403" s="13">
        <f t="shared" si="112"/>
        <v>2</v>
      </c>
      <c r="N403" s="14">
        <f t="shared" si="113"/>
        <v>1102004</v>
      </c>
      <c r="O403" s="14" t="str">
        <f t="shared" si="114"/>
        <v>唐流雨1突</v>
      </c>
      <c r="P403" s="29" t="s">
        <v>341</v>
      </c>
      <c r="Q403" s="14">
        <f t="shared" si="115"/>
        <v>2</v>
      </c>
      <c r="R403" s="14">
        <f t="shared" si="116"/>
        <v>1</v>
      </c>
      <c r="S403" s="14" t="s">
        <v>39</v>
      </c>
      <c r="T403" s="14">
        <f>ROUND(((IF(Q403=1,INDEX(新属性投放!$J$14:$J$34,卡牌属性!R403),INDEX(新属性投放!$J$42:$J$62,卡牌属性!R403)))*INDEX($G$5:$G$42,L403)+IF(Q403=1,INDEX(新属性投放!R$20:R$23,卡牌属性!M403-1),INDEX(新属性投放!R$25:R$28,卡牌属性!M403-1)))/SQRT(INDEX($I$5:$I$42,L403)),2)</f>
        <v>350</v>
      </c>
      <c r="U403" s="29" t="s">
        <v>178</v>
      </c>
      <c r="V403" s="14">
        <f>ROUND((IF(Q403=1,INDEX(新属性投放!$K$14:$K$34,卡牌属性!R403),INDEX(新属性投放!$K$42:$K$62,卡牌属性!R403))+IF(Q403=1,INDEX(新属性投放!S$20:S$23,卡牌属性!M403-1),INDEX(新属性投放!S$25:S$28,卡牌属性!M403-1)))*INDEX($G$5:$G$42,L403),2)</f>
        <v>100</v>
      </c>
      <c r="W403" s="29" t="s">
        <v>179</v>
      </c>
      <c r="X403" s="14">
        <f>ROUND((IF(Q403=1,INDEX(新属性投放!$L$14:$L$34,卡牌属性!R403),INDEX(新属性投放!$L$42:$L$62,卡牌属性!R403))*INDEX($G$5:$G$42,L403)+IF(Q403=1,INDEX(新属性投放!T$20:T$23,卡牌属性!M403-1),INDEX(新属性投放!T$25:T$28,卡牌属性!M403-1)))*SQRT(INDEX($I$5:$I$42,L403)),2)</f>
        <v>750</v>
      </c>
      <c r="Y403" s="29" t="s">
        <v>177</v>
      </c>
      <c r="Z403" s="14">
        <f>ROUND(IF(Q403=1,INDEX(新属性投放!$D$14:$D$34,卡牌属性!R403),INDEX(新属性投放!$D$42:$D$62,卡牌属性!R403))*INDEX($G$5:$G$42,L403)/SQRT(INDEX($I$5:$I$42,L403)),2)</f>
        <v>10</v>
      </c>
      <c r="AA403" s="29" t="s">
        <v>178</v>
      </c>
      <c r="AB403" s="14">
        <f>ROUND(IF(Q403=1,INDEX(新属性投放!$E$14:$E$34,卡牌属性!R403),INDEX(新属性投放!$E$42:$E$62,卡牌属性!R403))*INDEX($G$5:$G$42,L403),2)</f>
        <v>5</v>
      </c>
      <c r="AC403" s="29" t="s">
        <v>179</v>
      </c>
      <c r="AD403" s="14">
        <f>ROUND(IF(Q403=1,INDEX(新属性投放!$F$14:$F$34,卡牌属性!R403),INDEX(新属性投放!$F$42:$F$62,卡牌属性!R403))*INDEX($G$5:$G$42,L403)*SQRT(INDEX($I$5:$I$42,L403)),2)</f>
        <v>45</v>
      </c>
      <c r="AF403" s="14">
        <f t="shared" si="117"/>
        <v>100</v>
      </c>
      <c r="AG403" s="14">
        <f t="shared" si="118"/>
        <v>50</v>
      </c>
      <c r="AH403" s="14">
        <f t="shared" si="119"/>
        <v>450</v>
      </c>
      <c r="AJ403" s="14">
        <f>AF403</f>
        <v>100</v>
      </c>
      <c r="AK403" s="14">
        <f>AG403</f>
        <v>50</v>
      </c>
      <c r="AL403" s="14">
        <f>AH403</f>
        <v>450</v>
      </c>
    </row>
    <row r="404" spans="11:38" ht="16.5" x14ac:dyDescent="0.2">
      <c r="K404" s="13">
        <v>401</v>
      </c>
      <c r="L404" s="13">
        <f t="shared" si="111"/>
        <v>20</v>
      </c>
      <c r="M404" s="13">
        <f t="shared" si="112"/>
        <v>2</v>
      </c>
      <c r="N404" s="14">
        <f t="shared" si="113"/>
        <v>1102004</v>
      </c>
      <c r="O404" s="14" t="str">
        <f t="shared" si="114"/>
        <v>唐流雨2突</v>
      </c>
      <c r="P404" s="29" t="s">
        <v>341</v>
      </c>
      <c r="Q404" s="14">
        <f t="shared" si="115"/>
        <v>2</v>
      </c>
      <c r="R404" s="14">
        <f t="shared" si="116"/>
        <v>2</v>
      </c>
      <c r="S404" s="14" t="s">
        <v>39</v>
      </c>
      <c r="T404" s="14">
        <f>ROUND(((IF(Q404=1,INDEX(新属性投放!$J$14:$J$34,卡牌属性!R404),INDEX(新属性投放!$J$42:$J$62,卡牌属性!R404)))*INDEX($G$5:$G$42,L404)+IF(Q404=1,INDEX(新属性投放!R$20:R$23,卡牌属性!M404-1),INDEX(新属性投放!R$25:R$28,卡牌属性!M404-1)))/SQRT(INDEX($I$5:$I$42,L404)),2)</f>
        <v>465</v>
      </c>
      <c r="U404" s="29" t="s">
        <v>178</v>
      </c>
      <c r="V404" s="14">
        <f>ROUND((IF(Q404=1,INDEX(新属性投放!$K$14:$K$34,卡牌属性!R404),INDEX(新属性投放!$K$42:$K$62,卡牌属性!R404))+IF(Q404=1,INDEX(新属性投放!S$20:S$23,卡牌属性!M404-1),INDEX(新属性投放!S$25:S$28,卡牌属性!M404-1)))*INDEX($G$5:$G$42,L404),2)</f>
        <v>155</v>
      </c>
      <c r="W404" s="29" t="s">
        <v>179</v>
      </c>
      <c r="X404" s="14">
        <f>ROUND((IF(Q404=1,INDEX(新属性投放!$L$14:$L$34,卡牌属性!R404),INDEX(新属性投放!$L$42:$L$62,卡牌属性!R404))*INDEX($G$5:$G$42,L404)+IF(Q404=1,INDEX(新属性投放!T$20:T$23,卡牌属性!M404-1),INDEX(新属性投放!T$25:T$28,卡牌属性!M404-1)))*SQRT(INDEX($I$5:$I$42,L404)),2)</f>
        <v>1380</v>
      </c>
      <c r="Y404" s="29" t="s">
        <v>177</v>
      </c>
      <c r="Z404" s="14">
        <f>ROUND(IF(Q404=1,INDEX(新属性投放!$D$14:$D$34,卡牌属性!R404),INDEX(新属性投放!$D$42:$D$62,卡牌属性!R404))*INDEX($G$5:$G$42,L404)/SQRT(INDEX($I$5:$I$42,L404)),2)</f>
        <v>10</v>
      </c>
      <c r="AA404" s="29" t="s">
        <v>178</v>
      </c>
      <c r="AB404" s="14">
        <f>ROUND(IF(Q404=1,INDEX(新属性投放!$E$14:$E$34,卡牌属性!R404),INDEX(新属性投放!$E$42:$E$62,卡牌属性!R404))*INDEX($G$5:$G$42,L404),2)</f>
        <v>5</v>
      </c>
      <c r="AC404" s="29" t="s">
        <v>179</v>
      </c>
      <c r="AD404" s="14">
        <f>ROUND(IF(Q404=1,INDEX(新属性投放!$F$14:$F$34,卡牌属性!R404),INDEX(新属性投放!$F$42:$F$62,卡牌属性!R404))*INDEX($G$5:$G$42,L404)*SQRT(INDEX($I$5:$I$42,L404)),2)</f>
        <v>45</v>
      </c>
      <c r="AF404" s="14">
        <f t="shared" si="117"/>
        <v>100</v>
      </c>
      <c r="AG404" s="14">
        <f t="shared" si="118"/>
        <v>50</v>
      </c>
      <c r="AH404" s="14">
        <f t="shared" si="119"/>
        <v>450</v>
      </c>
      <c r="AJ404" s="14">
        <f t="shared" ref="AJ404:AJ423" si="120">AJ403+AF404</f>
        <v>200</v>
      </c>
      <c r="AK404" s="14">
        <f t="shared" ref="AK404:AK423" si="121">AK403+AG404</f>
        <v>100</v>
      </c>
      <c r="AL404" s="14">
        <f t="shared" ref="AL404:AL423" si="122">AL403+AH404</f>
        <v>900</v>
      </c>
    </row>
    <row r="405" spans="11:38" ht="16.5" x14ac:dyDescent="0.2">
      <c r="K405" s="13">
        <v>402</v>
      </c>
      <c r="L405" s="13">
        <f t="shared" si="111"/>
        <v>20</v>
      </c>
      <c r="M405" s="13">
        <f t="shared" si="112"/>
        <v>2</v>
      </c>
      <c r="N405" s="14">
        <f t="shared" si="113"/>
        <v>1102004</v>
      </c>
      <c r="O405" s="14" t="str">
        <f t="shared" si="114"/>
        <v>唐流雨3突</v>
      </c>
      <c r="P405" s="29" t="s">
        <v>341</v>
      </c>
      <c r="Q405" s="14">
        <f t="shared" si="115"/>
        <v>2</v>
      </c>
      <c r="R405" s="14">
        <f t="shared" si="116"/>
        <v>3</v>
      </c>
      <c r="S405" s="14" t="s">
        <v>39</v>
      </c>
      <c r="T405" s="14">
        <f>ROUND(((IF(Q405=1,INDEX(新属性投放!$J$14:$J$34,卡牌属性!R405),INDEX(新属性投放!$J$42:$J$62,卡牌属性!R405)))*INDEX($G$5:$G$42,L405)+IF(Q405=1,INDEX(新属性投放!R$20:R$23,卡牌属性!M405-1),INDEX(新属性投放!R$25:R$28,卡牌属性!M405-1)))/SQRT(INDEX($I$5:$I$42,L405)),2)</f>
        <v>590</v>
      </c>
      <c r="U405" s="29" t="s">
        <v>178</v>
      </c>
      <c r="V405" s="14">
        <f>ROUND((IF(Q405=1,INDEX(新属性投放!$K$14:$K$34,卡牌属性!R405),INDEX(新属性投放!$K$42:$K$62,卡牌属性!R405))+IF(Q405=1,INDEX(新属性投放!S$20:S$23,卡牌属性!M405-1),INDEX(新属性投放!S$25:S$28,卡牌属性!M405-1)))*INDEX($G$5:$G$42,L405),2)</f>
        <v>218</v>
      </c>
      <c r="W405" s="29" t="s">
        <v>179</v>
      </c>
      <c r="X405" s="14">
        <f>ROUND((IF(Q405=1,INDEX(新属性投放!$L$14:$L$34,卡牌属性!R405),INDEX(新属性投放!$L$42:$L$62,卡牌属性!R405))*INDEX($G$5:$G$42,L405)+IF(Q405=1,INDEX(新属性投放!T$20:T$23,卡牌属性!M405-1),INDEX(新属性投放!T$25:T$28,卡牌属性!M405-1)))*SQRT(INDEX($I$5:$I$42,L405)),2)</f>
        <v>2055</v>
      </c>
      <c r="Y405" s="29" t="s">
        <v>177</v>
      </c>
      <c r="Z405" s="14">
        <f>ROUND(IF(Q405=1,INDEX(新属性投放!$D$14:$D$34,卡牌属性!R405),INDEX(新属性投放!$D$42:$D$62,卡牌属性!R405))*INDEX($G$5:$G$42,L405)/SQRT(INDEX($I$5:$I$42,L405)),2)</f>
        <v>15</v>
      </c>
      <c r="AA405" s="29" t="s">
        <v>178</v>
      </c>
      <c r="AB405" s="14">
        <f>ROUND(IF(Q405=1,INDEX(新属性投放!$E$14:$E$34,卡牌属性!R405),INDEX(新属性投放!$E$42:$E$62,卡牌属性!R405))*INDEX($G$5:$G$42,L405),2)</f>
        <v>7.5</v>
      </c>
      <c r="AC405" s="29" t="s">
        <v>179</v>
      </c>
      <c r="AD405" s="14">
        <f>ROUND(IF(Q405=1,INDEX(新属性投放!$F$14:$F$34,卡牌属性!R405),INDEX(新属性投放!$F$42:$F$62,卡牌属性!R405))*INDEX($G$5:$G$42,L405)*SQRT(INDEX($I$5:$I$42,L405)),2)</f>
        <v>67</v>
      </c>
      <c r="AF405" s="14">
        <f t="shared" si="117"/>
        <v>150</v>
      </c>
      <c r="AG405" s="14">
        <f t="shared" si="118"/>
        <v>75</v>
      </c>
      <c r="AH405" s="14">
        <f t="shared" si="119"/>
        <v>670</v>
      </c>
      <c r="AJ405" s="14">
        <f t="shared" si="120"/>
        <v>350</v>
      </c>
      <c r="AK405" s="14">
        <f t="shared" si="121"/>
        <v>175</v>
      </c>
      <c r="AL405" s="14">
        <f t="shared" si="122"/>
        <v>1570</v>
      </c>
    </row>
    <row r="406" spans="11:38" ht="16.5" x14ac:dyDescent="0.2">
      <c r="K406" s="13">
        <v>403</v>
      </c>
      <c r="L406" s="13">
        <f t="shared" si="111"/>
        <v>20</v>
      </c>
      <c r="M406" s="13">
        <f t="shared" si="112"/>
        <v>2</v>
      </c>
      <c r="N406" s="14">
        <f t="shared" si="113"/>
        <v>1102004</v>
      </c>
      <c r="O406" s="14" t="str">
        <f t="shared" si="114"/>
        <v>唐流雨4突</v>
      </c>
      <c r="P406" s="29" t="s">
        <v>341</v>
      </c>
      <c r="Q406" s="14">
        <f t="shared" si="115"/>
        <v>2</v>
      </c>
      <c r="R406" s="14">
        <f t="shared" si="116"/>
        <v>4</v>
      </c>
      <c r="S406" s="14" t="s">
        <v>39</v>
      </c>
      <c r="T406" s="14">
        <f>ROUND(((IF(Q406=1,INDEX(新属性投放!$J$14:$J$34,卡牌属性!R406),INDEX(新属性投放!$J$42:$J$62,卡牌属性!R406)))*INDEX($G$5:$G$42,L406)+IF(Q406=1,INDEX(新属性投放!R$20:R$23,卡牌属性!M406-1),INDEX(新属性投放!R$25:R$28,卡牌属性!M406-1)))/SQRT(INDEX($I$5:$I$42,L406)),2)</f>
        <v>778</v>
      </c>
      <c r="U406" s="29" t="s">
        <v>178</v>
      </c>
      <c r="V406" s="14">
        <f>ROUND((IF(Q406=1,INDEX(新属性投放!$K$14:$K$34,卡牌属性!R406),INDEX(新属性投放!$K$42:$K$62,卡牌属性!R406))+IF(Q406=1,INDEX(新属性投放!S$20:S$23,卡牌属性!M406-1),INDEX(新属性投放!S$25:S$28,卡牌属性!M406-1)))*INDEX($G$5:$G$42,L406),2)</f>
        <v>312</v>
      </c>
      <c r="W406" s="29" t="s">
        <v>179</v>
      </c>
      <c r="X406" s="14">
        <f>ROUND((IF(Q406=1,INDEX(新属性投放!$L$14:$L$34,卡牌属性!R406),INDEX(新属性投放!$L$42:$L$62,卡牌属性!R406))*INDEX($G$5:$G$42,L406)+IF(Q406=1,INDEX(新属性投放!T$20:T$23,卡牌属性!M406-1),INDEX(新属性投放!T$25:T$28,卡牌属性!M406-1)))*SQRT(INDEX($I$5:$I$42,L406)),2)</f>
        <v>3067</v>
      </c>
      <c r="Y406" s="29" t="s">
        <v>177</v>
      </c>
      <c r="Z406" s="14">
        <f>ROUND(IF(Q406=1,INDEX(新属性投放!$D$14:$D$34,卡牌属性!R406),INDEX(新属性投放!$D$42:$D$62,卡牌属性!R406))*INDEX($G$5:$G$42,L406)/SQRT(INDEX($I$5:$I$42,L406)),2)</f>
        <v>20</v>
      </c>
      <c r="AA406" s="29" t="s">
        <v>178</v>
      </c>
      <c r="AB406" s="14">
        <f>ROUND(IF(Q406=1,INDEX(新属性投放!$E$14:$E$34,卡牌属性!R406),INDEX(新属性投放!$E$42:$E$62,卡牌属性!R406))*INDEX($G$5:$G$42,L406),2)</f>
        <v>10</v>
      </c>
      <c r="AC406" s="29" t="s">
        <v>179</v>
      </c>
      <c r="AD406" s="14">
        <f>ROUND(IF(Q406=1,INDEX(新属性投放!$F$14:$F$34,卡牌属性!R406),INDEX(新属性投放!$F$42:$F$62,卡牌属性!R406))*INDEX($G$5:$G$42,L406)*SQRT(INDEX($I$5:$I$42,L406)),2)</f>
        <v>90</v>
      </c>
      <c r="AF406" s="14">
        <f t="shared" si="117"/>
        <v>200</v>
      </c>
      <c r="AG406" s="14">
        <f t="shared" si="118"/>
        <v>100</v>
      </c>
      <c r="AH406" s="14">
        <f t="shared" si="119"/>
        <v>900</v>
      </c>
      <c r="AJ406" s="14">
        <f t="shared" si="120"/>
        <v>550</v>
      </c>
      <c r="AK406" s="14">
        <f t="shared" si="121"/>
        <v>275</v>
      </c>
      <c r="AL406" s="14">
        <f t="shared" si="122"/>
        <v>2470</v>
      </c>
    </row>
    <row r="407" spans="11:38" ht="16.5" x14ac:dyDescent="0.2">
      <c r="K407" s="13">
        <v>404</v>
      </c>
      <c r="L407" s="13">
        <f t="shared" si="111"/>
        <v>20</v>
      </c>
      <c r="M407" s="13">
        <f t="shared" si="112"/>
        <v>2</v>
      </c>
      <c r="N407" s="14">
        <f t="shared" si="113"/>
        <v>1102004</v>
      </c>
      <c r="O407" s="14" t="str">
        <f t="shared" si="114"/>
        <v>唐流雨5突</v>
      </c>
      <c r="P407" s="29" t="s">
        <v>341</v>
      </c>
      <c r="Q407" s="14">
        <f t="shared" si="115"/>
        <v>2</v>
      </c>
      <c r="R407" s="14">
        <f t="shared" si="116"/>
        <v>5</v>
      </c>
      <c r="S407" s="14" t="s">
        <v>39</v>
      </c>
      <c r="T407" s="14">
        <f>ROUND(((IF(Q407=1,INDEX(新属性投放!$J$14:$J$34,卡牌属性!R407),INDEX(新属性投放!$J$42:$J$62,卡牌属性!R407)))*INDEX($G$5:$G$42,L407)+IF(Q407=1,INDEX(新属性投放!R$20:R$23,卡牌属性!M407-1),INDEX(新属性投放!R$25:R$28,卡牌属性!M407-1)))/SQRT(INDEX($I$5:$I$42,L407)),2)</f>
        <v>1028</v>
      </c>
      <c r="U407" s="29" t="s">
        <v>178</v>
      </c>
      <c r="V407" s="14">
        <f>ROUND((IF(Q407=1,INDEX(新属性投放!$K$14:$K$34,卡牌属性!R407),INDEX(新属性投放!$K$42:$K$62,卡牌属性!R407))+IF(Q407=1,INDEX(新属性投放!S$20:S$23,卡牌属性!M407-1),INDEX(新属性投放!S$25:S$28,卡牌属性!M407-1)))*INDEX($G$5:$G$42,L407),2)</f>
        <v>437</v>
      </c>
      <c r="W407" s="29" t="s">
        <v>179</v>
      </c>
      <c r="X407" s="14">
        <f>ROUND((IF(Q407=1,INDEX(新属性投放!$L$14:$L$34,卡牌属性!R407),INDEX(新属性投放!$L$42:$L$62,卡牌属性!R407))*INDEX($G$5:$G$42,L407)+IF(Q407=1,INDEX(新属性投放!T$20:T$23,卡牌属性!M407-1),INDEX(新属性投放!T$25:T$28,卡牌属性!M407-1)))*SQRT(INDEX($I$5:$I$42,L407)),2)</f>
        <v>4417</v>
      </c>
      <c r="Y407" s="29" t="s">
        <v>177</v>
      </c>
      <c r="Z407" s="14">
        <f>ROUND(IF(Q407=1,INDEX(新属性投放!$D$14:$D$34,卡牌属性!R407),INDEX(新属性投放!$D$42:$D$62,卡牌属性!R407))*INDEX($G$5:$G$42,L407)/SQRT(INDEX($I$5:$I$42,L407)),2)</f>
        <v>25</v>
      </c>
      <c r="AA407" s="29" t="s">
        <v>178</v>
      </c>
      <c r="AB407" s="14">
        <f>ROUND(IF(Q407=1,INDEX(新属性投放!$E$14:$E$34,卡牌属性!R407),INDEX(新属性投放!$E$42:$E$62,卡牌属性!R407))*INDEX($G$5:$G$42,L407),2)</f>
        <v>12.5</v>
      </c>
      <c r="AC407" s="29" t="s">
        <v>179</v>
      </c>
      <c r="AD407" s="14">
        <f>ROUND(IF(Q407=1,INDEX(新属性投放!$F$14:$F$34,卡牌属性!R407),INDEX(新属性投放!$F$42:$F$62,卡牌属性!R407))*INDEX($G$5:$G$42,L407)*SQRT(INDEX($I$5:$I$42,L407)),2)</f>
        <v>112</v>
      </c>
      <c r="AF407" s="14">
        <f t="shared" si="117"/>
        <v>250</v>
      </c>
      <c r="AG407" s="14">
        <f t="shared" si="118"/>
        <v>125</v>
      </c>
      <c r="AH407" s="14">
        <f t="shared" si="119"/>
        <v>1120</v>
      </c>
      <c r="AJ407" s="14">
        <f t="shared" si="120"/>
        <v>800</v>
      </c>
      <c r="AK407" s="14">
        <f t="shared" si="121"/>
        <v>400</v>
      </c>
      <c r="AL407" s="14">
        <f t="shared" si="122"/>
        <v>3590</v>
      </c>
    </row>
    <row r="408" spans="11:38" ht="16.5" x14ac:dyDescent="0.2">
      <c r="K408" s="13">
        <v>405</v>
      </c>
      <c r="L408" s="13">
        <f t="shared" si="111"/>
        <v>20</v>
      </c>
      <c r="M408" s="13">
        <f t="shared" si="112"/>
        <v>2</v>
      </c>
      <c r="N408" s="14">
        <f t="shared" si="113"/>
        <v>1102004</v>
      </c>
      <c r="O408" s="14" t="str">
        <f t="shared" si="114"/>
        <v>唐流雨6突</v>
      </c>
      <c r="P408" s="29" t="s">
        <v>341</v>
      </c>
      <c r="Q408" s="14">
        <f t="shared" si="115"/>
        <v>2</v>
      </c>
      <c r="R408" s="14">
        <f t="shared" si="116"/>
        <v>6</v>
      </c>
      <c r="S408" s="14" t="s">
        <v>39</v>
      </c>
      <c r="T408" s="14">
        <f>ROUND(((IF(Q408=1,INDEX(新属性投放!$J$14:$J$34,卡牌属性!R408),INDEX(新属性投放!$J$42:$J$62,卡牌属性!R408)))*INDEX($G$5:$G$42,L408)+IF(Q408=1,INDEX(新属性投放!R$20:R$23,卡牌属性!M408-1),INDEX(新属性投放!R$25:R$28,卡牌属性!M408-1)))/SQRT(INDEX($I$5:$I$42,L408)),2)</f>
        <v>1341</v>
      </c>
      <c r="U408" s="29" t="s">
        <v>178</v>
      </c>
      <c r="V408" s="14">
        <f>ROUND((IF(Q408=1,INDEX(新属性投放!$K$14:$K$34,卡牌属性!R408),INDEX(新属性投放!$K$42:$K$62,卡牌属性!R408))+IF(Q408=1,INDEX(新属性投放!S$20:S$23,卡牌属性!M408-1),INDEX(新属性投放!S$25:S$28,卡牌属性!M408-1)))*INDEX($G$5:$G$42,L408),2)</f>
        <v>593</v>
      </c>
      <c r="W408" s="29" t="s">
        <v>179</v>
      </c>
      <c r="X408" s="14">
        <f>ROUND((IF(Q408=1,INDEX(新属性投放!$L$14:$L$34,卡牌属性!R408),INDEX(新属性投放!$L$42:$L$62,卡牌属性!R408))*INDEX($G$5:$G$42,L408)+IF(Q408=1,INDEX(新属性投放!T$20:T$23,卡牌属性!M408-1),INDEX(新属性投放!T$25:T$28,卡牌属性!M408-1)))*SQRT(INDEX($I$5:$I$42,L408)),2)</f>
        <v>6104</v>
      </c>
      <c r="Y408" s="29" t="s">
        <v>177</v>
      </c>
      <c r="Z408" s="14">
        <f>ROUND(IF(Q408=1,INDEX(新属性投放!$D$14:$D$34,卡牌属性!R408),INDEX(新属性投放!$D$42:$D$62,卡牌属性!R408))*INDEX($G$5:$G$42,L408)/SQRT(INDEX($I$5:$I$42,L408)),2)</f>
        <v>30</v>
      </c>
      <c r="AA408" s="29" t="s">
        <v>178</v>
      </c>
      <c r="AB408" s="14">
        <f>ROUND(IF(Q408=1,INDEX(新属性投放!$E$14:$E$34,卡牌属性!R408),INDEX(新属性投放!$E$42:$E$62,卡牌属性!R408))*INDEX($G$5:$G$42,L408),2)</f>
        <v>15</v>
      </c>
      <c r="AC408" s="29" t="s">
        <v>179</v>
      </c>
      <c r="AD408" s="14">
        <f>ROUND(IF(Q408=1,INDEX(新属性投放!$F$14:$F$34,卡牌属性!R408),INDEX(新属性投放!$F$42:$F$62,卡牌属性!R408))*INDEX($G$5:$G$42,L408)*SQRT(INDEX($I$5:$I$42,L408)),2)</f>
        <v>135</v>
      </c>
      <c r="AF408" s="14">
        <f t="shared" si="117"/>
        <v>300</v>
      </c>
      <c r="AG408" s="14">
        <f t="shared" si="118"/>
        <v>150</v>
      </c>
      <c r="AH408" s="14">
        <f t="shared" si="119"/>
        <v>1350</v>
      </c>
      <c r="AJ408" s="14">
        <f t="shared" si="120"/>
        <v>1100</v>
      </c>
      <c r="AK408" s="14">
        <f t="shared" si="121"/>
        <v>550</v>
      </c>
      <c r="AL408" s="14">
        <f t="shared" si="122"/>
        <v>4940</v>
      </c>
    </row>
    <row r="409" spans="11:38" ht="16.5" x14ac:dyDescent="0.2">
      <c r="K409" s="13">
        <v>406</v>
      </c>
      <c r="L409" s="13">
        <f t="shared" si="111"/>
        <v>20</v>
      </c>
      <c r="M409" s="13">
        <f t="shared" si="112"/>
        <v>2</v>
      </c>
      <c r="N409" s="14">
        <f t="shared" si="113"/>
        <v>1102004</v>
      </c>
      <c r="O409" s="14" t="str">
        <f t="shared" si="114"/>
        <v>唐流雨7突</v>
      </c>
      <c r="P409" s="29" t="s">
        <v>341</v>
      </c>
      <c r="Q409" s="14">
        <f t="shared" si="115"/>
        <v>2</v>
      </c>
      <c r="R409" s="14">
        <f t="shared" si="116"/>
        <v>7</v>
      </c>
      <c r="S409" s="14" t="s">
        <v>39</v>
      </c>
      <c r="T409" s="14">
        <f>ROUND(((IF(Q409=1,INDEX(新属性投放!$J$14:$J$34,卡牌属性!R409),INDEX(新属性投放!$J$42:$J$62,卡牌属性!R409)))*INDEX($G$5:$G$42,L409)+IF(Q409=1,INDEX(新属性投放!R$20:R$23,卡牌属性!M409-1),INDEX(新属性投放!R$25:R$28,卡牌属性!M409-1)))/SQRT(INDEX($I$5:$I$42,L409)),2)</f>
        <v>1716</v>
      </c>
      <c r="U409" s="29" t="s">
        <v>178</v>
      </c>
      <c r="V409" s="14">
        <f>ROUND((IF(Q409=1,INDEX(新属性投放!$K$14:$K$34,卡牌属性!R409),INDEX(新属性投放!$K$42:$K$62,卡牌属性!R409))+IF(Q409=1,INDEX(新属性投放!S$20:S$23,卡牌属性!M409-1),INDEX(新属性投放!S$25:S$28,卡牌属性!M409-1)))*INDEX($G$5:$G$42,L409),2)</f>
        <v>781</v>
      </c>
      <c r="W409" s="29" t="s">
        <v>179</v>
      </c>
      <c r="X409" s="14">
        <f>ROUND((IF(Q409=1,INDEX(新属性投放!$L$14:$L$34,卡牌属性!R409),INDEX(新属性投放!$L$42:$L$62,卡牌属性!R409))*INDEX($G$5:$G$42,L409)+IF(Q409=1,INDEX(新属性投放!T$20:T$23,卡牌属性!M409-1),INDEX(新属性投放!T$25:T$28,卡牌属性!M409-1)))*SQRT(INDEX($I$5:$I$42,L409)),2)</f>
        <v>8129</v>
      </c>
      <c r="Y409" s="29" t="s">
        <v>177</v>
      </c>
      <c r="Z409" s="14">
        <f>ROUND(IF(Q409=1,INDEX(新属性投放!$D$14:$D$34,卡牌属性!R409),INDEX(新属性投放!$D$42:$D$62,卡牌属性!R409))*INDEX($G$5:$G$42,L409)/SQRT(INDEX($I$5:$I$42,L409)),2)</f>
        <v>35</v>
      </c>
      <c r="AA409" s="29" t="s">
        <v>178</v>
      </c>
      <c r="AB409" s="14">
        <f>ROUND(IF(Q409=1,INDEX(新属性投放!$E$14:$E$34,卡牌属性!R409),INDEX(新属性投放!$E$42:$E$62,卡牌属性!R409))*INDEX($G$5:$G$42,L409),2)</f>
        <v>17.5</v>
      </c>
      <c r="AC409" s="29" t="s">
        <v>179</v>
      </c>
      <c r="AD409" s="14">
        <f>ROUND(IF(Q409=1,INDEX(新属性投放!$F$14:$F$34,卡牌属性!R409),INDEX(新属性投放!$F$42:$F$62,卡牌属性!R409))*INDEX($G$5:$G$42,L409)*SQRT(INDEX($I$5:$I$42,L409)),2)</f>
        <v>157</v>
      </c>
      <c r="AF409" s="14">
        <f t="shared" si="117"/>
        <v>350</v>
      </c>
      <c r="AG409" s="14">
        <f t="shared" si="118"/>
        <v>175</v>
      </c>
      <c r="AH409" s="14">
        <f t="shared" si="119"/>
        <v>1570</v>
      </c>
      <c r="AJ409" s="14">
        <f t="shared" si="120"/>
        <v>1450</v>
      </c>
      <c r="AK409" s="14">
        <f t="shared" si="121"/>
        <v>725</v>
      </c>
      <c r="AL409" s="14">
        <f t="shared" si="122"/>
        <v>6510</v>
      </c>
    </row>
    <row r="410" spans="11:38" ht="16.5" x14ac:dyDescent="0.2">
      <c r="K410" s="13">
        <v>407</v>
      </c>
      <c r="L410" s="13">
        <f t="shared" si="111"/>
        <v>20</v>
      </c>
      <c r="M410" s="13">
        <f t="shared" si="112"/>
        <v>2</v>
      </c>
      <c r="N410" s="14">
        <f t="shared" si="113"/>
        <v>1102004</v>
      </c>
      <c r="O410" s="14" t="str">
        <f t="shared" si="114"/>
        <v>唐流雨8突</v>
      </c>
      <c r="P410" s="29" t="s">
        <v>341</v>
      </c>
      <c r="Q410" s="14">
        <f t="shared" si="115"/>
        <v>2</v>
      </c>
      <c r="R410" s="14">
        <f t="shared" si="116"/>
        <v>8</v>
      </c>
      <c r="S410" s="14" t="s">
        <v>39</v>
      </c>
      <c r="T410" s="14">
        <f>ROUND(((IF(Q410=1,INDEX(新属性投放!$J$14:$J$34,卡牌属性!R410),INDEX(新属性投放!$J$42:$J$62,卡牌属性!R410)))*INDEX($G$5:$G$42,L410)+IF(Q410=1,INDEX(新属性投放!R$20:R$23,卡牌属性!M410-1),INDEX(新属性投放!R$25:R$28,卡牌属性!M410-1)))/SQRT(INDEX($I$5:$I$42,L410)),2)</f>
        <v>2154</v>
      </c>
      <c r="U410" s="29" t="s">
        <v>178</v>
      </c>
      <c r="V410" s="14">
        <f>ROUND((IF(Q410=1,INDEX(新属性投放!$K$14:$K$34,卡牌属性!R410),INDEX(新属性投放!$K$42:$K$62,卡牌属性!R410))+IF(Q410=1,INDEX(新属性投放!S$20:S$23,卡牌属性!M410-1),INDEX(新属性投放!S$25:S$28,卡牌属性!M410-1)))*INDEX($G$5:$G$42,L410),2)</f>
        <v>1000</v>
      </c>
      <c r="W410" s="29" t="s">
        <v>179</v>
      </c>
      <c r="X410" s="14">
        <f>ROUND((IF(Q410=1,INDEX(新属性投放!$L$14:$L$34,卡牌属性!R410),INDEX(新属性投放!$L$42:$L$62,卡牌属性!R410))*INDEX($G$5:$G$42,L410)+IF(Q410=1,INDEX(新属性投放!T$20:T$23,卡牌属性!M410-1),INDEX(新属性投放!T$25:T$28,卡牌属性!M410-1)))*SQRT(INDEX($I$5:$I$42,L410)),2)</f>
        <v>10491</v>
      </c>
      <c r="Y410" s="29" t="s">
        <v>177</v>
      </c>
      <c r="Z410" s="14">
        <f>ROUND(IF(Q410=1,INDEX(新属性投放!$D$14:$D$34,卡牌属性!R410),INDEX(新属性投放!$D$42:$D$62,卡牌属性!R410))*INDEX($G$5:$G$42,L410)/SQRT(INDEX($I$5:$I$42,L410)),2)</f>
        <v>45</v>
      </c>
      <c r="AA410" s="29" t="s">
        <v>178</v>
      </c>
      <c r="AB410" s="14">
        <f>ROUND(IF(Q410=1,INDEX(新属性投放!$E$14:$E$34,卡牌属性!R410),INDEX(新属性投放!$E$42:$E$62,卡牌属性!R410))*INDEX($G$5:$G$42,L410),2)</f>
        <v>22.5</v>
      </c>
      <c r="AC410" s="29" t="s">
        <v>179</v>
      </c>
      <c r="AD410" s="14">
        <f>ROUND(IF(Q410=1,INDEX(新属性投放!$F$14:$F$34,卡牌属性!R410),INDEX(新属性投放!$F$42:$F$62,卡牌属性!R410))*INDEX($G$5:$G$42,L410)*SQRT(INDEX($I$5:$I$42,L410)),2)</f>
        <v>202</v>
      </c>
      <c r="AF410" s="14">
        <f t="shared" si="117"/>
        <v>450</v>
      </c>
      <c r="AG410" s="14">
        <f t="shared" si="118"/>
        <v>225</v>
      </c>
      <c r="AH410" s="14">
        <f t="shared" si="119"/>
        <v>2020</v>
      </c>
      <c r="AJ410" s="14">
        <f t="shared" si="120"/>
        <v>1900</v>
      </c>
      <c r="AK410" s="14">
        <f t="shared" si="121"/>
        <v>950</v>
      </c>
      <c r="AL410" s="14">
        <f t="shared" si="122"/>
        <v>8530</v>
      </c>
    </row>
    <row r="411" spans="11:38" ht="16.5" x14ac:dyDescent="0.2">
      <c r="K411" s="13">
        <v>408</v>
      </c>
      <c r="L411" s="13">
        <f t="shared" si="111"/>
        <v>20</v>
      </c>
      <c r="M411" s="13">
        <f t="shared" si="112"/>
        <v>2</v>
      </c>
      <c r="N411" s="14">
        <f t="shared" si="113"/>
        <v>1102004</v>
      </c>
      <c r="O411" s="14" t="str">
        <f t="shared" si="114"/>
        <v>唐流雨9突</v>
      </c>
      <c r="P411" s="29" t="s">
        <v>341</v>
      </c>
      <c r="Q411" s="14">
        <f t="shared" si="115"/>
        <v>2</v>
      </c>
      <c r="R411" s="14">
        <f t="shared" si="116"/>
        <v>9</v>
      </c>
      <c r="S411" s="14" t="s">
        <v>39</v>
      </c>
      <c r="T411" s="14">
        <f>ROUND(((IF(Q411=1,INDEX(新属性投放!$J$14:$J$34,卡牌属性!R411),INDEX(新属性投放!$J$42:$J$62,卡牌属性!R411)))*INDEX($G$5:$G$42,L411)+IF(Q411=1,INDEX(新属性投放!R$20:R$23,卡牌属性!M411-1),INDEX(新属性投放!R$25:R$28,卡牌属性!M411-1)))/SQRT(INDEX($I$5:$I$42,L411)),2)</f>
        <v>2717</v>
      </c>
      <c r="U411" s="29" t="s">
        <v>178</v>
      </c>
      <c r="V411" s="14">
        <f>ROUND((IF(Q411=1,INDEX(新属性投放!$K$14:$K$34,卡牌属性!R411),INDEX(新属性投放!$K$42:$K$62,卡牌属性!R411))+IF(Q411=1,INDEX(新属性投放!S$20:S$23,卡牌属性!M411-1),INDEX(新属性投放!S$25:S$28,卡牌属性!M411-1)))*INDEX($G$5:$G$42,L411),2)</f>
        <v>1281</v>
      </c>
      <c r="W411" s="29" t="s">
        <v>179</v>
      </c>
      <c r="X411" s="14">
        <f>ROUND((IF(Q411=1,INDEX(新属性投放!$L$14:$L$34,卡牌属性!R411),INDEX(新属性投放!$L$42:$L$62,卡牌属性!R411))*INDEX($G$5:$G$42,L411)+IF(Q411=1,INDEX(新属性投放!T$20:T$23,卡牌属性!M411-1),INDEX(新属性投放!T$25:T$28,卡牌属性!M411-1)))*SQRT(INDEX($I$5:$I$42,L411)),2)</f>
        <v>13528</v>
      </c>
      <c r="Y411" s="29" t="s">
        <v>177</v>
      </c>
      <c r="Z411" s="14">
        <f>ROUND(IF(Q411=1,INDEX(新属性投放!$D$14:$D$34,卡牌属性!R411),INDEX(新属性投放!$D$42:$D$62,卡牌属性!R411))*INDEX($G$5:$G$42,L411)/SQRT(INDEX($I$5:$I$42,L411)),2)</f>
        <v>60.05</v>
      </c>
      <c r="AA411" s="29" t="s">
        <v>178</v>
      </c>
      <c r="AB411" s="14">
        <f>ROUND(IF(Q411=1,INDEX(新属性投放!$E$14:$E$34,卡牌属性!R411),INDEX(新属性投放!$E$42:$E$62,卡牌属性!R411))*INDEX($G$5:$G$42,L411),2)</f>
        <v>30.03</v>
      </c>
      <c r="AC411" s="29" t="s">
        <v>179</v>
      </c>
      <c r="AD411" s="14">
        <f>ROUND(IF(Q411=1,INDEX(新属性投放!$F$14:$F$34,卡牌属性!R411),INDEX(新属性投放!$F$42:$F$62,卡牌属性!R411))*INDEX($G$5:$G$42,L411)*SQRT(INDEX($I$5:$I$42,L411)),2)</f>
        <v>270</v>
      </c>
      <c r="AF411" s="14">
        <f t="shared" si="117"/>
        <v>600</v>
      </c>
      <c r="AG411" s="14">
        <f t="shared" si="118"/>
        <v>300</v>
      </c>
      <c r="AH411" s="14">
        <f t="shared" si="119"/>
        <v>2700</v>
      </c>
      <c r="AJ411" s="14">
        <f t="shared" si="120"/>
        <v>2500</v>
      </c>
      <c r="AK411" s="14">
        <f t="shared" si="121"/>
        <v>1250</v>
      </c>
      <c r="AL411" s="14">
        <f t="shared" si="122"/>
        <v>11230</v>
      </c>
    </row>
    <row r="412" spans="11:38" ht="16.5" x14ac:dyDescent="0.2">
      <c r="K412" s="13">
        <v>409</v>
      </c>
      <c r="L412" s="13">
        <f t="shared" si="111"/>
        <v>20</v>
      </c>
      <c r="M412" s="13">
        <f t="shared" si="112"/>
        <v>2</v>
      </c>
      <c r="N412" s="14">
        <f t="shared" si="113"/>
        <v>1102004</v>
      </c>
      <c r="O412" s="14" t="str">
        <f t="shared" si="114"/>
        <v>唐流雨10突</v>
      </c>
      <c r="P412" s="29" t="s">
        <v>341</v>
      </c>
      <c r="Q412" s="14">
        <f t="shared" si="115"/>
        <v>2</v>
      </c>
      <c r="R412" s="14">
        <f t="shared" si="116"/>
        <v>10</v>
      </c>
      <c r="S412" s="14" t="s">
        <v>39</v>
      </c>
      <c r="T412" s="14">
        <f>ROUND(((IF(Q412=1,INDEX(新属性投放!$J$14:$J$34,卡牌属性!R412),INDEX(新属性投放!$J$42:$J$62,卡牌属性!R412)))*INDEX($G$5:$G$42,L412)+IF(Q412=1,INDEX(新属性投放!R$20:R$23,卡牌属性!M412-1),INDEX(新属性投放!R$25:R$28,卡牌属性!M412-1)))/SQRT(INDEX($I$5:$I$42,L412)),2)</f>
        <v>3467.5</v>
      </c>
      <c r="U412" s="29" t="s">
        <v>178</v>
      </c>
      <c r="V412" s="14">
        <f>ROUND((IF(Q412=1,INDEX(新属性投放!$K$14:$K$34,卡牌属性!R412),INDEX(新属性投放!$K$42:$K$62,卡牌属性!R412))+IF(Q412=1,INDEX(新属性投放!S$20:S$23,卡牌属性!M412-1),INDEX(新属性投放!S$25:S$28,卡牌属性!M412-1)))*INDEX($G$5:$G$42,L412),2)</f>
        <v>1656.25</v>
      </c>
      <c r="W412" s="29" t="s">
        <v>179</v>
      </c>
      <c r="X412" s="14">
        <f>ROUND((IF(Q412=1,INDEX(新属性投放!$L$14:$L$34,卡牌属性!R412),INDEX(新属性投放!$L$42:$L$62,卡牌属性!R412))*INDEX($G$5:$G$42,L412)+IF(Q412=1,INDEX(新属性投放!T$20:T$23,卡牌属性!M412-1),INDEX(新属性投放!T$25:T$28,卡牌属性!M412-1)))*SQRT(INDEX($I$5:$I$42,L412)),2)</f>
        <v>17578</v>
      </c>
      <c r="Y412" s="29" t="s">
        <v>177</v>
      </c>
      <c r="Z412" s="14">
        <f>ROUND(IF(Q412=1,INDEX(新属性投放!$D$14:$D$34,卡牌属性!R412),INDEX(新属性投放!$D$42:$D$62,卡牌属性!R412))*INDEX($G$5:$G$42,L412)/SQRT(INDEX($I$5:$I$42,L412)),2)</f>
        <v>78.5</v>
      </c>
      <c r="AA412" s="29" t="s">
        <v>178</v>
      </c>
      <c r="AB412" s="14">
        <f>ROUND(IF(Q412=1,INDEX(新属性投放!$E$14:$E$34,卡牌属性!R412),INDEX(新属性投放!$E$42:$E$62,卡牌属性!R412))*INDEX($G$5:$G$42,L412),2)</f>
        <v>39.25</v>
      </c>
      <c r="AC412" s="29" t="s">
        <v>179</v>
      </c>
      <c r="AD412" s="14">
        <f>ROUND(IF(Q412=1,INDEX(新属性投放!$F$14:$F$34,卡牌属性!R412),INDEX(新属性投放!$F$42:$F$62,卡牌属性!R412))*INDEX($G$5:$G$42,L412)*SQRT(INDEX($I$5:$I$42,L412)),2)</f>
        <v>353</v>
      </c>
      <c r="AF412" s="14">
        <f t="shared" si="117"/>
        <v>785</v>
      </c>
      <c r="AG412" s="14">
        <f t="shared" si="118"/>
        <v>392</v>
      </c>
      <c r="AH412" s="14">
        <f t="shared" si="119"/>
        <v>3530</v>
      </c>
      <c r="AJ412" s="14">
        <f t="shared" si="120"/>
        <v>3285</v>
      </c>
      <c r="AK412" s="14">
        <f t="shared" si="121"/>
        <v>1642</v>
      </c>
      <c r="AL412" s="14">
        <f t="shared" si="122"/>
        <v>14760</v>
      </c>
    </row>
    <row r="413" spans="11:38" ht="16.5" x14ac:dyDescent="0.2">
      <c r="K413" s="13">
        <v>410</v>
      </c>
      <c r="L413" s="13">
        <f t="shared" si="111"/>
        <v>20</v>
      </c>
      <c r="M413" s="13">
        <f t="shared" si="112"/>
        <v>2</v>
      </c>
      <c r="N413" s="14">
        <f t="shared" si="113"/>
        <v>1102004</v>
      </c>
      <c r="O413" s="14" t="str">
        <f t="shared" si="114"/>
        <v>唐流雨11突</v>
      </c>
      <c r="P413" s="29" t="s">
        <v>341</v>
      </c>
      <c r="Q413" s="14">
        <f t="shared" si="115"/>
        <v>2</v>
      </c>
      <c r="R413" s="14">
        <f t="shared" si="116"/>
        <v>11</v>
      </c>
      <c r="S413" s="14" t="s">
        <v>39</v>
      </c>
      <c r="T413" s="14">
        <f>ROUND(((IF(Q413=1,INDEX(新属性投放!$J$14:$J$34,卡牌属性!R413),INDEX(新属性投放!$J$42:$J$62,卡牌属性!R413)))*INDEX($G$5:$G$42,L413)+IF(Q413=1,INDEX(新属性投放!R$20:R$23,卡牌属性!M413-1),INDEX(新属性投放!R$25:R$28,卡牌属性!M413-1)))/SQRT(INDEX($I$5:$I$42,L413)),2)</f>
        <v>4448.5</v>
      </c>
      <c r="U413" s="29" t="s">
        <v>178</v>
      </c>
      <c r="V413" s="14">
        <f>ROUND((IF(Q413=1,INDEX(新属性投放!$K$14:$K$34,卡牌属性!R413),INDEX(新属性投放!$K$42:$K$62,卡牌属性!R413))+IF(Q413=1,INDEX(新属性投放!S$20:S$23,卡牌属性!M413-1),INDEX(新属性投放!S$25:S$28,卡牌属性!M413-1)))*INDEX($G$5:$G$42,L413),2)</f>
        <v>2146.75</v>
      </c>
      <c r="W413" s="29" t="s">
        <v>179</v>
      </c>
      <c r="X413" s="14">
        <f>ROUND((IF(Q413=1,INDEX(新属性投放!$L$14:$L$34,卡牌属性!R413),INDEX(新属性投放!$L$42:$L$62,卡牌属性!R413))*INDEX($G$5:$G$42,L413)+IF(Q413=1,INDEX(新属性投放!T$20:T$23,卡牌属性!M413-1),INDEX(新属性投放!T$25:T$28,卡牌属性!M413-1)))*SQRT(INDEX($I$5:$I$42,L413)),2)</f>
        <v>22872</v>
      </c>
      <c r="Y413" s="29" t="s">
        <v>177</v>
      </c>
      <c r="Z413" s="14">
        <f>ROUND(IF(Q413=1,INDEX(新属性投放!$D$14:$D$34,卡牌属性!R413),INDEX(新属性投放!$D$42:$D$62,卡牌属性!R413))*INDEX($G$5:$G$42,L413)/SQRT(INDEX($I$5:$I$42,L413)),2)</f>
        <v>103.34</v>
      </c>
      <c r="AA413" s="29" t="s">
        <v>178</v>
      </c>
      <c r="AB413" s="14">
        <f>ROUND(IF(Q413=1,INDEX(新属性投放!$E$14:$E$34,卡牌属性!R413),INDEX(新属性投放!$E$42:$E$62,卡牌属性!R413))*INDEX($G$5:$G$42,L413),2)</f>
        <v>51.67</v>
      </c>
      <c r="AC413" s="29" t="s">
        <v>179</v>
      </c>
      <c r="AD413" s="14">
        <f>ROUND(IF(Q413=1,INDEX(新属性投放!$F$14:$F$34,卡牌属性!R413),INDEX(新属性投放!$F$42:$F$62,卡牌属性!R413))*INDEX($G$5:$G$42,L413)*SQRT(INDEX($I$5:$I$42,L413)),2)</f>
        <v>465</v>
      </c>
      <c r="AF413" s="14">
        <f t="shared" si="117"/>
        <v>1033</v>
      </c>
      <c r="AG413" s="14">
        <f t="shared" si="118"/>
        <v>516</v>
      </c>
      <c r="AH413" s="14">
        <f t="shared" si="119"/>
        <v>4650</v>
      </c>
      <c r="AJ413" s="14">
        <f t="shared" si="120"/>
        <v>4318</v>
      </c>
      <c r="AK413" s="14">
        <f t="shared" si="121"/>
        <v>2158</v>
      </c>
      <c r="AL413" s="14">
        <f t="shared" si="122"/>
        <v>19410</v>
      </c>
    </row>
    <row r="414" spans="11:38" ht="16.5" x14ac:dyDescent="0.2">
      <c r="K414" s="13">
        <v>411</v>
      </c>
      <c r="L414" s="13">
        <f t="shared" si="111"/>
        <v>20</v>
      </c>
      <c r="M414" s="13">
        <f t="shared" si="112"/>
        <v>2</v>
      </c>
      <c r="N414" s="14">
        <f t="shared" si="113"/>
        <v>1102004</v>
      </c>
      <c r="O414" s="14" t="str">
        <f t="shared" si="114"/>
        <v>唐流雨12突</v>
      </c>
      <c r="P414" s="29" t="s">
        <v>341</v>
      </c>
      <c r="Q414" s="14">
        <f t="shared" si="115"/>
        <v>2</v>
      </c>
      <c r="R414" s="14">
        <f t="shared" si="116"/>
        <v>12</v>
      </c>
      <c r="S414" s="14" t="s">
        <v>39</v>
      </c>
      <c r="T414" s="14">
        <f>ROUND(((IF(Q414=1,INDEX(新属性投放!$J$14:$J$34,卡牌属性!R414),INDEX(新属性投放!$J$42:$J$62,卡牌属性!R414)))*INDEX($G$5:$G$42,L414)+IF(Q414=1,INDEX(新属性投放!R$20:R$23,卡牌属性!M414-1),INDEX(新属性投放!R$25:R$28,卡牌属性!M414-1)))/SQRT(INDEX($I$5:$I$42,L414)),2)</f>
        <v>5739.9</v>
      </c>
      <c r="U414" s="29" t="s">
        <v>178</v>
      </c>
      <c r="V414" s="14">
        <f>ROUND((IF(Q414=1,INDEX(新属性投放!$K$14:$K$34,卡牌属性!R414),INDEX(新属性投放!$K$42:$K$62,卡牌属性!R414))+IF(Q414=1,INDEX(新属性投放!S$20:S$23,卡牌属性!M414-1),INDEX(新属性投放!S$25:S$28,卡牌属性!M414-1)))*INDEX($G$5:$G$42,L414),2)</f>
        <v>2792.45</v>
      </c>
      <c r="W414" s="29" t="s">
        <v>179</v>
      </c>
      <c r="X414" s="14">
        <f>ROUND((IF(Q414=1,INDEX(新属性投放!$L$14:$L$34,卡牌属性!R414),INDEX(新属性投放!$L$42:$L$62,卡牌属性!R414))*INDEX($G$5:$G$42,L414)+IF(Q414=1,INDEX(新属性投放!T$20:T$23,卡牌属性!M414-1),INDEX(新属性投放!T$25:T$28,卡牌属性!M414-1)))*SQRT(INDEX($I$5:$I$42,L414)),2)</f>
        <v>29844</v>
      </c>
      <c r="Y414" s="29" t="s">
        <v>177</v>
      </c>
      <c r="Z414" s="14">
        <f>ROUND(IF(Q414=1,INDEX(新属性投放!$D$14:$D$34,卡牌属性!R414),INDEX(新属性投放!$D$42:$D$62,卡牌属性!R414))*INDEX($G$5:$G$42,L414)/SQRT(INDEX($I$5:$I$42,L414)),2)</f>
        <v>135.62</v>
      </c>
      <c r="AA414" s="29" t="s">
        <v>178</v>
      </c>
      <c r="AB414" s="14">
        <f>ROUND(IF(Q414=1,INDEX(新属性投放!$E$14:$E$34,卡牌属性!R414),INDEX(新属性投放!$E$42:$E$62,卡牌属性!R414))*INDEX($G$5:$G$42,L414),2)</f>
        <v>67.81</v>
      </c>
      <c r="AC414" s="29" t="s">
        <v>179</v>
      </c>
      <c r="AD414" s="14">
        <f>ROUND(IF(Q414=1,INDEX(新属性投放!$F$14:$F$34,卡牌属性!R414),INDEX(新属性投放!$F$42:$F$62,卡牌属性!R414))*INDEX($G$5:$G$42,L414)*SQRT(INDEX($I$5:$I$42,L414)),2)</f>
        <v>610</v>
      </c>
      <c r="AF414" s="14">
        <f t="shared" si="117"/>
        <v>1356</v>
      </c>
      <c r="AG414" s="14">
        <f t="shared" si="118"/>
        <v>678</v>
      </c>
      <c r="AH414" s="14">
        <f t="shared" si="119"/>
        <v>6100</v>
      </c>
      <c r="AJ414" s="14">
        <f t="shared" si="120"/>
        <v>5674</v>
      </c>
      <c r="AK414" s="14">
        <f t="shared" si="121"/>
        <v>2836</v>
      </c>
      <c r="AL414" s="14">
        <f t="shared" si="122"/>
        <v>25510</v>
      </c>
    </row>
    <row r="415" spans="11:38" ht="16.5" x14ac:dyDescent="0.2">
      <c r="K415" s="13">
        <v>412</v>
      </c>
      <c r="L415" s="13">
        <f t="shared" si="111"/>
        <v>20</v>
      </c>
      <c r="M415" s="13">
        <f t="shared" si="112"/>
        <v>2</v>
      </c>
      <c r="N415" s="14">
        <f t="shared" si="113"/>
        <v>1102004</v>
      </c>
      <c r="O415" s="14" t="str">
        <f t="shared" si="114"/>
        <v>唐流雨13突</v>
      </c>
      <c r="P415" s="29" t="s">
        <v>341</v>
      </c>
      <c r="Q415" s="14">
        <f t="shared" si="115"/>
        <v>2</v>
      </c>
      <c r="R415" s="14">
        <f t="shared" si="116"/>
        <v>13</v>
      </c>
      <c r="S415" s="14" t="s">
        <v>39</v>
      </c>
      <c r="T415" s="14">
        <f>ROUND(((IF(Q415=1,INDEX(新属性投放!$J$14:$J$34,卡牌属性!R415),INDEX(新属性投放!$J$42:$J$62,卡牌属性!R415)))*INDEX($G$5:$G$42,L415)+IF(Q415=1,INDEX(新属性投放!R$20:R$23,卡牌属性!M415-1),INDEX(新属性投放!R$25:R$28,卡牌属性!M415-1)))/SQRT(INDEX($I$5:$I$42,L415)),2)</f>
        <v>7435.1</v>
      </c>
      <c r="U415" s="29" t="s">
        <v>178</v>
      </c>
      <c r="V415" s="14">
        <f>ROUND((IF(Q415=1,INDEX(新属性投放!$K$14:$K$34,卡牌属性!R415),INDEX(新属性投放!$K$42:$K$62,卡牌属性!R415))+IF(Q415=1,INDEX(新属性投放!S$20:S$23,卡牌属性!M415-1),INDEX(新属性投放!S$25:S$28,卡牌属性!M415-1)))*INDEX($G$5:$G$42,L415),2)</f>
        <v>3640.55</v>
      </c>
      <c r="W415" s="29" t="s">
        <v>179</v>
      </c>
      <c r="X415" s="14">
        <f>ROUND((IF(Q415=1,INDEX(新属性投放!$L$14:$L$34,卡牌属性!R415),INDEX(新属性投放!$L$42:$L$62,卡牌属性!R415))*INDEX($G$5:$G$42,L415)+IF(Q415=1,INDEX(新属性投放!T$20:T$23,卡牌属性!M415-1),INDEX(新属性投放!T$25:T$28,卡牌属性!M415-1)))*SQRT(INDEX($I$5:$I$42,L415)),2)</f>
        <v>38995</v>
      </c>
      <c r="Y415" s="29" t="s">
        <v>177</v>
      </c>
      <c r="Z415" s="14">
        <f>ROUND(IF(Q415=1,INDEX(新属性投放!$D$14:$D$34,卡牌属性!R415),INDEX(新属性投放!$D$42:$D$62,卡牌属性!R415))*INDEX($G$5:$G$42,L415)/SQRT(INDEX($I$5:$I$42,L415)),2)</f>
        <v>178</v>
      </c>
      <c r="AA415" s="29" t="s">
        <v>178</v>
      </c>
      <c r="AB415" s="14">
        <f>ROUND(IF(Q415=1,INDEX(新属性投放!$E$14:$E$34,卡牌属性!R415),INDEX(新属性投放!$E$42:$E$62,卡牌属性!R415))*INDEX($G$5:$G$42,L415),2)</f>
        <v>89</v>
      </c>
      <c r="AC415" s="29" t="s">
        <v>179</v>
      </c>
      <c r="AD415" s="14">
        <f>ROUND(IF(Q415=1,INDEX(新属性投放!$F$14:$F$34,卡牌属性!R415),INDEX(新属性投放!$F$42:$F$62,卡牌属性!R415))*INDEX($G$5:$G$42,L415)*SQRT(INDEX($I$5:$I$42,L415)),2)</f>
        <v>801</v>
      </c>
      <c r="AF415" s="14">
        <f t="shared" si="117"/>
        <v>1780</v>
      </c>
      <c r="AG415" s="14">
        <f t="shared" si="118"/>
        <v>890</v>
      </c>
      <c r="AH415" s="14">
        <f t="shared" si="119"/>
        <v>8010</v>
      </c>
      <c r="AJ415" s="14">
        <f t="shared" si="120"/>
        <v>7454</v>
      </c>
      <c r="AK415" s="14">
        <f t="shared" si="121"/>
        <v>3726</v>
      </c>
      <c r="AL415" s="14">
        <f t="shared" si="122"/>
        <v>33520</v>
      </c>
    </row>
    <row r="416" spans="11:38" ht="16.5" x14ac:dyDescent="0.2">
      <c r="K416" s="13">
        <v>413</v>
      </c>
      <c r="L416" s="13">
        <f t="shared" si="111"/>
        <v>20</v>
      </c>
      <c r="M416" s="13">
        <f t="shared" si="112"/>
        <v>2</v>
      </c>
      <c r="N416" s="14">
        <f t="shared" si="113"/>
        <v>1102004</v>
      </c>
      <c r="O416" s="14" t="str">
        <f t="shared" si="114"/>
        <v>唐流雨14突</v>
      </c>
      <c r="P416" s="29" t="s">
        <v>341</v>
      </c>
      <c r="Q416" s="14">
        <f t="shared" si="115"/>
        <v>2</v>
      </c>
      <c r="R416" s="14">
        <f t="shared" si="116"/>
        <v>14</v>
      </c>
      <c r="S416" s="14" t="s">
        <v>39</v>
      </c>
      <c r="T416" s="14">
        <f>ROUND(((IF(Q416=1,INDEX(新属性投放!$J$14:$J$34,卡牌属性!R416),INDEX(新属性投放!$J$42:$J$62,卡牌属性!R416)))*INDEX($G$5:$G$42,L416)+IF(Q416=1,INDEX(新属性投放!R$20:R$23,卡牌属性!M416-1),INDEX(新属性投放!R$25:R$28,卡牌属性!M416-1)))/SQRT(INDEX($I$5:$I$42,L416)),2)</f>
        <v>9660.1</v>
      </c>
      <c r="U416" s="29" t="s">
        <v>178</v>
      </c>
      <c r="V416" s="14">
        <f>ROUND((IF(Q416=1,INDEX(新属性投放!$K$14:$K$34,卡牌属性!R416),INDEX(新属性投放!$K$42:$K$62,卡牌属性!R416))+IF(Q416=1,INDEX(新属性投放!S$20:S$23,卡牌属性!M416-1),INDEX(新属性投放!S$25:S$28,卡牌属性!M416-1)))*INDEX($G$5:$G$42,L416),2)</f>
        <v>4753.55</v>
      </c>
      <c r="W416" s="29" t="s">
        <v>179</v>
      </c>
      <c r="X416" s="14">
        <f>ROUND((IF(Q416=1,INDEX(新属性投放!$L$14:$L$34,卡牌属性!R416),INDEX(新属性投放!$L$42:$L$62,卡牌属性!R416))*INDEX($G$5:$G$42,L416)+IF(Q416=1,INDEX(新属性投放!T$20:T$23,卡牌属性!M416-1),INDEX(新属性投放!T$25:T$28,卡牌属性!M416-1)))*SQRT(INDEX($I$5:$I$42,L416)),2)</f>
        <v>51010</v>
      </c>
      <c r="Y416" s="29" t="s">
        <v>177</v>
      </c>
      <c r="Z416" s="14">
        <f>ROUND(IF(Q416=1,INDEX(新属性投放!$D$14:$D$34,卡牌属性!R416),INDEX(新属性投放!$D$42:$D$62,卡牌属性!R416))*INDEX($G$5:$G$42,L416)/SQRT(INDEX($I$5:$I$42,L416)),2)</f>
        <v>233.63</v>
      </c>
      <c r="AA416" s="29" t="s">
        <v>178</v>
      </c>
      <c r="AB416" s="14">
        <f>ROUND(IF(Q416=1,INDEX(新属性投放!$E$14:$E$34,卡牌属性!R416),INDEX(新属性投放!$E$42:$E$62,卡牌属性!R416))*INDEX($G$5:$G$42,L416),2)</f>
        <v>116.82</v>
      </c>
      <c r="AC416" s="29" t="s">
        <v>179</v>
      </c>
      <c r="AD416" s="14">
        <f>ROUND(IF(Q416=1,INDEX(新属性投放!$F$14:$F$34,卡牌属性!R416),INDEX(新属性投放!$F$42:$F$62,卡牌属性!R416))*INDEX($G$5:$G$42,L416)*SQRT(INDEX($I$5:$I$42,L416)),2)</f>
        <v>1051</v>
      </c>
      <c r="AF416" s="14">
        <f t="shared" si="117"/>
        <v>2336</v>
      </c>
      <c r="AG416" s="14">
        <f t="shared" si="118"/>
        <v>1168</v>
      </c>
      <c r="AH416" s="14">
        <f t="shared" si="119"/>
        <v>10510</v>
      </c>
      <c r="AJ416" s="14">
        <f t="shared" si="120"/>
        <v>9790</v>
      </c>
      <c r="AK416" s="14">
        <f t="shared" si="121"/>
        <v>4894</v>
      </c>
      <c r="AL416" s="14">
        <f t="shared" si="122"/>
        <v>44030</v>
      </c>
    </row>
    <row r="417" spans="11:38" ht="16.5" x14ac:dyDescent="0.2">
      <c r="K417" s="13">
        <v>414</v>
      </c>
      <c r="L417" s="13">
        <f t="shared" si="111"/>
        <v>20</v>
      </c>
      <c r="M417" s="13">
        <f t="shared" si="112"/>
        <v>2</v>
      </c>
      <c r="N417" s="14">
        <f t="shared" si="113"/>
        <v>1102004</v>
      </c>
      <c r="O417" s="14" t="str">
        <f t="shared" si="114"/>
        <v>唐流雨15突</v>
      </c>
      <c r="P417" s="29" t="s">
        <v>341</v>
      </c>
      <c r="Q417" s="14">
        <f t="shared" si="115"/>
        <v>2</v>
      </c>
      <c r="R417" s="14">
        <f t="shared" si="116"/>
        <v>15</v>
      </c>
      <c r="S417" s="14" t="s">
        <v>39</v>
      </c>
      <c r="T417" s="14">
        <f>ROUND(((IF(Q417=1,INDEX(新属性投放!$J$14:$J$34,卡牌属性!R417),INDEX(新属性投放!$J$42:$J$62,卡牌属性!R417)))*INDEX($G$5:$G$42,L417)+IF(Q417=1,INDEX(新属性投放!R$20:R$23,卡牌属性!M417-1),INDEX(新属性投放!R$25:R$28,卡牌属性!M417-1)))/SQRT(INDEX($I$5:$I$42,L417)),2)</f>
        <v>12580.4</v>
      </c>
      <c r="U417" s="29" t="s">
        <v>178</v>
      </c>
      <c r="V417" s="14">
        <f>ROUND((IF(Q417=1,INDEX(新属性投放!$K$14:$K$34,卡牌属性!R417),INDEX(新属性投放!$K$42:$K$62,卡牌属性!R417))+IF(Q417=1,INDEX(新属性投放!S$20:S$23,卡牌属性!M417-1),INDEX(新属性投放!S$25:S$28,卡牌属性!M417-1)))*INDEX($G$5:$G$42,L417),2)</f>
        <v>6213.7</v>
      </c>
      <c r="W417" s="29" t="s">
        <v>179</v>
      </c>
      <c r="X417" s="14">
        <f>ROUND((IF(Q417=1,INDEX(新属性投放!$L$14:$L$34,卡牌属性!R417),INDEX(新属性投放!$L$42:$L$62,卡牌属性!R417))*INDEX($G$5:$G$42,L417)+IF(Q417=1,INDEX(新属性投放!T$20:T$23,卡牌属性!M417-1),INDEX(新属性投放!T$25:T$28,卡牌属性!M417-1)))*SQRT(INDEX($I$5:$I$42,L417)),2)</f>
        <v>66776</v>
      </c>
      <c r="Y417" s="29" t="s">
        <v>177</v>
      </c>
      <c r="Z417" s="14">
        <f>ROUND(IF(Q417=1,INDEX(新属性投放!$D$14:$D$34,卡牌属性!R417),INDEX(新属性投放!$D$42:$D$62,卡牌属性!R417))*INDEX($G$5:$G$42,L417)/SQRT(INDEX($I$5:$I$42,L417)),2)</f>
        <v>306.64</v>
      </c>
      <c r="AA417" s="29" t="s">
        <v>178</v>
      </c>
      <c r="AB417" s="14">
        <f>ROUND(IF(Q417=1,INDEX(新属性投放!$E$14:$E$34,卡牌属性!R417),INDEX(新属性投放!$E$42:$E$62,卡牌属性!R417))*INDEX($G$5:$G$42,L417),2)</f>
        <v>153.32</v>
      </c>
      <c r="AC417" s="29" t="s">
        <v>179</v>
      </c>
      <c r="AD417" s="14">
        <f>ROUND(IF(Q417=1,INDEX(新属性投放!$F$14:$F$34,卡牌属性!R417),INDEX(新属性投放!$F$42:$F$62,卡牌属性!R417))*INDEX($G$5:$G$42,L417)*SQRT(INDEX($I$5:$I$42,L417)),2)</f>
        <v>1379</v>
      </c>
      <c r="AF417" s="14">
        <f t="shared" si="117"/>
        <v>3066</v>
      </c>
      <c r="AG417" s="14">
        <f t="shared" si="118"/>
        <v>1533</v>
      </c>
      <c r="AH417" s="14">
        <f t="shared" si="119"/>
        <v>13790</v>
      </c>
      <c r="AJ417" s="14">
        <f t="shared" si="120"/>
        <v>12856</v>
      </c>
      <c r="AK417" s="14">
        <f t="shared" si="121"/>
        <v>6427</v>
      </c>
      <c r="AL417" s="14">
        <f t="shared" si="122"/>
        <v>57820</v>
      </c>
    </row>
    <row r="418" spans="11:38" ht="16.5" x14ac:dyDescent="0.2">
      <c r="K418" s="13">
        <v>415</v>
      </c>
      <c r="L418" s="13">
        <f t="shared" si="111"/>
        <v>20</v>
      </c>
      <c r="M418" s="13">
        <f t="shared" si="112"/>
        <v>2</v>
      </c>
      <c r="N418" s="14">
        <f t="shared" si="113"/>
        <v>1102004</v>
      </c>
      <c r="O418" s="14" t="str">
        <f t="shared" si="114"/>
        <v>唐流雨16突</v>
      </c>
      <c r="P418" s="29" t="s">
        <v>341</v>
      </c>
      <c r="Q418" s="14">
        <f t="shared" si="115"/>
        <v>2</v>
      </c>
      <c r="R418" s="14">
        <f t="shared" si="116"/>
        <v>16</v>
      </c>
      <c r="S418" s="14" t="s">
        <v>39</v>
      </c>
      <c r="T418" s="14">
        <f>ROUND(((IF(Q418=1,INDEX(新属性投放!$J$14:$J$34,卡牌属性!R418),INDEX(新属性投放!$J$42:$J$62,卡牌属性!R418)))*INDEX($G$5:$G$42,L418)+IF(Q418=1,INDEX(新属性投放!R$20:R$23,卡牌属性!M418-1),INDEX(新属性投放!R$25:R$28,卡牌属性!M418-1)))/SQRT(INDEX($I$5:$I$42,L418)),2)</f>
        <v>16413.8</v>
      </c>
      <c r="U418" s="29" t="s">
        <v>178</v>
      </c>
      <c r="V418" s="14">
        <f>ROUND((IF(Q418=1,INDEX(新属性投放!$K$14:$K$34,卡牌属性!R418),INDEX(新属性投放!$K$42:$K$62,卡牌属性!R418))+IF(Q418=1,INDEX(新属性投放!S$20:S$23,卡牌属性!M418-1),INDEX(新属性投放!S$25:S$28,卡牌属性!M418-1)))*INDEX($G$5:$G$42,L418),2)</f>
        <v>8129.9</v>
      </c>
      <c r="W418" s="29" t="s">
        <v>179</v>
      </c>
      <c r="X418" s="14">
        <f>ROUND((IF(Q418=1,INDEX(新属性投放!$L$14:$L$34,卡牌属性!R418),INDEX(新属性投放!$L$42:$L$62,卡牌属性!R418))*INDEX($G$5:$G$42,L418)+IF(Q418=1,INDEX(新属性投放!T$20:T$23,卡牌属性!M418-1),INDEX(新属性投放!T$25:T$28,卡牌属性!M418-1)))*SQRT(INDEX($I$5:$I$42,L418)),2)</f>
        <v>87469</v>
      </c>
      <c r="Y418" s="29" t="s">
        <v>177</v>
      </c>
      <c r="Z418" s="14">
        <f>ROUND(IF(Q418=1,INDEX(新属性投放!$D$14:$D$34,卡牌属性!R418),INDEX(新属性投放!$D$42:$D$62,卡牌属性!R418))*INDEX($G$5:$G$42,L418)/SQRT(INDEX($I$5:$I$42,L418)),2)</f>
        <v>402.47</v>
      </c>
      <c r="AA418" s="29" t="s">
        <v>178</v>
      </c>
      <c r="AB418" s="14">
        <f>ROUND(IF(Q418=1,INDEX(新属性投放!$E$14:$E$34,卡牌属性!R418),INDEX(新属性投放!$E$42:$E$62,卡牌属性!R418))*INDEX($G$5:$G$42,L418),2)</f>
        <v>201.24</v>
      </c>
      <c r="AC418" s="29" t="s">
        <v>179</v>
      </c>
      <c r="AD418" s="14">
        <f>ROUND(IF(Q418=1,INDEX(新属性投放!$F$14:$F$34,卡牌属性!R418),INDEX(新属性投放!$F$42:$F$62,卡牌属性!R418))*INDEX($G$5:$G$42,L418)*SQRT(INDEX($I$5:$I$42,L418)),2)</f>
        <v>1811</v>
      </c>
      <c r="AF418" s="14">
        <f t="shared" si="117"/>
        <v>4024</v>
      </c>
      <c r="AG418" s="14">
        <f t="shared" si="118"/>
        <v>2012</v>
      </c>
      <c r="AH418" s="14">
        <f t="shared" si="119"/>
        <v>18110</v>
      </c>
      <c r="AJ418" s="14">
        <f t="shared" si="120"/>
        <v>16880</v>
      </c>
      <c r="AK418" s="14">
        <f t="shared" si="121"/>
        <v>8439</v>
      </c>
      <c r="AL418" s="14">
        <f t="shared" si="122"/>
        <v>75930</v>
      </c>
    </row>
    <row r="419" spans="11:38" ht="16.5" x14ac:dyDescent="0.2">
      <c r="K419" s="13">
        <v>416</v>
      </c>
      <c r="L419" s="13">
        <f t="shared" si="111"/>
        <v>20</v>
      </c>
      <c r="M419" s="13">
        <f t="shared" si="112"/>
        <v>2</v>
      </c>
      <c r="N419" s="14">
        <f t="shared" si="113"/>
        <v>1102004</v>
      </c>
      <c r="O419" s="14" t="str">
        <f t="shared" si="114"/>
        <v>唐流雨17突</v>
      </c>
      <c r="P419" s="29" t="s">
        <v>341</v>
      </c>
      <c r="Q419" s="14">
        <f t="shared" si="115"/>
        <v>2</v>
      </c>
      <c r="R419" s="14">
        <f t="shared" si="116"/>
        <v>17</v>
      </c>
      <c r="S419" s="14" t="s">
        <v>39</v>
      </c>
      <c r="T419" s="14">
        <f>ROUND(((IF(Q419=1,INDEX(新属性投放!$J$14:$J$34,卡牌属性!R419),INDEX(新属性投放!$J$42:$J$62,卡牌属性!R419)))*INDEX($G$5:$G$42,L419)+IF(Q419=1,INDEX(新属性投放!R$20:R$23,卡牌属性!M419-1),INDEX(新属性投放!R$25:R$28,卡牌属性!M419-1)))/SQRT(INDEX($I$5:$I$42,L419)),2)</f>
        <v>21444.5</v>
      </c>
      <c r="U419" s="29" t="s">
        <v>178</v>
      </c>
      <c r="V419" s="14">
        <f>ROUND((IF(Q419=1,INDEX(新属性投放!$K$14:$K$34,卡牌属性!R419),INDEX(新属性投放!$K$42:$K$62,卡牌属性!R419))+IF(Q419=1,INDEX(新属性投放!S$20:S$23,卡牌属性!M419-1),INDEX(新属性投放!S$25:S$28,卡牌属性!M419-1)))*INDEX($G$5:$G$42,L419),2)</f>
        <v>10645.25</v>
      </c>
      <c r="W419" s="29" t="s">
        <v>179</v>
      </c>
      <c r="X419" s="14">
        <f>ROUND((IF(Q419=1,INDEX(新属性投放!$L$14:$L$34,卡牌属性!R419),INDEX(新属性投放!$L$42:$L$62,卡牌属性!R419))*INDEX($G$5:$G$42,L419)+IF(Q419=1,INDEX(新属性投放!T$20:T$23,卡牌属性!M419-1),INDEX(新属性投放!T$25:T$28,卡牌属性!M419-1)))*SQRT(INDEX($I$5:$I$42,L419)),2)</f>
        <v>114633</v>
      </c>
      <c r="Y419" s="29" t="s">
        <v>177</v>
      </c>
      <c r="Z419" s="14">
        <f>ROUND(IF(Q419=1,INDEX(新属性投放!$D$14:$D$34,卡牌属性!R419),INDEX(新属性投放!$D$42:$D$62,卡牌属性!R419))*INDEX($G$5:$G$42,L419)/SQRT(INDEX($I$5:$I$42,L419)),2)</f>
        <v>528.24</v>
      </c>
      <c r="AA419" s="29" t="s">
        <v>178</v>
      </c>
      <c r="AB419" s="14">
        <f>ROUND(IF(Q419=1,INDEX(新属性投放!$E$14:$E$34,卡牌属性!R419),INDEX(新属性投放!$E$42:$E$62,卡牌属性!R419))*INDEX($G$5:$G$42,L419),2)</f>
        <v>264.12</v>
      </c>
      <c r="AC419" s="29" t="s">
        <v>179</v>
      </c>
      <c r="AD419" s="14">
        <f>ROUND(IF(Q419=1,INDEX(新属性投放!$F$14:$F$34,卡牌属性!R419),INDEX(新属性投放!$F$42:$F$62,卡牌属性!R419))*INDEX($G$5:$G$42,L419)*SQRT(INDEX($I$5:$I$42,L419)),2)</f>
        <v>2377</v>
      </c>
      <c r="AF419" s="14">
        <f t="shared" si="117"/>
        <v>5282</v>
      </c>
      <c r="AG419" s="14">
        <f t="shared" si="118"/>
        <v>2641</v>
      </c>
      <c r="AH419" s="14">
        <f t="shared" si="119"/>
        <v>23770</v>
      </c>
      <c r="AJ419" s="14">
        <f t="shared" si="120"/>
        <v>22162</v>
      </c>
      <c r="AK419" s="14">
        <f t="shared" si="121"/>
        <v>11080</v>
      </c>
      <c r="AL419" s="14">
        <f t="shared" si="122"/>
        <v>99700</v>
      </c>
    </row>
    <row r="420" spans="11:38" ht="16.5" x14ac:dyDescent="0.2">
      <c r="K420" s="13">
        <v>417</v>
      </c>
      <c r="L420" s="13">
        <f t="shared" si="111"/>
        <v>20</v>
      </c>
      <c r="M420" s="13">
        <f t="shared" si="112"/>
        <v>2</v>
      </c>
      <c r="N420" s="14">
        <f t="shared" si="113"/>
        <v>1102004</v>
      </c>
      <c r="O420" s="14" t="str">
        <f t="shared" si="114"/>
        <v>唐流雨18突</v>
      </c>
      <c r="P420" s="29" t="s">
        <v>341</v>
      </c>
      <c r="Q420" s="14">
        <f t="shared" si="115"/>
        <v>2</v>
      </c>
      <c r="R420" s="14">
        <f t="shared" si="116"/>
        <v>18</v>
      </c>
      <c r="S420" s="14" t="s">
        <v>39</v>
      </c>
      <c r="T420" s="14">
        <f>ROUND(((IF(Q420=1,INDEX(新属性投放!$J$14:$J$34,卡牌属性!R420),INDEX(新属性投放!$J$42:$J$62,卡牌属性!R420)))*INDEX($G$5:$G$42,L420)+IF(Q420=1,INDEX(新属性投放!R$20:R$23,卡牌属性!M420-1),INDEX(新属性投放!R$25:R$28,卡牌属性!M420-1)))/SQRT(INDEX($I$5:$I$42,L420)),2)</f>
        <v>28047.9</v>
      </c>
      <c r="U420" s="29" t="s">
        <v>178</v>
      </c>
      <c r="V420" s="14">
        <f>ROUND((IF(Q420=1,INDEX(新属性投放!$K$14:$K$34,卡牌属性!R420),INDEX(新属性投放!$K$42:$K$62,卡牌属性!R420))+IF(Q420=1,INDEX(新属性投放!S$20:S$23,卡牌属性!M420-1),INDEX(新属性投放!S$25:S$28,卡牌属性!M420-1)))*INDEX($G$5:$G$42,L420),2)</f>
        <v>13946.45</v>
      </c>
      <c r="W420" s="29" t="s">
        <v>179</v>
      </c>
      <c r="X420" s="14">
        <f>ROUND((IF(Q420=1,INDEX(新属性投放!$L$14:$L$34,卡牌属性!R420),INDEX(新属性投放!$L$42:$L$62,卡牌属性!R420))*INDEX($G$5:$G$42,L420)+IF(Q420=1,INDEX(新属性投放!T$20:T$23,卡牌属性!M420-1),INDEX(新属性投放!T$25:T$28,卡牌属性!M420-1)))*SQRT(INDEX($I$5:$I$42,L420)),2)</f>
        <v>150292</v>
      </c>
      <c r="Y420" s="29" t="s">
        <v>177</v>
      </c>
      <c r="Z420" s="14">
        <f>ROUND(IF(Q420=1,INDEX(新属性投放!$D$14:$D$34,卡牌属性!R420),INDEX(新属性投放!$D$42:$D$62,卡牌属性!R420))*INDEX($G$5:$G$42,L420)/SQRT(INDEX($I$5:$I$42,L420)),2)</f>
        <v>693.32</v>
      </c>
      <c r="AA420" s="29" t="s">
        <v>178</v>
      </c>
      <c r="AB420" s="14">
        <f>ROUND(IF(Q420=1,INDEX(新属性投放!$E$14:$E$34,卡牌属性!R420),INDEX(新属性投放!$E$42:$E$62,卡牌属性!R420))*INDEX($G$5:$G$42,L420),2)</f>
        <v>346.66</v>
      </c>
      <c r="AC420" s="29" t="s">
        <v>179</v>
      </c>
      <c r="AD420" s="14">
        <f>ROUND(IF(Q420=1,INDEX(新属性投放!$F$14:$F$34,卡牌属性!R420),INDEX(新属性投放!$F$42:$F$62,卡牌属性!R420))*INDEX($G$5:$G$42,L420)*SQRT(INDEX($I$5:$I$42,L420)),2)</f>
        <v>3119</v>
      </c>
      <c r="AF420" s="14">
        <f t="shared" si="117"/>
        <v>6933</v>
      </c>
      <c r="AG420" s="14">
        <f t="shared" si="118"/>
        <v>3466</v>
      </c>
      <c r="AH420" s="14">
        <f t="shared" si="119"/>
        <v>31190</v>
      </c>
      <c r="AJ420" s="14">
        <f t="shared" si="120"/>
        <v>29095</v>
      </c>
      <c r="AK420" s="14">
        <f t="shared" si="121"/>
        <v>14546</v>
      </c>
      <c r="AL420" s="14">
        <f t="shared" si="122"/>
        <v>130890</v>
      </c>
    </row>
    <row r="421" spans="11:38" ht="16.5" x14ac:dyDescent="0.2">
      <c r="K421" s="13">
        <v>418</v>
      </c>
      <c r="L421" s="13">
        <f t="shared" si="111"/>
        <v>20</v>
      </c>
      <c r="M421" s="13">
        <f t="shared" si="112"/>
        <v>2</v>
      </c>
      <c r="N421" s="14">
        <f t="shared" si="113"/>
        <v>1102004</v>
      </c>
      <c r="O421" s="14" t="str">
        <f t="shared" si="114"/>
        <v>唐流雨19突</v>
      </c>
      <c r="P421" s="29" t="s">
        <v>341</v>
      </c>
      <c r="Q421" s="14">
        <f t="shared" si="115"/>
        <v>2</v>
      </c>
      <c r="R421" s="14">
        <f t="shared" si="116"/>
        <v>19</v>
      </c>
      <c r="S421" s="14" t="s">
        <v>39</v>
      </c>
      <c r="T421" s="14">
        <f>ROUND(((IF(Q421=1,INDEX(新属性投放!$J$14:$J$34,卡牌属性!R421),INDEX(新属性投放!$J$42:$J$62,卡牌属性!R421)))*INDEX($G$5:$G$42,L421)+IF(Q421=1,INDEX(新属性投放!R$20:R$23,卡牌属性!M421-1),INDEX(新属性投放!R$25:R$28,卡牌属性!M421-1)))/SQRT(INDEX($I$5:$I$42,L421)),2)</f>
        <v>36714.1</v>
      </c>
      <c r="U421" s="29" t="s">
        <v>178</v>
      </c>
      <c r="V421" s="14">
        <f>ROUND((IF(Q421=1,INDEX(新属性投放!$K$14:$K$34,卡牌属性!R421),INDEX(新属性投放!$K$42:$K$62,卡牌属性!R421))+IF(Q421=1,INDEX(新属性投放!S$20:S$23,卡牌属性!M421-1),INDEX(新属性投放!S$25:S$28,卡牌属性!M421-1)))*INDEX($G$5:$G$42,L421),2)</f>
        <v>18280.05</v>
      </c>
      <c r="W421" s="29" t="s">
        <v>179</v>
      </c>
      <c r="X421" s="14">
        <f>ROUND((IF(Q421=1,INDEX(新属性投放!$L$14:$L$34,卡牌属性!R421),INDEX(新属性投放!$L$42:$L$62,卡牌属性!R421))*INDEX($G$5:$G$42,L421)+IF(Q421=1,INDEX(新属性投放!T$20:T$23,卡牌属性!M421-1),INDEX(新属性投放!T$25:T$28,卡牌属性!M421-1)))*SQRT(INDEX($I$5:$I$42,L421)),2)</f>
        <v>197079</v>
      </c>
      <c r="Y421" s="29" t="s">
        <v>177</v>
      </c>
      <c r="Z421" s="14">
        <f>ROUND(IF(Q421=1,INDEX(新属性投放!$D$14:$D$34,卡牌属性!R421),INDEX(新属性投放!$D$42:$D$62,卡牌属性!R421))*INDEX($G$5:$G$42,L421)/SQRT(INDEX($I$5:$I$42,L421)),2)</f>
        <v>909.98</v>
      </c>
      <c r="AA421" s="29" t="s">
        <v>178</v>
      </c>
      <c r="AB421" s="14">
        <f>ROUND(IF(Q421=1,INDEX(新属性投放!$E$14:$E$34,卡牌属性!R421),INDEX(新属性投放!$E$42:$E$62,卡牌属性!R421))*INDEX($G$5:$G$42,L421),2)</f>
        <v>454.99</v>
      </c>
      <c r="AC421" s="29" t="s">
        <v>179</v>
      </c>
      <c r="AD421" s="14">
        <f>ROUND(IF(Q421=1,INDEX(新属性投放!$F$14:$F$34,卡牌属性!R421),INDEX(新属性投放!$F$42:$F$62,卡牌属性!R421))*INDEX($G$5:$G$42,L421)*SQRT(INDEX($I$5:$I$42,L421)),2)</f>
        <v>4094</v>
      </c>
      <c r="AF421" s="14">
        <f t="shared" si="117"/>
        <v>9099</v>
      </c>
      <c r="AG421" s="14">
        <f t="shared" si="118"/>
        <v>4549</v>
      </c>
      <c r="AH421" s="14">
        <f t="shared" si="119"/>
        <v>40940</v>
      </c>
      <c r="AJ421" s="14">
        <f t="shared" si="120"/>
        <v>38194</v>
      </c>
      <c r="AK421" s="14">
        <f t="shared" si="121"/>
        <v>19095</v>
      </c>
      <c r="AL421" s="14">
        <f t="shared" si="122"/>
        <v>171830</v>
      </c>
    </row>
    <row r="422" spans="11:38" ht="16.5" x14ac:dyDescent="0.2">
      <c r="K422" s="13">
        <v>419</v>
      </c>
      <c r="L422" s="13">
        <f t="shared" si="111"/>
        <v>20</v>
      </c>
      <c r="M422" s="13">
        <f t="shared" si="112"/>
        <v>2</v>
      </c>
      <c r="N422" s="14">
        <f t="shared" si="113"/>
        <v>1102004</v>
      </c>
      <c r="O422" s="14" t="str">
        <f t="shared" si="114"/>
        <v>唐流雨20突</v>
      </c>
      <c r="P422" s="29" t="s">
        <v>341</v>
      </c>
      <c r="Q422" s="14">
        <f t="shared" si="115"/>
        <v>2</v>
      </c>
      <c r="R422" s="14">
        <f t="shared" si="116"/>
        <v>20</v>
      </c>
      <c r="S422" s="14" t="s">
        <v>39</v>
      </c>
      <c r="T422" s="14">
        <f>ROUND(((IF(Q422=1,INDEX(新属性投放!$J$14:$J$34,卡牌属性!R422),INDEX(新属性投放!$J$42:$J$62,卡牌属性!R422)))*INDEX($G$5:$G$42,L422)+IF(Q422=1,INDEX(新属性投放!R$20:R$23,卡牌属性!M422-1),INDEX(新属性投放!R$25:R$28,卡牌属性!M422-1)))/SQRT(INDEX($I$5:$I$42,L422)),2)</f>
        <v>48088.9</v>
      </c>
      <c r="U422" s="29" t="s">
        <v>178</v>
      </c>
      <c r="V422" s="14">
        <f>ROUND((IF(Q422=1,INDEX(新属性投放!$K$14:$K$34,卡牌属性!R422),INDEX(新属性投放!$K$42:$K$62,卡牌属性!R422))+IF(Q422=1,INDEX(新属性投放!S$20:S$23,卡牌属性!M422-1),INDEX(新属性投放!S$25:S$28,卡牌属性!M422-1)))*INDEX($G$5:$G$42,L422),2)</f>
        <v>23966.95</v>
      </c>
      <c r="W422" s="29" t="s">
        <v>179</v>
      </c>
      <c r="X422" s="14">
        <f>ROUND((IF(Q422=1,INDEX(新属性投放!$L$14:$L$34,卡牌属性!R422),INDEX(新属性投放!$L$42:$L$62,卡牌属性!R422))*INDEX($G$5:$G$42,L422)+IF(Q422=1,INDEX(新属性投放!T$20:T$23,卡牌属性!M422-1),INDEX(新属性投放!T$25:T$28,卡牌属性!M422-1)))*SQRT(INDEX($I$5:$I$42,L422)),2)</f>
        <v>258494</v>
      </c>
      <c r="Y422" s="29" t="s">
        <v>177</v>
      </c>
      <c r="Z422" s="14">
        <f>ROUND(IF(Q422=1,INDEX(新属性投放!$D$14:$D$34,卡牌属性!R422),INDEX(新属性投放!$D$42:$D$62,卡牌属性!R422))*INDEX($G$5:$G$42,L422)/SQRT(INDEX($I$5:$I$42,L422)),2)</f>
        <v>1194.3499999999999</v>
      </c>
      <c r="AA422" s="29" t="s">
        <v>178</v>
      </c>
      <c r="AB422" s="14">
        <f>ROUND(IF(Q422=1,INDEX(新属性投放!$E$14:$E$34,卡牌属性!R422),INDEX(新属性投放!$E$42:$E$62,卡牌属性!R422))*INDEX($G$5:$G$42,L422),2)</f>
        <v>597.17999999999995</v>
      </c>
      <c r="AC422" s="29" t="s">
        <v>179</v>
      </c>
      <c r="AD422" s="14">
        <f>ROUND(IF(Q422=1,INDEX(新属性投放!$F$14:$F$34,卡牌属性!R422),INDEX(新属性投放!$F$42:$F$62,卡牌属性!R422))*INDEX($G$5:$G$42,L422)*SQRT(INDEX($I$5:$I$42,L422)),2)</f>
        <v>5374</v>
      </c>
      <c r="AF422" s="14">
        <f t="shared" si="117"/>
        <v>11943</v>
      </c>
      <c r="AG422" s="14">
        <f t="shared" si="118"/>
        <v>5971</v>
      </c>
      <c r="AH422" s="14">
        <f t="shared" si="119"/>
        <v>53740</v>
      </c>
      <c r="AJ422" s="14">
        <f t="shared" si="120"/>
        <v>50137</v>
      </c>
      <c r="AK422" s="14">
        <f t="shared" si="121"/>
        <v>25066</v>
      </c>
      <c r="AL422" s="14">
        <f t="shared" si="122"/>
        <v>225570</v>
      </c>
    </row>
    <row r="423" spans="11:38" ht="16.5" x14ac:dyDescent="0.2">
      <c r="K423" s="13">
        <v>420</v>
      </c>
      <c r="L423" s="13">
        <f t="shared" si="111"/>
        <v>20</v>
      </c>
      <c r="M423" s="13">
        <f t="shared" si="112"/>
        <v>2</v>
      </c>
      <c r="N423" s="14">
        <f t="shared" si="113"/>
        <v>1102004</v>
      </c>
      <c r="O423" s="14" t="str">
        <f t="shared" si="114"/>
        <v>唐流雨21突</v>
      </c>
      <c r="P423" s="29" t="s">
        <v>341</v>
      </c>
      <c r="Q423" s="14">
        <f t="shared" si="115"/>
        <v>2</v>
      </c>
      <c r="R423" s="14">
        <f t="shared" si="116"/>
        <v>21</v>
      </c>
      <c r="S423" s="14" t="s">
        <v>39</v>
      </c>
      <c r="T423" s="14">
        <f>ROUND(((IF(Q423=1,INDEX(新属性投放!$J$14:$J$34,卡牌属性!R423),INDEX(新属性投放!$J$42:$J$62,卡牌属性!R423)))*INDEX($G$5:$G$42,L423)+IF(Q423=1,INDEX(新属性投放!R$20:R$23,卡牌属性!M423-1),INDEX(新属性投放!R$25:R$28,卡牌属性!M423-1)))/SQRT(INDEX($I$5:$I$42,L423)),2)</f>
        <v>63018.400000000001</v>
      </c>
      <c r="U423" s="29" t="s">
        <v>178</v>
      </c>
      <c r="V423" s="14">
        <f>ROUND((IF(Q423=1,INDEX(新属性投放!$K$14:$K$34,卡牌属性!R423),INDEX(新属性投放!$K$42:$K$62,卡牌属性!R423))+IF(Q423=1,INDEX(新属性投放!S$20:S$23,卡牌属性!M423-1),INDEX(新属性投放!S$25:S$28,卡牌属性!M423-1)))*INDEX($G$5:$G$42,L423),2)</f>
        <v>31431.7</v>
      </c>
      <c r="W423" s="29" t="s">
        <v>179</v>
      </c>
      <c r="X423" s="14">
        <f>ROUND((IF(Q423=1,INDEX(新属性投放!$L$14:$L$34,卡牌属性!R423),INDEX(新属性投放!$L$42:$L$62,卡牌属性!R423))*INDEX($G$5:$G$42,L423)+IF(Q423=1,INDEX(新属性投放!T$20:T$23,卡牌属性!M423-1),INDEX(新属性投放!T$25:T$28,卡牌属性!M423-1)))*SQRT(INDEX($I$5:$I$42,L423)),2)</f>
        <v>339108</v>
      </c>
      <c r="Y423" s="29" t="s">
        <v>177</v>
      </c>
      <c r="Z423" s="14">
        <f>ROUND(IF(Q423=1,INDEX(新属性投放!$D$14:$D$34,卡牌属性!R423),INDEX(新属性投放!$D$42:$D$62,卡牌属性!R423))*INDEX($G$5:$G$42,L423)/SQRT(INDEX($I$5:$I$42,L423)),2)</f>
        <v>1567.59</v>
      </c>
      <c r="AA423" s="29" t="s">
        <v>178</v>
      </c>
      <c r="AB423" s="14">
        <f>ROUND(IF(Q423=1,INDEX(新属性投放!$E$14:$E$34,卡牌属性!R423),INDEX(新属性投放!$E$42:$E$62,卡牌属性!R423))*INDEX($G$5:$G$42,L423),2)</f>
        <v>783.8</v>
      </c>
      <c r="AC423" s="29" t="s">
        <v>179</v>
      </c>
      <c r="AD423" s="14">
        <f>ROUND(IF(Q423=1,INDEX(新属性投放!$F$14:$F$34,卡牌属性!R423),INDEX(新属性投放!$F$42:$F$62,卡牌属性!R423))*INDEX($G$5:$G$42,L423)*SQRT(INDEX($I$5:$I$42,L423)),2)</f>
        <v>7054</v>
      </c>
      <c r="AF423" s="14">
        <f t="shared" si="117"/>
        <v>15675</v>
      </c>
      <c r="AG423" s="14">
        <f t="shared" si="118"/>
        <v>7838</v>
      </c>
      <c r="AH423" s="14">
        <f t="shared" si="119"/>
        <v>70540</v>
      </c>
      <c r="AJ423" s="14">
        <f t="shared" si="120"/>
        <v>65812</v>
      </c>
      <c r="AK423" s="14">
        <f t="shared" si="121"/>
        <v>32904</v>
      </c>
      <c r="AL423" s="14">
        <f t="shared" si="122"/>
        <v>296110</v>
      </c>
    </row>
    <row r="424" spans="11:38" ht="16.5" x14ac:dyDescent="0.2">
      <c r="K424" s="13">
        <v>421</v>
      </c>
      <c r="L424" s="13">
        <f t="shared" si="111"/>
        <v>21</v>
      </c>
      <c r="M424" s="13">
        <f t="shared" si="112"/>
        <v>3</v>
      </c>
      <c r="N424" s="14">
        <f t="shared" si="113"/>
        <v>1102005</v>
      </c>
      <c r="O424" s="14" t="str">
        <f t="shared" si="114"/>
        <v>李轩辕1突</v>
      </c>
      <c r="P424" s="29" t="s">
        <v>341</v>
      </c>
      <c r="Q424" s="14">
        <f t="shared" si="115"/>
        <v>2</v>
      </c>
      <c r="R424" s="14">
        <f t="shared" si="116"/>
        <v>1</v>
      </c>
      <c r="S424" s="14" t="s">
        <v>39</v>
      </c>
      <c r="T424" s="14">
        <f>ROUND(((IF(Q424=1,INDEX(新属性投放!$J$14:$J$34,卡牌属性!R424),INDEX(新属性投放!$J$42:$J$62,卡牌属性!R424)))*INDEX($G$5:$G$42,L424)+IF(Q424=1,INDEX(新属性投放!R$20:R$23,卡牌属性!M424-1),INDEX(新属性投放!R$25:R$28,卡牌属性!M424-1)))/SQRT(INDEX($I$5:$I$42,L424)),2)</f>
        <v>480</v>
      </c>
      <c r="U424" s="29" t="s">
        <v>178</v>
      </c>
      <c r="V424" s="14">
        <f>ROUND((IF(Q424=1,INDEX(新属性投放!$K$14:$K$34,卡牌属性!R424),INDEX(新属性投放!$K$42:$K$62,卡牌属性!R424))+IF(Q424=1,INDEX(新属性投放!S$20:S$23,卡牌属性!M424-1),INDEX(新属性投放!S$25:S$28,卡牌属性!M424-1)))*INDEX($G$5:$G$42,L424),2)</f>
        <v>115</v>
      </c>
      <c r="W424" s="29" t="s">
        <v>179</v>
      </c>
      <c r="X424" s="14">
        <f>ROUND((IF(Q424=1,INDEX(新属性投放!$L$14:$L$34,卡牌属性!R424),INDEX(新属性投放!$L$42:$L$62,卡牌属性!R424))*INDEX($G$5:$G$42,L424)+IF(Q424=1,INDEX(新属性投放!T$20:T$23,卡牌属性!M424-1),INDEX(新属性投放!T$25:T$28,卡牌属性!M424-1)))*SQRT(INDEX($I$5:$I$42,L424)),2)</f>
        <v>1317.5</v>
      </c>
      <c r="Y424" s="29" t="s">
        <v>177</v>
      </c>
      <c r="Z424" s="14">
        <f>ROUND(IF(Q424=1,INDEX(新属性投放!$D$14:$D$34,卡牌属性!R424),INDEX(新属性投放!$D$42:$D$62,卡牌属性!R424))*INDEX($G$5:$G$42,L424)/SQRT(INDEX($I$5:$I$42,L424)),2)</f>
        <v>11.5</v>
      </c>
      <c r="AA424" s="29" t="s">
        <v>178</v>
      </c>
      <c r="AB424" s="14">
        <f>ROUND(IF(Q424=1,INDEX(新属性投放!$E$14:$E$34,卡牌属性!R424),INDEX(新属性投放!$E$42:$E$62,卡牌属性!R424))*INDEX($G$5:$G$42,L424),2)</f>
        <v>5.75</v>
      </c>
      <c r="AC424" s="29" t="s">
        <v>179</v>
      </c>
      <c r="AD424" s="14">
        <f>ROUND(IF(Q424=1,INDEX(新属性投放!$F$14:$F$34,卡牌属性!R424),INDEX(新属性投放!$F$42:$F$62,卡牌属性!R424))*INDEX($G$5:$G$42,L424)*SQRT(INDEX($I$5:$I$42,L424)),2)</f>
        <v>51.75</v>
      </c>
      <c r="AF424" s="14">
        <f t="shared" si="117"/>
        <v>115</v>
      </c>
      <c r="AG424" s="14">
        <f t="shared" si="118"/>
        <v>57</v>
      </c>
      <c r="AH424" s="14">
        <f t="shared" si="119"/>
        <v>517</v>
      </c>
      <c r="AJ424" s="14">
        <f>AF424</f>
        <v>115</v>
      </c>
      <c r="AK424" s="14">
        <f>AG424</f>
        <v>57</v>
      </c>
      <c r="AL424" s="14">
        <f>AH424</f>
        <v>517</v>
      </c>
    </row>
    <row r="425" spans="11:38" ht="16.5" x14ac:dyDescent="0.2">
      <c r="K425" s="13">
        <v>422</v>
      </c>
      <c r="L425" s="13">
        <f t="shared" si="111"/>
        <v>21</v>
      </c>
      <c r="M425" s="13">
        <f t="shared" si="112"/>
        <v>3</v>
      </c>
      <c r="N425" s="14">
        <f t="shared" si="113"/>
        <v>1102005</v>
      </c>
      <c r="O425" s="14" t="str">
        <f t="shared" si="114"/>
        <v>李轩辕2突</v>
      </c>
      <c r="P425" s="29" t="s">
        <v>341</v>
      </c>
      <c r="Q425" s="14">
        <f t="shared" si="115"/>
        <v>2</v>
      </c>
      <c r="R425" s="14">
        <f t="shared" si="116"/>
        <v>2</v>
      </c>
      <c r="S425" s="14" t="s">
        <v>39</v>
      </c>
      <c r="T425" s="14">
        <f>ROUND(((IF(Q425=1,INDEX(新属性投放!$J$14:$J$34,卡牌属性!R425),INDEX(新属性投放!$J$42:$J$62,卡牌属性!R425)))*INDEX($G$5:$G$42,L425)+IF(Q425=1,INDEX(新属性投放!R$20:R$23,卡牌属性!M425-1),INDEX(新属性投放!R$25:R$28,卡牌属性!M425-1)))/SQRT(INDEX($I$5:$I$42,L425)),2)</f>
        <v>612.25</v>
      </c>
      <c r="U425" s="29" t="s">
        <v>178</v>
      </c>
      <c r="V425" s="14">
        <f>ROUND((IF(Q425=1,INDEX(新属性投放!$K$14:$K$34,卡牌属性!R425),INDEX(新属性投放!$K$42:$K$62,卡牌属性!R425))+IF(Q425=1,INDEX(新属性投放!S$20:S$23,卡牌属性!M425-1),INDEX(新属性投放!S$25:S$28,卡牌属性!M425-1)))*INDEX($G$5:$G$42,L425),2)</f>
        <v>178.25</v>
      </c>
      <c r="W425" s="29" t="s">
        <v>179</v>
      </c>
      <c r="X425" s="14">
        <f>ROUND((IF(Q425=1,INDEX(新属性投放!$L$14:$L$34,卡牌属性!R425),INDEX(新属性投放!$L$42:$L$62,卡牌属性!R425))*INDEX($G$5:$G$42,L425)+IF(Q425=1,INDEX(新属性投放!T$20:T$23,卡牌属性!M425-1),INDEX(新属性投放!T$25:T$28,卡牌属性!M425-1)))*SQRT(INDEX($I$5:$I$42,L425)),2)</f>
        <v>2042</v>
      </c>
      <c r="Y425" s="29" t="s">
        <v>177</v>
      </c>
      <c r="Z425" s="14">
        <f>ROUND(IF(Q425=1,INDEX(新属性投放!$D$14:$D$34,卡牌属性!R425),INDEX(新属性投放!$D$42:$D$62,卡牌属性!R425))*INDEX($G$5:$G$42,L425)/SQRT(INDEX($I$5:$I$42,L425)),2)</f>
        <v>11.5</v>
      </c>
      <c r="AA425" s="29" t="s">
        <v>178</v>
      </c>
      <c r="AB425" s="14">
        <f>ROUND(IF(Q425=1,INDEX(新属性投放!$E$14:$E$34,卡牌属性!R425),INDEX(新属性投放!$E$42:$E$62,卡牌属性!R425))*INDEX($G$5:$G$42,L425),2)</f>
        <v>5.75</v>
      </c>
      <c r="AC425" s="29" t="s">
        <v>179</v>
      </c>
      <c r="AD425" s="14">
        <f>ROUND(IF(Q425=1,INDEX(新属性投放!$F$14:$F$34,卡牌属性!R425),INDEX(新属性投放!$F$42:$F$62,卡牌属性!R425))*INDEX($G$5:$G$42,L425)*SQRT(INDEX($I$5:$I$42,L425)),2)</f>
        <v>51.75</v>
      </c>
      <c r="AF425" s="14">
        <f t="shared" si="117"/>
        <v>115</v>
      </c>
      <c r="AG425" s="14">
        <f t="shared" si="118"/>
        <v>57</v>
      </c>
      <c r="AH425" s="14">
        <f t="shared" si="119"/>
        <v>517</v>
      </c>
      <c r="AJ425" s="14">
        <f t="shared" ref="AJ425:AJ444" si="123">AJ424+AF425</f>
        <v>230</v>
      </c>
      <c r="AK425" s="14">
        <f t="shared" ref="AK425:AK444" si="124">AK424+AG425</f>
        <v>114</v>
      </c>
      <c r="AL425" s="14">
        <f t="shared" ref="AL425:AL444" si="125">AL424+AH425</f>
        <v>1034</v>
      </c>
    </row>
    <row r="426" spans="11:38" ht="16.5" x14ac:dyDescent="0.2">
      <c r="K426" s="13">
        <v>423</v>
      </c>
      <c r="L426" s="13">
        <f t="shared" si="111"/>
        <v>21</v>
      </c>
      <c r="M426" s="13">
        <f t="shared" si="112"/>
        <v>3</v>
      </c>
      <c r="N426" s="14">
        <f t="shared" si="113"/>
        <v>1102005</v>
      </c>
      <c r="O426" s="14" t="str">
        <f t="shared" si="114"/>
        <v>李轩辕3突</v>
      </c>
      <c r="P426" s="29" t="s">
        <v>341</v>
      </c>
      <c r="Q426" s="14">
        <f t="shared" si="115"/>
        <v>2</v>
      </c>
      <c r="R426" s="14">
        <f t="shared" si="116"/>
        <v>3</v>
      </c>
      <c r="S426" s="14" t="s">
        <v>39</v>
      </c>
      <c r="T426" s="14">
        <f>ROUND(((IF(Q426=1,INDEX(新属性投放!$J$14:$J$34,卡牌属性!R426),INDEX(新属性投放!$J$42:$J$62,卡牌属性!R426)))*INDEX($G$5:$G$42,L426)+IF(Q426=1,INDEX(新属性投放!R$20:R$23,卡牌属性!M426-1),INDEX(新属性投放!R$25:R$28,卡牌属性!M426-1)))/SQRT(INDEX($I$5:$I$42,L426)),2)</f>
        <v>756</v>
      </c>
      <c r="U426" s="29" t="s">
        <v>178</v>
      </c>
      <c r="V426" s="14">
        <f>ROUND((IF(Q426=1,INDEX(新属性投放!$K$14:$K$34,卡牌属性!R426),INDEX(新属性投放!$K$42:$K$62,卡牌属性!R426))+IF(Q426=1,INDEX(新属性投放!S$20:S$23,卡牌属性!M426-1),INDEX(新属性投放!S$25:S$28,卡牌属性!M426-1)))*INDEX($G$5:$G$42,L426),2)</f>
        <v>250.7</v>
      </c>
      <c r="W426" s="29" t="s">
        <v>179</v>
      </c>
      <c r="X426" s="14">
        <f>ROUND((IF(Q426=1,INDEX(新属性投放!$L$14:$L$34,卡牌属性!R426),INDEX(新属性投放!$L$42:$L$62,卡牌属性!R426))*INDEX($G$5:$G$42,L426)+IF(Q426=1,INDEX(新属性投放!T$20:T$23,卡牌属性!M426-1),INDEX(新属性投放!T$25:T$28,卡牌属性!M426-1)))*SQRT(INDEX($I$5:$I$42,L426)),2)</f>
        <v>2818.25</v>
      </c>
      <c r="Y426" s="29" t="s">
        <v>177</v>
      </c>
      <c r="Z426" s="14">
        <f>ROUND(IF(Q426=1,INDEX(新属性投放!$D$14:$D$34,卡牌属性!R426),INDEX(新属性投放!$D$42:$D$62,卡牌属性!R426))*INDEX($G$5:$G$42,L426)/SQRT(INDEX($I$5:$I$42,L426)),2)</f>
        <v>17.25</v>
      </c>
      <c r="AA426" s="29" t="s">
        <v>178</v>
      </c>
      <c r="AB426" s="14">
        <f>ROUND(IF(Q426=1,INDEX(新属性投放!$E$14:$E$34,卡牌属性!R426),INDEX(新属性投放!$E$42:$E$62,卡牌属性!R426))*INDEX($G$5:$G$42,L426),2)</f>
        <v>8.6300000000000008</v>
      </c>
      <c r="AC426" s="29" t="s">
        <v>179</v>
      </c>
      <c r="AD426" s="14">
        <f>ROUND(IF(Q426=1,INDEX(新属性投放!$F$14:$F$34,卡牌属性!R426),INDEX(新属性投放!$F$42:$F$62,卡牌属性!R426))*INDEX($G$5:$G$42,L426)*SQRT(INDEX($I$5:$I$42,L426)),2)</f>
        <v>77.05</v>
      </c>
      <c r="AF426" s="14">
        <f t="shared" si="117"/>
        <v>172</v>
      </c>
      <c r="AG426" s="14">
        <f t="shared" si="118"/>
        <v>86</v>
      </c>
      <c r="AH426" s="14">
        <f t="shared" si="119"/>
        <v>770</v>
      </c>
      <c r="AJ426" s="14">
        <f t="shared" si="123"/>
        <v>402</v>
      </c>
      <c r="AK426" s="14">
        <f t="shared" si="124"/>
        <v>200</v>
      </c>
      <c r="AL426" s="14">
        <f t="shared" si="125"/>
        <v>1804</v>
      </c>
    </row>
    <row r="427" spans="11:38" ht="16.5" x14ac:dyDescent="0.2">
      <c r="K427" s="13">
        <v>424</v>
      </c>
      <c r="L427" s="13">
        <f t="shared" si="111"/>
        <v>21</v>
      </c>
      <c r="M427" s="13">
        <f t="shared" si="112"/>
        <v>3</v>
      </c>
      <c r="N427" s="14">
        <f t="shared" si="113"/>
        <v>1102005</v>
      </c>
      <c r="O427" s="14" t="str">
        <f t="shared" si="114"/>
        <v>李轩辕4突</v>
      </c>
      <c r="P427" s="29" t="s">
        <v>341</v>
      </c>
      <c r="Q427" s="14">
        <f t="shared" si="115"/>
        <v>2</v>
      </c>
      <c r="R427" s="14">
        <f t="shared" si="116"/>
        <v>4</v>
      </c>
      <c r="S427" s="14" t="s">
        <v>39</v>
      </c>
      <c r="T427" s="14">
        <f>ROUND(((IF(Q427=1,INDEX(新属性投放!$J$14:$J$34,卡牌属性!R427),INDEX(新属性投放!$J$42:$J$62,卡牌属性!R427)))*INDEX($G$5:$G$42,L427)+IF(Q427=1,INDEX(新属性投放!R$20:R$23,卡牌属性!M427-1),INDEX(新属性投放!R$25:R$28,卡牌属性!M427-1)))/SQRT(INDEX($I$5:$I$42,L427)),2)</f>
        <v>972.2</v>
      </c>
      <c r="U427" s="29" t="s">
        <v>178</v>
      </c>
      <c r="V427" s="14">
        <f>ROUND((IF(Q427=1,INDEX(新属性投放!$K$14:$K$34,卡牌属性!R427),INDEX(新属性投放!$K$42:$K$62,卡牌属性!R427))+IF(Q427=1,INDEX(新属性投放!S$20:S$23,卡牌属性!M427-1),INDEX(新属性投放!S$25:S$28,卡牌属性!M427-1)))*INDEX($G$5:$G$42,L427),2)</f>
        <v>358.8</v>
      </c>
      <c r="W427" s="29" t="s">
        <v>179</v>
      </c>
      <c r="X427" s="14">
        <f>ROUND((IF(Q427=1,INDEX(新属性投放!$L$14:$L$34,卡牌属性!R427),INDEX(新属性投放!$L$42:$L$62,卡牌属性!R427))*INDEX($G$5:$G$42,L427)+IF(Q427=1,INDEX(新属性投放!T$20:T$23,卡牌属性!M427-1),INDEX(新属性投放!T$25:T$28,卡牌属性!M427-1)))*SQRT(INDEX($I$5:$I$42,L427)),2)</f>
        <v>3982.05</v>
      </c>
      <c r="Y427" s="29" t="s">
        <v>177</v>
      </c>
      <c r="Z427" s="14">
        <f>ROUND(IF(Q427=1,INDEX(新属性投放!$D$14:$D$34,卡牌属性!R427),INDEX(新属性投放!$D$42:$D$62,卡牌属性!R427))*INDEX($G$5:$G$42,L427)/SQRT(INDEX($I$5:$I$42,L427)),2)</f>
        <v>23</v>
      </c>
      <c r="AA427" s="29" t="s">
        <v>178</v>
      </c>
      <c r="AB427" s="14">
        <f>ROUND(IF(Q427=1,INDEX(新属性投放!$E$14:$E$34,卡牌属性!R427),INDEX(新属性投放!$E$42:$E$62,卡牌属性!R427))*INDEX($G$5:$G$42,L427),2)</f>
        <v>11.5</v>
      </c>
      <c r="AC427" s="29" t="s">
        <v>179</v>
      </c>
      <c r="AD427" s="14">
        <f>ROUND(IF(Q427=1,INDEX(新属性投放!$F$14:$F$34,卡牌属性!R427),INDEX(新属性投放!$F$42:$F$62,卡牌属性!R427))*INDEX($G$5:$G$42,L427)*SQRT(INDEX($I$5:$I$42,L427)),2)</f>
        <v>103.5</v>
      </c>
      <c r="AF427" s="14">
        <f t="shared" si="117"/>
        <v>230</v>
      </c>
      <c r="AG427" s="14">
        <f t="shared" si="118"/>
        <v>115</v>
      </c>
      <c r="AH427" s="14">
        <f t="shared" si="119"/>
        <v>1035</v>
      </c>
      <c r="AJ427" s="14">
        <f t="shared" si="123"/>
        <v>632</v>
      </c>
      <c r="AK427" s="14">
        <f t="shared" si="124"/>
        <v>315</v>
      </c>
      <c r="AL427" s="14">
        <f t="shared" si="125"/>
        <v>2839</v>
      </c>
    </row>
    <row r="428" spans="11:38" ht="16.5" x14ac:dyDescent="0.2">
      <c r="K428" s="13">
        <v>425</v>
      </c>
      <c r="L428" s="13">
        <f t="shared" si="111"/>
        <v>21</v>
      </c>
      <c r="M428" s="13">
        <f t="shared" si="112"/>
        <v>3</v>
      </c>
      <c r="N428" s="14">
        <f t="shared" si="113"/>
        <v>1102005</v>
      </c>
      <c r="O428" s="14" t="str">
        <f t="shared" si="114"/>
        <v>李轩辕5突</v>
      </c>
      <c r="P428" s="29" t="s">
        <v>341</v>
      </c>
      <c r="Q428" s="14">
        <f t="shared" si="115"/>
        <v>2</v>
      </c>
      <c r="R428" s="14">
        <f t="shared" si="116"/>
        <v>5</v>
      </c>
      <c r="S428" s="14" t="s">
        <v>39</v>
      </c>
      <c r="T428" s="14">
        <f>ROUND(((IF(Q428=1,INDEX(新属性投放!$J$14:$J$34,卡牌属性!R428),INDEX(新属性投放!$J$42:$J$62,卡牌属性!R428)))*INDEX($G$5:$G$42,L428)+IF(Q428=1,INDEX(新属性投放!R$20:R$23,卡牌属性!M428-1),INDEX(新属性投放!R$25:R$28,卡牌属性!M428-1)))/SQRT(INDEX($I$5:$I$42,L428)),2)</f>
        <v>1259.7</v>
      </c>
      <c r="U428" s="29" t="s">
        <v>178</v>
      </c>
      <c r="V428" s="14">
        <f>ROUND((IF(Q428=1,INDEX(新属性投放!$K$14:$K$34,卡牌属性!R428),INDEX(新属性投放!$K$42:$K$62,卡牌属性!R428))+IF(Q428=1,INDEX(新属性投放!S$20:S$23,卡牌属性!M428-1),INDEX(新属性投放!S$25:S$28,卡牌属性!M428-1)))*INDEX($G$5:$G$42,L428),2)</f>
        <v>502.55</v>
      </c>
      <c r="W428" s="29" t="s">
        <v>179</v>
      </c>
      <c r="X428" s="14">
        <f>ROUND((IF(Q428=1,INDEX(新属性投放!$L$14:$L$34,卡牌属性!R428),INDEX(新属性投放!$L$42:$L$62,卡牌属性!R428))*INDEX($G$5:$G$42,L428)+IF(Q428=1,INDEX(新属性投放!T$20:T$23,卡牌属性!M428-1),INDEX(新属性投放!T$25:T$28,卡牌属性!M428-1)))*SQRT(INDEX($I$5:$I$42,L428)),2)</f>
        <v>5534.55</v>
      </c>
      <c r="Y428" s="29" t="s">
        <v>177</v>
      </c>
      <c r="Z428" s="14">
        <f>ROUND(IF(Q428=1,INDEX(新属性投放!$D$14:$D$34,卡牌属性!R428),INDEX(新属性投放!$D$42:$D$62,卡牌属性!R428))*INDEX($G$5:$G$42,L428)/SQRT(INDEX($I$5:$I$42,L428)),2)</f>
        <v>28.75</v>
      </c>
      <c r="AA428" s="29" t="s">
        <v>178</v>
      </c>
      <c r="AB428" s="14">
        <f>ROUND(IF(Q428=1,INDEX(新属性投放!$E$14:$E$34,卡牌属性!R428),INDEX(新属性投放!$E$42:$E$62,卡牌属性!R428))*INDEX($G$5:$G$42,L428),2)</f>
        <v>14.38</v>
      </c>
      <c r="AC428" s="29" t="s">
        <v>179</v>
      </c>
      <c r="AD428" s="14">
        <f>ROUND(IF(Q428=1,INDEX(新属性投放!$F$14:$F$34,卡牌属性!R428),INDEX(新属性投放!$F$42:$F$62,卡牌属性!R428))*INDEX($G$5:$G$42,L428)*SQRT(INDEX($I$5:$I$42,L428)),2)</f>
        <v>128.80000000000001</v>
      </c>
      <c r="AF428" s="14">
        <f t="shared" si="117"/>
        <v>287</v>
      </c>
      <c r="AG428" s="14">
        <f t="shared" si="118"/>
        <v>143</v>
      </c>
      <c r="AH428" s="14">
        <f t="shared" si="119"/>
        <v>1288</v>
      </c>
      <c r="AJ428" s="14">
        <f t="shared" si="123"/>
        <v>919</v>
      </c>
      <c r="AK428" s="14">
        <f t="shared" si="124"/>
        <v>458</v>
      </c>
      <c r="AL428" s="14">
        <f t="shared" si="125"/>
        <v>4127</v>
      </c>
    </row>
    <row r="429" spans="11:38" ht="16.5" x14ac:dyDescent="0.2">
      <c r="K429" s="13">
        <v>426</v>
      </c>
      <c r="L429" s="13">
        <f t="shared" si="111"/>
        <v>21</v>
      </c>
      <c r="M429" s="13">
        <f t="shared" si="112"/>
        <v>3</v>
      </c>
      <c r="N429" s="14">
        <f t="shared" si="113"/>
        <v>1102005</v>
      </c>
      <c r="O429" s="14" t="str">
        <f t="shared" si="114"/>
        <v>李轩辕6突</v>
      </c>
      <c r="P429" s="29" t="s">
        <v>341</v>
      </c>
      <c r="Q429" s="14">
        <f t="shared" si="115"/>
        <v>2</v>
      </c>
      <c r="R429" s="14">
        <f t="shared" si="116"/>
        <v>6</v>
      </c>
      <c r="S429" s="14" t="s">
        <v>39</v>
      </c>
      <c r="T429" s="14">
        <f>ROUND(((IF(Q429=1,INDEX(新属性投放!$J$14:$J$34,卡牌属性!R429),INDEX(新属性投放!$J$42:$J$62,卡牌属性!R429)))*INDEX($G$5:$G$42,L429)+IF(Q429=1,INDEX(新属性投放!R$20:R$23,卡牌属性!M429-1),INDEX(新属性投放!R$25:R$28,卡牌属性!M429-1)))/SQRT(INDEX($I$5:$I$42,L429)),2)</f>
        <v>1619.65</v>
      </c>
      <c r="U429" s="29" t="s">
        <v>178</v>
      </c>
      <c r="V429" s="14">
        <f>ROUND((IF(Q429=1,INDEX(新属性投放!$K$14:$K$34,卡牌属性!R429),INDEX(新属性投放!$K$42:$K$62,卡牌属性!R429))+IF(Q429=1,INDEX(新属性投放!S$20:S$23,卡牌属性!M429-1),INDEX(新属性投放!S$25:S$28,卡牌属性!M429-1)))*INDEX($G$5:$G$42,L429),2)</f>
        <v>681.95</v>
      </c>
      <c r="W429" s="29" t="s">
        <v>179</v>
      </c>
      <c r="X429" s="14">
        <f>ROUND((IF(Q429=1,INDEX(新属性投放!$L$14:$L$34,卡牌属性!R429),INDEX(新属性投放!$L$42:$L$62,卡牌属性!R429))*INDEX($G$5:$G$42,L429)+IF(Q429=1,INDEX(新属性投放!T$20:T$23,卡牌属性!M429-1),INDEX(新属性投放!T$25:T$28,卡牌属性!M429-1)))*SQRT(INDEX($I$5:$I$42,L429)),2)</f>
        <v>7474.6</v>
      </c>
      <c r="Y429" s="29" t="s">
        <v>177</v>
      </c>
      <c r="Z429" s="14">
        <f>ROUND(IF(Q429=1,INDEX(新属性投放!$D$14:$D$34,卡牌属性!R429),INDEX(新属性投放!$D$42:$D$62,卡牌属性!R429))*INDEX($G$5:$G$42,L429)/SQRT(INDEX($I$5:$I$42,L429)),2)</f>
        <v>34.5</v>
      </c>
      <c r="AA429" s="29" t="s">
        <v>178</v>
      </c>
      <c r="AB429" s="14">
        <f>ROUND(IF(Q429=1,INDEX(新属性投放!$E$14:$E$34,卡牌属性!R429),INDEX(新属性投放!$E$42:$E$62,卡牌属性!R429))*INDEX($G$5:$G$42,L429),2)</f>
        <v>17.25</v>
      </c>
      <c r="AC429" s="29" t="s">
        <v>179</v>
      </c>
      <c r="AD429" s="14">
        <f>ROUND(IF(Q429=1,INDEX(新属性投放!$F$14:$F$34,卡牌属性!R429),INDEX(新属性投放!$F$42:$F$62,卡牌属性!R429))*INDEX($G$5:$G$42,L429)*SQRT(INDEX($I$5:$I$42,L429)),2)</f>
        <v>155.25</v>
      </c>
      <c r="AF429" s="14">
        <f t="shared" si="117"/>
        <v>345</v>
      </c>
      <c r="AG429" s="14">
        <f t="shared" si="118"/>
        <v>172</v>
      </c>
      <c r="AH429" s="14">
        <f t="shared" si="119"/>
        <v>1552</v>
      </c>
      <c r="AJ429" s="14">
        <f t="shared" si="123"/>
        <v>1264</v>
      </c>
      <c r="AK429" s="14">
        <f t="shared" si="124"/>
        <v>630</v>
      </c>
      <c r="AL429" s="14">
        <f t="shared" si="125"/>
        <v>5679</v>
      </c>
    </row>
    <row r="430" spans="11:38" ht="16.5" x14ac:dyDescent="0.2">
      <c r="K430" s="13">
        <v>427</v>
      </c>
      <c r="L430" s="13">
        <f t="shared" si="111"/>
        <v>21</v>
      </c>
      <c r="M430" s="13">
        <f t="shared" si="112"/>
        <v>3</v>
      </c>
      <c r="N430" s="14">
        <f t="shared" si="113"/>
        <v>1102005</v>
      </c>
      <c r="O430" s="14" t="str">
        <f t="shared" si="114"/>
        <v>李轩辕7突</v>
      </c>
      <c r="P430" s="29" t="s">
        <v>341</v>
      </c>
      <c r="Q430" s="14">
        <f t="shared" si="115"/>
        <v>2</v>
      </c>
      <c r="R430" s="14">
        <f t="shared" si="116"/>
        <v>7</v>
      </c>
      <c r="S430" s="14" t="s">
        <v>39</v>
      </c>
      <c r="T430" s="14">
        <f>ROUND(((IF(Q430=1,INDEX(新属性投放!$J$14:$J$34,卡牌属性!R430),INDEX(新属性投放!$J$42:$J$62,卡牌属性!R430)))*INDEX($G$5:$G$42,L430)+IF(Q430=1,INDEX(新属性投放!R$20:R$23,卡牌属性!M430-1),INDEX(新属性投放!R$25:R$28,卡牌属性!M430-1)))/SQRT(INDEX($I$5:$I$42,L430)),2)</f>
        <v>2050.9</v>
      </c>
      <c r="U430" s="29" t="s">
        <v>178</v>
      </c>
      <c r="V430" s="14">
        <f>ROUND((IF(Q430=1,INDEX(新属性投放!$K$14:$K$34,卡牌属性!R430),INDEX(新属性投放!$K$42:$K$62,卡牌属性!R430))+IF(Q430=1,INDEX(新属性投放!S$20:S$23,卡牌属性!M430-1),INDEX(新属性投放!S$25:S$28,卡牌属性!M430-1)))*INDEX($G$5:$G$42,L430),2)</f>
        <v>898.15</v>
      </c>
      <c r="W430" s="29" t="s">
        <v>179</v>
      </c>
      <c r="X430" s="14">
        <f>ROUND((IF(Q430=1,INDEX(新属性投放!$L$14:$L$34,卡牌属性!R430),INDEX(新属性投放!$L$42:$L$62,卡牌属性!R430))*INDEX($G$5:$G$42,L430)+IF(Q430=1,INDEX(新属性投放!T$20:T$23,卡牌属性!M430-1),INDEX(新属性投放!T$25:T$28,卡牌属性!M430-1)))*SQRT(INDEX($I$5:$I$42,L430)),2)</f>
        <v>9803.35</v>
      </c>
      <c r="Y430" s="29" t="s">
        <v>177</v>
      </c>
      <c r="Z430" s="14">
        <f>ROUND(IF(Q430=1,INDEX(新属性投放!$D$14:$D$34,卡牌属性!R430),INDEX(新属性投放!$D$42:$D$62,卡牌属性!R430))*INDEX($G$5:$G$42,L430)/SQRT(INDEX($I$5:$I$42,L430)),2)</f>
        <v>40.25</v>
      </c>
      <c r="AA430" s="29" t="s">
        <v>178</v>
      </c>
      <c r="AB430" s="14">
        <f>ROUND(IF(Q430=1,INDEX(新属性投放!$E$14:$E$34,卡牌属性!R430),INDEX(新属性投放!$E$42:$E$62,卡牌属性!R430))*INDEX($G$5:$G$42,L430),2)</f>
        <v>20.13</v>
      </c>
      <c r="AC430" s="29" t="s">
        <v>179</v>
      </c>
      <c r="AD430" s="14">
        <f>ROUND(IF(Q430=1,INDEX(新属性投放!$F$14:$F$34,卡牌属性!R430),INDEX(新属性投放!$F$42:$F$62,卡牌属性!R430))*INDEX($G$5:$G$42,L430)*SQRT(INDEX($I$5:$I$42,L430)),2)</f>
        <v>180.55</v>
      </c>
      <c r="AF430" s="14">
        <f t="shared" si="117"/>
        <v>402</v>
      </c>
      <c r="AG430" s="14">
        <f t="shared" si="118"/>
        <v>201</v>
      </c>
      <c r="AH430" s="14">
        <f t="shared" si="119"/>
        <v>1805</v>
      </c>
      <c r="AJ430" s="14">
        <f t="shared" si="123"/>
        <v>1666</v>
      </c>
      <c r="AK430" s="14">
        <f t="shared" si="124"/>
        <v>831</v>
      </c>
      <c r="AL430" s="14">
        <f t="shared" si="125"/>
        <v>7484</v>
      </c>
    </row>
    <row r="431" spans="11:38" ht="16.5" x14ac:dyDescent="0.2">
      <c r="K431" s="13">
        <v>428</v>
      </c>
      <c r="L431" s="13">
        <f t="shared" si="111"/>
        <v>21</v>
      </c>
      <c r="M431" s="13">
        <f t="shared" si="112"/>
        <v>3</v>
      </c>
      <c r="N431" s="14">
        <f t="shared" si="113"/>
        <v>1102005</v>
      </c>
      <c r="O431" s="14" t="str">
        <f t="shared" si="114"/>
        <v>李轩辕8突</v>
      </c>
      <c r="P431" s="29" t="s">
        <v>341</v>
      </c>
      <c r="Q431" s="14">
        <f t="shared" si="115"/>
        <v>2</v>
      </c>
      <c r="R431" s="14">
        <f t="shared" si="116"/>
        <v>8</v>
      </c>
      <c r="S431" s="14" t="s">
        <v>39</v>
      </c>
      <c r="T431" s="14">
        <f>ROUND(((IF(Q431=1,INDEX(新属性投放!$J$14:$J$34,卡牌属性!R431),INDEX(新属性投放!$J$42:$J$62,卡牌属性!R431)))*INDEX($G$5:$G$42,L431)+IF(Q431=1,INDEX(新属性投放!R$20:R$23,卡牌属性!M431-1),INDEX(新属性投放!R$25:R$28,卡牌属性!M431-1)))/SQRT(INDEX($I$5:$I$42,L431)),2)</f>
        <v>2554.6</v>
      </c>
      <c r="U431" s="29" t="s">
        <v>178</v>
      </c>
      <c r="V431" s="14">
        <f>ROUND((IF(Q431=1,INDEX(新属性投放!$K$14:$K$34,卡牌属性!R431),INDEX(新属性投放!$K$42:$K$62,卡牌属性!R431))+IF(Q431=1,INDEX(新属性投放!S$20:S$23,卡牌属性!M431-1),INDEX(新属性投放!S$25:S$28,卡牌属性!M431-1)))*INDEX($G$5:$G$42,L431),2)</f>
        <v>1150</v>
      </c>
      <c r="W431" s="29" t="s">
        <v>179</v>
      </c>
      <c r="X431" s="14">
        <f>ROUND((IF(Q431=1,INDEX(新属性投放!$L$14:$L$34,卡牌属性!R431),INDEX(新属性投放!$L$42:$L$62,卡牌属性!R431))*INDEX($G$5:$G$42,L431)+IF(Q431=1,INDEX(新属性投放!T$20:T$23,卡牌属性!M431-1),INDEX(新属性投放!T$25:T$28,卡牌属性!M431-1)))*SQRT(INDEX($I$5:$I$42,L431)),2)</f>
        <v>12519.65</v>
      </c>
      <c r="Y431" s="29" t="s">
        <v>177</v>
      </c>
      <c r="Z431" s="14">
        <f>ROUND(IF(Q431=1,INDEX(新属性投放!$D$14:$D$34,卡牌属性!R431),INDEX(新属性投放!$D$42:$D$62,卡牌属性!R431))*INDEX($G$5:$G$42,L431)/SQRT(INDEX($I$5:$I$42,L431)),2)</f>
        <v>51.75</v>
      </c>
      <c r="AA431" s="29" t="s">
        <v>178</v>
      </c>
      <c r="AB431" s="14">
        <f>ROUND(IF(Q431=1,INDEX(新属性投放!$E$14:$E$34,卡牌属性!R431),INDEX(新属性投放!$E$42:$E$62,卡牌属性!R431))*INDEX($G$5:$G$42,L431),2)</f>
        <v>25.88</v>
      </c>
      <c r="AC431" s="29" t="s">
        <v>179</v>
      </c>
      <c r="AD431" s="14">
        <f>ROUND(IF(Q431=1,INDEX(新属性投放!$F$14:$F$34,卡牌属性!R431),INDEX(新属性投放!$F$42:$F$62,卡牌属性!R431))*INDEX($G$5:$G$42,L431)*SQRT(INDEX($I$5:$I$42,L431)),2)</f>
        <v>232.3</v>
      </c>
      <c r="AF431" s="14">
        <f t="shared" si="117"/>
        <v>517</v>
      </c>
      <c r="AG431" s="14">
        <f t="shared" si="118"/>
        <v>258</v>
      </c>
      <c r="AH431" s="14">
        <f t="shared" si="119"/>
        <v>2323</v>
      </c>
      <c r="AJ431" s="14">
        <f t="shared" si="123"/>
        <v>2183</v>
      </c>
      <c r="AK431" s="14">
        <f t="shared" si="124"/>
        <v>1089</v>
      </c>
      <c r="AL431" s="14">
        <f t="shared" si="125"/>
        <v>9807</v>
      </c>
    </row>
    <row r="432" spans="11:38" ht="16.5" x14ac:dyDescent="0.2">
      <c r="K432" s="13">
        <v>429</v>
      </c>
      <c r="L432" s="13">
        <f t="shared" si="111"/>
        <v>21</v>
      </c>
      <c r="M432" s="13">
        <f t="shared" si="112"/>
        <v>3</v>
      </c>
      <c r="N432" s="14">
        <f t="shared" si="113"/>
        <v>1102005</v>
      </c>
      <c r="O432" s="14" t="str">
        <f t="shared" si="114"/>
        <v>李轩辕9突</v>
      </c>
      <c r="P432" s="29" t="s">
        <v>341</v>
      </c>
      <c r="Q432" s="14">
        <f t="shared" si="115"/>
        <v>2</v>
      </c>
      <c r="R432" s="14">
        <f t="shared" si="116"/>
        <v>9</v>
      </c>
      <c r="S432" s="14" t="s">
        <v>39</v>
      </c>
      <c r="T432" s="14">
        <f>ROUND(((IF(Q432=1,INDEX(新属性投放!$J$14:$J$34,卡牌属性!R432),INDEX(新属性投放!$J$42:$J$62,卡牌属性!R432)))*INDEX($G$5:$G$42,L432)+IF(Q432=1,INDEX(新属性投放!R$20:R$23,卡牌属性!M432-1),INDEX(新属性投放!R$25:R$28,卡牌属性!M432-1)))/SQRT(INDEX($I$5:$I$42,L432)),2)</f>
        <v>3202.05</v>
      </c>
      <c r="U432" s="29" t="s">
        <v>178</v>
      </c>
      <c r="V432" s="14">
        <f>ROUND((IF(Q432=1,INDEX(新属性投放!$K$14:$K$34,卡牌属性!R432),INDEX(新属性投放!$K$42:$K$62,卡牌属性!R432))+IF(Q432=1,INDEX(新属性投放!S$20:S$23,卡牌属性!M432-1),INDEX(新属性投放!S$25:S$28,卡牌属性!M432-1)))*INDEX($G$5:$G$42,L432),2)</f>
        <v>1473.15</v>
      </c>
      <c r="W432" s="29" t="s">
        <v>179</v>
      </c>
      <c r="X432" s="14">
        <f>ROUND((IF(Q432=1,INDEX(新属性投放!$L$14:$L$34,卡牌属性!R432),INDEX(新属性投放!$L$42:$L$62,卡牌属性!R432))*INDEX($G$5:$G$42,L432)+IF(Q432=1,INDEX(新属性投放!T$20:T$23,卡牌属性!M432-1),INDEX(新属性投放!T$25:T$28,卡牌属性!M432-1)))*SQRT(INDEX($I$5:$I$42,L432)),2)</f>
        <v>16012.2</v>
      </c>
      <c r="Y432" s="29" t="s">
        <v>177</v>
      </c>
      <c r="Z432" s="14">
        <f>ROUND(IF(Q432=1,INDEX(新属性投放!$D$14:$D$34,卡牌属性!R432),INDEX(新属性投放!$D$42:$D$62,卡牌属性!R432))*INDEX($G$5:$G$42,L432)/SQRT(INDEX($I$5:$I$42,L432)),2)</f>
        <v>69.06</v>
      </c>
      <c r="AA432" s="29" t="s">
        <v>178</v>
      </c>
      <c r="AB432" s="14">
        <f>ROUND(IF(Q432=1,INDEX(新属性投放!$E$14:$E$34,卡牌属性!R432),INDEX(新属性投放!$E$42:$E$62,卡牌属性!R432))*INDEX($G$5:$G$42,L432),2)</f>
        <v>34.53</v>
      </c>
      <c r="AC432" s="29" t="s">
        <v>179</v>
      </c>
      <c r="AD432" s="14">
        <f>ROUND(IF(Q432=1,INDEX(新属性投放!$F$14:$F$34,卡牌属性!R432),INDEX(新属性投放!$F$42:$F$62,卡牌属性!R432))*INDEX($G$5:$G$42,L432)*SQRT(INDEX($I$5:$I$42,L432)),2)</f>
        <v>310.5</v>
      </c>
      <c r="AF432" s="14">
        <f t="shared" si="117"/>
        <v>690</v>
      </c>
      <c r="AG432" s="14">
        <f t="shared" si="118"/>
        <v>345</v>
      </c>
      <c r="AH432" s="14">
        <f t="shared" si="119"/>
        <v>3105</v>
      </c>
      <c r="AJ432" s="14">
        <f t="shared" si="123"/>
        <v>2873</v>
      </c>
      <c r="AK432" s="14">
        <f t="shared" si="124"/>
        <v>1434</v>
      </c>
      <c r="AL432" s="14">
        <f t="shared" si="125"/>
        <v>12912</v>
      </c>
    </row>
    <row r="433" spans="11:38" ht="16.5" x14ac:dyDescent="0.2">
      <c r="K433" s="13">
        <v>430</v>
      </c>
      <c r="L433" s="13">
        <f t="shared" si="111"/>
        <v>21</v>
      </c>
      <c r="M433" s="13">
        <f t="shared" si="112"/>
        <v>3</v>
      </c>
      <c r="N433" s="14">
        <f t="shared" si="113"/>
        <v>1102005</v>
      </c>
      <c r="O433" s="14" t="str">
        <f t="shared" si="114"/>
        <v>李轩辕10突</v>
      </c>
      <c r="P433" s="29" t="s">
        <v>341</v>
      </c>
      <c r="Q433" s="14">
        <f t="shared" si="115"/>
        <v>2</v>
      </c>
      <c r="R433" s="14">
        <f t="shared" si="116"/>
        <v>10</v>
      </c>
      <c r="S433" s="14" t="s">
        <v>39</v>
      </c>
      <c r="T433" s="14">
        <f>ROUND(((IF(Q433=1,INDEX(新属性投放!$J$14:$J$34,卡牌属性!R433),INDEX(新属性投放!$J$42:$J$62,卡牌属性!R433)))*INDEX($G$5:$G$42,L433)+IF(Q433=1,INDEX(新属性投放!R$20:R$23,卡牌属性!M433-1),INDEX(新属性投放!R$25:R$28,卡牌属性!M433-1)))/SQRT(INDEX($I$5:$I$42,L433)),2)</f>
        <v>4065.13</v>
      </c>
      <c r="U433" s="29" t="s">
        <v>178</v>
      </c>
      <c r="V433" s="14">
        <f>ROUND((IF(Q433=1,INDEX(新属性投放!$K$14:$K$34,卡牌属性!R433),INDEX(新属性投放!$K$42:$K$62,卡牌属性!R433))+IF(Q433=1,INDEX(新属性投放!S$20:S$23,卡牌属性!M433-1),INDEX(新属性投放!S$25:S$28,卡牌属性!M433-1)))*INDEX($G$5:$G$42,L433),2)</f>
        <v>1904.69</v>
      </c>
      <c r="W433" s="29" t="s">
        <v>179</v>
      </c>
      <c r="X433" s="14">
        <f>ROUND((IF(Q433=1,INDEX(新属性投放!$L$14:$L$34,卡牌属性!R433),INDEX(新属性投放!$L$42:$L$62,卡牌属性!R433))*INDEX($G$5:$G$42,L433)+IF(Q433=1,INDEX(新属性投放!T$20:T$23,卡牌属性!M433-1),INDEX(新属性投放!T$25:T$28,卡牌属性!M433-1)))*SQRT(INDEX($I$5:$I$42,L433)),2)</f>
        <v>20669.7</v>
      </c>
      <c r="Y433" s="29" t="s">
        <v>177</v>
      </c>
      <c r="Z433" s="14">
        <f>ROUND(IF(Q433=1,INDEX(新属性投放!$D$14:$D$34,卡牌属性!R433),INDEX(新属性投放!$D$42:$D$62,卡牌属性!R433))*INDEX($G$5:$G$42,L433)/SQRT(INDEX($I$5:$I$42,L433)),2)</f>
        <v>90.28</v>
      </c>
      <c r="AA433" s="29" t="s">
        <v>178</v>
      </c>
      <c r="AB433" s="14">
        <f>ROUND(IF(Q433=1,INDEX(新属性投放!$E$14:$E$34,卡牌属性!R433),INDEX(新属性投放!$E$42:$E$62,卡牌属性!R433))*INDEX($G$5:$G$42,L433),2)</f>
        <v>45.14</v>
      </c>
      <c r="AC433" s="29" t="s">
        <v>179</v>
      </c>
      <c r="AD433" s="14">
        <f>ROUND(IF(Q433=1,INDEX(新属性投放!$F$14:$F$34,卡牌属性!R433),INDEX(新属性投放!$F$42:$F$62,卡牌属性!R433))*INDEX($G$5:$G$42,L433)*SQRT(INDEX($I$5:$I$42,L433)),2)</f>
        <v>405.95</v>
      </c>
      <c r="AF433" s="14">
        <f t="shared" si="117"/>
        <v>902</v>
      </c>
      <c r="AG433" s="14">
        <f t="shared" si="118"/>
        <v>451</v>
      </c>
      <c r="AH433" s="14">
        <f t="shared" si="119"/>
        <v>4059</v>
      </c>
      <c r="AJ433" s="14">
        <f t="shared" si="123"/>
        <v>3775</v>
      </c>
      <c r="AK433" s="14">
        <f t="shared" si="124"/>
        <v>1885</v>
      </c>
      <c r="AL433" s="14">
        <f t="shared" si="125"/>
        <v>16971</v>
      </c>
    </row>
    <row r="434" spans="11:38" ht="16.5" x14ac:dyDescent="0.2">
      <c r="K434" s="13">
        <v>431</v>
      </c>
      <c r="L434" s="13">
        <f t="shared" si="111"/>
        <v>21</v>
      </c>
      <c r="M434" s="13">
        <f t="shared" si="112"/>
        <v>3</v>
      </c>
      <c r="N434" s="14">
        <f t="shared" si="113"/>
        <v>1102005</v>
      </c>
      <c r="O434" s="14" t="str">
        <f t="shared" si="114"/>
        <v>李轩辕11突</v>
      </c>
      <c r="P434" s="29" t="s">
        <v>341</v>
      </c>
      <c r="Q434" s="14">
        <f t="shared" si="115"/>
        <v>2</v>
      </c>
      <c r="R434" s="14">
        <f t="shared" si="116"/>
        <v>11</v>
      </c>
      <c r="S434" s="14" t="s">
        <v>39</v>
      </c>
      <c r="T434" s="14">
        <f>ROUND(((IF(Q434=1,INDEX(新属性投放!$J$14:$J$34,卡牌属性!R434),INDEX(新属性投放!$J$42:$J$62,卡牌属性!R434)))*INDEX($G$5:$G$42,L434)+IF(Q434=1,INDEX(新属性投放!R$20:R$23,卡牌属性!M434-1),INDEX(新属性投放!R$25:R$28,卡牌属性!M434-1)))/SQRT(INDEX($I$5:$I$42,L434)),2)</f>
        <v>5193.28</v>
      </c>
      <c r="U434" s="29" t="s">
        <v>178</v>
      </c>
      <c r="V434" s="14">
        <f>ROUND((IF(Q434=1,INDEX(新属性投放!$K$14:$K$34,卡牌属性!R434),INDEX(新属性投放!$K$42:$K$62,卡牌属性!R434))+IF(Q434=1,INDEX(新属性投放!S$20:S$23,卡牌属性!M434-1),INDEX(新属性投放!S$25:S$28,卡牌属性!M434-1)))*INDEX($G$5:$G$42,L434),2)</f>
        <v>2468.7600000000002</v>
      </c>
      <c r="W434" s="29" t="s">
        <v>179</v>
      </c>
      <c r="X434" s="14">
        <f>ROUND((IF(Q434=1,INDEX(新属性投放!$L$14:$L$34,卡牌属性!R434),INDEX(新属性投放!$L$42:$L$62,卡牌属性!R434))*INDEX($G$5:$G$42,L434)+IF(Q434=1,INDEX(新属性投放!T$20:T$23,卡牌属性!M434-1),INDEX(新属性投放!T$25:T$28,卡牌属性!M434-1)))*SQRT(INDEX($I$5:$I$42,L434)),2)</f>
        <v>26757.8</v>
      </c>
      <c r="Y434" s="29" t="s">
        <v>177</v>
      </c>
      <c r="Z434" s="14">
        <f>ROUND(IF(Q434=1,INDEX(新属性投放!$D$14:$D$34,卡牌属性!R434),INDEX(新属性投放!$D$42:$D$62,卡牌属性!R434))*INDEX($G$5:$G$42,L434)/SQRT(INDEX($I$5:$I$42,L434)),2)</f>
        <v>118.84</v>
      </c>
      <c r="AA434" s="29" t="s">
        <v>178</v>
      </c>
      <c r="AB434" s="14">
        <f>ROUND(IF(Q434=1,INDEX(新属性投放!$E$14:$E$34,卡牌属性!R434),INDEX(新属性投放!$E$42:$E$62,卡牌属性!R434))*INDEX($G$5:$G$42,L434),2)</f>
        <v>59.42</v>
      </c>
      <c r="AC434" s="29" t="s">
        <v>179</v>
      </c>
      <c r="AD434" s="14">
        <f>ROUND(IF(Q434=1,INDEX(新属性投放!$F$14:$F$34,卡牌属性!R434),INDEX(新属性投放!$F$42:$F$62,卡牌属性!R434))*INDEX($G$5:$G$42,L434)*SQRT(INDEX($I$5:$I$42,L434)),2)</f>
        <v>534.75</v>
      </c>
      <c r="AF434" s="14">
        <f t="shared" si="117"/>
        <v>1188</v>
      </c>
      <c r="AG434" s="14">
        <f t="shared" si="118"/>
        <v>594</v>
      </c>
      <c r="AH434" s="14">
        <f t="shared" si="119"/>
        <v>5347</v>
      </c>
      <c r="AJ434" s="14">
        <f t="shared" si="123"/>
        <v>4963</v>
      </c>
      <c r="AK434" s="14">
        <f t="shared" si="124"/>
        <v>2479</v>
      </c>
      <c r="AL434" s="14">
        <f t="shared" si="125"/>
        <v>22318</v>
      </c>
    </row>
    <row r="435" spans="11:38" ht="16.5" x14ac:dyDescent="0.2">
      <c r="K435" s="13">
        <v>432</v>
      </c>
      <c r="L435" s="13">
        <f t="shared" si="111"/>
        <v>21</v>
      </c>
      <c r="M435" s="13">
        <f t="shared" si="112"/>
        <v>3</v>
      </c>
      <c r="N435" s="14">
        <f t="shared" si="113"/>
        <v>1102005</v>
      </c>
      <c r="O435" s="14" t="str">
        <f t="shared" si="114"/>
        <v>李轩辕12突</v>
      </c>
      <c r="P435" s="29" t="s">
        <v>341</v>
      </c>
      <c r="Q435" s="14">
        <f t="shared" si="115"/>
        <v>2</v>
      </c>
      <c r="R435" s="14">
        <f t="shared" si="116"/>
        <v>12</v>
      </c>
      <c r="S435" s="14" t="s">
        <v>39</v>
      </c>
      <c r="T435" s="14">
        <f>ROUND(((IF(Q435=1,INDEX(新属性投放!$J$14:$J$34,卡牌属性!R435),INDEX(新属性投放!$J$42:$J$62,卡牌属性!R435)))*INDEX($G$5:$G$42,L435)+IF(Q435=1,INDEX(新属性投放!R$20:R$23,卡牌属性!M435-1),INDEX(新属性投放!R$25:R$28,卡牌属性!M435-1)))/SQRT(INDEX($I$5:$I$42,L435)),2)</f>
        <v>6678.39</v>
      </c>
      <c r="U435" s="29" t="s">
        <v>178</v>
      </c>
      <c r="V435" s="14">
        <f>ROUND((IF(Q435=1,INDEX(新属性投放!$K$14:$K$34,卡牌属性!R435),INDEX(新属性投放!$K$42:$K$62,卡牌属性!R435))+IF(Q435=1,INDEX(新属性投放!S$20:S$23,卡牌属性!M435-1),INDEX(新属性投放!S$25:S$28,卡牌属性!M435-1)))*INDEX($G$5:$G$42,L435),2)</f>
        <v>3211.32</v>
      </c>
      <c r="W435" s="29" t="s">
        <v>179</v>
      </c>
      <c r="X435" s="14">
        <f>ROUND((IF(Q435=1,INDEX(新属性投放!$L$14:$L$34,卡牌属性!R435),INDEX(新属性投放!$L$42:$L$62,卡牌属性!R435))*INDEX($G$5:$G$42,L435)+IF(Q435=1,INDEX(新属性投放!T$20:T$23,卡牌属性!M435-1),INDEX(新属性投放!T$25:T$28,卡牌属性!M435-1)))*SQRT(INDEX($I$5:$I$42,L435)),2)</f>
        <v>34775.599999999999</v>
      </c>
      <c r="Y435" s="29" t="s">
        <v>177</v>
      </c>
      <c r="Z435" s="14">
        <f>ROUND(IF(Q435=1,INDEX(新属性投放!$D$14:$D$34,卡牌属性!R435),INDEX(新属性投放!$D$42:$D$62,卡牌属性!R435))*INDEX($G$5:$G$42,L435)/SQRT(INDEX($I$5:$I$42,L435)),2)</f>
        <v>155.96</v>
      </c>
      <c r="AA435" s="29" t="s">
        <v>178</v>
      </c>
      <c r="AB435" s="14">
        <f>ROUND(IF(Q435=1,INDEX(新属性投放!$E$14:$E$34,卡牌属性!R435),INDEX(新属性投放!$E$42:$E$62,卡牌属性!R435))*INDEX($G$5:$G$42,L435),2)</f>
        <v>77.98</v>
      </c>
      <c r="AC435" s="29" t="s">
        <v>179</v>
      </c>
      <c r="AD435" s="14">
        <f>ROUND(IF(Q435=1,INDEX(新属性投放!$F$14:$F$34,卡牌属性!R435),INDEX(新属性投放!$F$42:$F$62,卡牌属性!R435))*INDEX($G$5:$G$42,L435)*SQRT(INDEX($I$5:$I$42,L435)),2)</f>
        <v>701.5</v>
      </c>
      <c r="AF435" s="14">
        <f t="shared" si="117"/>
        <v>1559</v>
      </c>
      <c r="AG435" s="14">
        <f t="shared" si="118"/>
        <v>779</v>
      </c>
      <c r="AH435" s="14">
        <f t="shared" si="119"/>
        <v>7015</v>
      </c>
      <c r="AJ435" s="14">
        <f t="shared" si="123"/>
        <v>6522</v>
      </c>
      <c r="AK435" s="14">
        <f t="shared" si="124"/>
        <v>3258</v>
      </c>
      <c r="AL435" s="14">
        <f t="shared" si="125"/>
        <v>29333</v>
      </c>
    </row>
    <row r="436" spans="11:38" ht="16.5" x14ac:dyDescent="0.2">
      <c r="K436" s="13">
        <v>433</v>
      </c>
      <c r="L436" s="13">
        <f t="shared" si="111"/>
        <v>21</v>
      </c>
      <c r="M436" s="13">
        <f t="shared" si="112"/>
        <v>3</v>
      </c>
      <c r="N436" s="14">
        <f t="shared" si="113"/>
        <v>1102005</v>
      </c>
      <c r="O436" s="14" t="str">
        <f t="shared" si="114"/>
        <v>李轩辕13突</v>
      </c>
      <c r="P436" s="29" t="s">
        <v>341</v>
      </c>
      <c r="Q436" s="14">
        <f t="shared" si="115"/>
        <v>2</v>
      </c>
      <c r="R436" s="14">
        <f t="shared" si="116"/>
        <v>13</v>
      </c>
      <c r="S436" s="14" t="s">
        <v>39</v>
      </c>
      <c r="T436" s="14">
        <f>ROUND(((IF(Q436=1,INDEX(新属性投放!$J$14:$J$34,卡牌属性!R436),INDEX(新属性投放!$J$42:$J$62,卡牌属性!R436)))*INDEX($G$5:$G$42,L436)+IF(Q436=1,INDEX(新属性投放!R$20:R$23,卡牌属性!M436-1),INDEX(新属性投放!R$25:R$28,卡牌属性!M436-1)))/SQRT(INDEX($I$5:$I$42,L436)),2)</f>
        <v>8627.8700000000008</v>
      </c>
      <c r="U436" s="29" t="s">
        <v>178</v>
      </c>
      <c r="V436" s="14">
        <f>ROUND((IF(Q436=1,INDEX(新属性投放!$K$14:$K$34,卡牌属性!R436),INDEX(新属性投放!$K$42:$K$62,卡牌属性!R436))+IF(Q436=1,INDEX(新属性投放!S$20:S$23,卡牌属性!M436-1),INDEX(新属性投放!S$25:S$28,卡牌属性!M436-1)))*INDEX($G$5:$G$42,L436),2)</f>
        <v>4186.63</v>
      </c>
      <c r="W436" s="29" t="s">
        <v>179</v>
      </c>
      <c r="X436" s="14">
        <f>ROUND((IF(Q436=1,INDEX(新属性投放!$L$14:$L$34,卡牌属性!R436),INDEX(新属性投放!$L$42:$L$62,卡牌属性!R436))*INDEX($G$5:$G$42,L436)+IF(Q436=1,INDEX(新属性投放!T$20:T$23,卡牌属性!M436-1),INDEX(新属性投放!T$25:T$28,卡牌属性!M436-1)))*SQRT(INDEX($I$5:$I$42,L436)),2)</f>
        <v>45299.25</v>
      </c>
      <c r="Y436" s="29" t="s">
        <v>177</v>
      </c>
      <c r="Z436" s="14">
        <f>ROUND(IF(Q436=1,INDEX(新属性投放!$D$14:$D$34,卡牌属性!R436),INDEX(新属性投放!$D$42:$D$62,卡牌属性!R436))*INDEX($G$5:$G$42,L436)/SQRT(INDEX($I$5:$I$42,L436)),2)</f>
        <v>204.7</v>
      </c>
      <c r="AA436" s="29" t="s">
        <v>178</v>
      </c>
      <c r="AB436" s="14">
        <f>ROUND(IF(Q436=1,INDEX(新属性投放!$E$14:$E$34,卡牌属性!R436),INDEX(新属性投放!$E$42:$E$62,卡牌属性!R436))*INDEX($G$5:$G$42,L436),2)</f>
        <v>102.35</v>
      </c>
      <c r="AC436" s="29" t="s">
        <v>179</v>
      </c>
      <c r="AD436" s="14">
        <f>ROUND(IF(Q436=1,INDEX(新属性投放!$F$14:$F$34,卡牌属性!R436),INDEX(新属性投放!$F$42:$F$62,卡牌属性!R436))*INDEX($G$5:$G$42,L436)*SQRT(INDEX($I$5:$I$42,L436)),2)</f>
        <v>921.15</v>
      </c>
      <c r="AF436" s="14">
        <f t="shared" si="117"/>
        <v>2047</v>
      </c>
      <c r="AG436" s="14">
        <f t="shared" si="118"/>
        <v>1023</v>
      </c>
      <c r="AH436" s="14">
        <f t="shared" si="119"/>
        <v>9211</v>
      </c>
      <c r="AJ436" s="14">
        <f t="shared" si="123"/>
        <v>8569</v>
      </c>
      <c r="AK436" s="14">
        <f t="shared" si="124"/>
        <v>4281</v>
      </c>
      <c r="AL436" s="14">
        <f t="shared" si="125"/>
        <v>38544</v>
      </c>
    </row>
    <row r="437" spans="11:38" ht="16.5" x14ac:dyDescent="0.2">
      <c r="K437" s="13">
        <v>434</v>
      </c>
      <c r="L437" s="13">
        <f t="shared" si="111"/>
        <v>21</v>
      </c>
      <c r="M437" s="13">
        <f t="shared" si="112"/>
        <v>3</v>
      </c>
      <c r="N437" s="14">
        <f t="shared" si="113"/>
        <v>1102005</v>
      </c>
      <c r="O437" s="14" t="str">
        <f t="shared" si="114"/>
        <v>李轩辕14突</v>
      </c>
      <c r="P437" s="29" t="s">
        <v>341</v>
      </c>
      <c r="Q437" s="14">
        <f t="shared" si="115"/>
        <v>2</v>
      </c>
      <c r="R437" s="14">
        <f t="shared" si="116"/>
        <v>14</v>
      </c>
      <c r="S437" s="14" t="s">
        <v>39</v>
      </c>
      <c r="T437" s="14">
        <f>ROUND(((IF(Q437=1,INDEX(新属性投放!$J$14:$J$34,卡牌属性!R437),INDEX(新属性投放!$J$42:$J$62,卡牌属性!R437)))*INDEX($G$5:$G$42,L437)+IF(Q437=1,INDEX(新属性投放!R$20:R$23,卡牌属性!M437-1),INDEX(新属性投放!R$25:R$28,卡牌属性!M437-1)))/SQRT(INDEX($I$5:$I$42,L437)),2)</f>
        <v>11186.62</v>
      </c>
      <c r="U437" s="29" t="s">
        <v>178</v>
      </c>
      <c r="V437" s="14">
        <f>ROUND((IF(Q437=1,INDEX(新属性投放!$K$14:$K$34,卡牌属性!R437),INDEX(新属性投放!$K$42:$K$62,卡牌属性!R437))+IF(Q437=1,INDEX(新属性投放!S$20:S$23,卡牌属性!M437-1),INDEX(新属性投放!S$25:S$28,卡牌属性!M437-1)))*INDEX($G$5:$G$42,L437),2)</f>
        <v>5466.58</v>
      </c>
      <c r="W437" s="29" t="s">
        <v>179</v>
      </c>
      <c r="X437" s="14">
        <f>ROUND((IF(Q437=1,INDEX(新属性投放!$L$14:$L$34,卡牌属性!R437),INDEX(新属性投放!$L$42:$L$62,卡牌属性!R437))*INDEX($G$5:$G$42,L437)+IF(Q437=1,INDEX(新属性投放!T$20:T$23,卡牌属性!M437-1),INDEX(新属性投放!T$25:T$28,卡牌属性!M437-1)))*SQRT(INDEX($I$5:$I$42,L437)),2)</f>
        <v>59116.5</v>
      </c>
      <c r="Y437" s="29" t="s">
        <v>177</v>
      </c>
      <c r="Z437" s="14">
        <f>ROUND(IF(Q437=1,INDEX(新属性投放!$D$14:$D$34,卡牌属性!R437),INDEX(新属性投放!$D$42:$D$62,卡牌属性!R437))*INDEX($G$5:$G$42,L437)/SQRT(INDEX($I$5:$I$42,L437)),2)</f>
        <v>268.67</v>
      </c>
      <c r="AA437" s="29" t="s">
        <v>178</v>
      </c>
      <c r="AB437" s="14">
        <f>ROUND(IF(Q437=1,INDEX(新属性投放!$E$14:$E$34,卡牌属性!R437),INDEX(新属性投放!$E$42:$E$62,卡牌属性!R437))*INDEX($G$5:$G$42,L437),2)</f>
        <v>134.34</v>
      </c>
      <c r="AC437" s="29" t="s">
        <v>179</v>
      </c>
      <c r="AD437" s="14">
        <f>ROUND(IF(Q437=1,INDEX(新属性投放!$F$14:$F$34,卡牌属性!R437),INDEX(新属性投放!$F$42:$F$62,卡牌属性!R437))*INDEX($G$5:$G$42,L437)*SQRT(INDEX($I$5:$I$42,L437)),2)</f>
        <v>1208.6500000000001</v>
      </c>
      <c r="AF437" s="14">
        <f t="shared" si="117"/>
        <v>2686</v>
      </c>
      <c r="AG437" s="14">
        <f t="shared" si="118"/>
        <v>1343</v>
      </c>
      <c r="AH437" s="14">
        <f t="shared" si="119"/>
        <v>12086</v>
      </c>
      <c r="AJ437" s="14">
        <f t="shared" si="123"/>
        <v>11255</v>
      </c>
      <c r="AK437" s="14">
        <f t="shared" si="124"/>
        <v>5624</v>
      </c>
      <c r="AL437" s="14">
        <f t="shared" si="125"/>
        <v>50630</v>
      </c>
    </row>
    <row r="438" spans="11:38" ht="16.5" x14ac:dyDescent="0.2">
      <c r="K438" s="13">
        <v>435</v>
      </c>
      <c r="L438" s="13">
        <f t="shared" si="111"/>
        <v>21</v>
      </c>
      <c r="M438" s="13">
        <f t="shared" si="112"/>
        <v>3</v>
      </c>
      <c r="N438" s="14">
        <f t="shared" si="113"/>
        <v>1102005</v>
      </c>
      <c r="O438" s="14" t="str">
        <f t="shared" si="114"/>
        <v>李轩辕15突</v>
      </c>
      <c r="P438" s="29" t="s">
        <v>341</v>
      </c>
      <c r="Q438" s="14">
        <f t="shared" si="115"/>
        <v>2</v>
      </c>
      <c r="R438" s="14">
        <f t="shared" si="116"/>
        <v>15</v>
      </c>
      <c r="S438" s="14" t="s">
        <v>39</v>
      </c>
      <c r="T438" s="14">
        <f>ROUND(((IF(Q438=1,INDEX(新属性投放!$J$14:$J$34,卡牌属性!R438),INDEX(新属性投放!$J$42:$J$62,卡牌属性!R438)))*INDEX($G$5:$G$42,L438)+IF(Q438=1,INDEX(新属性投放!R$20:R$23,卡牌属性!M438-1),INDEX(新属性投放!R$25:R$28,卡牌属性!M438-1)))/SQRT(INDEX($I$5:$I$42,L438)),2)</f>
        <v>14544.96</v>
      </c>
      <c r="U438" s="29" t="s">
        <v>178</v>
      </c>
      <c r="V438" s="14">
        <f>ROUND((IF(Q438=1,INDEX(新属性投放!$K$14:$K$34,卡牌属性!R438),INDEX(新属性投放!$K$42:$K$62,卡牌属性!R438))+IF(Q438=1,INDEX(新属性投放!S$20:S$23,卡牌属性!M438-1),INDEX(新属性投放!S$25:S$28,卡牌属性!M438-1)))*INDEX($G$5:$G$42,L438),2)</f>
        <v>7145.76</v>
      </c>
      <c r="W438" s="29" t="s">
        <v>179</v>
      </c>
      <c r="X438" s="14">
        <f>ROUND((IF(Q438=1,INDEX(新属性投放!$L$14:$L$34,卡牌属性!R438),INDEX(新属性投放!$L$42:$L$62,卡牌属性!R438))*INDEX($G$5:$G$42,L438)+IF(Q438=1,INDEX(新属性投放!T$20:T$23,卡牌属性!M438-1),INDEX(新属性投放!T$25:T$28,卡牌属性!M438-1)))*SQRT(INDEX($I$5:$I$42,L438)),2)</f>
        <v>77247.399999999994</v>
      </c>
      <c r="Y438" s="29" t="s">
        <v>177</v>
      </c>
      <c r="Z438" s="14">
        <f>ROUND(IF(Q438=1,INDEX(新属性投放!$D$14:$D$34,卡牌属性!R438),INDEX(新属性投放!$D$42:$D$62,卡牌属性!R438))*INDEX($G$5:$G$42,L438)/SQRT(INDEX($I$5:$I$42,L438)),2)</f>
        <v>352.64</v>
      </c>
      <c r="AA438" s="29" t="s">
        <v>178</v>
      </c>
      <c r="AB438" s="14">
        <f>ROUND(IF(Q438=1,INDEX(新属性投放!$E$14:$E$34,卡牌属性!R438),INDEX(新属性投放!$E$42:$E$62,卡牌属性!R438))*INDEX($G$5:$G$42,L438),2)</f>
        <v>176.32</v>
      </c>
      <c r="AC438" s="29" t="s">
        <v>179</v>
      </c>
      <c r="AD438" s="14">
        <f>ROUND(IF(Q438=1,INDEX(新属性投放!$F$14:$F$34,卡牌属性!R438),INDEX(新属性投放!$F$42:$F$62,卡牌属性!R438))*INDEX($G$5:$G$42,L438)*SQRT(INDEX($I$5:$I$42,L438)),2)</f>
        <v>1585.85</v>
      </c>
      <c r="AF438" s="14">
        <f t="shared" si="117"/>
        <v>3526</v>
      </c>
      <c r="AG438" s="14">
        <f t="shared" si="118"/>
        <v>1763</v>
      </c>
      <c r="AH438" s="14">
        <f t="shared" si="119"/>
        <v>15858</v>
      </c>
      <c r="AJ438" s="14">
        <f t="shared" si="123"/>
        <v>14781</v>
      </c>
      <c r="AK438" s="14">
        <f t="shared" si="124"/>
        <v>7387</v>
      </c>
      <c r="AL438" s="14">
        <f t="shared" si="125"/>
        <v>66488</v>
      </c>
    </row>
    <row r="439" spans="11:38" ht="16.5" x14ac:dyDescent="0.2">
      <c r="K439" s="13">
        <v>436</v>
      </c>
      <c r="L439" s="13">
        <f t="shared" si="111"/>
        <v>21</v>
      </c>
      <c r="M439" s="13">
        <f t="shared" si="112"/>
        <v>3</v>
      </c>
      <c r="N439" s="14">
        <f t="shared" si="113"/>
        <v>1102005</v>
      </c>
      <c r="O439" s="14" t="str">
        <f t="shared" si="114"/>
        <v>李轩辕16突</v>
      </c>
      <c r="P439" s="29" t="s">
        <v>341</v>
      </c>
      <c r="Q439" s="14">
        <f t="shared" si="115"/>
        <v>2</v>
      </c>
      <c r="R439" s="14">
        <f t="shared" si="116"/>
        <v>16</v>
      </c>
      <c r="S439" s="14" t="s">
        <v>39</v>
      </c>
      <c r="T439" s="14">
        <f>ROUND(((IF(Q439=1,INDEX(新属性投放!$J$14:$J$34,卡牌属性!R439),INDEX(新属性投放!$J$42:$J$62,卡牌属性!R439)))*INDEX($G$5:$G$42,L439)+IF(Q439=1,INDEX(新属性投放!R$20:R$23,卡牌属性!M439-1),INDEX(新属性投放!R$25:R$28,卡牌属性!M439-1)))/SQRT(INDEX($I$5:$I$42,L439)),2)</f>
        <v>18953.37</v>
      </c>
      <c r="U439" s="29" t="s">
        <v>178</v>
      </c>
      <c r="V439" s="14">
        <f>ROUND((IF(Q439=1,INDEX(新属性投放!$K$14:$K$34,卡牌属性!R439),INDEX(新属性投放!$K$42:$K$62,卡牌属性!R439))+IF(Q439=1,INDEX(新属性投放!S$20:S$23,卡牌属性!M439-1),INDEX(新属性投放!S$25:S$28,卡牌属性!M439-1)))*INDEX($G$5:$G$42,L439),2)</f>
        <v>9349.39</v>
      </c>
      <c r="W439" s="29" t="s">
        <v>179</v>
      </c>
      <c r="X439" s="14">
        <f>ROUND((IF(Q439=1,INDEX(新属性投放!$L$14:$L$34,卡牌属性!R439),INDEX(新属性投放!$L$42:$L$62,卡牌属性!R439))*INDEX($G$5:$G$42,L439)+IF(Q439=1,INDEX(新属性投放!T$20:T$23,卡牌属性!M439-1),INDEX(新属性投放!T$25:T$28,卡牌属性!M439-1)))*SQRT(INDEX($I$5:$I$42,L439)),2)</f>
        <v>101044.35</v>
      </c>
      <c r="Y439" s="29" t="s">
        <v>177</v>
      </c>
      <c r="Z439" s="14">
        <f>ROUND(IF(Q439=1,INDEX(新属性投放!$D$14:$D$34,卡牌属性!R439),INDEX(新属性投放!$D$42:$D$62,卡牌属性!R439))*INDEX($G$5:$G$42,L439)/SQRT(INDEX($I$5:$I$42,L439)),2)</f>
        <v>462.84</v>
      </c>
      <c r="AA439" s="29" t="s">
        <v>178</v>
      </c>
      <c r="AB439" s="14">
        <f>ROUND(IF(Q439=1,INDEX(新属性投放!$E$14:$E$34,卡牌属性!R439),INDEX(新属性投放!$E$42:$E$62,卡牌属性!R439))*INDEX($G$5:$G$42,L439),2)</f>
        <v>231.42</v>
      </c>
      <c r="AC439" s="29" t="s">
        <v>179</v>
      </c>
      <c r="AD439" s="14">
        <f>ROUND(IF(Q439=1,INDEX(新属性投放!$F$14:$F$34,卡牌属性!R439),INDEX(新属性投放!$F$42:$F$62,卡牌属性!R439))*INDEX($G$5:$G$42,L439)*SQRT(INDEX($I$5:$I$42,L439)),2)</f>
        <v>2082.65</v>
      </c>
      <c r="AF439" s="14">
        <f t="shared" si="117"/>
        <v>4628</v>
      </c>
      <c r="AG439" s="14">
        <f t="shared" si="118"/>
        <v>2314</v>
      </c>
      <c r="AH439" s="14">
        <f t="shared" si="119"/>
        <v>20826</v>
      </c>
      <c r="AJ439" s="14">
        <f t="shared" si="123"/>
        <v>19409</v>
      </c>
      <c r="AK439" s="14">
        <f t="shared" si="124"/>
        <v>9701</v>
      </c>
      <c r="AL439" s="14">
        <f t="shared" si="125"/>
        <v>87314</v>
      </c>
    </row>
    <row r="440" spans="11:38" ht="16.5" x14ac:dyDescent="0.2">
      <c r="K440" s="13">
        <v>437</v>
      </c>
      <c r="L440" s="13">
        <f t="shared" si="111"/>
        <v>21</v>
      </c>
      <c r="M440" s="13">
        <f t="shared" si="112"/>
        <v>3</v>
      </c>
      <c r="N440" s="14">
        <f t="shared" si="113"/>
        <v>1102005</v>
      </c>
      <c r="O440" s="14" t="str">
        <f t="shared" si="114"/>
        <v>李轩辕17突</v>
      </c>
      <c r="P440" s="29" t="s">
        <v>341</v>
      </c>
      <c r="Q440" s="14">
        <f t="shared" si="115"/>
        <v>2</v>
      </c>
      <c r="R440" s="14">
        <f t="shared" si="116"/>
        <v>17</v>
      </c>
      <c r="S440" s="14" t="s">
        <v>39</v>
      </c>
      <c r="T440" s="14">
        <f>ROUND(((IF(Q440=1,INDEX(新属性投放!$J$14:$J$34,卡牌属性!R440),INDEX(新属性投放!$J$42:$J$62,卡牌属性!R440)))*INDEX($G$5:$G$42,L440)+IF(Q440=1,INDEX(新属性投放!R$20:R$23,卡牌属性!M440-1),INDEX(新属性投放!R$25:R$28,卡牌属性!M440-1)))/SQRT(INDEX($I$5:$I$42,L440)),2)</f>
        <v>24738.68</v>
      </c>
      <c r="U440" s="29" t="s">
        <v>178</v>
      </c>
      <c r="V440" s="14">
        <f>ROUND((IF(Q440=1,INDEX(新属性投放!$K$14:$K$34,卡牌属性!R440),INDEX(新属性投放!$K$42:$K$62,卡牌属性!R440))+IF(Q440=1,INDEX(新属性投放!S$20:S$23,卡牌属性!M440-1),INDEX(新属性投放!S$25:S$28,卡牌属性!M440-1)))*INDEX($G$5:$G$42,L440),2)</f>
        <v>12242.04</v>
      </c>
      <c r="W440" s="29" t="s">
        <v>179</v>
      </c>
      <c r="X440" s="14">
        <f>ROUND((IF(Q440=1,INDEX(新属性投放!$L$14:$L$34,卡牌属性!R440),INDEX(新属性投放!$L$42:$L$62,卡牌属性!R440))*INDEX($G$5:$G$42,L440)+IF(Q440=1,INDEX(新属性投放!T$20:T$23,卡牌属性!M440-1),INDEX(新属性投放!T$25:T$28,卡牌属性!M440-1)))*SQRT(INDEX($I$5:$I$42,L440)),2)</f>
        <v>132282.95000000001</v>
      </c>
      <c r="Y440" s="29" t="s">
        <v>177</v>
      </c>
      <c r="Z440" s="14">
        <f>ROUND(IF(Q440=1,INDEX(新属性投放!$D$14:$D$34,卡牌属性!R440),INDEX(新属性投放!$D$42:$D$62,卡牌属性!R440))*INDEX($G$5:$G$42,L440)/SQRT(INDEX($I$5:$I$42,L440)),2)</f>
        <v>607.48</v>
      </c>
      <c r="AA440" s="29" t="s">
        <v>178</v>
      </c>
      <c r="AB440" s="14">
        <f>ROUND(IF(Q440=1,INDEX(新属性投放!$E$14:$E$34,卡牌属性!R440),INDEX(新属性投放!$E$42:$E$62,卡牌属性!R440))*INDEX($G$5:$G$42,L440),2)</f>
        <v>303.74</v>
      </c>
      <c r="AC440" s="29" t="s">
        <v>179</v>
      </c>
      <c r="AD440" s="14">
        <f>ROUND(IF(Q440=1,INDEX(新属性投放!$F$14:$F$34,卡牌属性!R440),INDEX(新属性投放!$F$42:$F$62,卡牌属性!R440))*INDEX($G$5:$G$42,L440)*SQRT(INDEX($I$5:$I$42,L440)),2)</f>
        <v>2733.55</v>
      </c>
      <c r="AF440" s="14">
        <f t="shared" si="117"/>
        <v>6074</v>
      </c>
      <c r="AG440" s="14">
        <f t="shared" si="118"/>
        <v>3037</v>
      </c>
      <c r="AH440" s="14">
        <f t="shared" si="119"/>
        <v>27335</v>
      </c>
      <c r="AJ440" s="14">
        <f t="shared" si="123"/>
        <v>25483</v>
      </c>
      <c r="AK440" s="14">
        <f t="shared" si="124"/>
        <v>12738</v>
      </c>
      <c r="AL440" s="14">
        <f t="shared" si="125"/>
        <v>114649</v>
      </c>
    </row>
    <row r="441" spans="11:38" ht="16.5" x14ac:dyDescent="0.2">
      <c r="K441" s="13">
        <v>438</v>
      </c>
      <c r="L441" s="13">
        <f t="shared" si="111"/>
        <v>21</v>
      </c>
      <c r="M441" s="13">
        <f t="shared" si="112"/>
        <v>3</v>
      </c>
      <c r="N441" s="14">
        <f t="shared" si="113"/>
        <v>1102005</v>
      </c>
      <c r="O441" s="14" t="str">
        <f t="shared" si="114"/>
        <v>李轩辕18突</v>
      </c>
      <c r="P441" s="29" t="s">
        <v>341</v>
      </c>
      <c r="Q441" s="14">
        <f t="shared" si="115"/>
        <v>2</v>
      </c>
      <c r="R441" s="14">
        <f t="shared" si="116"/>
        <v>18</v>
      </c>
      <c r="S441" s="14" t="s">
        <v>39</v>
      </c>
      <c r="T441" s="14">
        <f>ROUND(((IF(Q441=1,INDEX(新属性投放!$J$14:$J$34,卡牌属性!R441),INDEX(新属性投放!$J$42:$J$62,卡牌属性!R441)))*INDEX($G$5:$G$42,L441)+IF(Q441=1,INDEX(新属性投放!R$20:R$23,卡牌属性!M441-1),INDEX(新属性投放!R$25:R$28,卡牌属性!M441-1)))/SQRT(INDEX($I$5:$I$42,L441)),2)</f>
        <v>32332.59</v>
      </c>
      <c r="U441" s="29" t="s">
        <v>178</v>
      </c>
      <c r="V441" s="14">
        <f>ROUND((IF(Q441=1,INDEX(新属性投放!$K$14:$K$34,卡牌属性!R441),INDEX(新属性投放!$K$42:$K$62,卡牌属性!R441))+IF(Q441=1,INDEX(新属性投放!S$20:S$23,卡牌属性!M441-1),INDEX(新属性投放!S$25:S$28,卡牌属性!M441-1)))*INDEX($G$5:$G$42,L441),2)</f>
        <v>16038.42</v>
      </c>
      <c r="W441" s="29" t="s">
        <v>179</v>
      </c>
      <c r="X441" s="14">
        <f>ROUND((IF(Q441=1,INDEX(新属性投放!$L$14:$L$34,卡牌属性!R441),INDEX(新属性投放!$L$42:$L$62,卡牌属性!R441))*INDEX($G$5:$G$42,L441)+IF(Q441=1,INDEX(新属性投放!T$20:T$23,卡牌属性!M441-1),INDEX(新属性投放!T$25:T$28,卡牌属性!M441-1)))*SQRT(INDEX($I$5:$I$42,L441)),2)</f>
        <v>173290.8</v>
      </c>
      <c r="Y441" s="29" t="s">
        <v>177</v>
      </c>
      <c r="Z441" s="14">
        <f>ROUND(IF(Q441=1,INDEX(新属性投放!$D$14:$D$34,卡牌属性!R441),INDEX(新属性投放!$D$42:$D$62,卡牌属性!R441))*INDEX($G$5:$G$42,L441)/SQRT(INDEX($I$5:$I$42,L441)),2)</f>
        <v>797.32</v>
      </c>
      <c r="AA441" s="29" t="s">
        <v>178</v>
      </c>
      <c r="AB441" s="14">
        <f>ROUND(IF(Q441=1,INDEX(新属性投放!$E$14:$E$34,卡牌属性!R441),INDEX(新属性投放!$E$42:$E$62,卡牌属性!R441))*INDEX($G$5:$G$42,L441),2)</f>
        <v>398.66</v>
      </c>
      <c r="AC441" s="29" t="s">
        <v>179</v>
      </c>
      <c r="AD441" s="14">
        <f>ROUND(IF(Q441=1,INDEX(新属性投放!$F$14:$F$34,卡牌属性!R441),INDEX(新属性投放!$F$42:$F$62,卡牌属性!R441))*INDEX($G$5:$G$42,L441)*SQRT(INDEX($I$5:$I$42,L441)),2)</f>
        <v>3586.85</v>
      </c>
      <c r="AF441" s="14">
        <f t="shared" si="117"/>
        <v>7973</v>
      </c>
      <c r="AG441" s="14">
        <f t="shared" si="118"/>
        <v>3986</v>
      </c>
      <c r="AH441" s="14">
        <f t="shared" si="119"/>
        <v>35868</v>
      </c>
      <c r="AJ441" s="14">
        <f t="shared" si="123"/>
        <v>33456</v>
      </c>
      <c r="AK441" s="14">
        <f t="shared" si="124"/>
        <v>16724</v>
      </c>
      <c r="AL441" s="14">
        <f t="shared" si="125"/>
        <v>150517</v>
      </c>
    </row>
    <row r="442" spans="11:38" ht="16.5" x14ac:dyDescent="0.2">
      <c r="K442" s="13">
        <v>439</v>
      </c>
      <c r="L442" s="13">
        <f t="shared" si="111"/>
        <v>21</v>
      </c>
      <c r="M442" s="13">
        <f t="shared" si="112"/>
        <v>3</v>
      </c>
      <c r="N442" s="14">
        <f t="shared" si="113"/>
        <v>1102005</v>
      </c>
      <c r="O442" s="14" t="str">
        <f t="shared" si="114"/>
        <v>李轩辕19突</v>
      </c>
      <c r="P442" s="29" t="s">
        <v>341</v>
      </c>
      <c r="Q442" s="14">
        <f t="shared" si="115"/>
        <v>2</v>
      </c>
      <c r="R442" s="14">
        <f t="shared" si="116"/>
        <v>19</v>
      </c>
      <c r="S442" s="14" t="s">
        <v>39</v>
      </c>
      <c r="T442" s="14">
        <f>ROUND(((IF(Q442=1,INDEX(新属性投放!$J$14:$J$34,卡牌属性!R442),INDEX(新属性投放!$J$42:$J$62,卡牌属性!R442)))*INDEX($G$5:$G$42,L442)+IF(Q442=1,INDEX(新属性投放!R$20:R$23,卡牌属性!M442-1),INDEX(新属性投放!R$25:R$28,卡牌属性!M442-1)))/SQRT(INDEX($I$5:$I$42,L442)),2)</f>
        <v>42298.720000000001</v>
      </c>
      <c r="U442" s="29" t="s">
        <v>178</v>
      </c>
      <c r="V442" s="14">
        <f>ROUND((IF(Q442=1,INDEX(新属性投放!$K$14:$K$34,卡牌属性!R442),INDEX(新属性投放!$K$42:$K$62,卡牌属性!R442))+IF(Q442=1,INDEX(新属性投放!S$20:S$23,卡牌属性!M442-1),INDEX(新属性投放!S$25:S$28,卡牌属性!M442-1)))*INDEX($G$5:$G$42,L442),2)</f>
        <v>21022.06</v>
      </c>
      <c r="W442" s="29" t="s">
        <v>179</v>
      </c>
      <c r="X442" s="14">
        <f>ROUND((IF(Q442=1,INDEX(新属性投放!$L$14:$L$34,卡牌属性!R442),INDEX(新属性投放!$L$42:$L$62,卡牌属性!R442))*INDEX($G$5:$G$42,L442)+IF(Q442=1,INDEX(新属性投放!T$20:T$23,卡牌属性!M442-1),INDEX(新属性投放!T$25:T$28,卡牌属性!M442-1)))*SQRT(INDEX($I$5:$I$42,L442)),2)</f>
        <v>227095.85</v>
      </c>
      <c r="Y442" s="29" t="s">
        <v>177</v>
      </c>
      <c r="Z442" s="14">
        <f>ROUND(IF(Q442=1,INDEX(新属性投放!$D$14:$D$34,卡牌属性!R442),INDEX(新属性投放!$D$42:$D$62,卡牌属性!R442))*INDEX($G$5:$G$42,L442)/SQRT(INDEX($I$5:$I$42,L442)),2)</f>
        <v>1046.48</v>
      </c>
      <c r="AA442" s="29" t="s">
        <v>178</v>
      </c>
      <c r="AB442" s="14">
        <f>ROUND(IF(Q442=1,INDEX(新属性投放!$E$14:$E$34,卡牌属性!R442),INDEX(新属性投放!$E$42:$E$62,卡牌属性!R442))*INDEX($G$5:$G$42,L442),2)</f>
        <v>523.24</v>
      </c>
      <c r="AC442" s="29" t="s">
        <v>179</v>
      </c>
      <c r="AD442" s="14">
        <f>ROUND(IF(Q442=1,INDEX(新属性投放!$F$14:$F$34,卡牌属性!R442),INDEX(新属性投放!$F$42:$F$62,卡牌属性!R442))*INDEX($G$5:$G$42,L442)*SQRT(INDEX($I$5:$I$42,L442)),2)</f>
        <v>4708.1000000000004</v>
      </c>
      <c r="AF442" s="14">
        <f t="shared" si="117"/>
        <v>10464</v>
      </c>
      <c r="AG442" s="14">
        <f t="shared" si="118"/>
        <v>5232</v>
      </c>
      <c r="AH442" s="14">
        <f t="shared" si="119"/>
        <v>47081</v>
      </c>
      <c r="AJ442" s="14">
        <f t="shared" si="123"/>
        <v>43920</v>
      </c>
      <c r="AK442" s="14">
        <f t="shared" si="124"/>
        <v>21956</v>
      </c>
      <c r="AL442" s="14">
        <f t="shared" si="125"/>
        <v>197598</v>
      </c>
    </row>
    <row r="443" spans="11:38" ht="16.5" x14ac:dyDescent="0.2">
      <c r="K443" s="13">
        <v>440</v>
      </c>
      <c r="L443" s="13">
        <f t="shared" si="111"/>
        <v>21</v>
      </c>
      <c r="M443" s="13">
        <f t="shared" si="112"/>
        <v>3</v>
      </c>
      <c r="N443" s="14">
        <f t="shared" si="113"/>
        <v>1102005</v>
      </c>
      <c r="O443" s="14" t="str">
        <f t="shared" si="114"/>
        <v>李轩辕20突</v>
      </c>
      <c r="P443" s="29" t="s">
        <v>341</v>
      </c>
      <c r="Q443" s="14">
        <f t="shared" si="115"/>
        <v>2</v>
      </c>
      <c r="R443" s="14">
        <f t="shared" si="116"/>
        <v>20</v>
      </c>
      <c r="S443" s="14" t="s">
        <v>39</v>
      </c>
      <c r="T443" s="14">
        <f>ROUND(((IF(Q443=1,INDEX(新属性投放!$J$14:$J$34,卡牌属性!R443),INDEX(新属性投放!$J$42:$J$62,卡牌属性!R443)))*INDEX($G$5:$G$42,L443)+IF(Q443=1,INDEX(新属性投放!R$20:R$23,卡牌属性!M443-1),INDEX(新属性投放!R$25:R$28,卡牌属性!M443-1)))/SQRT(INDEX($I$5:$I$42,L443)),2)</f>
        <v>55379.74</v>
      </c>
      <c r="U443" s="29" t="s">
        <v>178</v>
      </c>
      <c r="V443" s="14">
        <f>ROUND((IF(Q443=1,INDEX(新属性投放!$K$14:$K$34,卡牌属性!R443),INDEX(新属性投放!$K$42:$K$62,卡牌属性!R443))+IF(Q443=1,INDEX(新属性投放!S$20:S$23,卡牌属性!M443-1),INDEX(新属性投放!S$25:S$28,卡牌属性!M443-1)))*INDEX($G$5:$G$42,L443),2)</f>
        <v>27561.99</v>
      </c>
      <c r="W443" s="29" t="s">
        <v>179</v>
      </c>
      <c r="X443" s="14">
        <f>ROUND((IF(Q443=1,INDEX(新属性投放!$L$14:$L$34,卡牌属性!R443),INDEX(新属性投放!$L$42:$L$62,卡牌属性!R443))*INDEX($G$5:$G$42,L443)+IF(Q443=1,INDEX(新属性投放!T$20:T$23,卡牌属性!M443-1),INDEX(新属性投放!T$25:T$28,卡牌属性!M443-1)))*SQRT(INDEX($I$5:$I$42,L443)),2)</f>
        <v>297723.09999999998</v>
      </c>
      <c r="Y443" s="29" t="s">
        <v>177</v>
      </c>
      <c r="Z443" s="14">
        <f>ROUND(IF(Q443=1,INDEX(新属性投放!$D$14:$D$34,卡牌属性!R443),INDEX(新属性投放!$D$42:$D$62,卡牌属性!R443))*INDEX($G$5:$G$42,L443)/SQRT(INDEX($I$5:$I$42,L443)),2)</f>
        <v>1373.5</v>
      </c>
      <c r="AA443" s="29" t="s">
        <v>178</v>
      </c>
      <c r="AB443" s="14">
        <f>ROUND(IF(Q443=1,INDEX(新属性投放!$E$14:$E$34,卡牌属性!R443),INDEX(新属性投放!$E$42:$E$62,卡牌属性!R443))*INDEX($G$5:$G$42,L443),2)</f>
        <v>686.75</v>
      </c>
      <c r="AC443" s="29" t="s">
        <v>179</v>
      </c>
      <c r="AD443" s="14">
        <f>ROUND(IF(Q443=1,INDEX(新属性投放!$F$14:$F$34,卡牌属性!R443),INDEX(新属性投放!$F$42:$F$62,卡牌属性!R443))*INDEX($G$5:$G$42,L443)*SQRT(INDEX($I$5:$I$42,L443)),2)</f>
        <v>6180.1</v>
      </c>
      <c r="AF443" s="14">
        <f t="shared" si="117"/>
        <v>13735</v>
      </c>
      <c r="AG443" s="14">
        <f t="shared" si="118"/>
        <v>6867</v>
      </c>
      <c r="AH443" s="14">
        <f t="shared" si="119"/>
        <v>61801</v>
      </c>
      <c r="AJ443" s="14">
        <f t="shared" si="123"/>
        <v>57655</v>
      </c>
      <c r="AK443" s="14">
        <f t="shared" si="124"/>
        <v>28823</v>
      </c>
      <c r="AL443" s="14">
        <f t="shared" si="125"/>
        <v>259399</v>
      </c>
    </row>
    <row r="444" spans="11:38" ht="16.5" x14ac:dyDescent="0.2">
      <c r="K444" s="13">
        <v>441</v>
      </c>
      <c r="L444" s="13">
        <f t="shared" si="111"/>
        <v>21</v>
      </c>
      <c r="M444" s="13">
        <f t="shared" si="112"/>
        <v>3</v>
      </c>
      <c r="N444" s="14">
        <f t="shared" si="113"/>
        <v>1102005</v>
      </c>
      <c r="O444" s="14" t="str">
        <f t="shared" si="114"/>
        <v>李轩辕21突</v>
      </c>
      <c r="P444" s="29" t="s">
        <v>341</v>
      </c>
      <c r="Q444" s="14">
        <f t="shared" si="115"/>
        <v>2</v>
      </c>
      <c r="R444" s="14">
        <f t="shared" si="116"/>
        <v>21</v>
      </c>
      <c r="S444" s="14" t="s">
        <v>39</v>
      </c>
      <c r="T444" s="14">
        <f>ROUND(((IF(Q444=1,INDEX(新属性投放!$J$14:$J$34,卡牌属性!R444),INDEX(新属性投放!$J$42:$J$62,卡牌属性!R444)))*INDEX($G$5:$G$42,L444)+IF(Q444=1,INDEX(新属性投放!R$20:R$23,卡牌属性!M444-1),INDEX(新属性投放!R$25:R$28,卡牌属性!M444-1)))/SQRT(INDEX($I$5:$I$42,L444)),2)</f>
        <v>72548.66</v>
      </c>
      <c r="U444" s="29" t="s">
        <v>178</v>
      </c>
      <c r="V444" s="14">
        <f>ROUND((IF(Q444=1,INDEX(新属性投放!$K$14:$K$34,卡牌属性!R444),INDEX(新属性投放!$K$42:$K$62,卡牌属性!R444))+IF(Q444=1,INDEX(新属性投放!S$20:S$23,卡牌属性!M444-1),INDEX(新属性投放!S$25:S$28,卡牌属性!M444-1)))*INDEX($G$5:$G$42,L444),2)</f>
        <v>36146.46</v>
      </c>
      <c r="W444" s="29" t="s">
        <v>179</v>
      </c>
      <c r="X444" s="14">
        <f>ROUND((IF(Q444=1,INDEX(新属性投放!$L$14:$L$34,卡牌属性!R444),INDEX(新属性投放!$L$42:$L$62,卡牌属性!R444))*INDEX($G$5:$G$42,L444)+IF(Q444=1,INDEX(新属性投放!T$20:T$23,卡牌属性!M444-1),INDEX(新属性投放!T$25:T$28,卡牌属性!M444-1)))*SQRT(INDEX($I$5:$I$42,L444)),2)</f>
        <v>390429.2</v>
      </c>
      <c r="Y444" s="29" t="s">
        <v>177</v>
      </c>
      <c r="Z444" s="14">
        <f>ROUND(IF(Q444=1,INDEX(新属性投放!$D$14:$D$34,卡牌属性!R444),INDEX(新属性投放!$D$42:$D$62,卡牌属性!R444))*INDEX($G$5:$G$42,L444)/SQRT(INDEX($I$5:$I$42,L444)),2)</f>
        <v>1802.73</v>
      </c>
      <c r="AA444" s="29" t="s">
        <v>178</v>
      </c>
      <c r="AB444" s="14">
        <f>ROUND(IF(Q444=1,INDEX(新属性投放!$E$14:$E$34,卡牌属性!R444),INDEX(新属性投放!$E$42:$E$62,卡牌属性!R444))*INDEX($G$5:$G$42,L444),2)</f>
        <v>901.36</v>
      </c>
      <c r="AC444" s="29" t="s">
        <v>179</v>
      </c>
      <c r="AD444" s="14">
        <f>ROUND(IF(Q444=1,INDEX(新属性投放!$F$14:$F$34,卡牌属性!R444),INDEX(新属性投放!$F$42:$F$62,卡牌属性!R444))*INDEX($G$5:$G$42,L444)*SQRT(INDEX($I$5:$I$42,L444)),2)</f>
        <v>8112.1</v>
      </c>
      <c r="AF444" s="14">
        <f t="shared" si="117"/>
        <v>18027</v>
      </c>
      <c r="AG444" s="14">
        <f t="shared" si="118"/>
        <v>9013</v>
      </c>
      <c r="AH444" s="14">
        <f t="shared" si="119"/>
        <v>81121</v>
      </c>
      <c r="AJ444" s="14">
        <f t="shared" si="123"/>
        <v>75682</v>
      </c>
      <c r="AK444" s="14">
        <f t="shared" si="124"/>
        <v>37836</v>
      </c>
      <c r="AL444" s="14">
        <f t="shared" si="125"/>
        <v>340520</v>
      </c>
    </row>
    <row r="445" spans="11:38" ht="16.5" x14ac:dyDescent="0.2">
      <c r="K445" s="13">
        <v>442</v>
      </c>
      <c r="L445" s="13">
        <f t="shared" si="111"/>
        <v>22</v>
      </c>
      <c r="M445" s="13">
        <f t="shared" si="112"/>
        <v>5</v>
      </c>
      <c r="N445" s="14">
        <f t="shared" si="113"/>
        <v>1102006</v>
      </c>
      <c r="O445" s="14" t="str">
        <f t="shared" si="114"/>
        <v>项羽1突</v>
      </c>
      <c r="P445" s="29" t="s">
        <v>341</v>
      </c>
      <c r="Q445" s="14">
        <f t="shared" si="115"/>
        <v>2</v>
      </c>
      <c r="R445" s="14">
        <f t="shared" si="116"/>
        <v>1</v>
      </c>
      <c r="S445" s="14" t="s">
        <v>39</v>
      </c>
      <c r="T445" s="14">
        <f>ROUND(((IF(Q445=1,INDEX(新属性投放!$J$14:$J$34,卡牌属性!R445),INDEX(新属性投放!$J$42:$J$62,卡牌属性!R445)))*INDEX($G$5:$G$42,L445)+IF(Q445=1,INDEX(新属性投放!R$20:R$23,卡牌属性!M445-1),INDEX(新属性投放!R$25:R$28,卡牌属性!M445-1)))/SQRT(INDEX($I$5:$I$42,L445)),2)</f>
        <v>900</v>
      </c>
      <c r="U445" s="29" t="s">
        <v>178</v>
      </c>
      <c r="V445" s="14">
        <f>ROUND((IF(Q445=1,INDEX(新属性投放!$K$14:$K$34,卡牌属性!R445),INDEX(新属性投放!$K$42:$K$62,卡牌属性!R445))+IF(Q445=1,INDEX(新属性投放!S$20:S$23,卡牌属性!M445-1),INDEX(新属性投放!S$25:S$28,卡牌属性!M445-1)))*INDEX($G$5:$G$42,L445),2)</f>
        <v>150</v>
      </c>
      <c r="W445" s="29" t="s">
        <v>179</v>
      </c>
      <c r="X445" s="14">
        <f>ROUND((IF(Q445=1,INDEX(新属性投放!$L$14:$L$34,卡牌属性!R445),INDEX(新属性投放!$L$42:$L$62,卡牌属性!R445))*INDEX($G$5:$G$42,L445)+IF(Q445=1,INDEX(新属性投放!T$20:T$23,卡牌属性!M445-1),INDEX(新属性投放!T$25:T$28,卡牌属性!M445-1)))*SQRT(INDEX($I$5:$I$42,L445)),2)</f>
        <v>3475</v>
      </c>
      <c r="Y445" s="29" t="s">
        <v>177</v>
      </c>
      <c r="Z445" s="14">
        <f>ROUND(IF(Q445=1,INDEX(新属性投放!$D$14:$D$34,卡牌属性!R445),INDEX(新属性投放!$D$42:$D$62,卡牌属性!R445))*INDEX($G$5:$G$42,L445)/SQRT(INDEX($I$5:$I$42,L445)),2)</f>
        <v>15</v>
      </c>
      <c r="AA445" s="29" t="s">
        <v>178</v>
      </c>
      <c r="AB445" s="14">
        <f>ROUND(IF(Q445=1,INDEX(新属性投放!$E$14:$E$34,卡牌属性!R445),INDEX(新属性投放!$E$42:$E$62,卡牌属性!R445))*INDEX($G$5:$G$42,L445),2)</f>
        <v>7.5</v>
      </c>
      <c r="AC445" s="29" t="s">
        <v>179</v>
      </c>
      <c r="AD445" s="14">
        <f>ROUND(IF(Q445=1,INDEX(新属性投放!$F$14:$F$34,卡牌属性!R445),INDEX(新属性投放!$F$42:$F$62,卡牌属性!R445))*INDEX($G$5:$G$42,L445)*SQRT(INDEX($I$5:$I$42,L445)),2)</f>
        <v>67.5</v>
      </c>
      <c r="AF445" s="14">
        <f t="shared" si="117"/>
        <v>150</v>
      </c>
      <c r="AG445" s="14">
        <f t="shared" si="118"/>
        <v>75</v>
      </c>
      <c r="AH445" s="14">
        <f t="shared" si="119"/>
        <v>675</v>
      </c>
      <c r="AJ445" s="14">
        <f>AF445</f>
        <v>150</v>
      </c>
      <c r="AK445" s="14">
        <f>AG445</f>
        <v>75</v>
      </c>
      <c r="AL445" s="14">
        <f>AH445</f>
        <v>675</v>
      </c>
    </row>
    <row r="446" spans="11:38" ht="16.5" x14ac:dyDescent="0.2">
      <c r="K446" s="13">
        <v>443</v>
      </c>
      <c r="L446" s="13">
        <f t="shared" si="111"/>
        <v>22</v>
      </c>
      <c r="M446" s="13">
        <f t="shared" si="112"/>
        <v>5</v>
      </c>
      <c r="N446" s="14">
        <f t="shared" si="113"/>
        <v>1102006</v>
      </c>
      <c r="O446" s="14" t="str">
        <f t="shared" si="114"/>
        <v>项羽2突</v>
      </c>
      <c r="P446" s="29" t="s">
        <v>341</v>
      </c>
      <c r="Q446" s="14">
        <f t="shared" si="115"/>
        <v>2</v>
      </c>
      <c r="R446" s="14">
        <f t="shared" si="116"/>
        <v>2</v>
      </c>
      <c r="S446" s="14" t="s">
        <v>39</v>
      </c>
      <c r="T446" s="14">
        <f>ROUND(((IF(Q446=1,INDEX(新属性投放!$J$14:$J$34,卡牌属性!R446),INDEX(新属性投放!$J$42:$J$62,卡牌属性!R446)))*INDEX($G$5:$G$42,L446)+IF(Q446=1,INDEX(新属性投放!R$20:R$23,卡牌属性!M446-1),INDEX(新属性投放!R$25:R$28,卡牌属性!M446-1)))/SQRT(INDEX($I$5:$I$42,L446)),2)</f>
        <v>1072.5</v>
      </c>
      <c r="U446" s="29" t="s">
        <v>178</v>
      </c>
      <c r="V446" s="14">
        <f>ROUND((IF(Q446=1,INDEX(新属性投放!$K$14:$K$34,卡牌属性!R446),INDEX(新属性投放!$K$42:$K$62,卡牌属性!R446))+IF(Q446=1,INDEX(新属性投放!S$20:S$23,卡牌属性!M446-1),INDEX(新属性投放!S$25:S$28,卡牌属性!M446-1)))*INDEX($G$5:$G$42,L446),2)</f>
        <v>232.5</v>
      </c>
      <c r="W446" s="29" t="s">
        <v>179</v>
      </c>
      <c r="X446" s="14">
        <f>ROUND((IF(Q446=1,INDEX(新属性投放!$L$14:$L$34,卡牌属性!R446),INDEX(新属性投放!$L$42:$L$62,卡牌属性!R446))*INDEX($G$5:$G$42,L446)+IF(Q446=1,INDEX(新属性投放!T$20:T$23,卡牌属性!M446-1),INDEX(新属性投放!T$25:T$28,卡牌属性!M446-1)))*SQRT(INDEX($I$5:$I$42,L446)),2)</f>
        <v>4420</v>
      </c>
      <c r="Y446" s="29" t="s">
        <v>177</v>
      </c>
      <c r="Z446" s="14">
        <f>ROUND(IF(Q446=1,INDEX(新属性投放!$D$14:$D$34,卡牌属性!R446),INDEX(新属性投放!$D$42:$D$62,卡牌属性!R446))*INDEX($G$5:$G$42,L446)/SQRT(INDEX($I$5:$I$42,L446)),2)</f>
        <v>15</v>
      </c>
      <c r="AA446" s="29" t="s">
        <v>178</v>
      </c>
      <c r="AB446" s="14">
        <f>ROUND(IF(Q446=1,INDEX(新属性投放!$E$14:$E$34,卡牌属性!R446),INDEX(新属性投放!$E$42:$E$62,卡牌属性!R446))*INDEX($G$5:$G$42,L446),2)</f>
        <v>7.5</v>
      </c>
      <c r="AC446" s="29" t="s">
        <v>179</v>
      </c>
      <c r="AD446" s="14">
        <f>ROUND(IF(Q446=1,INDEX(新属性投放!$F$14:$F$34,卡牌属性!R446),INDEX(新属性投放!$F$42:$F$62,卡牌属性!R446))*INDEX($G$5:$G$42,L446)*SQRT(INDEX($I$5:$I$42,L446)),2)</f>
        <v>67.5</v>
      </c>
      <c r="AF446" s="14">
        <f t="shared" si="117"/>
        <v>150</v>
      </c>
      <c r="AG446" s="14">
        <f t="shared" si="118"/>
        <v>75</v>
      </c>
      <c r="AH446" s="14">
        <f t="shared" si="119"/>
        <v>675</v>
      </c>
      <c r="AJ446" s="14">
        <f t="shared" ref="AJ446:AJ465" si="126">AJ445+AF446</f>
        <v>300</v>
      </c>
      <c r="AK446" s="14">
        <f t="shared" ref="AK446:AK465" si="127">AK445+AG446</f>
        <v>150</v>
      </c>
      <c r="AL446" s="14">
        <f t="shared" ref="AL446:AL465" si="128">AL445+AH446</f>
        <v>1350</v>
      </c>
    </row>
    <row r="447" spans="11:38" ht="16.5" x14ac:dyDescent="0.2">
      <c r="K447" s="13">
        <v>444</v>
      </c>
      <c r="L447" s="13">
        <f t="shared" si="111"/>
        <v>22</v>
      </c>
      <c r="M447" s="13">
        <f t="shared" si="112"/>
        <v>5</v>
      </c>
      <c r="N447" s="14">
        <f t="shared" si="113"/>
        <v>1102006</v>
      </c>
      <c r="O447" s="14" t="str">
        <f t="shared" si="114"/>
        <v>项羽3突</v>
      </c>
      <c r="P447" s="29" t="s">
        <v>341</v>
      </c>
      <c r="Q447" s="14">
        <f t="shared" si="115"/>
        <v>2</v>
      </c>
      <c r="R447" s="14">
        <f t="shared" si="116"/>
        <v>3</v>
      </c>
      <c r="S447" s="14" t="s">
        <v>39</v>
      </c>
      <c r="T447" s="14">
        <f>ROUND(((IF(Q447=1,INDEX(新属性投放!$J$14:$J$34,卡牌属性!R447),INDEX(新属性投放!$J$42:$J$62,卡牌属性!R447)))*INDEX($G$5:$G$42,L447)+IF(Q447=1,INDEX(新属性投放!R$20:R$23,卡牌属性!M447-1),INDEX(新属性投放!R$25:R$28,卡牌属性!M447-1)))/SQRT(INDEX($I$5:$I$42,L447)),2)</f>
        <v>1260</v>
      </c>
      <c r="U447" s="29" t="s">
        <v>178</v>
      </c>
      <c r="V447" s="14">
        <f>ROUND((IF(Q447=1,INDEX(新属性投放!$K$14:$K$34,卡牌属性!R447),INDEX(新属性投放!$K$42:$K$62,卡牌属性!R447))+IF(Q447=1,INDEX(新属性投放!S$20:S$23,卡牌属性!M447-1),INDEX(新属性投放!S$25:S$28,卡牌属性!M447-1)))*INDEX($G$5:$G$42,L447),2)</f>
        <v>327</v>
      </c>
      <c r="W447" s="29" t="s">
        <v>179</v>
      </c>
      <c r="X447" s="14">
        <f>ROUND((IF(Q447=1,INDEX(新属性投放!$L$14:$L$34,卡牌属性!R447),INDEX(新属性投放!$L$42:$L$62,卡牌属性!R447))*INDEX($G$5:$G$42,L447)+IF(Q447=1,INDEX(新属性投放!T$20:T$23,卡牌属性!M447-1),INDEX(新属性投放!T$25:T$28,卡牌属性!M447-1)))*SQRT(INDEX($I$5:$I$42,L447)),2)</f>
        <v>5432.5</v>
      </c>
      <c r="Y447" s="29" t="s">
        <v>177</v>
      </c>
      <c r="Z447" s="14">
        <f>ROUND(IF(Q447=1,INDEX(新属性投放!$D$14:$D$34,卡牌属性!R447),INDEX(新属性投放!$D$42:$D$62,卡牌属性!R447))*INDEX($G$5:$G$42,L447)/SQRT(INDEX($I$5:$I$42,L447)),2)</f>
        <v>22.5</v>
      </c>
      <c r="AA447" s="29" t="s">
        <v>178</v>
      </c>
      <c r="AB447" s="14">
        <f>ROUND(IF(Q447=1,INDEX(新属性投放!$E$14:$E$34,卡牌属性!R447),INDEX(新属性投放!$E$42:$E$62,卡牌属性!R447))*INDEX($G$5:$G$42,L447),2)</f>
        <v>11.25</v>
      </c>
      <c r="AC447" s="29" t="s">
        <v>179</v>
      </c>
      <c r="AD447" s="14">
        <f>ROUND(IF(Q447=1,INDEX(新属性投放!$F$14:$F$34,卡牌属性!R447),INDEX(新属性投放!$F$42:$F$62,卡牌属性!R447))*INDEX($G$5:$G$42,L447)*SQRT(INDEX($I$5:$I$42,L447)),2)</f>
        <v>100.5</v>
      </c>
      <c r="AF447" s="14">
        <f t="shared" si="117"/>
        <v>225</v>
      </c>
      <c r="AG447" s="14">
        <f t="shared" si="118"/>
        <v>112</v>
      </c>
      <c r="AH447" s="14">
        <f t="shared" si="119"/>
        <v>1005</v>
      </c>
      <c r="AJ447" s="14">
        <f t="shared" si="126"/>
        <v>525</v>
      </c>
      <c r="AK447" s="14">
        <f t="shared" si="127"/>
        <v>262</v>
      </c>
      <c r="AL447" s="14">
        <f t="shared" si="128"/>
        <v>2355</v>
      </c>
    </row>
    <row r="448" spans="11:38" ht="16.5" x14ac:dyDescent="0.2">
      <c r="K448" s="13">
        <v>445</v>
      </c>
      <c r="L448" s="13">
        <f t="shared" si="111"/>
        <v>22</v>
      </c>
      <c r="M448" s="13">
        <f t="shared" si="112"/>
        <v>5</v>
      </c>
      <c r="N448" s="14">
        <f t="shared" si="113"/>
        <v>1102006</v>
      </c>
      <c r="O448" s="14" t="str">
        <f t="shared" si="114"/>
        <v>项羽4突</v>
      </c>
      <c r="P448" s="29" t="s">
        <v>341</v>
      </c>
      <c r="Q448" s="14">
        <f t="shared" si="115"/>
        <v>2</v>
      </c>
      <c r="R448" s="14">
        <f t="shared" si="116"/>
        <v>4</v>
      </c>
      <c r="S448" s="14" t="s">
        <v>39</v>
      </c>
      <c r="T448" s="14">
        <f>ROUND(((IF(Q448=1,INDEX(新属性投放!$J$14:$J$34,卡牌属性!R448),INDEX(新属性投放!$J$42:$J$62,卡牌属性!R448)))*INDEX($G$5:$G$42,L448)+IF(Q448=1,INDEX(新属性投放!R$20:R$23,卡牌属性!M448-1),INDEX(新属性投放!R$25:R$28,卡牌属性!M448-1)))/SQRT(INDEX($I$5:$I$42,L448)),2)</f>
        <v>1542</v>
      </c>
      <c r="U448" s="29" t="s">
        <v>178</v>
      </c>
      <c r="V448" s="14">
        <f>ROUND((IF(Q448=1,INDEX(新属性投放!$K$14:$K$34,卡牌属性!R448),INDEX(新属性投放!$K$42:$K$62,卡牌属性!R448))+IF(Q448=1,INDEX(新属性投放!S$20:S$23,卡牌属性!M448-1),INDEX(新属性投放!S$25:S$28,卡牌属性!M448-1)))*INDEX($G$5:$G$42,L448),2)</f>
        <v>468</v>
      </c>
      <c r="W448" s="29" t="s">
        <v>179</v>
      </c>
      <c r="X448" s="14">
        <f>ROUND((IF(Q448=1,INDEX(新属性投放!$L$14:$L$34,卡牌属性!R448),INDEX(新属性投放!$L$42:$L$62,卡牌属性!R448))*INDEX($G$5:$G$42,L448)+IF(Q448=1,INDEX(新属性投放!T$20:T$23,卡牌属性!M448-1),INDEX(新属性投放!T$25:T$28,卡牌属性!M448-1)))*SQRT(INDEX($I$5:$I$42,L448)),2)</f>
        <v>6950.5</v>
      </c>
      <c r="Y448" s="29" t="s">
        <v>177</v>
      </c>
      <c r="Z448" s="14">
        <f>ROUND(IF(Q448=1,INDEX(新属性投放!$D$14:$D$34,卡牌属性!R448),INDEX(新属性投放!$D$42:$D$62,卡牌属性!R448))*INDEX($G$5:$G$42,L448)/SQRT(INDEX($I$5:$I$42,L448)),2)</f>
        <v>30</v>
      </c>
      <c r="AA448" s="29" t="s">
        <v>178</v>
      </c>
      <c r="AB448" s="14">
        <f>ROUND(IF(Q448=1,INDEX(新属性投放!$E$14:$E$34,卡牌属性!R448),INDEX(新属性投放!$E$42:$E$62,卡牌属性!R448))*INDEX($G$5:$G$42,L448),2)</f>
        <v>15</v>
      </c>
      <c r="AC448" s="29" t="s">
        <v>179</v>
      </c>
      <c r="AD448" s="14">
        <f>ROUND(IF(Q448=1,INDEX(新属性投放!$F$14:$F$34,卡牌属性!R448),INDEX(新属性投放!$F$42:$F$62,卡牌属性!R448))*INDEX($G$5:$G$42,L448)*SQRT(INDEX($I$5:$I$42,L448)),2)</f>
        <v>135</v>
      </c>
      <c r="AF448" s="14">
        <f t="shared" si="117"/>
        <v>300</v>
      </c>
      <c r="AG448" s="14">
        <f t="shared" si="118"/>
        <v>150</v>
      </c>
      <c r="AH448" s="14">
        <f t="shared" si="119"/>
        <v>1350</v>
      </c>
      <c r="AJ448" s="14">
        <f t="shared" si="126"/>
        <v>825</v>
      </c>
      <c r="AK448" s="14">
        <f t="shared" si="127"/>
        <v>412</v>
      </c>
      <c r="AL448" s="14">
        <f t="shared" si="128"/>
        <v>3705</v>
      </c>
    </row>
    <row r="449" spans="11:38" ht="16.5" x14ac:dyDescent="0.2">
      <c r="K449" s="13">
        <v>446</v>
      </c>
      <c r="L449" s="13">
        <f t="shared" si="111"/>
        <v>22</v>
      </c>
      <c r="M449" s="13">
        <f t="shared" si="112"/>
        <v>5</v>
      </c>
      <c r="N449" s="14">
        <f t="shared" si="113"/>
        <v>1102006</v>
      </c>
      <c r="O449" s="14" t="str">
        <f t="shared" si="114"/>
        <v>项羽5突</v>
      </c>
      <c r="P449" s="29" t="s">
        <v>341</v>
      </c>
      <c r="Q449" s="14">
        <f t="shared" si="115"/>
        <v>2</v>
      </c>
      <c r="R449" s="14">
        <f t="shared" si="116"/>
        <v>5</v>
      </c>
      <c r="S449" s="14" t="s">
        <v>39</v>
      </c>
      <c r="T449" s="14">
        <f>ROUND(((IF(Q449=1,INDEX(新属性投放!$J$14:$J$34,卡牌属性!R449),INDEX(新属性投放!$J$42:$J$62,卡牌属性!R449)))*INDEX($G$5:$G$42,L449)+IF(Q449=1,INDEX(新属性投放!R$20:R$23,卡牌属性!M449-1),INDEX(新属性投放!R$25:R$28,卡牌属性!M449-1)))/SQRT(INDEX($I$5:$I$42,L449)),2)</f>
        <v>1917</v>
      </c>
      <c r="U449" s="29" t="s">
        <v>178</v>
      </c>
      <c r="V449" s="14">
        <f>ROUND((IF(Q449=1,INDEX(新属性投放!$K$14:$K$34,卡牌属性!R449),INDEX(新属性投放!$K$42:$K$62,卡牌属性!R449))+IF(Q449=1,INDEX(新属性投放!S$20:S$23,卡牌属性!M449-1),INDEX(新属性投放!S$25:S$28,卡牌属性!M449-1)))*INDEX($G$5:$G$42,L449),2)</f>
        <v>655.5</v>
      </c>
      <c r="W449" s="29" t="s">
        <v>179</v>
      </c>
      <c r="X449" s="14">
        <f>ROUND((IF(Q449=1,INDEX(新属性投放!$L$14:$L$34,卡牌属性!R449),INDEX(新属性投放!$L$42:$L$62,卡牌属性!R449))*INDEX($G$5:$G$42,L449)+IF(Q449=1,INDEX(新属性投放!T$20:T$23,卡牌属性!M449-1),INDEX(新属性投放!T$25:T$28,卡牌属性!M449-1)))*SQRT(INDEX($I$5:$I$42,L449)),2)</f>
        <v>8975.5</v>
      </c>
      <c r="Y449" s="29" t="s">
        <v>177</v>
      </c>
      <c r="Z449" s="14">
        <f>ROUND(IF(Q449=1,INDEX(新属性投放!$D$14:$D$34,卡牌属性!R449),INDEX(新属性投放!$D$42:$D$62,卡牌属性!R449))*INDEX($G$5:$G$42,L449)/SQRT(INDEX($I$5:$I$42,L449)),2)</f>
        <v>37.5</v>
      </c>
      <c r="AA449" s="29" t="s">
        <v>178</v>
      </c>
      <c r="AB449" s="14">
        <f>ROUND(IF(Q449=1,INDEX(新属性投放!$E$14:$E$34,卡牌属性!R449),INDEX(新属性投放!$E$42:$E$62,卡牌属性!R449))*INDEX($G$5:$G$42,L449),2)</f>
        <v>18.75</v>
      </c>
      <c r="AC449" s="29" t="s">
        <v>179</v>
      </c>
      <c r="AD449" s="14">
        <f>ROUND(IF(Q449=1,INDEX(新属性投放!$F$14:$F$34,卡牌属性!R449),INDEX(新属性投放!$F$42:$F$62,卡牌属性!R449))*INDEX($G$5:$G$42,L449)*SQRT(INDEX($I$5:$I$42,L449)),2)</f>
        <v>168</v>
      </c>
      <c r="AF449" s="14">
        <f t="shared" si="117"/>
        <v>375</v>
      </c>
      <c r="AG449" s="14">
        <f t="shared" si="118"/>
        <v>187</v>
      </c>
      <c r="AH449" s="14">
        <f t="shared" si="119"/>
        <v>1680</v>
      </c>
      <c r="AJ449" s="14">
        <f t="shared" si="126"/>
        <v>1200</v>
      </c>
      <c r="AK449" s="14">
        <f t="shared" si="127"/>
        <v>599</v>
      </c>
      <c r="AL449" s="14">
        <f t="shared" si="128"/>
        <v>5385</v>
      </c>
    </row>
    <row r="450" spans="11:38" ht="16.5" x14ac:dyDescent="0.2">
      <c r="K450" s="13">
        <v>447</v>
      </c>
      <c r="L450" s="13">
        <f t="shared" si="111"/>
        <v>22</v>
      </c>
      <c r="M450" s="13">
        <f t="shared" si="112"/>
        <v>5</v>
      </c>
      <c r="N450" s="14">
        <f t="shared" si="113"/>
        <v>1102006</v>
      </c>
      <c r="O450" s="14" t="str">
        <f t="shared" si="114"/>
        <v>项羽6突</v>
      </c>
      <c r="P450" s="29" t="s">
        <v>341</v>
      </c>
      <c r="Q450" s="14">
        <f t="shared" si="115"/>
        <v>2</v>
      </c>
      <c r="R450" s="14">
        <f t="shared" si="116"/>
        <v>6</v>
      </c>
      <c r="S450" s="14" t="s">
        <v>39</v>
      </c>
      <c r="T450" s="14">
        <f>ROUND(((IF(Q450=1,INDEX(新属性投放!$J$14:$J$34,卡牌属性!R450),INDEX(新属性投放!$J$42:$J$62,卡牌属性!R450)))*INDEX($G$5:$G$42,L450)+IF(Q450=1,INDEX(新属性投放!R$20:R$23,卡牌属性!M450-1),INDEX(新属性投放!R$25:R$28,卡牌属性!M450-1)))/SQRT(INDEX($I$5:$I$42,L450)),2)</f>
        <v>2386.5</v>
      </c>
      <c r="U450" s="29" t="s">
        <v>178</v>
      </c>
      <c r="V450" s="14">
        <f>ROUND((IF(Q450=1,INDEX(新属性投放!$K$14:$K$34,卡牌属性!R450),INDEX(新属性投放!$K$42:$K$62,卡牌属性!R450))+IF(Q450=1,INDEX(新属性投放!S$20:S$23,卡牌属性!M450-1),INDEX(新属性投放!S$25:S$28,卡牌属性!M450-1)))*INDEX($G$5:$G$42,L450),2)</f>
        <v>889.5</v>
      </c>
      <c r="W450" s="29" t="s">
        <v>179</v>
      </c>
      <c r="X450" s="14">
        <f>ROUND((IF(Q450=1,INDEX(新属性投放!$L$14:$L$34,卡牌属性!R450),INDEX(新属性投放!$L$42:$L$62,卡牌属性!R450))*INDEX($G$5:$G$42,L450)+IF(Q450=1,INDEX(新属性投放!T$20:T$23,卡牌属性!M450-1),INDEX(新属性投放!T$25:T$28,卡牌属性!M450-1)))*SQRT(INDEX($I$5:$I$42,L450)),2)</f>
        <v>11506</v>
      </c>
      <c r="Y450" s="29" t="s">
        <v>177</v>
      </c>
      <c r="Z450" s="14">
        <f>ROUND(IF(Q450=1,INDEX(新属性投放!$D$14:$D$34,卡牌属性!R450),INDEX(新属性投放!$D$42:$D$62,卡牌属性!R450))*INDEX($G$5:$G$42,L450)/SQRT(INDEX($I$5:$I$42,L450)),2)</f>
        <v>45</v>
      </c>
      <c r="AA450" s="29" t="s">
        <v>178</v>
      </c>
      <c r="AB450" s="14">
        <f>ROUND(IF(Q450=1,INDEX(新属性投放!$E$14:$E$34,卡牌属性!R450),INDEX(新属性投放!$E$42:$E$62,卡牌属性!R450))*INDEX($G$5:$G$42,L450),2)</f>
        <v>22.5</v>
      </c>
      <c r="AC450" s="29" t="s">
        <v>179</v>
      </c>
      <c r="AD450" s="14">
        <f>ROUND(IF(Q450=1,INDEX(新属性投放!$F$14:$F$34,卡牌属性!R450),INDEX(新属性投放!$F$42:$F$62,卡牌属性!R450))*INDEX($G$5:$G$42,L450)*SQRT(INDEX($I$5:$I$42,L450)),2)</f>
        <v>202.5</v>
      </c>
      <c r="AF450" s="14">
        <f t="shared" si="117"/>
        <v>450</v>
      </c>
      <c r="AG450" s="14">
        <f t="shared" si="118"/>
        <v>225</v>
      </c>
      <c r="AH450" s="14">
        <f t="shared" si="119"/>
        <v>2025</v>
      </c>
      <c r="AJ450" s="14">
        <f t="shared" si="126"/>
        <v>1650</v>
      </c>
      <c r="AK450" s="14">
        <f t="shared" si="127"/>
        <v>824</v>
      </c>
      <c r="AL450" s="14">
        <f t="shared" si="128"/>
        <v>7410</v>
      </c>
    </row>
    <row r="451" spans="11:38" ht="16.5" x14ac:dyDescent="0.2">
      <c r="K451" s="13">
        <v>448</v>
      </c>
      <c r="L451" s="13">
        <f t="shared" si="111"/>
        <v>22</v>
      </c>
      <c r="M451" s="13">
        <f t="shared" si="112"/>
        <v>5</v>
      </c>
      <c r="N451" s="14">
        <f t="shared" si="113"/>
        <v>1102006</v>
      </c>
      <c r="O451" s="14" t="str">
        <f t="shared" si="114"/>
        <v>项羽7突</v>
      </c>
      <c r="P451" s="29" t="s">
        <v>341</v>
      </c>
      <c r="Q451" s="14">
        <f t="shared" si="115"/>
        <v>2</v>
      </c>
      <c r="R451" s="14">
        <f t="shared" si="116"/>
        <v>7</v>
      </c>
      <c r="S451" s="14" t="s">
        <v>39</v>
      </c>
      <c r="T451" s="14">
        <f>ROUND(((IF(Q451=1,INDEX(新属性投放!$J$14:$J$34,卡牌属性!R451),INDEX(新属性投放!$J$42:$J$62,卡牌属性!R451)))*INDEX($G$5:$G$42,L451)+IF(Q451=1,INDEX(新属性投放!R$20:R$23,卡牌属性!M451-1),INDEX(新属性投放!R$25:R$28,卡牌属性!M451-1)))/SQRT(INDEX($I$5:$I$42,L451)),2)</f>
        <v>2949</v>
      </c>
      <c r="U451" s="29" t="s">
        <v>178</v>
      </c>
      <c r="V451" s="14">
        <f>ROUND((IF(Q451=1,INDEX(新属性投放!$K$14:$K$34,卡牌属性!R451),INDEX(新属性投放!$K$42:$K$62,卡牌属性!R451))+IF(Q451=1,INDEX(新属性投放!S$20:S$23,卡牌属性!M451-1),INDEX(新属性投放!S$25:S$28,卡牌属性!M451-1)))*INDEX($G$5:$G$42,L451),2)</f>
        <v>1171.5</v>
      </c>
      <c r="W451" s="29" t="s">
        <v>179</v>
      </c>
      <c r="X451" s="14">
        <f>ROUND((IF(Q451=1,INDEX(新属性投放!$L$14:$L$34,卡牌属性!R451),INDEX(新属性投放!$L$42:$L$62,卡牌属性!R451))*INDEX($G$5:$G$42,L451)+IF(Q451=1,INDEX(新属性投放!T$20:T$23,卡牌属性!M451-1),INDEX(新属性投放!T$25:T$28,卡牌属性!M451-1)))*SQRT(INDEX($I$5:$I$42,L451)),2)</f>
        <v>14543.5</v>
      </c>
      <c r="Y451" s="29" t="s">
        <v>177</v>
      </c>
      <c r="Z451" s="14">
        <f>ROUND(IF(Q451=1,INDEX(新属性投放!$D$14:$D$34,卡牌属性!R451),INDEX(新属性投放!$D$42:$D$62,卡牌属性!R451))*INDEX($G$5:$G$42,L451)/SQRT(INDEX($I$5:$I$42,L451)),2)</f>
        <v>52.5</v>
      </c>
      <c r="AA451" s="29" t="s">
        <v>178</v>
      </c>
      <c r="AB451" s="14">
        <f>ROUND(IF(Q451=1,INDEX(新属性投放!$E$14:$E$34,卡牌属性!R451),INDEX(新属性投放!$E$42:$E$62,卡牌属性!R451))*INDEX($G$5:$G$42,L451),2)</f>
        <v>26.25</v>
      </c>
      <c r="AC451" s="29" t="s">
        <v>179</v>
      </c>
      <c r="AD451" s="14">
        <f>ROUND(IF(Q451=1,INDEX(新属性投放!$F$14:$F$34,卡牌属性!R451),INDEX(新属性投放!$F$42:$F$62,卡牌属性!R451))*INDEX($G$5:$G$42,L451)*SQRT(INDEX($I$5:$I$42,L451)),2)</f>
        <v>235.5</v>
      </c>
      <c r="AF451" s="14">
        <f t="shared" si="117"/>
        <v>525</v>
      </c>
      <c r="AG451" s="14">
        <f t="shared" si="118"/>
        <v>262</v>
      </c>
      <c r="AH451" s="14">
        <f t="shared" si="119"/>
        <v>2355</v>
      </c>
      <c r="AJ451" s="14">
        <f t="shared" si="126"/>
        <v>2175</v>
      </c>
      <c r="AK451" s="14">
        <f t="shared" si="127"/>
        <v>1086</v>
      </c>
      <c r="AL451" s="14">
        <f t="shared" si="128"/>
        <v>9765</v>
      </c>
    </row>
    <row r="452" spans="11:38" ht="16.5" x14ac:dyDescent="0.2">
      <c r="K452" s="13">
        <v>449</v>
      </c>
      <c r="L452" s="13">
        <f t="shared" si="111"/>
        <v>22</v>
      </c>
      <c r="M452" s="13">
        <f t="shared" si="112"/>
        <v>5</v>
      </c>
      <c r="N452" s="14">
        <f t="shared" si="113"/>
        <v>1102006</v>
      </c>
      <c r="O452" s="14" t="str">
        <f t="shared" si="114"/>
        <v>项羽8突</v>
      </c>
      <c r="P452" s="29" t="s">
        <v>341</v>
      </c>
      <c r="Q452" s="14">
        <f t="shared" si="115"/>
        <v>2</v>
      </c>
      <c r="R452" s="14">
        <f t="shared" si="116"/>
        <v>8</v>
      </c>
      <c r="S452" s="14" t="s">
        <v>39</v>
      </c>
      <c r="T452" s="14">
        <f>ROUND(((IF(Q452=1,INDEX(新属性投放!$J$14:$J$34,卡牌属性!R452),INDEX(新属性投放!$J$42:$J$62,卡牌属性!R452)))*INDEX($G$5:$G$42,L452)+IF(Q452=1,INDEX(新属性投放!R$20:R$23,卡牌属性!M452-1),INDEX(新属性投放!R$25:R$28,卡牌属性!M452-1)))/SQRT(INDEX($I$5:$I$42,L452)),2)</f>
        <v>3606</v>
      </c>
      <c r="U452" s="29" t="s">
        <v>178</v>
      </c>
      <c r="V452" s="14">
        <f>ROUND((IF(Q452=1,INDEX(新属性投放!$K$14:$K$34,卡牌属性!R452),INDEX(新属性投放!$K$42:$K$62,卡牌属性!R452))+IF(Q452=1,INDEX(新属性投放!S$20:S$23,卡牌属性!M452-1),INDEX(新属性投放!S$25:S$28,卡牌属性!M452-1)))*INDEX($G$5:$G$42,L452),2)</f>
        <v>1500</v>
      </c>
      <c r="W452" s="29" t="s">
        <v>179</v>
      </c>
      <c r="X452" s="14">
        <f>ROUND((IF(Q452=1,INDEX(新属性投放!$L$14:$L$34,卡牌属性!R452),INDEX(新属性投放!$L$42:$L$62,卡牌属性!R452))*INDEX($G$5:$G$42,L452)+IF(Q452=1,INDEX(新属性投放!T$20:T$23,卡牌属性!M452-1),INDEX(新属性投放!T$25:T$28,卡牌属性!M452-1)))*SQRT(INDEX($I$5:$I$42,L452)),2)</f>
        <v>18086.5</v>
      </c>
      <c r="Y452" s="29" t="s">
        <v>177</v>
      </c>
      <c r="Z452" s="14">
        <f>ROUND(IF(Q452=1,INDEX(新属性投放!$D$14:$D$34,卡牌属性!R452),INDEX(新属性投放!$D$42:$D$62,卡牌属性!R452))*INDEX($G$5:$G$42,L452)/SQRT(INDEX($I$5:$I$42,L452)),2)</f>
        <v>67.5</v>
      </c>
      <c r="AA452" s="29" t="s">
        <v>178</v>
      </c>
      <c r="AB452" s="14">
        <f>ROUND(IF(Q452=1,INDEX(新属性投放!$E$14:$E$34,卡牌属性!R452),INDEX(新属性投放!$E$42:$E$62,卡牌属性!R452))*INDEX($G$5:$G$42,L452),2)</f>
        <v>33.75</v>
      </c>
      <c r="AC452" s="29" t="s">
        <v>179</v>
      </c>
      <c r="AD452" s="14">
        <f>ROUND(IF(Q452=1,INDEX(新属性投放!$F$14:$F$34,卡牌属性!R452),INDEX(新属性投放!$F$42:$F$62,卡牌属性!R452))*INDEX($G$5:$G$42,L452)*SQRT(INDEX($I$5:$I$42,L452)),2)</f>
        <v>303</v>
      </c>
      <c r="AF452" s="14">
        <f t="shared" si="117"/>
        <v>675</v>
      </c>
      <c r="AG452" s="14">
        <f t="shared" si="118"/>
        <v>337</v>
      </c>
      <c r="AH452" s="14">
        <f t="shared" si="119"/>
        <v>3030</v>
      </c>
      <c r="AJ452" s="14">
        <f t="shared" si="126"/>
        <v>2850</v>
      </c>
      <c r="AK452" s="14">
        <f t="shared" si="127"/>
        <v>1423</v>
      </c>
      <c r="AL452" s="14">
        <f t="shared" si="128"/>
        <v>12795</v>
      </c>
    </row>
    <row r="453" spans="11:38" ht="16.5" x14ac:dyDescent="0.2">
      <c r="K453" s="13">
        <v>450</v>
      </c>
      <c r="L453" s="13">
        <f t="shared" ref="L453:L516" si="129">MATCH(K453-1,$F$4:$F$41,1)</f>
        <v>22</v>
      </c>
      <c r="M453" s="13">
        <f t="shared" ref="M453:M516" si="130">INDEX($D$5:$D$42,L453)</f>
        <v>5</v>
      </c>
      <c r="N453" s="14">
        <f t="shared" ref="N453:N516" si="131">INDEX($A$4:$A$42,L453+1)</f>
        <v>1102006</v>
      </c>
      <c r="O453" s="14" t="str">
        <f t="shared" ref="O453:O516" si="132">INDEX($B$4:$B$42,MATCH(N453,$A$4:$A$42,0))&amp;R453&amp;"突"</f>
        <v>项羽9突</v>
      </c>
      <c r="P453" s="29" t="s">
        <v>341</v>
      </c>
      <c r="Q453" s="14">
        <f t="shared" ref="Q453:Q516" si="133">INDEX($C$4:$C$42,L453+1)</f>
        <v>2</v>
      </c>
      <c r="R453" s="14">
        <f t="shared" ref="R453:R516" si="134">K453-INDEX($F$4:$F$42,L453)</f>
        <v>9</v>
      </c>
      <c r="S453" s="14" t="s">
        <v>39</v>
      </c>
      <c r="T453" s="14">
        <f>ROUND(((IF(Q453=1,INDEX(新属性投放!$J$14:$J$34,卡牌属性!R453),INDEX(新属性投放!$J$42:$J$62,卡牌属性!R453)))*INDEX($G$5:$G$42,L453)+IF(Q453=1,INDEX(新属性投放!R$20:R$23,卡牌属性!M453-1),INDEX(新属性投放!R$25:R$28,卡牌属性!M453-1)))/SQRT(INDEX($I$5:$I$42,L453)),2)</f>
        <v>4450.5</v>
      </c>
      <c r="U453" s="29" t="s">
        <v>178</v>
      </c>
      <c r="V453" s="14">
        <f>ROUND((IF(Q453=1,INDEX(新属性投放!$K$14:$K$34,卡牌属性!R453),INDEX(新属性投放!$K$42:$K$62,卡牌属性!R453))+IF(Q453=1,INDEX(新属性投放!S$20:S$23,卡牌属性!M453-1),INDEX(新属性投放!S$25:S$28,卡牌属性!M453-1)))*INDEX($G$5:$G$42,L453),2)</f>
        <v>1921.5</v>
      </c>
      <c r="W453" s="29" t="s">
        <v>179</v>
      </c>
      <c r="X453" s="14">
        <f>ROUND((IF(Q453=1,INDEX(新属性投放!$L$14:$L$34,卡牌属性!R453),INDEX(新属性投放!$L$42:$L$62,卡牌属性!R453))*INDEX($G$5:$G$42,L453)+IF(Q453=1,INDEX(新属性投放!T$20:T$23,卡牌属性!M453-1),INDEX(新属性投放!T$25:T$28,卡牌属性!M453-1)))*SQRT(INDEX($I$5:$I$42,L453)),2)</f>
        <v>22642</v>
      </c>
      <c r="Y453" s="29" t="s">
        <v>177</v>
      </c>
      <c r="Z453" s="14">
        <f>ROUND(IF(Q453=1,INDEX(新属性投放!$D$14:$D$34,卡牌属性!R453),INDEX(新属性投放!$D$42:$D$62,卡牌属性!R453))*INDEX($G$5:$G$42,L453)/SQRT(INDEX($I$5:$I$42,L453)),2)</f>
        <v>90.08</v>
      </c>
      <c r="AA453" s="29" t="s">
        <v>178</v>
      </c>
      <c r="AB453" s="14">
        <f>ROUND(IF(Q453=1,INDEX(新属性投放!$E$14:$E$34,卡牌属性!R453),INDEX(新属性投放!$E$42:$E$62,卡牌属性!R453))*INDEX($G$5:$G$42,L453),2)</f>
        <v>45.04</v>
      </c>
      <c r="AC453" s="29" t="s">
        <v>179</v>
      </c>
      <c r="AD453" s="14">
        <f>ROUND(IF(Q453=1,INDEX(新属性投放!$F$14:$F$34,卡牌属性!R453),INDEX(新属性投放!$F$42:$F$62,卡牌属性!R453))*INDEX($G$5:$G$42,L453)*SQRT(INDEX($I$5:$I$42,L453)),2)</f>
        <v>405</v>
      </c>
      <c r="AF453" s="14">
        <f t="shared" ref="AF453:AF516" si="135">INT(Z453*AF$2*10)</f>
        <v>900</v>
      </c>
      <c r="AG453" s="14">
        <f t="shared" ref="AG453:AG516" si="136">INT(AB453*AF$2*10)</f>
        <v>450</v>
      </c>
      <c r="AH453" s="14">
        <f t="shared" ref="AH453:AH516" si="137">INT(AD453*AF$2*10)</f>
        <v>4050</v>
      </c>
      <c r="AJ453" s="14">
        <f t="shared" si="126"/>
        <v>3750</v>
      </c>
      <c r="AK453" s="14">
        <f t="shared" si="127"/>
        <v>1873</v>
      </c>
      <c r="AL453" s="14">
        <f t="shared" si="128"/>
        <v>16845</v>
      </c>
    </row>
    <row r="454" spans="11:38" ht="16.5" x14ac:dyDescent="0.2">
      <c r="K454" s="13">
        <v>451</v>
      </c>
      <c r="L454" s="13">
        <f t="shared" si="129"/>
        <v>22</v>
      </c>
      <c r="M454" s="13">
        <f t="shared" si="130"/>
        <v>5</v>
      </c>
      <c r="N454" s="14">
        <f t="shared" si="131"/>
        <v>1102006</v>
      </c>
      <c r="O454" s="14" t="str">
        <f t="shared" si="132"/>
        <v>项羽10突</v>
      </c>
      <c r="P454" s="29" t="s">
        <v>341</v>
      </c>
      <c r="Q454" s="14">
        <f t="shared" si="133"/>
        <v>2</v>
      </c>
      <c r="R454" s="14">
        <f t="shared" si="134"/>
        <v>10</v>
      </c>
      <c r="S454" s="14" t="s">
        <v>39</v>
      </c>
      <c r="T454" s="14">
        <f>ROUND(((IF(Q454=1,INDEX(新属性投放!$J$14:$J$34,卡牌属性!R454),INDEX(新属性投放!$J$42:$J$62,卡牌属性!R454)))*INDEX($G$5:$G$42,L454)+IF(Q454=1,INDEX(新属性投放!R$20:R$23,卡牌属性!M454-1),INDEX(新属性投放!R$25:R$28,卡牌属性!M454-1)))/SQRT(INDEX($I$5:$I$42,L454)),2)</f>
        <v>5576.25</v>
      </c>
      <c r="U454" s="29" t="s">
        <v>178</v>
      </c>
      <c r="V454" s="14">
        <f>ROUND((IF(Q454=1,INDEX(新属性投放!$K$14:$K$34,卡牌属性!R454),INDEX(新属性投放!$K$42:$K$62,卡牌属性!R454))+IF(Q454=1,INDEX(新属性投放!S$20:S$23,卡牌属性!M454-1),INDEX(新属性投放!S$25:S$28,卡牌属性!M454-1)))*INDEX($G$5:$G$42,L454),2)</f>
        <v>2484.38</v>
      </c>
      <c r="W454" s="29" t="s">
        <v>179</v>
      </c>
      <c r="X454" s="14">
        <f>ROUND((IF(Q454=1,INDEX(新属性投放!$L$14:$L$34,卡牌属性!R454),INDEX(新属性投放!$L$42:$L$62,卡牌属性!R454))*INDEX($G$5:$G$42,L454)+IF(Q454=1,INDEX(新属性投放!T$20:T$23,卡牌属性!M454-1),INDEX(新属性投放!T$25:T$28,卡牌属性!M454-1)))*SQRT(INDEX($I$5:$I$42,L454)),2)</f>
        <v>28717</v>
      </c>
      <c r="Y454" s="29" t="s">
        <v>177</v>
      </c>
      <c r="Z454" s="14">
        <f>ROUND(IF(Q454=1,INDEX(新属性投放!$D$14:$D$34,卡牌属性!R454),INDEX(新属性投放!$D$42:$D$62,卡牌属性!R454))*INDEX($G$5:$G$42,L454)/SQRT(INDEX($I$5:$I$42,L454)),2)</f>
        <v>117.75</v>
      </c>
      <c r="AA454" s="29" t="s">
        <v>178</v>
      </c>
      <c r="AB454" s="14">
        <f>ROUND(IF(Q454=1,INDEX(新属性投放!$E$14:$E$34,卡牌属性!R454),INDEX(新属性投放!$E$42:$E$62,卡牌属性!R454))*INDEX($G$5:$G$42,L454),2)</f>
        <v>58.88</v>
      </c>
      <c r="AC454" s="29" t="s">
        <v>179</v>
      </c>
      <c r="AD454" s="14">
        <f>ROUND(IF(Q454=1,INDEX(新属性投放!$F$14:$F$34,卡牌属性!R454),INDEX(新属性投放!$F$42:$F$62,卡牌属性!R454))*INDEX($G$5:$G$42,L454)*SQRT(INDEX($I$5:$I$42,L454)),2)</f>
        <v>529.5</v>
      </c>
      <c r="AF454" s="14">
        <f t="shared" si="135"/>
        <v>1177</v>
      </c>
      <c r="AG454" s="14">
        <f t="shared" si="136"/>
        <v>588</v>
      </c>
      <c r="AH454" s="14">
        <f t="shared" si="137"/>
        <v>5295</v>
      </c>
      <c r="AJ454" s="14">
        <f t="shared" si="126"/>
        <v>4927</v>
      </c>
      <c r="AK454" s="14">
        <f t="shared" si="127"/>
        <v>2461</v>
      </c>
      <c r="AL454" s="14">
        <f t="shared" si="128"/>
        <v>22140</v>
      </c>
    </row>
    <row r="455" spans="11:38" ht="16.5" x14ac:dyDescent="0.2">
      <c r="K455" s="13">
        <v>452</v>
      </c>
      <c r="L455" s="13">
        <f t="shared" si="129"/>
        <v>22</v>
      </c>
      <c r="M455" s="13">
        <f t="shared" si="130"/>
        <v>5</v>
      </c>
      <c r="N455" s="14">
        <f t="shared" si="131"/>
        <v>1102006</v>
      </c>
      <c r="O455" s="14" t="str">
        <f t="shared" si="132"/>
        <v>项羽11突</v>
      </c>
      <c r="P455" s="29" t="s">
        <v>341</v>
      </c>
      <c r="Q455" s="14">
        <f t="shared" si="133"/>
        <v>2</v>
      </c>
      <c r="R455" s="14">
        <f t="shared" si="134"/>
        <v>11</v>
      </c>
      <c r="S455" s="14" t="s">
        <v>39</v>
      </c>
      <c r="T455" s="14">
        <f>ROUND(((IF(Q455=1,INDEX(新属性投放!$J$14:$J$34,卡牌属性!R455),INDEX(新属性投放!$J$42:$J$62,卡牌属性!R455)))*INDEX($G$5:$G$42,L455)+IF(Q455=1,INDEX(新属性投放!R$20:R$23,卡牌属性!M455-1),INDEX(新属性投放!R$25:R$28,卡牌属性!M455-1)))/SQRT(INDEX($I$5:$I$42,L455)),2)</f>
        <v>7047.75</v>
      </c>
      <c r="U455" s="29" t="s">
        <v>178</v>
      </c>
      <c r="V455" s="14">
        <f>ROUND((IF(Q455=1,INDEX(新属性投放!$K$14:$K$34,卡牌属性!R455),INDEX(新属性投放!$K$42:$K$62,卡牌属性!R455))+IF(Q455=1,INDEX(新属性投放!S$20:S$23,卡牌属性!M455-1),INDEX(新属性投放!S$25:S$28,卡牌属性!M455-1)))*INDEX($G$5:$G$42,L455),2)</f>
        <v>3220.13</v>
      </c>
      <c r="W455" s="29" t="s">
        <v>179</v>
      </c>
      <c r="X455" s="14">
        <f>ROUND((IF(Q455=1,INDEX(新属性投放!$L$14:$L$34,卡牌属性!R455),INDEX(新属性投放!$L$42:$L$62,卡牌属性!R455))*INDEX($G$5:$G$42,L455)+IF(Q455=1,INDEX(新属性投放!T$20:T$23,卡牌属性!M455-1),INDEX(新属性投放!T$25:T$28,卡牌属性!M455-1)))*SQRT(INDEX($I$5:$I$42,L455)),2)</f>
        <v>36658</v>
      </c>
      <c r="Y455" s="29" t="s">
        <v>177</v>
      </c>
      <c r="Z455" s="14">
        <f>ROUND(IF(Q455=1,INDEX(新属性投放!$D$14:$D$34,卡牌属性!R455),INDEX(新属性投放!$D$42:$D$62,卡牌属性!R455))*INDEX($G$5:$G$42,L455)/SQRT(INDEX($I$5:$I$42,L455)),2)</f>
        <v>155.01</v>
      </c>
      <c r="AA455" s="29" t="s">
        <v>178</v>
      </c>
      <c r="AB455" s="14">
        <f>ROUND(IF(Q455=1,INDEX(新属性投放!$E$14:$E$34,卡牌属性!R455),INDEX(新属性投放!$E$42:$E$62,卡牌属性!R455))*INDEX($G$5:$G$42,L455),2)</f>
        <v>77.510000000000005</v>
      </c>
      <c r="AC455" s="29" t="s">
        <v>179</v>
      </c>
      <c r="AD455" s="14">
        <f>ROUND(IF(Q455=1,INDEX(新属性投放!$F$14:$F$34,卡牌属性!R455),INDEX(新属性投放!$F$42:$F$62,卡牌属性!R455))*INDEX($G$5:$G$42,L455)*SQRT(INDEX($I$5:$I$42,L455)),2)</f>
        <v>697.5</v>
      </c>
      <c r="AF455" s="14">
        <f t="shared" si="135"/>
        <v>1550</v>
      </c>
      <c r="AG455" s="14">
        <f t="shared" si="136"/>
        <v>775</v>
      </c>
      <c r="AH455" s="14">
        <f t="shared" si="137"/>
        <v>6975</v>
      </c>
      <c r="AJ455" s="14">
        <f t="shared" si="126"/>
        <v>6477</v>
      </c>
      <c r="AK455" s="14">
        <f t="shared" si="127"/>
        <v>3236</v>
      </c>
      <c r="AL455" s="14">
        <f t="shared" si="128"/>
        <v>29115</v>
      </c>
    </row>
    <row r="456" spans="11:38" ht="16.5" x14ac:dyDescent="0.2">
      <c r="K456" s="13">
        <v>453</v>
      </c>
      <c r="L456" s="13">
        <f t="shared" si="129"/>
        <v>22</v>
      </c>
      <c r="M456" s="13">
        <f t="shared" si="130"/>
        <v>5</v>
      </c>
      <c r="N456" s="14">
        <f t="shared" si="131"/>
        <v>1102006</v>
      </c>
      <c r="O456" s="14" t="str">
        <f t="shared" si="132"/>
        <v>项羽12突</v>
      </c>
      <c r="P456" s="29" t="s">
        <v>341</v>
      </c>
      <c r="Q456" s="14">
        <f t="shared" si="133"/>
        <v>2</v>
      </c>
      <c r="R456" s="14">
        <f t="shared" si="134"/>
        <v>12</v>
      </c>
      <c r="S456" s="14" t="s">
        <v>39</v>
      </c>
      <c r="T456" s="14">
        <f>ROUND(((IF(Q456=1,INDEX(新属性投放!$J$14:$J$34,卡牌属性!R456),INDEX(新属性投放!$J$42:$J$62,卡牌属性!R456)))*INDEX($G$5:$G$42,L456)+IF(Q456=1,INDEX(新属性投放!R$20:R$23,卡牌属性!M456-1),INDEX(新属性投放!R$25:R$28,卡牌属性!M456-1)))/SQRT(INDEX($I$5:$I$42,L456)),2)</f>
        <v>8984.85</v>
      </c>
      <c r="U456" s="29" t="s">
        <v>178</v>
      </c>
      <c r="V456" s="14">
        <f>ROUND((IF(Q456=1,INDEX(新属性投放!$K$14:$K$34,卡牌属性!R456),INDEX(新属性投放!$K$42:$K$62,卡牌属性!R456))+IF(Q456=1,INDEX(新属性投放!S$20:S$23,卡牌属性!M456-1),INDEX(新属性投放!S$25:S$28,卡牌属性!M456-1)))*INDEX($G$5:$G$42,L456),2)</f>
        <v>4188.68</v>
      </c>
      <c r="W456" s="29" t="s">
        <v>179</v>
      </c>
      <c r="X456" s="14">
        <f>ROUND((IF(Q456=1,INDEX(新属性投放!$L$14:$L$34,卡牌属性!R456),INDEX(新属性投放!$L$42:$L$62,卡牌属性!R456))*INDEX($G$5:$G$42,L456)+IF(Q456=1,INDEX(新属性投放!T$20:T$23,卡牌属性!M456-1),INDEX(新属性投放!T$25:T$28,卡牌属性!M456-1)))*SQRT(INDEX($I$5:$I$42,L456)),2)</f>
        <v>47116</v>
      </c>
      <c r="Y456" s="29" t="s">
        <v>177</v>
      </c>
      <c r="Z456" s="14">
        <f>ROUND(IF(Q456=1,INDEX(新属性投放!$D$14:$D$34,卡牌属性!R456),INDEX(新属性投放!$D$42:$D$62,卡牌属性!R456))*INDEX($G$5:$G$42,L456)/SQRT(INDEX($I$5:$I$42,L456)),2)</f>
        <v>203.43</v>
      </c>
      <c r="AA456" s="29" t="s">
        <v>178</v>
      </c>
      <c r="AB456" s="14">
        <f>ROUND(IF(Q456=1,INDEX(新属性投放!$E$14:$E$34,卡牌属性!R456),INDEX(新属性投放!$E$42:$E$62,卡牌属性!R456))*INDEX($G$5:$G$42,L456),2)</f>
        <v>101.72</v>
      </c>
      <c r="AC456" s="29" t="s">
        <v>179</v>
      </c>
      <c r="AD456" s="14">
        <f>ROUND(IF(Q456=1,INDEX(新属性投放!$F$14:$F$34,卡牌属性!R456),INDEX(新属性投放!$F$42:$F$62,卡牌属性!R456))*INDEX($G$5:$G$42,L456)*SQRT(INDEX($I$5:$I$42,L456)),2)</f>
        <v>915</v>
      </c>
      <c r="AF456" s="14">
        <f t="shared" si="135"/>
        <v>2034</v>
      </c>
      <c r="AG456" s="14">
        <f t="shared" si="136"/>
        <v>1017</v>
      </c>
      <c r="AH456" s="14">
        <f t="shared" si="137"/>
        <v>9150</v>
      </c>
      <c r="AJ456" s="14">
        <f t="shared" si="126"/>
        <v>8511</v>
      </c>
      <c r="AK456" s="14">
        <f t="shared" si="127"/>
        <v>4253</v>
      </c>
      <c r="AL456" s="14">
        <f t="shared" si="128"/>
        <v>38265</v>
      </c>
    </row>
    <row r="457" spans="11:38" ht="16.5" x14ac:dyDescent="0.2">
      <c r="K457" s="13">
        <v>454</v>
      </c>
      <c r="L457" s="13">
        <f t="shared" si="129"/>
        <v>22</v>
      </c>
      <c r="M457" s="13">
        <f t="shared" si="130"/>
        <v>5</v>
      </c>
      <c r="N457" s="14">
        <f t="shared" si="131"/>
        <v>1102006</v>
      </c>
      <c r="O457" s="14" t="str">
        <f t="shared" si="132"/>
        <v>项羽13突</v>
      </c>
      <c r="P457" s="29" t="s">
        <v>341</v>
      </c>
      <c r="Q457" s="14">
        <f t="shared" si="133"/>
        <v>2</v>
      </c>
      <c r="R457" s="14">
        <f t="shared" si="134"/>
        <v>13</v>
      </c>
      <c r="S457" s="14" t="s">
        <v>39</v>
      </c>
      <c r="T457" s="14">
        <f>ROUND(((IF(Q457=1,INDEX(新属性投放!$J$14:$J$34,卡牌属性!R457),INDEX(新属性投放!$J$42:$J$62,卡牌属性!R457)))*INDEX($G$5:$G$42,L457)+IF(Q457=1,INDEX(新属性投放!R$20:R$23,卡牌属性!M457-1),INDEX(新属性投放!R$25:R$28,卡牌属性!M457-1)))/SQRT(INDEX($I$5:$I$42,L457)),2)</f>
        <v>11527.65</v>
      </c>
      <c r="U457" s="29" t="s">
        <v>178</v>
      </c>
      <c r="V457" s="14">
        <f>ROUND((IF(Q457=1,INDEX(新属性投放!$K$14:$K$34,卡牌属性!R457),INDEX(新属性投放!$K$42:$K$62,卡牌属性!R457))+IF(Q457=1,INDEX(新属性投放!S$20:S$23,卡牌属性!M457-1),INDEX(新属性投放!S$25:S$28,卡牌属性!M457-1)))*INDEX($G$5:$G$42,L457),2)</f>
        <v>5460.83</v>
      </c>
      <c r="W457" s="29" t="s">
        <v>179</v>
      </c>
      <c r="X457" s="14">
        <f>ROUND((IF(Q457=1,INDEX(新属性投放!$L$14:$L$34,卡牌属性!R457),INDEX(新属性投放!$L$42:$L$62,卡牌属性!R457))*INDEX($G$5:$G$42,L457)+IF(Q457=1,INDEX(新属性投放!T$20:T$23,卡牌属性!M457-1),INDEX(新属性投放!T$25:T$28,卡牌属性!M457-1)))*SQRT(INDEX($I$5:$I$42,L457)),2)</f>
        <v>60842.5</v>
      </c>
      <c r="Y457" s="29" t="s">
        <v>177</v>
      </c>
      <c r="Z457" s="14">
        <f>ROUND(IF(Q457=1,INDEX(新属性投放!$D$14:$D$34,卡牌属性!R457),INDEX(新属性投放!$D$42:$D$62,卡牌属性!R457))*INDEX($G$5:$G$42,L457)/SQRT(INDEX($I$5:$I$42,L457)),2)</f>
        <v>267</v>
      </c>
      <c r="AA457" s="29" t="s">
        <v>178</v>
      </c>
      <c r="AB457" s="14">
        <f>ROUND(IF(Q457=1,INDEX(新属性投放!$E$14:$E$34,卡牌属性!R457),INDEX(新属性投放!$E$42:$E$62,卡牌属性!R457))*INDEX($G$5:$G$42,L457),2)</f>
        <v>133.5</v>
      </c>
      <c r="AC457" s="29" t="s">
        <v>179</v>
      </c>
      <c r="AD457" s="14">
        <f>ROUND(IF(Q457=1,INDEX(新属性投放!$F$14:$F$34,卡牌属性!R457),INDEX(新属性投放!$F$42:$F$62,卡牌属性!R457))*INDEX($G$5:$G$42,L457)*SQRT(INDEX($I$5:$I$42,L457)),2)</f>
        <v>1201.5</v>
      </c>
      <c r="AF457" s="14">
        <f t="shared" si="135"/>
        <v>2670</v>
      </c>
      <c r="AG457" s="14">
        <f t="shared" si="136"/>
        <v>1335</v>
      </c>
      <c r="AH457" s="14">
        <f t="shared" si="137"/>
        <v>12015</v>
      </c>
      <c r="AJ457" s="14">
        <f t="shared" si="126"/>
        <v>11181</v>
      </c>
      <c r="AK457" s="14">
        <f t="shared" si="127"/>
        <v>5588</v>
      </c>
      <c r="AL457" s="14">
        <f t="shared" si="128"/>
        <v>50280</v>
      </c>
    </row>
    <row r="458" spans="11:38" ht="16.5" x14ac:dyDescent="0.2">
      <c r="K458" s="13">
        <v>455</v>
      </c>
      <c r="L458" s="13">
        <f t="shared" si="129"/>
        <v>22</v>
      </c>
      <c r="M458" s="13">
        <f t="shared" si="130"/>
        <v>5</v>
      </c>
      <c r="N458" s="14">
        <f t="shared" si="131"/>
        <v>1102006</v>
      </c>
      <c r="O458" s="14" t="str">
        <f t="shared" si="132"/>
        <v>项羽14突</v>
      </c>
      <c r="P458" s="29" t="s">
        <v>341</v>
      </c>
      <c r="Q458" s="14">
        <f t="shared" si="133"/>
        <v>2</v>
      </c>
      <c r="R458" s="14">
        <f t="shared" si="134"/>
        <v>14</v>
      </c>
      <c r="S458" s="14" t="s">
        <v>39</v>
      </c>
      <c r="T458" s="14">
        <f>ROUND(((IF(Q458=1,INDEX(新属性投放!$J$14:$J$34,卡牌属性!R458),INDEX(新属性投放!$J$42:$J$62,卡牌属性!R458)))*INDEX($G$5:$G$42,L458)+IF(Q458=1,INDEX(新属性投放!R$20:R$23,卡牌属性!M458-1),INDEX(新属性投放!R$25:R$28,卡牌属性!M458-1)))/SQRT(INDEX($I$5:$I$42,L458)),2)</f>
        <v>14865.15</v>
      </c>
      <c r="U458" s="29" t="s">
        <v>178</v>
      </c>
      <c r="V458" s="14">
        <f>ROUND((IF(Q458=1,INDEX(新属性投放!$K$14:$K$34,卡牌属性!R458),INDEX(新属性投放!$K$42:$K$62,卡牌属性!R458))+IF(Q458=1,INDEX(新属性投放!S$20:S$23,卡牌属性!M458-1),INDEX(新属性投放!S$25:S$28,卡牌属性!M458-1)))*INDEX($G$5:$G$42,L458),2)</f>
        <v>7130.33</v>
      </c>
      <c r="W458" s="29" t="s">
        <v>179</v>
      </c>
      <c r="X458" s="14">
        <f>ROUND((IF(Q458=1,INDEX(新属性投放!$L$14:$L$34,卡牌属性!R458),INDEX(新属性投放!$L$42:$L$62,卡牌属性!R458))*INDEX($G$5:$G$42,L458)+IF(Q458=1,INDEX(新属性投放!T$20:T$23,卡牌属性!M458-1),INDEX(新属性投放!T$25:T$28,卡牌属性!M458-1)))*SQRT(INDEX($I$5:$I$42,L458)),2)</f>
        <v>78865</v>
      </c>
      <c r="Y458" s="29" t="s">
        <v>177</v>
      </c>
      <c r="Z458" s="14">
        <f>ROUND(IF(Q458=1,INDEX(新属性投放!$D$14:$D$34,卡牌属性!R458),INDEX(新属性投放!$D$42:$D$62,卡牌属性!R458))*INDEX($G$5:$G$42,L458)/SQRT(INDEX($I$5:$I$42,L458)),2)</f>
        <v>350.45</v>
      </c>
      <c r="AA458" s="29" t="s">
        <v>178</v>
      </c>
      <c r="AB458" s="14">
        <f>ROUND(IF(Q458=1,INDEX(新属性投放!$E$14:$E$34,卡牌属性!R458),INDEX(新属性投放!$E$42:$E$62,卡牌属性!R458))*INDEX($G$5:$G$42,L458),2)</f>
        <v>175.22</v>
      </c>
      <c r="AC458" s="29" t="s">
        <v>179</v>
      </c>
      <c r="AD458" s="14">
        <f>ROUND(IF(Q458=1,INDEX(新属性投放!$F$14:$F$34,卡牌属性!R458),INDEX(新属性投放!$F$42:$F$62,卡牌属性!R458))*INDEX($G$5:$G$42,L458)*SQRT(INDEX($I$5:$I$42,L458)),2)</f>
        <v>1576.5</v>
      </c>
      <c r="AF458" s="14">
        <f t="shared" si="135"/>
        <v>3504</v>
      </c>
      <c r="AG458" s="14">
        <f t="shared" si="136"/>
        <v>1752</v>
      </c>
      <c r="AH458" s="14">
        <f t="shared" si="137"/>
        <v>15765</v>
      </c>
      <c r="AJ458" s="14">
        <f t="shared" si="126"/>
        <v>14685</v>
      </c>
      <c r="AK458" s="14">
        <f t="shared" si="127"/>
        <v>7340</v>
      </c>
      <c r="AL458" s="14">
        <f t="shared" si="128"/>
        <v>66045</v>
      </c>
    </row>
    <row r="459" spans="11:38" ht="16.5" x14ac:dyDescent="0.2">
      <c r="K459" s="13">
        <v>456</v>
      </c>
      <c r="L459" s="13">
        <f t="shared" si="129"/>
        <v>22</v>
      </c>
      <c r="M459" s="13">
        <f t="shared" si="130"/>
        <v>5</v>
      </c>
      <c r="N459" s="14">
        <f t="shared" si="131"/>
        <v>1102006</v>
      </c>
      <c r="O459" s="14" t="str">
        <f t="shared" si="132"/>
        <v>项羽15突</v>
      </c>
      <c r="P459" s="29" t="s">
        <v>341</v>
      </c>
      <c r="Q459" s="14">
        <f t="shared" si="133"/>
        <v>2</v>
      </c>
      <c r="R459" s="14">
        <f t="shared" si="134"/>
        <v>15</v>
      </c>
      <c r="S459" s="14" t="s">
        <v>39</v>
      </c>
      <c r="T459" s="14">
        <f>ROUND(((IF(Q459=1,INDEX(新属性投放!$J$14:$J$34,卡牌属性!R459),INDEX(新属性投放!$J$42:$J$62,卡牌属性!R459)))*INDEX($G$5:$G$42,L459)+IF(Q459=1,INDEX(新属性投放!R$20:R$23,卡牌属性!M459-1),INDEX(新属性投放!R$25:R$28,卡牌属性!M459-1)))/SQRT(INDEX($I$5:$I$42,L459)),2)</f>
        <v>19245.599999999999</v>
      </c>
      <c r="U459" s="29" t="s">
        <v>178</v>
      </c>
      <c r="V459" s="14">
        <f>ROUND((IF(Q459=1,INDEX(新属性投放!$K$14:$K$34,卡牌属性!R459),INDEX(新属性投放!$K$42:$K$62,卡牌属性!R459))+IF(Q459=1,INDEX(新属性投放!S$20:S$23,卡牌属性!M459-1),INDEX(新属性投放!S$25:S$28,卡牌属性!M459-1)))*INDEX($G$5:$G$42,L459),2)</f>
        <v>9320.5499999999993</v>
      </c>
      <c r="W459" s="29" t="s">
        <v>179</v>
      </c>
      <c r="X459" s="14">
        <f>ROUND((IF(Q459=1,INDEX(新属性投放!$L$14:$L$34,卡牌属性!R459),INDEX(新属性投放!$L$42:$L$62,卡牌属性!R459))*INDEX($G$5:$G$42,L459)+IF(Q459=1,INDEX(新属性投放!T$20:T$23,卡牌属性!M459-1),INDEX(新属性投放!T$25:T$28,卡牌属性!M459-1)))*SQRT(INDEX($I$5:$I$42,L459)),2)</f>
        <v>102514</v>
      </c>
      <c r="Y459" s="29" t="s">
        <v>177</v>
      </c>
      <c r="Z459" s="14">
        <f>ROUND(IF(Q459=1,INDEX(新属性投放!$D$14:$D$34,卡牌属性!R459),INDEX(新属性投放!$D$42:$D$62,卡牌属性!R459))*INDEX($G$5:$G$42,L459)/SQRT(INDEX($I$5:$I$42,L459)),2)</f>
        <v>459.96</v>
      </c>
      <c r="AA459" s="29" t="s">
        <v>178</v>
      </c>
      <c r="AB459" s="14">
        <f>ROUND(IF(Q459=1,INDEX(新属性投放!$E$14:$E$34,卡牌属性!R459),INDEX(新属性投放!$E$42:$E$62,卡牌属性!R459))*INDEX($G$5:$G$42,L459),2)</f>
        <v>229.98</v>
      </c>
      <c r="AC459" s="29" t="s">
        <v>179</v>
      </c>
      <c r="AD459" s="14">
        <f>ROUND(IF(Q459=1,INDEX(新属性投放!$F$14:$F$34,卡牌属性!R459),INDEX(新属性投放!$F$42:$F$62,卡牌属性!R459))*INDEX($G$5:$G$42,L459)*SQRT(INDEX($I$5:$I$42,L459)),2)</f>
        <v>2068.5</v>
      </c>
      <c r="AF459" s="14">
        <f t="shared" si="135"/>
        <v>4599</v>
      </c>
      <c r="AG459" s="14">
        <f t="shared" si="136"/>
        <v>2299</v>
      </c>
      <c r="AH459" s="14">
        <f t="shared" si="137"/>
        <v>20685</v>
      </c>
      <c r="AJ459" s="14">
        <f t="shared" si="126"/>
        <v>19284</v>
      </c>
      <c r="AK459" s="14">
        <f t="shared" si="127"/>
        <v>9639</v>
      </c>
      <c r="AL459" s="14">
        <f t="shared" si="128"/>
        <v>86730</v>
      </c>
    </row>
    <row r="460" spans="11:38" ht="16.5" x14ac:dyDescent="0.2">
      <c r="K460" s="13">
        <v>457</v>
      </c>
      <c r="L460" s="13">
        <f t="shared" si="129"/>
        <v>22</v>
      </c>
      <c r="M460" s="13">
        <f t="shared" si="130"/>
        <v>5</v>
      </c>
      <c r="N460" s="14">
        <f t="shared" si="131"/>
        <v>1102006</v>
      </c>
      <c r="O460" s="14" t="str">
        <f t="shared" si="132"/>
        <v>项羽16突</v>
      </c>
      <c r="P460" s="29" t="s">
        <v>341</v>
      </c>
      <c r="Q460" s="14">
        <f t="shared" si="133"/>
        <v>2</v>
      </c>
      <c r="R460" s="14">
        <f t="shared" si="134"/>
        <v>16</v>
      </c>
      <c r="S460" s="14" t="s">
        <v>39</v>
      </c>
      <c r="T460" s="14">
        <f>ROUND(((IF(Q460=1,INDEX(新属性投放!$J$14:$J$34,卡牌属性!R460),INDEX(新属性投放!$J$42:$J$62,卡牌属性!R460)))*INDEX($G$5:$G$42,L460)+IF(Q460=1,INDEX(新属性投放!R$20:R$23,卡牌属性!M460-1),INDEX(新属性投放!R$25:R$28,卡牌属性!M460-1)))/SQRT(INDEX($I$5:$I$42,L460)),2)</f>
        <v>24995.7</v>
      </c>
      <c r="U460" s="29" t="s">
        <v>178</v>
      </c>
      <c r="V460" s="14">
        <f>ROUND((IF(Q460=1,INDEX(新属性投放!$K$14:$K$34,卡牌属性!R460),INDEX(新属性投放!$K$42:$K$62,卡牌属性!R460))+IF(Q460=1,INDEX(新属性投放!S$20:S$23,卡牌属性!M460-1),INDEX(新属性投放!S$25:S$28,卡牌属性!M460-1)))*INDEX($G$5:$G$42,L460),2)</f>
        <v>12194.85</v>
      </c>
      <c r="W460" s="29" t="s">
        <v>179</v>
      </c>
      <c r="X460" s="14">
        <f>ROUND((IF(Q460=1,INDEX(新属性投放!$L$14:$L$34,卡牌属性!R460),INDEX(新属性投放!$L$42:$L$62,卡牌属性!R460))*INDEX($G$5:$G$42,L460)+IF(Q460=1,INDEX(新属性投放!T$20:T$23,卡牌属性!M460-1),INDEX(新属性投放!T$25:T$28,卡牌属性!M460-1)))*SQRT(INDEX($I$5:$I$42,L460)),2)</f>
        <v>133553.5</v>
      </c>
      <c r="Y460" s="29" t="s">
        <v>177</v>
      </c>
      <c r="Z460" s="14">
        <f>ROUND(IF(Q460=1,INDEX(新属性投放!$D$14:$D$34,卡牌属性!R460),INDEX(新属性投放!$D$42:$D$62,卡牌属性!R460))*INDEX($G$5:$G$42,L460)/SQRT(INDEX($I$5:$I$42,L460)),2)</f>
        <v>603.71</v>
      </c>
      <c r="AA460" s="29" t="s">
        <v>178</v>
      </c>
      <c r="AB460" s="14">
        <f>ROUND(IF(Q460=1,INDEX(新属性投放!$E$14:$E$34,卡牌属性!R460),INDEX(新属性投放!$E$42:$E$62,卡牌属性!R460))*INDEX($G$5:$G$42,L460),2)</f>
        <v>301.85000000000002</v>
      </c>
      <c r="AC460" s="29" t="s">
        <v>179</v>
      </c>
      <c r="AD460" s="14">
        <f>ROUND(IF(Q460=1,INDEX(新属性投放!$F$14:$F$34,卡牌属性!R460),INDEX(新属性投放!$F$42:$F$62,卡牌属性!R460))*INDEX($G$5:$G$42,L460)*SQRT(INDEX($I$5:$I$42,L460)),2)</f>
        <v>2716.5</v>
      </c>
      <c r="AF460" s="14">
        <f t="shared" si="135"/>
        <v>6037</v>
      </c>
      <c r="AG460" s="14">
        <f t="shared" si="136"/>
        <v>3018</v>
      </c>
      <c r="AH460" s="14">
        <f t="shared" si="137"/>
        <v>27165</v>
      </c>
      <c r="AJ460" s="14">
        <f t="shared" si="126"/>
        <v>25321</v>
      </c>
      <c r="AK460" s="14">
        <f t="shared" si="127"/>
        <v>12657</v>
      </c>
      <c r="AL460" s="14">
        <f t="shared" si="128"/>
        <v>113895</v>
      </c>
    </row>
    <row r="461" spans="11:38" ht="16.5" x14ac:dyDescent="0.2">
      <c r="K461" s="13">
        <v>458</v>
      </c>
      <c r="L461" s="13">
        <f t="shared" si="129"/>
        <v>22</v>
      </c>
      <c r="M461" s="13">
        <f t="shared" si="130"/>
        <v>5</v>
      </c>
      <c r="N461" s="14">
        <f t="shared" si="131"/>
        <v>1102006</v>
      </c>
      <c r="O461" s="14" t="str">
        <f t="shared" si="132"/>
        <v>项羽17突</v>
      </c>
      <c r="P461" s="29" t="s">
        <v>341</v>
      </c>
      <c r="Q461" s="14">
        <f t="shared" si="133"/>
        <v>2</v>
      </c>
      <c r="R461" s="14">
        <f t="shared" si="134"/>
        <v>17</v>
      </c>
      <c r="S461" s="14" t="s">
        <v>39</v>
      </c>
      <c r="T461" s="14">
        <f>ROUND(((IF(Q461=1,INDEX(新属性投放!$J$14:$J$34,卡牌属性!R461),INDEX(新属性投放!$J$42:$J$62,卡牌属性!R461)))*INDEX($G$5:$G$42,L461)+IF(Q461=1,INDEX(新属性投放!R$20:R$23,卡牌属性!M461-1),INDEX(新属性投放!R$25:R$28,卡牌属性!M461-1)))/SQRT(INDEX($I$5:$I$42,L461)),2)</f>
        <v>32541.75</v>
      </c>
      <c r="U461" s="29" t="s">
        <v>178</v>
      </c>
      <c r="V461" s="14">
        <f>ROUND((IF(Q461=1,INDEX(新属性投放!$K$14:$K$34,卡牌属性!R461),INDEX(新属性投放!$K$42:$K$62,卡牌属性!R461))+IF(Q461=1,INDEX(新属性投放!S$20:S$23,卡牌属性!M461-1),INDEX(新属性投放!S$25:S$28,卡牌属性!M461-1)))*INDEX($G$5:$G$42,L461),2)</f>
        <v>15967.88</v>
      </c>
      <c r="W461" s="29" t="s">
        <v>179</v>
      </c>
      <c r="X461" s="14">
        <f>ROUND((IF(Q461=1,INDEX(新属性投放!$L$14:$L$34,卡牌属性!R461),INDEX(新属性投放!$L$42:$L$62,卡牌属性!R461))*INDEX($G$5:$G$42,L461)+IF(Q461=1,INDEX(新属性投放!T$20:T$23,卡牌属性!M461-1),INDEX(新属性投放!T$25:T$28,卡牌属性!M461-1)))*SQRT(INDEX($I$5:$I$42,L461)),2)</f>
        <v>174299.5</v>
      </c>
      <c r="Y461" s="29" t="s">
        <v>177</v>
      </c>
      <c r="Z461" s="14">
        <f>ROUND(IF(Q461=1,INDEX(新属性投放!$D$14:$D$34,卡牌属性!R461),INDEX(新属性投放!$D$42:$D$62,卡牌属性!R461))*INDEX($G$5:$G$42,L461)/SQRT(INDEX($I$5:$I$42,L461)),2)</f>
        <v>792.36</v>
      </c>
      <c r="AA461" s="29" t="s">
        <v>178</v>
      </c>
      <c r="AB461" s="14">
        <f>ROUND(IF(Q461=1,INDEX(新属性投放!$E$14:$E$34,卡牌属性!R461),INDEX(新属性投放!$E$42:$E$62,卡牌属性!R461))*INDEX($G$5:$G$42,L461),2)</f>
        <v>396.18</v>
      </c>
      <c r="AC461" s="29" t="s">
        <v>179</v>
      </c>
      <c r="AD461" s="14">
        <f>ROUND(IF(Q461=1,INDEX(新属性投放!$F$14:$F$34,卡牌属性!R461),INDEX(新属性投放!$F$42:$F$62,卡牌属性!R461))*INDEX($G$5:$G$42,L461)*SQRT(INDEX($I$5:$I$42,L461)),2)</f>
        <v>3565.5</v>
      </c>
      <c r="AF461" s="14">
        <f t="shared" si="135"/>
        <v>7923</v>
      </c>
      <c r="AG461" s="14">
        <f t="shared" si="136"/>
        <v>3961</v>
      </c>
      <c r="AH461" s="14">
        <f t="shared" si="137"/>
        <v>35655</v>
      </c>
      <c r="AJ461" s="14">
        <f t="shared" si="126"/>
        <v>33244</v>
      </c>
      <c r="AK461" s="14">
        <f t="shared" si="127"/>
        <v>16618</v>
      </c>
      <c r="AL461" s="14">
        <f t="shared" si="128"/>
        <v>149550</v>
      </c>
    </row>
    <row r="462" spans="11:38" ht="16.5" x14ac:dyDescent="0.2">
      <c r="K462" s="13">
        <v>459</v>
      </c>
      <c r="L462" s="13">
        <f t="shared" si="129"/>
        <v>22</v>
      </c>
      <c r="M462" s="13">
        <f t="shared" si="130"/>
        <v>5</v>
      </c>
      <c r="N462" s="14">
        <f t="shared" si="131"/>
        <v>1102006</v>
      </c>
      <c r="O462" s="14" t="str">
        <f t="shared" si="132"/>
        <v>项羽18突</v>
      </c>
      <c r="P462" s="29" t="s">
        <v>341</v>
      </c>
      <c r="Q462" s="14">
        <f t="shared" si="133"/>
        <v>2</v>
      </c>
      <c r="R462" s="14">
        <f t="shared" si="134"/>
        <v>18</v>
      </c>
      <c r="S462" s="14" t="s">
        <v>39</v>
      </c>
      <c r="T462" s="14">
        <f>ROUND(((IF(Q462=1,INDEX(新属性投放!$J$14:$J$34,卡牌属性!R462),INDEX(新属性投放!$J$42:$J$62,卡牌属性!R462)))*INDEX($G$5:$G$42,L462)+IF(Q462=1,INDEX(新属性投放!R$20:R$23,卡牌属性!M462-1),INDEX(新属性投放!R$25:R$28,卡牌属性!M462-1)))/SQRT(INDEX($I$5:$I$42,L462)),2)</f>
        <v>42446.85</v>
      </c>
      <c r="U462" s="29" t="s">
        <v>178</v>
      </c>
      <c r="V462" s="14">
        <f>ROUND((IF(Q462=1,INDEX(新属性投放!$K$14:$K$34,卡牌属性!R462),INDEX(新属性投放!$K$42:$K$62,卡牌属性!R462))+IF(Q462=1,INDEX(新属性投放!S$20:S$23,卡牌属性!M462-1),INDEX(新属性投放!S$25:S$28,卡牌属性!M462-1)))*INDEX($G$5:$G$42,L462),2)</f>
        <v>20919.68</v>
      </c>
      <c r="W462" s="29" t="s">
        <v>179</v>
      </c>
      <c r="X462" s="14">
        <f>ROUND((IF(Q462=1,INDEX(新属性投放!$L$14:$L$34,卡牌属性!R462),INDEX(新属性投放!$L$42:$L$62,卡牌属性!R462))*INDEX($G$5:$G$42,L462)+IF(Q462=1,INDEX(新属性投放!T$20:T$23,卡牌属性!M462-1),INDEX(新属性投放!T$25:T$28,卡牌属性!M462-1)))*SQRT(INDEX($I$5:$I$42,L462)),2)</f>
        <v>227788</v>
      </c>
      <c r="Y462" s="29" t="s">
        <v>177</v>
      </c>
      <c r="Z462" s="14">
        <f>ROUND(IF(Q462=1,INDEX(新属性投放!$D$14:$D$34,卡牌属性!R462),INDEX(新属性投放!$D$42:$D$62,卡牌属性!R462))*INDEX($G$5:$G$42,L462)/SQRT(INDEX($I$5:$I$42,L462)),2)</f>
        <v>1039.98</v>
      </c>
      <c r="AA462" s="29" t="s">
        <v>178</v>
      </c>
      <c r="AB462" s="14">
        <f>ROUND(IF(Q462=1,INDEX(新属性投放!$E$14:$E$34,卡牌属性!R462),INDEX(新属性投放!$E$42:$E$62,卡牌属性!R462))*INDEX($G$5:$G$42,L462),2)</f>
        <v>519.99</v>
      </c>
      <c r="AC462" s="29" t="s">
        <v>179</v>
      </c>
      <c r="AD462" s="14">
        <f>ROUND(IF(Q462=1,INDEX(新属性投放!$F$14:$F$34,卡牌属性!R462),INDEX(新属性投放!$F$42:$F$62,卡牌属性!R462))*INDEX($G$5:$G$42,L462)*SQRT(INDEX($I$5:$I$42,L462)),2)</f>
        <v>4678.5</v>
      </c>
      <c r="AF462" s="14">
        <f t="shared" si="135"/>
        <v>10399</v>
      </c>
      <c r="AG462" s="14">
        <f t="shared" si="136"/>
        <v>5199</v>
      </c>
      <c r="AH462" s="14">
        <f t="shared" si="137"/>
        <v>46785</v>
      </c>
      <c r="AJ462" s="14">
        <f t="shared" si="126"/>
        <v>43643</v>
      </c>
      <c r="AK462" s="14">
        <f t="shared" si="127"/>
        <v>21817</v>
      </c>
      <c r="AL462" s="14">
        <f t="shared" si="128"/>
        <v>196335</v>
      </c>
    </row>
    <row r="463" spans="11:38" ht="16.5" x14ac:dyDescent="0.2">
      <c r="K463" s="13">
        <v>460</v>
      </c>
      <c r="L463" s="13">
        <f t="shared" si="129"/>
        <v>22</v>
      </c>
      <c r="M463" s="13">
        <f t="shared" si="130"/>
        <v>5</v>
      </c>
      <c r="N463" s="14">
        <f t="shared" si="131"/>
        <v>1102006</v>
      </c>
      <c r="O463" s="14" t="str">
        <f t="shared" si="132"/>
        <v>项羽19突</v>
      </c>
      <c r="P463" s="29" t="s">
        <v>341</v>
      </c>
      <c r="Q463" s="14">
        <f t="shared" si="133"/>
        <v>2</v>
      </c>
      <c r="R463" s="14">
        <f t="shared" si="134"/>
        <v>19</v>
      </c>
      <c r="S463" s="14" t="s">
        <v>39</v>
      </c>
      <c r="T463" s="14">
        <f>ROUND(((IF(Q463=1,INDEX(新属性投放!$J$14:$J$34,卡牌属性!R463),INDEX(新属性投放!$J$42:$J$62,卡牌属性!R463)))*INDEX($G$5:$G$42,L463)+IF(Q463=1,INDEX(新属性投放!R$20:R$23,卡牌属性!M463-1),INDEX(新属性投放!R$25:R$28,卡牌属性!M463-1)))/SQRT(INDEX($I$5:$I$42,L463)),2)</f>
        <v>55446.15</v>
      </c>
      <c r="U463" s="29" t="s">
        <v>178</v>
      </c>
      <c r="V463" s="14">
        <f>ROUND((IF(Q463=1,INDEX(新属性投放!$K$14:$K$34,卡牌属性!R463),INDEX(新属性投放!$K$42:$K$62,卡牌属性!R463))+IF(Q463=1,INDEX(新属性投放!S$20:S$23,卡牌属性!M463-1),INDEX(新属性投放!S$25:S$28,卡牌属性!M463-1)))*INDEX($G$5:$G$42,L463),2)</f>
        <v>27420.080000000002</v>
      </c>
      <c r="W463" s="29" t="s">
        <v>179</v>
      </c>
      <c r="X463" s="14">
        <f>ROUND((IF(Q463=1,INDEX(新属性投放!$L$14:$L$34,卡牌属性!R463),INDEX(新属性投放!$L$42:$L$62,卡牌属性!R463))*INDEX($G$5:$G$42,L463)+IF(Q463=1,INDEX(新属性投放!T$20:T$23,卡牌属性!M463-1),INDEX(新属性投放!T$25:T$28,卡牌属性!M463-1)))*SQRT(INDEX($I$5:$I$42,L463)),2)</f>
        <v>297968.5</v>
      </c>
      <c r="Y463" s="29" t="s">
        <v>177</v>
      </c>
      <c r="Z463" s="14">
        <f>ROUND(IF(Q463=1,INDEX(新属性投放!$D$14:$D$34,卡牌属性!R463),INDEX(新属性投放!$D$42:$D$62,卡牌属性!R463))*INDEX($G$5:$G$42,L463)/SQRT(INDEX($I$5:$I$42,L463)),2)</f>
        <v>1364.97</v>
      </c>
      <c r="AA463" s="29" t="s">
        <v>178</v>
      </c>
      <c r="AB463" s="14">
        <f>ROUND(IF(Q463=1,INDEX(新属性投放!$E$14:$E$34,卡牌属性!R463),INDEX(新属性投放!$E$42:$E$62,卡牌属性!R463))*INDEX($G$5:$G$42,L463),2)</f>
        <v>682.49</v>
      </c>
      <c r="AC463" s="29" t="s">
        <v>179</v>
      </c>
      <c r="AD463" s="14">
        <f>ROUND(IF(Q463=1,INDEX(新属性投放!$F$14:$F$34,卡牌属性!R463),INDEX(新属性投放!$F$42:$F$62,卡牌属性!R463))*INDEX($G$5:$G$42,L463)*SQRT(INDEX($I$5:$I$42,L463)),2)</f>
        <v>6141</v>
      </c>
      <c r="AF463" s="14">
        <f t="shared" si="135"/>
        <v>13649</v>
      </c>
      <c r="AG463" s="14">
        <f t="shared" si="136"/>
        <v>6824</v>
      </c>
      <c r="AH463" s="14">
        <f t="shared" si="137"/>
        <v>61410</v>
      </c>
      <c r="AJ463" s="14">
        <f t="shared" si="126"/>
        <v>57292</v>
      </c>
      <c r="AK463" s="14">
        <f t="shared" si="127"/>
        <v>28641</v>
      </c>
      <c r="AL463" s="14">
        <f t="shared" si="128"/>
        <v>257745</v>
      </c>
    </row>
    <row r="464" spans="11:38" ht="16.5" x14ac:dyDescent="0.2">
      <c r="K464" s="13">
        <v>461</v>
      </c>
      <c r="L464" s="13">
        <f t="shared" si="129"/>
        <v>22</v>
      </c>
      <c r="M464" s="13">
        <f t="shared" si="130"/>
        <v>5</v>
      </c>
      <c r="N464" s="14">
        <f t="shared" si="131"/>
        <v>1102006</v>
      </c>
      <c r="O464" s="14" t="str">
        <f t="shared" si="132"/>
        <v>项羽20突</v>
      </c>
      <c r="P464" s="29" t="s">
        <v>341</v>
      </c>
      <c r="Q464" s="14">
        <f t="shared" si="133"/>
        <v>2</v>
      </c>
      <c r="R464" s="14">
        <f t="shared" si="134"/>
        <v>20</v>
      </c>
      <c r="S464" s="14" t="s">
        <v>39</v>
      </c>
      <c r="T464" s="14">
        <f>ROUND(((IF(Q464=1,INDEX(新属性投放!$J$14:$J$34,卡牌属性!R464),INDEX(新属性投放!$J$42:$J$62,卡牌属性!R464)))*INDEX($G$5:$G$42,L464)+IF(Q464=1,INDEX(新属性投放!R$20:R$23,卡牌属性!M464-1),INDEX(新属性投放!R$25:R$28,卡牌属性!M464-1)))/SQRT(INDEX($I$5:$I$42,L464)),2)</f>
        <v>72508.350000000006</v>
      </c>
      <c r="U464" s="29" t="s">
        <v>178</v>
      </c>
      <c r="V464" s="14">
        <f>ROUND((IF(Q464=1,INDEX(新属性投放!$K$14:$K$34,卡牌属性!R464),INDEX(新属性投放!$K$42:$K$62,卡牌属性!R464))+IF(Q464=1,INDEX(新属性投放!S$20:S$23,卡牌属性!M464-1),INDEX(新属性投放!S$25:S$28,卡牌属性!M464-1)))*INDEX($G$5:$G$42,L464),2)</f>
        <v>35950.43</v>
      </c>
      <c r="W464" s="29" t="s">
        <v>179</v>
      </c>
      <c r="X464" s="14">
        <f>ROUND((IF(Q464=1,INDEX(新属性投放!$L$14:$L$34,卡牌属性!R464),INDEX(新属性投放!$L$42:$L$62,卡牌属性!R464))*INDEX($G$5:$G$42,L464)+IF(Q464=1,INDEX(新属性投放!T$20:T$23,卡牌属性!M464-1),INDEX(新属性投放!T$25:T$28,卡牌属性!M464-1)))*SQRT(INDEX($I$5:$I$42,L464)),2)</f>
        <v>390091</v>
      </c>
      <c r="Y464" s="29" t="s">
        <v>177</v>
      </c>
      <c r="Z464" s="14">
        <f>ROUND(IF(Q464=1,INDEX(新属性投放!$D$14:$D$34,卡牌属性!R464),INDEX(新属性投放!$D$42:$D$62,卡牌属性!R464))*INDEX($G$5:$G$42,L464)/SQRT(INDEX($I$5:$I$42,L464)),2)</f>
        <v>1791.53</v>
      </c>
      <c r="AA464" s="29" t="s">
        <v>178</v>
      </c>
      <c r="AB464" s="14">
        <f>ROUND(IF(Q464=1,INDEX(新属性投放!$E$14:$E$34,卡牌属性!R464),INDEX(新属性投放!$E$42:$E$62,卡牌属性!R464))*INDEX($G$5:$G$42,L464),2)</f>
        <v>895.76</v>
      </c>
      <c r="AC464" s="29" t="s">
        <v>179</v>
      </c>
      <c r="AD464" s="14">
        <f>ROUND(IF(Q464=1,INDEX(新属性投放!$F$14:$F$34,卡牌属性!R464),INDEX(新属性投放!$F$42:$F$62,卡牌属性!R464))*INDEX($G$5:$G$42,L464)*SQRT(INDEX($I$5:$I$42,L464)),2)</f>
        <v>8061</v>
      </c>
      <c r="AF464" s="14">
        <f t="shared" si="135"/>
        <v>17915</v>
      </c>
      <c r="AG464" s="14">
        <f t="shared" si="136"/>
        <v>8957</v>
      </c>
      <c r="AH464" s="14">
        <f t="shared" si="137"/>
        <v>80610</v>
      </c>
      <c r="AJ464" s="14">
        <f t="shared" si="126"/>
        <v>75207</v>
      </c>
      <c r="AK464" s="14">
        <f t="shared" si="127"/>
        <v>37598</v>
      </c>
      <c r="AL464" s="14">
        <f t="shared" si="128"/>
        <v>338355</v>
      </c>
    </row>
    <row r="465" spans="11:38" ht="16.5" x14ac:dyDescent="0.2">
      <c r="K465" s="13">
        <v>462</v>
      </c>
      <c r="L465" s="13">
        <f t="shared" si="129"/>
        <v>22</v>
      </c>
      <c r="M465" s="13">
        <f t="shared" si="130"/>
        <v>5</v>
      </c>
      <c r="N465" s="14">
        <f t="shared" si="131"/>
        <v>1102006</v>
      </c>
      <c r="O465" s="14" t="str">
        <f t="shared" si="132"/>
        <v>项羽21突</v>
      </c>
      <c r="P465" s="29" t="s">
        <v>341</v>
      </c>
      <c r="Q465" s="14">
        <f t="shared" si="133"/>
        <v>2</v>
      </c>
      <c r="R465" s="14">
        <f t="shared" si="134"/>
        <v>21</v>
      </c>
      <c r="S465" s="14" t="s">
        <v>39</v>
      </c>
      <c r="T465" s="14">
        <f>ROUND(((IF(Q465=1,INDEX(新属性投放!$J$14:$J$34,卡牌属性!R465),INDEX(新属性投放!$J$42:$J$62,卡牌属性!R465)))*INDEX($G$5:$G$42,L465)+IF(Q465=1,INDEX(新属性投放!R$20:R$23,卡牌属性!M465-1),INDEX(新属性投放!R$25:R$28,卡牌属性!M465-1)))/SQRT(INDEX($I$5:$I$42,L465)),2)</f>
        <v>94902.6</v>
      </c>
      <c r="U465" s="29" t="s">
        <v>178</v>
      </c>
      <c r="V465" s="14">
        <f>ROUND((IF(Q465=1,INDEX(新属性投放!$K$14:$K$34,卡牌属性!R465),INDEX(新属性投放!$K$42:$K$62,卡牌属性!R465))+IF(Q465=1,INDEX(新属性投放!S$20:S$23,卡牌属性!M465-1),INDEX(新属性投放!S$25:S$28,卡牌属性!M465-1)))*INDEX($G$5:$G$42,L465),2)</f>
        <v>47147.55</v>
      </c>
      <c r="W465" s="29" t="s">
        <v>179</v>
      </c>
      <c r="X465" s="14">
        <f>ROUND((IF(Q465=1,INDEX(新属性投放!$L$14:$L$34,卡牌属性!R465),INDEX(新属性投放!$L$42:$L$62,卡牌属性!R465))*INDEX($G$5:$G$42,L465)+IF(Q465=1,INDEX(新属性投放!T$20:T$23,卡牌属性!M465-1),INDEX(新属性投放!T$25:T$28,卡牌属性!M465-1)))*SQRT(INDEX($I$5:$I$42,L465)),2)</f>
        <v>511012</v>
      </c>
      <c r="Y465" s="29" t="s">
        <v>177</v>
      </c>
      <c r="Z465" s="14">
        <f>ROUND(IF(Q465=1,INDEX(新属性投放!$D$14:$D$34,卡牌属性!R465),INDEX(新属性投放!$D$42:$D$62,卡牌属性!R465))*INDEX($G$5:$G$42,L465)/SQRT(INDEX($I$5:$I$42,L465)),2)</f>
        <v>2351.39</v>
      </c>
      <c r="AA465" s="29" t="s">
        <v>178</v>
      </c>
      <c r="AB465" s="14">
        <f>ROUND(IF(Q465=1,INDEX(新属性投放!$E$14:$E$34,卡牌属性!R465),INDEX(新属性投放!$E$42:$E$62,卡牌属性!R465))*INDEX($G$5:$G$42,L465),2)</f>
        <v>1175.69</v>
      </c>
      <c r="AC465" s="29" t="s">
        <v>179</v>
      </c>
      <c r="AD465" s="14">
        <f>ROUND(IF(Q465=1,INDEX(新属性投放!$F$14:$F$34,卡牌属性!R465),INDEX(新属性投放!$F$42:$F$62,卡牌属性!R465))*INDEX($G$5:$G$42,L465)*SQRT(INDEX($I$5:$I$42,L465)),2)</f>
        <v>10581</v>
      </c>
      <c r="AF465" s="14">
        <f t="shared" si="135"/>
        <v>23513</v>
      </c>
      <c r="AG465" s="14">
        <f t="shared" si="136"/>
        <v>11756</v>
      </c>
      <c r="AH465" s="14">
        <f t="shared" si="137"/>
        <v>105810</v>
      </c>
      <c r="AJ465" s="14">
        <f t="shared" si="126"/>
        <v>98720</v>
      </c>
      <c r="AK465" s="14">
        <f t="shared" si="127"/>
        <v>49354</v>
      </c>
      <c r="AL465" s="14">
        <f t="shared" si="128"/>
        <v>444165</v>
      </c>
    </row>
    <row r="466" spans="11:38" ht="16.5" x14ac:dyDescent="0.2">
      <c r="K466" s="13">
        <v>463</v>
      </c>
      <c r="L466" s="13">
        <f t="shared" si="129"/>
        <v>23</v>
      </c>
      <c r="M466" s="13">
        <f t="shared" si="130"/>
        <v>4</v>
      </c>
      <c r="N466" s="14">
        <f t="shared" si="131"/>
        <v>1102007</v>
      </c>
      <c r="O466" s="14" t="str">
        <f t="shared" si="132"/>
        <v>天使缇娜1突</v>
      </c>
      <c r="P466" s="29" t="s">
        <v>341</v>
      </c>
      <c r="Q466" s="14">
        <f t="shared" si="133"/>
        <v>2</v>
      </c>
      <c r="R466" s="14">
        <f t="shared" si="134"/>
        <v>1</v>
      </c>
      <c r="S466" s="14" t="s">
        <v>39</v>
      </c>
      <c r="T466" s="14">
        <f>ROUND(((IF(Q466=1,INDEX(新属性投放!$J$14:$J$34,卡牌属性!R466),INDEX(新属性投放!$J$42:$J$62,卡牌属性!R466)))*INDEX($G$5:$G$42,L466)+IF(Q466=1,INDEX(新属性投放!R$20:R$23,卡牌属性!M466-1),INDEX(新属性投放!R$25:R$28,卡牌属性!M466-1)))/SQRT(INDEX($I$5:$I$42,L466)),2)</f>
        <v>610</v>
      </c>
      <c r="U466" s="29" t="s">
        <v>178</v>
      </c>
      <c r="V466" s="14">
        <f>ROUND((IF(Q466=1,INDEX(新属性投放!$K$14:$K$34,卡牌属性!R466),INDEX(新属性投放!$K$42:$K$62,卡牌属性!R466))+IF(Q466=1,INDEX(新属性投放!S$20:S$23,卡牌属性!M466-1),INDEX(新属性投放!S$25:S$28,卡牌属性!M466-1)))*INDEX($G$5:$G$42,L466),2)</f>
        <v>130</v>
      </c>
      <c r="W466" s="29" t="s">
        <v>179</v>
      </c>
      <c r="X466" s="14">
        <f>ROUND((IF(Q466=1,INDEX(新属性投放!$L$14:$L$34,卡牌属性!R466),INDEX(新属性投放!$L$42:$L$62,卡牌属性!R466))*INDEX($G$5:$G$42,L466)+IF(Q466=1,INDEX(新属性投放!T$20:T$23,卡牌属性!M466-1),INDEX(新属性投放!T$25:T$28,卡牌属性!M466-1)))*SQRT(INDEX($I$5:$I$42,L466)),2)</f>
        <v>1885</v>
      </c>
      <c r="Y466" s="29" t="s">
        <v>177</v>
      </c>
      <c r="Z466" s="14">
        <f>ROUND(IF(Q466=1,INDEX(新属性投放!$D$14:$D$34,卡牌属性!R466),INDEX(新属性投放!$D$42:$D$62,卡牌属性!R466))*INDEX($G$5:$G$42,L466)/SQRT(INDEX($I$5:$I$42,L466)),2)</f>
        <v>13</v>
      </c>
      <c r="AA466" s="29" t="s">
        <v>178</v>
      </c>
      <c r="AB466" s="14">
        <f>ROUND(IF(Q466=1,INDEX(新属性投放!$E$14:$E$34,卡牌属性!R466),INDEX(新属性投放!$E$42:$E$62,卡牌属性!R466))*INDEX($G$5:$G$42,L466),2)</f>
        <v>6.5</v>
      </c>
      <c r="AC466" s="29" t="s">
        <v>179</v>
      </c>
      <c r="AD466" s="14">
        <f>ROUND(IF(Q466=1,INDEX(新属性投放!$F$14:$F$34,卡牌属性!R466),INDEX(新属性投放!$F$42:$F$62,卡牌属性!R466))*INDEX($G$5:$G$42,L466)*SQRT(INDEX($I$5:$I$42,L466)),2)</f>
        <v>58.5</v>
      </c>
      <c r="AF466" s="14">
        <f t="shared" si="135"/>
        <v>130</v>
      </c>
      <c r="AG466" s="14">
        <f t="shared" si="136"/>
        <v>65</v>
      </c>
      <c r="AH466" s="14">
        <f t="shared" si="137"/>
        <v>585</v>
      </c>
      <c r="AJ466" s="14">
        <f>AF466</f>
        <v>130</v>
      </c>
      <c r="AK466" s="14">
        <f>AG466</f>
        <v>65</v>
      </c>
      <c r="AL466" s="14">
        <f>AH466</f>
        <v>585</v>
      </c>
    </row>
    <row r="467" spans="11:38" ht="16.5" x14ac:dyDescent="0.2">
      <c r="K467" s="13">
        <v>464</v>
      </c>
      <c r="L467" s="13">
        <f t="shared" si="129"/>
        <v>23</v>
      </c>
      <c r="M467" s="13">
        <f t="shared" si="130"/>
        <v>4</v>
      </c>
      <c r="N467" s="14">
        <f t="shared" si="131"/>
        <v>1102007</v>
      </c>
      <c r="O467" s="14" t="str">
        <f t="shared" si="132"/>
        <v>天使缇娜2突</v>
      </c>
      <c r="P467" s="29" t="s">
        <v>341</v>
      </c>
      <c r="Q467" s="14">
        <f t="shared" si="133"/>
        <v>2</v>
      </c>
      <c r="R467" s="14">
        <f t="shared" si="134"/>
        <v>2</v>
      </c>
      <c r="S467" s="14" t="s">
        <v>39</v>
      </c>
      <c r="T467" s="14">
        <f>ROUND(((IF(Q467=1,INDEX(新属性投放!$J$14:$J$34,卡牌属性!R467),INDEX(新属性投放!$J$42:$J$62,卡牌属性!R467)))*INDEX($G$5:$G$42,L467)+IF(Q467=1,INDEX(新属性投放!R$20:R$23,卡牌属性!M467-1),INDEX(新属性投放!R$25:R$28,卡牌属性!M467-1)))/SQRT(INDEX($I$5:$I$42,L467)),2)</f>
        <v>759.5</v>
      </c>
      <c r="U467" s="29" t="s">
        <v>178</v>
      </c>
      <c r="V467" s="14">
        <f>ROUND((IF(Q467=1,INDEX(新属性投放!$K$14:$K$34,卡牌属性!R467),INDEX(新属性投放!$K$42:$K$62,卡牌属性!R467))+IF(Q467=1,INDEX(新属性投放!S$20:S$23,卡牌属性!M467-1),INDEX(新属性投放!S$25:S$28,卡牌属性!M467-1)))*INDEX($G$5:$G$42,L467),2)</f>
        <v>201.5</v>
      </c>
      <c r="W467" s="29" t="s">
        <v>179</v>
      </c>
      <c r="X467" s="14">
        <f>ROUND((IF(Q467=1,INDEX(新属性投放!$L$14:$L$34,卡牌属性!R467),INDEX(新属性投放!$L$42:$L$62,卡牌属性!R467))*INDEX($G$5:$G$42,L467)+IF(Q467=1,INDEX(新属性投放!T$20:T$23,卡牌属性!M467-1),INDEX(新属性投放!T$25:T$28,卡牌属性!M467-1)))*SQRT(INDEX($I$5:$I$42,L467)),2)</f>
        <v>2704</v>
      </c>
      <c r="Y467" s="29" t="s">
        <v>177</v>
      </c>
      <c r="Z467" s="14">
        <f>ROUND(IF(Q467=1,INDEX(新属性投放!$D$14:$D$34,卡牌属性!R467),INDEX(新属性投放!$D$42:$D$62,卡牌属性!R467))*INDEX($G$5:$G$42,L467)/SQRT(INDEX($I$5:$I$42,L467)),2)</f>
        <v>13</v>
      </c>
      <c r="AA467" s="29" t="s">
        <v>178</v>
      </c>
      <c r="AB467" s="14">
        <f>ROUND(IF(Q467=1,INDEX(新属性投放!$E$14:$E$34,卡牌属性!R467),INDEX(新属性投放!$E$42:$E$62,卡牌属性!R467))*INDEX($G$5:$G$42,L467),2)</f>
        <v>6.5</v>
      </c>
      <c r="AC467" s="29" t="s">
        <v>179</v>
      </c>
      <c r="AD467" s="14">
        <f>ROUND(IF(Q467=1,INDEX(新属性投放!$F$14:$F$34,卡牌属性!R467),INDEX(新属性投放!$F$42:$F$62,卡牌属性!R467))*INDEX($G$5:$G$42,L467)*SQRT(INDEX($I$5:$I$42,L467)),2)</f>
        <v>58.5</v>
      </c>
      <c r="AF467" s="14">
        <f t="shared" si="135"/>
        <v>130</v>
      </c>
      <c r="AG467" s="14">
        <f t="shared" si="136"/>
        <v>65</v>
      </c>
      <c r="AH467" s="14">
        <f t="shared" si="137"/>
        <v>585</v>
      </c>
      <c r="AJ467" s="14">
        <f t="shared" ref="AJ467:AJ486" si="138">AJ466+AF467</f>
        <v>260</v>
      </c>
      <c r="AK467" s="14">
        <f t="shared" ref="AK467:AK486" si="139">AK466+AG467</f>
        <v>130</v>
      </c>
      <c r="AL467" s="14">
        <f t="shared" ref="AL467:AL486" si="140">AL466+AH467</f>
        <v>1170</v>
      </c>
    </row>
    <row r="468" spans="11:38" ht="16.5" x14ac:dyDescent="0.2">
      <c r="K468" s="13">
        <v>465</v>
      </c>
      <c r="L468" s="13">
        <f t="shared" si="129"/>
        <v>23</v>
      </c>
      <c r="M468" s="13">
        <f t="shared" si="130"/>
        <v>4</v>
      </c>
      <c r="N468" s="14">
        <f t="shared" si="131"/>
        <v>1102007</v>
      </c>
      <c r="O468" s="14" t="str">
        <f t="shared" si="132"/>
        <v>天使缇娜3突</v>
      </c>
      <c r="P468" s="29" t="s">
        <v>341</v>
      </c>
      <c r="Q468" s="14">
        <f t="shared" si="133"/>
        <v>2</v>
      </c>
      <c r="R468" s="14">
        <f t="shared" si="134"/>
        <v>3</v>
      </c>
      <c r="S468" s="14" t="s">
        <v>39</v>
      </c>
      <c r="T468" s="14">
        <f>ROUND(((IF(Q468=1,INDEX(新属性投放!$J$14:$J$34,卡牌属性!R468),INDEX(新属性投放!$J$42:$J$62,卡牌属性!R468)))*INDEX($G$5:$G$42,L468)+IF(Q468=1,INDEX(新属性投放!R$20:R$23,卡牌属性!M468-1),INDEX(新属性投放!R$25:R$28,卡牌属性!M468-1)))/SQRT(INDEX($I$5:$I$42,L468)),2)</f>
        <v>922</v>
      </c>
      <c r="U468" s="29" t="s">
        <v>178</v>
      </c>
      <c r="V468" s="14">
        <f>ROUND((IF(Q468=1,INDEX(新属性投放!$K$14:$K$34,卡牌属性!R468),INDEX(新属性投放!$K$42:$K$62,卡牌属性!R468))+IF(Q468=1,INDEX(新属性投放!S$20:S$23,卡牌属性!M468-1),INDEX(新属性投放!S$25:S$28,卡牌属性!M468-1)))*INDEX($G$5:$G$42,L468),2)</f>
        <v>283.39999999999998</v>
      </c>
      <c r="W468" s="29" t="s">
        <v>179</v>
      </c>
      <c r="X468" s="14">
        <f>ROUND((IF(Q468=1,INDEX(新属性投放!$L$14:$L$34,卡牌属性!R468),INDEX(新属性投放!$L$42:$L$62,卡牌属性!R468))*INDEX($G$5:$G$42,L468)+IF(Q468=1,INDEX(新属性投放!T$20:T$23,卡牌属性!M468-1),INDEX(新属性投放!T$25:T$28,卡牌属性!M468-1)))*SQRT(INDEX($I$5:$I$42,L468)),2)</f>
        <v>3581.5</v>
      </c>
      <c r="Y468" s="29" t="s">
        <v>177</v>
      </c>
      <c r="Z468" s="14">
        <f>ROUND(IF(Q468=1,INDEX(新属性投放!$D$14:$D$34,卡牌属性!R468),INDEX(新属性投放!$D$42:$D$62,卡牌属性!R468))*INDEX($G$5:$G$42,L468)/SQRT(INDEX($I$5:$I$42,L468)),2)</f>
        <v>19.5</v>
      </c>
      <c r="AA468" s="29" t="s">
        <v>178</v>
      </c>
      <c r="AB468" s="14">
        <f>ROUND(IF(Q468=1,INDEX(新属性投放!$E$14:$E$34,卡牌属性!R468),INDEX(新属性投放!$E$42:$E$62,卡牌属性!R468))*INDEX($G$5:$G$42,L468),2)</f>
        <v>9.75</v>
      </c>
      <c r="AC468" s="29" t="s">
        <v>179</v>
      </c>
      <c r="AD468" s="14">
        <f>ROUND(IF(Q468=1,INDEX(新属性投放!$F$14:$F$34,卡牌属性!R468),INDEX(新属性投放!$F$42:$F$62,卡牌属性!R468))*INDEX($G$5:$G$42,L468)*SQRT(INDEX($I$5:$I$42,L468)),2)</f>
        <v>87.1</v>
      </c>
      <c r="AF468" s="14">
        <f t="shared" si="135"/>
        <v>195</v>
      </c>
      <c r="AG468" s="14">
        <f t="shared" si="136"/>
        <v>97</v>
      </c>
      <c r="AH468" s="14">
        <f t="shared" si="137"/>
        <v>871</v>
      </c>
      <c r="AJ468" s="14">
        <f t="shared" si="138"/>
        <v>455</v>
      </c>
      <c r="AK468" s="14">
        <f t="shared" si="139"/>
        <v>227</v>
      </c>
      <c r="AL468" s="14">
        <f t="shared" si="140"/>
        <v>2041</v>
      </c>
    </row>
    <row r="469" spans="11:38" ht="16.5" x14ac:dyDescent="0.2">
      <c r="K469" s="13">
        <v>466</v>
      </c>
      <c r="L469" s="13">
        <f t="shared" si="129"/>
        <v>23</v>
      </c>
      <c r="M469" s="13">
        <f t="shared" si="130"/>
        <v>4</v>
      </c>
      <c r="N469" s="14">
        <f t="shared" si="131"/>
        <v>1102007</v>
      </c>
      <c r="O469" s="14" t="str">
        <f t="shared" si="132"/>
        <v>天使缇娜4突</v>
      </c>
      <c r="P469" s="29" t="s">
        <v>341</v>
      </c>
      <c r="Q469" s="14">
        <f t="shared" si="133"/>
        <v>2</v>
      </c>
      <c r="R469" s="14">
        <f t="shared" si="134"/>
        <v>4</v>
      </c>
      <c r="S469" s="14" t="s">
        <v>39</v>
      </c>
      <c r="T469" s="14">
        <f>ROUND(((IF(Q469=1,INDEX(新属性投放!$J$14:$J$34,卡牌属性!R469),INDEX(新属性投放!$J$42:$J$62,卡牌属性!R469)))*INDEX($G$5:$G$42,L469)+IF(Q469=1,INDEX(新属性投放!R$20:R$23,卡牌属性!M469-1),INDEX(新属性投放!R$25:R$28,卡牌属性!M469-1)))/SQRT(INDEX($I$5:$I$42,L469)),2)</f>
        <v>1166.4000000000001</v>
      </c>
      <c r="U469" s="29" t="s">
        <v>178</v>
      </c>
      <c r="V469" s="14">
        <f>ROUND((IF(Q469=1,INDEX(新属性投放!$K$14:$K$34,卡牌属性!R469),INDEX(新属性投放!$K$42:$K$62,卡牌属性!R469))+IF(Q469=1,INDEX(新属性投放!S$20:S$23,卡牌属性!M469-1),INDEX(新属性投放!S$25:S$28,卡牌属性!M469-1)))*INDEX($G$5:$G$42,L469),2)</f>
        <v>405.6</v>
      </c>
      <c r="W469" s="29" t="s">
        <v>179</v>
      </c>
      <c r="X469" s="14">
        <f>ROUND((IF(Q469=1,INDEX(新属性投放!$L$14:$L$34,卡牌属性!R469),INDEX(新属性投放!$L$42:$L$62,卡牌属性!R469))*INDEX($G$5:$G$42,L469)+IF(Q469=1,INDEX(新属性投放!T$20:T$23,卡牌属性!M469-1),INDEX(新属性投放!T$25:T$28,卡牌属性!M469-1)))*SQRT(INDEX($I$5:$I$42,L469)),2)</f>
        <v>4897.1000000000004</v>
      </c>
      <c r="Y469" s="29" t="s">
        <v>177</v>
      </c>
      <c r="Z469" s="14">
        <f>ROUND(IF(Q469=1,INDEX(新属性投放!$D$14:$D$34,卡牌属性!R469),INDEX(新属性投放!$D$42:$D$62,卡牌属性!R469))*INDEX($G$5:$G$42,L469)/SQRT(INDEX($I$5:$I$42,L469)),2)</f>
        <v>26</v>
      </c>
      <c r="AA469" s="29" t="s">
        <v>178</v>
      </c>
      <c r="AB469" s="14">
        <f>ROUND(IF(Q469=1,INDEX(新属性投放!$E$14:$E$34,卡牌属性!R469),INDEX(新属性投放!$E$42:$E$62,卡牌属性!R469))*INDEX($G$5:$G$42,L469),2)</f>
        <v>13</v>
      </c>
      <c r="AC469" s="29" t="s">
        <v>179</v>
      </c>
      <c r="AD469" s="14">
        <f>ROUND(IF(Q469=1,INDEX(新属性投放!$F$14:$F$34,卡牌属性!R469),INDEX(新属性投放!$F$42:$F$62,卡牌属性!R469))*INDEX($G$5:$G$42,L469)*SQRT(INDEX($I$5:$I$42,L469)),2)</f>
        <v>117</v>
      </c>
      <c r="AF469" s="14">
        <f t="shared" si="135"/>
        <v>260</v>
      </c>
      <c r="AG469" s="14">
        <f t="shared" si="136"/>
        <v>130</v>
      </c>
      <c r="AH469" s="14">
        <f t="shared" si="137"/>
        <v>1170</v>
      </c>
      <c r="AJ469" s="14">
        <f t="shared" si="138"/>
        <v>715</v>
      </c>
      <c r="AK469" s="14">
        <f t="shared" si="139"/>
        <v>357</v>
      </c>
      <c r="AL469" s="14">
        <f t="shared" si="140"/>
        <v>3211</v>
      </c>
    </row>
    <row r="470" spans="11:38" ht="16.5" x14ac:dyDescent="0.2">
      <c r="K470" s="13">
        <v>467</v>
      </c>
      <c r="L470" s="13">
        <f t="shared" si="129"/>
        <v>23</v>
      </c>
      <c r="M470" s="13">
        <f t="shared" si="130"/>
        <v>4</v>
      </c>
      <c r="N470" s="14">
        <f t="shared" si="131"/>
        <v>1102007</v>
      </c>
      <c r="O470" s="14" t="str">
        <f t="shared" si="132"/>
        <v>天使缇娜5突</v>
      </c>
      <c r="P470" s="29" t="s">
        <v>341</v>
      </c>
      <c r="Q470" s="14">
        <f t="shared" si="133"/>
        <v>2</v>
      </c>
      <c r="R470" s="14">
        <f t="shared" si="134"/>
        <v>5</v>
      </c>
      <c r="S470" s="14" t="s">
        <v>39</v>
      </c>
      <c r="T470" s="14">
        <f>ROUND(((IF(Q470=1,INDEX(新属性投放!$J$14:$J$34,卡牌属性!R470),INDEX(新属性投放!$J$42:$J$62,卡牌属性!R470)))*INDEX($G$5:$G$42,L470)+IF(Q470=1,INDEX(新属性投放!R$20:R$23,卡牌属性!M470-1),INDEX(新属性投放!R$25:R$28,卡牌属性!M470-1)))/SQRT(INDEX($I$5:$I$42,L470)),2)</f>
        <v>1491.4</v>
      </c>
      <c r="U470" s="29" t="s">
        <v>178</v>
      </c>
      <c r="V470" s="14">
        <f>ROUND((IF(Q470=1,INDEX(新属性投放!$K$14:$K$34,卡牌属性!R470),INDEX(新属性投放!$K$42:$K$62,卡牌属性!R470))+IF(Q470=1,INDEX(新属性投放!S$20:S$23,卡牌属性!M470-1),INDEX(新属性投放!S$25:S$28,卡牌属性!M470-1)))*INDEX($G$5:$G$42,L470),2)</f>
        <v>568.1</v>
      </c>
      <c r="W470" s="29" t="s">
        <v>179</v>
      </c>
      <c r="X470" s="14">
        <f>ROUND((IF(Q470=1,INDEX(新属性投放!$L$14:$L$34,卡牌属性!R470),INDEX(新属性投放!$L$42:$L$62,卡牌属性!R470))*INDEX($G$5:$G$42,L470)+IF(Q470=1,INDEX(新属性投放!T$20:T$23,卡牌属性!M470-1),INDEX(新属性投放!T$25:T$28,卡牌属性!M470-1)))*SQRT(INDEX($I$5:$I$42,L470)),2)</f>
        <v>6652.1</v>
      </c>
      <c r="Y470" s="29" t="s">
        <v>177</v>
      </c>
      <c r="Z470" s="14">
        <f>ROUND(IF(Q470=1,INDEX(新属性投放!$D$14:$D$34,卡牌属性!R470),INDEX(新属性投放!$D$42:$D$62,卡牌属性!R470))*INDEX($G$5:$G$42,L470)/SQRT(INDEX($I$5:$I$42,L470)),2)</f>
        <v>32.5</v>
      </c>
      <c r="AA470" s="29" t="s">
        <v>178</v>
      </c>
      <c r="AB470" s="14">
        <f>ROUND(IF(Q470=1,INDEX(新属性投放!$E$14:$E$34,卡牌属性!R470),INDEX(新属性投放!$E$42:$E$62,卡牌属性!R470))*INDEX($G$5:$G$42,L470),2)</f>
        <v>16.25</v>
      </c>
      <c r="AC470" s="29" t="s">
        <v>179</v>
      </c>
      <c r="AD470" s="14">
        <f>ROUND(IF(Q470=1,INDEX(新属性投放!$F$14:$F$34,卡牌属性!R470),INDEX(新属性投放!$F$42:$F$62,卡牌属性!R470))*INDEX($G$5:$G$42,L470)*SQRT(INDEX($I$5:$I$42,L470)),2)</f>
        <v>145.6</v>
      </c>
      <c r="AF470" s="14">
        <f t="shared" si="135"/>
        <v>325</v>
      </c>
      <c r="AG470" s="14">
        <f t="shared" si="136"/>
        <v>162</v>
      </c>
      <c r="AH470" s="14">
        <f t="shared" si="137"/>
        <v>1456</v>
      </c>
      <c r="AJ470" s="14">
        <f t="shared" si="138"/>
        <v>1040</v>
      </c>
      <c r="AK470" s="14">
        <f t="shared" si="139"/>
        <v>519</v>
      </c>
      <c r="AL470" s="14">
        <f t="shared" si="140"/>
        <v>4667</v>
      </c>
    </row>
    <row r="471" spans="11:38" ht="16.5" x14ac:dyDescent="0.2">
      <c r="K471" s="13">
        <v>468</v>
      </c>
      <c r="L471" s="13">
        <f t="shared" si="129"/>
        <v>23</v>
      </c>
      <c r="M471" s="13">
        <f t="shared" si="130"/>
        <v>4</v>
      </c>
      <c r="N471" s="14">
        <f t="shared" si="131"/>
        <v>1102007</v>
      </c>
      <c r="O471" s="14" t="str">
        <f t="shared" si="132"/>
        <v>天使缇娜6突</v>
      </c>
      <c r="P471" s="29" t="s">
        <v>341</v>
      </c>
      <c r="Q471" s="14">
        <f t="shared" si="133"/>
        <v>2</v>
      </c>
      <c r="R471" s="14">
        <f t="shared" si="134"/>
        <v>6</v>
      </c>
      <c r="S471" s="14" t="s">
        <v>39</v>
      </c>
      <c r="T471" s="14">
        <f>ROUND(((IF(Q471=1,INDEX(新属性投放!$J$14:$J$34,卡牌属性!R471),INDEX(新属性投放!$J$42:$J$62,卡牌属性!R471)))*INDEX($G$5:$G$42,L471)+IF(Q471=1,INDEX(新属性投放!R$20:R$23,卡牌属性!M471-1),INDEX(新属性投放!R$25:R$28,卡牌属性!M471-1)))/SQRT(INDEX($I$5:$I$42,L471)),2)</f>
        <v>1898.3</v>
      </c>
      <c r="U471" s="29" t="s">
        <v>178</v>
      </c>
      <c r="V471" s="14">
        <f>ROUND((IF(Q471=1,INDEX(新属性投放!$K$14:$K$34,卡牌属性!R471),INDEX(新属性投放!$K$42:$K$62,卡牌属性!R471))+IF(Q471=1,INDEX(新属性投放!S$20:S$23,卡牌属性!M471-1),INDEX(新属性投放!S$25:S$28,卡牌属性!M471-1)))*INDEX($G$5:$G$42,L471),2)</f>
        <v>770.9</v>
      </c>
      <c r="W471" s="29" t="s">
        <v>179</v>
      </c>
      <c r="X471" s="14">
        <f>ROUND((IF(Q471=1,INDEX(新属性投放!$L$14:$L$34,卡牌属性!R471),INDEX(新属性投放!$L$42:$L$62,卡牌属性!R471))*INDEX($G$5:$G$42,L471)+IF(Q471=1,INDEX(新属性投放!T$20:T$23,卡牌属性!M471-1),INDEX(新属性投放!T$25:T$28,卡牌属性!M471-1)))*SQRT(INDEX($I$5:$I$42,L471)),2)</f>
        <v>8845.2000000000007</v>
      </c>
      <c r="Y471" s="29" t="s">
        <v>177</v>
      </c>
      <c r="Z471" s="14">
        <f>ROUND(IF(Q471=1,INDEX(新属性投放!$D$14:$D$34,卡牌属性!R471),INDEX(新属性投放!$D$42:$D$62,卡牌属性!R471))*INDEX($G$5:$G$42,L471)/SQRT(INDEX($I$5:$I$42,L471)),2)</f>
        <v>39</v>
      </c>
      <c r="AA471" s="29" t="s">
        <v>178</v>
      </c>
      <c r="AB471" s="14">
        <f>ROUND(IF(Q471=1,INDEX(新属性投放!$E$14:$E$34,卡牌属性!R471),INDEX(新属性投放!$E$42:$E$62,卡牌属性!R471))*INDEX($G$5:$G$42,L471),2)</f>
        <v>19.5</v>
      </c>
      <c r="AC471" s="29" t="s">
        <v>179</v>
      </c>
      <c r="AD471" s="14">
        <f>ROUND(IF(Q471=1,INDEX(新属性投放!$F$14:$F$34,卡牌属性!R471),INDEX(新属性投放!$F$42:$F$62,卡牌属性!R471))*INDEX($G$5:$G$42,L471)*SQRT(INDEX($I$5:$I$42,L471)),2)</f>
        <v>175.5</v>
      </c>
      <c r="AF471" s="14">
        <f t="shared" si="135"/>
        <v>390</v>
      </c>
      <c r="AG471" s="14">
        <f t="shared" si="136"/>
        <v>195</v>
      </c>
      <c r="AH471" s="14">
        <f t="shared" si="137"/>
        <v>1755</v>
      </c>
      <c r="AJ471" s="14">
        <f t="shared" si="138"/>
        <v>1430</v>
      </c>
      <c r="AK471" s="14">
        <f t="shared" si="139"/>
        <v>714</v>
      </c>
      <c r="AL471" s="14">
        <f t="shared" si="140"/>
        <v>6422</v>
      </c>
    </row>
    <row r="472" spans="11:38" ht="16.5" x14ac:dyDescent="0.2">
      <c r="K472" s="13">
        <v>469</v>
      </c>
      <c r="L472" s="13">
        <f t="shared" si="129"/>
        <v>23</v>
      </c>
      <c r="M472" s="13">
        <f t="shared" si="130"/>
        <v>4</v>
      </c>
      <c r="N472" s="14">
        <f t="shared" si="131"/>
        <v>1102007</v>
      </c>
      <c r="O472" s="14" t="str">
        <f t="shared" si="132"/>
        <v>天使缇娜7突</v>
      </c>
      <c r="P472" s="29" t="s">
        <v>341</v>
      </c>
      <c r="Q472" s="14">
        <f t="shared" si="133"/>
        <v>2</v>
      </c>
      <c r="R472" s="14">
        <f t="shared" si="134"/>
        <v>7</v>
      </c>
      <c r="S472" s="14" t="s">
        <v>39</v>
      </c>
      <c r="T472" s="14">
        <f>ROUND(((IF(Q472=1,INDEX(新属性投放!$J$14:$J$34,卡牌属性!R472),INDEX(新属性投放!$J$42:$J$62,卡牌属性!R472)))*INDEX($G$5:$G$42,L472)+IF(Q472=1,INDEX(新属性投放!R$20:R$23,卡牌属性!M472-1),INDEX(新属性投放!R$25:R$28,卡牌属性!M472-1)))/SQRT(INDEX($I$5:$I$42,L472)),2)</f>
        <v>2385.8000000000002</v>
      </c>
      <c r="U472" s="29" t="s">
        <v>178</v>
      </c>
      <c r="V472" s="14">
        <f>ROUND((IF(Q472=1,INDEX(新属性投放!$K$14:$K$34,卡牌属性!R472),INDEX(新属性投放!$K$42:$K$62,卡牌属性!R472))+IF(Q472=1,INDEX(新属性投放!S$20:S$23,卡牌属性!M472-1),INDEX(新属性投放!S$25:S$28,卡牌属性!M472-1)))*INDEX($G$5:$G$42,L472),2)</f>
        <v>1015.3</v>
      </c>
      <c r="W472" s="29" t="s">
        <v>179</v>
      </c>
      <c r="X472" s="14">
        <f>ROUND((IF(Q472=1,INDEX(新属性投放!$L$14:$L$34,卡牌属性!R472),INDEX(新属性投放!$L$42:$L$62,卡牌属性!R472))*INDEX($G$5:$G$42,L472)+IF(Q472=1,INDEX(新属性投放!T$20:T$23,卡牌属性!M472-1),INDEX(新属性投放!T$25:T$28,卡牌属性!M472-1)))*SQRT(INDEX($I$5:$I$42,L472)),2)</f>
        <v>11477.7</v>
      </c>
      <c r="Y472" s="29" t="s">
        <v>177</v>
      </c>
      <c r="Z472" s="14">
        <f>ROUND(IF(Q472=1,INDEX(新属性投放!$D$14:$D$34,卡牌属性!R472),INDEX(新属性投放!$D$42:$D$62,卡牌属性!R472))*INDEX($G$5:$G$42,L472)/SQRT(INDEX($I$5:$I$42,L472)),2)</f>
        <v>45.5</v>
      </c>
      <c r="AA472" s="29" t="s">
        <v>178</v>
      </c>
      <c r="AB472" s="14">
        <f>ROUND(IF(Q472=1,INDEX(新属性投放!$E$14:$E$34,卡牌属性!R472),INDEX(新属性投放!$E$42:$E$62,卡牌属性!R472))*INDEX($G$5:$G$42,L472),2)</f>
        <v>22.75</v>
      </c>
      <c r="AC472" s="29" t="s">
        <v>179</v>
      </c>
      <c r="AD472" s="14">
        <f>ROUND(IF(Q472=1,INDEX(新属性投放!$F$14:$F$34,卡牌属性!R472),INDEX(新属性投放!$F$42:$F$62,卡牌属性!R472))*INDEX($G$5:$G$42,L472)*SQRT(INDEX($I$5:$I$42,L472)),2)</f>
        <v>204.1</v>
      </c>
      <c r="AF472" s="14">
        <f t="shared" si="135"/>
        <v>455</v>
      </c>
      <c r="AG472" s="14">
        <f t="shared" si="136"/>
        <v>227</v>
      </c>
      <c r="AH472" s="14">
        <f t="shared" si="137"/>
        <v>2041</v>
      </c>
      <c r="AJ472" s="14">
        <f t="shared" si="138"/>
        <v>1885</v>
      </c>
      <c r="AK472" s="14">
        <f t="shared" si="139"/>
        <v>941</v>
      </c>
      <c r="AL472" s="14">
        <f t="shared" si="140"/>
        <v>8463</v>
      </c>
    </row>
    <row r="473" spans="11:38" ht="16.5" x14ac:dyDescent="0.2">
      <c r="K473" s="13">
        <v>470</v>
      </c>
      <c r="L473" s="13">
        <f t="shared" si="129"/>
        <v>23</v>
      </c>
      <c r="M473" s="13">
        <f t="shared" si="130"/>
        <v>4</v>
      </c>
      <c r="N473" s="14">
        <f t="shared" si="131"/>
        <v>1102007</v>
      </c>
      <c r="O473" s="14" t="str">
        <f t="shared" si="132"/>
        <v>天使缇娜8突</v>
      </c>
      <c r="P473" s="29" t="s">
        <v>341</v>
      </c>
      <c r="Q473" s="14">
        <f t="shared" si="133"/>
        <v>2</v>
      </c>
      <c r="R473" s="14">
        <f t="shared" si="134"/>
        <v>8</v>
      </c>
      <c r="S473" s="14" t="s">
        <v>39</v>
      </c>
      <c r="T473" s="14">
        <f>ROUND(((IF(Q473=1,INDEX(新属性投放!$J$14:$J$34,卡牌属性!R473),INDEX(新属性投放!$J$42:$J$62,卡牌属性!R473)))*INDEX($G$5:$G$42,L473)+IF(Q473=1,INDEX(新属性投放!R$20:R$23,卡牌属性!M473-1),INDEX(新属性投放!R$25:R$28,卡牌属性!M473-1)))/SQRT(INDEX($I$5:$I$42,L473)),2)</f>
        <v>2955.2</v>
      </c>
      <c r="U473" s="29" t="s">
        <v>178</v>
      </c>
      <c r="V473" s="14">
        <f>ROUND((IF(Q473=1,INDEX(新属性投放!$K$14:$K$34,卡牌属性!R473),INDEX(新属性投放!$K$42:$K$62,卡牌属性!R473))+IF(Q473=1,INDEX(新属性投放!S$20:S$23,卡牌属性!M473-1),INDEX(新属性投放!S$25:S$28,卡牌属性!M473-1)))*INDEX($G$5:$G$42,L473),2)</f>
        <v>1300</v>
      </c>
      <c r="W473" s="29" t="s">
        <v>179</v>
      </c>
      <c r="X473" s="14">
        <f>ROUND((IF(Q473=1,INDEX(新属性投放!$L$14:$L$34,卡牌属性!R473),INDEX(新属性投放!$L$42:$L$62,卡牌属性!R473))*INDEX($G$5:$G$42,L473)+IF(Q473=1,INDEX(新属性投放!T$20:T$23,卡牌属性!M473-1),INDEX(新属性投放!T$25:T$28,卡牌属性!M473-1)))*SQRT(INDEX($I$5:$I$42,L473)),2)</f>
        <v>14548.3</v>
      </c>
      <c r="Y473" s="29" t="s">
        <v>177</v>
      </c>
      <c r="Z473" s="14">
        <f>ROUND(IF(Q473=1,INDEX(新属性投放!$D$14:$D$34,卡牌属性!R473),INDEX(新属性投放!$D$42:$D$62,卡牌属性!R473))*INDEX($G$5:$G$42,L473)/SQRT(INDEX($I$5:$I$42,L473)),2)</f>
        <v>58.5</v>
      </c>
      <c r="AA473" s="29" t="s">
        <v>178</v>
      </c>
      <c r="AB473" s="14">
        <f>ROUND(IF(Q473=1,INDEX(新属性投放!$E$14:$E$34,卡牌属性!R473),INDEX(新属性投放!$E$42:$E$62,卡牌属性!R473))*INDEX($G$5:$G$42,L473),2)</f>
        <v>29.25</v>
      </c>
      <c r="AC473" s="29" t="s">
        <v>179</v>
      </c>
      <c r="AD473" s="14">
        <f>ROUND(IF(Q473=1,INDEX(新属性投放!$F$14:$F$34,卡牌属性!R473),INDEX(新属性投放!$F$42:$F$62,卡牌属性!R473))*INDEX($G$5:$G$42,L473)*SQRT(INDEX($I$5:$I$42,L473)),2)</f>
        <v>262.60000000000002</v>
      </c>
      <c r="AF473" s="14">
        <f t="shared" si="135"/>
        <v>585</v>
      </c>
      <c r="AG473" s="14">
        <f t="shared" si="136"/>
        <v>292</v>
      </c>
      <c r="AH473" s="14">
        <f t="shared" si="137"/>
        <v>2626</v>
      </c>
      <c r="AJ473" s="14">
        <f t="shared" si="138"/>
        <v>2470</v>
      </c>
      <c r="AK473" s="14">
        <f t="shared" si="139"/>
        <v>1233</v>
      </c>
      <c r="AL473" s="14">
        <f t="shared" si="140"/>
        <v>11089</v>
      </c>
    </row>
    <row r="474" spans="11:38" ht="16.5" x14ac:dyDescent="0.2">
      <c r="K474" s="13">
        <v>471</v>
      </c>
      <c r="L474" s="13">
        <f t="shared" si="129"/>
        <v>23</v>
      </c>
      <c r="M474" s="13">
        <f t="shared" si="130"/>
        <v>4</v>
      </c>
      <c r="N474" s="14">
        <f t="shared" si="131"/>
        <v>1102007</v>
      </c>
      <c r="O474" s="14" t="str">
        <f t="shared" si="132"/>
        <v>天使缇娜9突</v>
      </c>
      <c r="P474" s="29" t="s">
        <v>341</v>
      </c>
      <c r="Q474" s="14">
        <f t="shared" si="133"/>
        <v>2</v>
      </c>
      <c r="R474" s="14">
        <f t="shared" si="134"/>
        <v>9</v>
      </c>
      <c r="S474" s="14" t="s">
        <v>39</v>
      </c>
      <c r="T474" s="14">
        <f>ROUND(((IF(Q474=1,INDEX(新属性投放!$J$14:$J$34,卡牌属性!R474),INDEX(新属性投放!$J$42:$J$62,卡牌属性!R474)))*INDEX($G$5:$G$42,L474)+IF(Q474=1,INDEX(新属性投放!R$20:R$23,卡牌属性!M474-1),INDEX(新属性投放!R$25:R$28,卡牌属性!M474-1)))/SQRT(INDEX($I$5:$I$42,L474)),2)</f>
        <v>3687.1</v>
      </c>
      <c r="U474" s="29" t="s">
        <v>178</v>
      </c>
      <c r="V474" s="14">
        <f>ROUND((IF(Q474=1,INDEX(新属性投放!$K$14:$K$34,卡牌属性!R474),INDEX(新属性投放!$K$42:$K$62,卡牌属性!R474))+IF(Q474=1,INDEX(新属性投放!S$20:S$23,卡牌属性!M474-1),INDEX(新属性投放!S$25:S$28,卡牌属性!M474-1)))*INDEX($G$5:$G$42,L474),2)</f>
        <v>1665.3</v>
      </c>
      <c r="W474" s="29" t="s">
        <v>179</v>
      </c>
      <c r="X474" s="14">
        <f>ROUND((IF(Q474=1,INDEX(新属性投放!$L$14:$L$34,卡牌属性!R474),INDEX(新属性投放!$L$42:$L$62,卡牌属性!R474))*INDEX($G$5:$G$42,L474)+IF(Q474=1,INDEX(新属性投放!T$20:T$23,卡牌属性!M474-1),INDEX(新属性投放!T$25:T$28,卡牌属性!M474-1)))*SQRT(INDEX($I$5:$I$42,L474)),2)</f>
        <v>18496.400000000001</v>
      </c>
      <c r="Y474" s="29" t="s">
        <v>177</v>
      </c>
      <c r="Z474" s="14">
        <f>ROUND(IF(Q474=1,INDEX(新属性投放!$D$14:$D$34,卡牌属性!R474),INDEX(新属性投放!$D$42:$D$62,卡牌属性!R474))*INDEX($G$5:$G$42,L474)/SQRT(INDEX($I$5:$I$42,L474)),2)</f>
        <v>78.069999999999993</v>
      </c>
      <c r="AA474" s="29" t="s">
        <v>178</v>
      </c>
      <c r="AB474" s="14">
        <f>ROUND(IF(Q474=1,INDEX(新属性投放!$E$14:$E$34,卡牌属性!R474),INDEX(新属性投放!$E$42:$E$62,卡牌属性!R474))*INDEX($G$5:$G$42,L474),2)</f>
        <v>39.03</v>
      </c>
      <c r="AC474" s="29" t="s">
        <v>179</v>
      </c>
      <c r="AD474" s="14">
        <f>ROUND(IF(Q474=1,INDEX(新属性投放!$F$14:$F$34,卡牌属性!R474),INDEX(新属性投放!$F$42:$F$62,卡牌属性!R474))*INDEX($G$5:$G$42,L474)*SQRT(INDEX($I$5:$I$42,L474)),2)</f>
        <v>351</v>
      </c>
      <c r="AF474" s="14">
        <f t="shared" si="135"/>
        <v>780</v>
      </c>
      <c r="AG474" s="14">
        <f t="shared" si="136"/>
        <v>390</v>
      </c>
      <c r="AH474" s="14">
        <f t="shared" si="137"/>
        <v>3510</v>
      </c>
      <c r="AJ474" s="14">
        <f t="shared" si="138"/>
        <v>3250</v>
      </c>
      <c r="AK474" s="14">
        <f t="shared" si="139"/>
        <v>1623</v>
      </c>
      <c r="AL474" s="14">
        <f t="shared" si="140"/>
        <v>14599</v>
      </c>
    </row>
    <row r="475" spans="11:38" ht="16.5" x14ac:dyDescent="0.2">
      <c r="K475" s="13">
        <v>472</v>
      </c>
      <c r="L475" s="13">
        <f t="shared" si="129"/>
        <v>23</v>
      </c>
      <c r="M475" s="13">
        <f t="shared" si="130"/>
        <v>4</v>
      </c>
      <c r="N475" s="14">
        <f t="shared" si="131"/>
        <v>1102007</v>
      </c>
      <c r="O475" s="14" t="str">
        <f t="shared" si="132"/>
        <v>天使缇娜10突</v>
      </c>
      <c r="P475" s="29" t="s">
        <v>341</v>
      </c>
      <c r="Q475" s="14">
        <f t="shared" si="133"/>
        <v>2</v>
      </c>
      <c r="R475" s="14">
        <f t="shared" si="134"/>
        <v>10</v>
      </c>
      <c r="S475" s="14" t="s">
        <v>39</v>
      </c>
      <c r="T475" s="14">
        <f>ROUND(((IF(Q475=1,INDEX(新属性投放!$J$14:$J$34,卡牌属性!R475),INDEX(新属性投放!$J$42:$J$62,卡牌属性!R475)))*INDEX($G$5:$G$42,L475)+IF(Q475=1,INDEX(新属性投放!R$20:R$23,卡牌属性!M475-1),INDEX(新属性投放!R$25:R$28,卡牌属性!M475-1)))/SQRT(INDEX($I$5:$I$42,L475)),2)</f>
        <v>4662.75</v>
      </c>
      <c r="U475" s="29" t="s">
        <v>178</v>
      </c>
      <c r="V475" s="14">
        <f>ROUND((IF(Q475=1,INDEX(新属性投放!$K$14:$K$34,卡牌属性!R475),INDEX(新属性投放!$K$42:$K$62,卡牌属性!R475))+IF(Q475=1,INDEX(新属性投放!S$20:S$23,卡牌属性!M475-1),INDEX(新属性投放!S$25:S$28,卡牌属性!M475-1)))*INDEX($G$5:$G$42,L475),2)</f>
        <v>2153.13</v>
      </c>
      <c r="W475" s="29" t="s">
        <v>179</v>
      </c>
      <c r="X475" s="14">
        <f>ROUND((IF(Q475=1,INDEX(新属性投放!$L$14:$L$34,卡牌属性!R475),INDEX(新属性投放!$L$42:$L$62,卡牌属性!R475))*INDEX($G$5:$G$42,L475)+IF(Q475=1,INDEX(新属性投放!T$20:T$23,卡牌属性!M475-1),INDEX(新属性投放!T$25:T$28,卡牌属性!M475-1)))*SQRT(INDEX($I$5:$I$42,L475)),2)</f>
        <v>23761.4</v>
      </c>
      <c r="Y475" s="29" t="s">
        <v>177</v>
      </c>
      <c r="Z475" s="14">
        <f>ROUND(IF(Q475=1,INDEX(新属性投放!$D$14:$D$34,卡牌属性!R475),INDEX(新属性投放!$D$42:$D$62,卡牌属性!R475))*INDEX($G$5:$G$42,L475)/SQRT(INDEX($I$5:$I$42,L475)),2)</f>
        <v>102.05</v>
      </c>
      <c r="AA475" s="29" t="s">
        <v>178</v>
      </c>
      <c r="AB475" s="14">
        <f>ROUND(IF(Q475=1,INDEX(新属性投放!$E$14:$E$34,卡牌属性!R475),INDEX(新属性投放!$E$42:$E$62,卡牌属性!R475))*INDEX($G$5:$G$42,L475),2)</f>
        <v>51.03</v>
      </c>
      <c r="AC475" s="29" t="s">
        <v>179</v>
      </c>
      <c r="AD475" s="14">
        <f>ROUND(IF(Q475=1,INDEX(新属性投放!$F$14:$F$34,卡牌属性!R475),INDEX(新属性投放!$F$42:$F$62,卡牌属性!R475))*INDEX($G$5:$G$42,L475)*SQRT(INDEX($I$5:$I$42,L475)),2)</f>
        <v>458.9</v>
      </c>
      <c r="AF475" s="14">
        <f t="shared" si="135"/>
        <v>1020</v>
      </c>
      <c r="AG475" s="14">
        <f t="shared" si="136"/>
        <v>510</v>
      </c>
      <c r="AH475" s="14">
        <f t="shared" si="137"/>
        <v>4589</v>
      </c>
      <c r="AJ475" s="14">
        <f t="shared" si="138"/>
        <v>4270</v>
      </c>
      <c r="AK475" s="14">
        <f t="shared" si="139"/>
        <v>2133</v>
      </c>
      <c r="AL475" s="14">
        <f t="shared" si="140"/>
        <v>19188</v>
      </c>
    </row>
    <row r="476" spans="11:38" ht="16.5" x14ac:dyDescent="0.2">
      <c r="K476" s="13">
        <v>473</v>
      </c>
      <c r="L476" s="13">
        <f t="shared" si="129"/>
        <v>23</v>
      </c>
      <c r="M476" s="13">
        <f t="shared" si="130"/>
        <v>4</v>
      </c>
      <c r="N476" s="14">
        <f t="shared" si="131"/>
        <v>1102007</v>
      </c>
      <c r="O476" s="14" t="str">
        <f t="shared" si="132"/>
        <v>天使缇娜11突</v>
      </c>
      <c r="P476" s="29" t="s">
        <v>341</v>
      </c>
      <c r="Q476" s="14">
        <f t="shared" si="133"/>
        <v>2</v>
      </c>
      <c r="R476" s="14">
        <f t="shared" si="134"/>
        <v>11</v>
      </c>
      <c r="S476" s="14" t="s">
        <v>39</v>
      </c>
      <c r="T476" s="14">
        <f>ROUND(((IF(Q476=1,INDEX(新属性投放!$J$14:$J$34,卡牌属性!R476),INDEX(新属性投放!$J$42:$J$62,卡牌属性!R476)))*INDEX($G$5:$G$42,L476)+IF(Q476=1,INDEX(新属性投放!R$20:R$23,卡牌属性!M476-1),INDEX(新属性投放!R$25:R$28,卡牌属性!M476-1)))/SQRT(INDEX($I$5:$I$42,L476)),2)</f>
        <v>5938.05</v>
      </c>
      <c r="U476" s="29" t="s">
        <v>178</v>
      </c>
      <c r="V476" s="14">
        <f>ROUND((IF(Q476=1,INDEX(新属性投放!$K$14:$K$34,卡牌属性!R476),INDEX(新属性投放!$K$42:$K$62,卡牌属性!R476))+IF(Q476=1,INDEX(新属性投放!S$20:S$23,卡牌属性!M476-1),INDEX(新属性投放!S$25:S$28,卡牌属性!M476-1)))*INDEX($G$5:$G$42,L476),2)</f>
        <v>2790.78</v>
      </c>
      <c r="W476" s="29" t="s">
        <v>179</v>
      </c>
      <c r="X476" s="14">
        <f>ROUND((IF(Q476=1,INDEX(新属性投放!$L$14:$L$34,卡牌属性!R476),INDEX(新属性投放!$L$42:$L$62,卡牌属性!R476))*INDEX($G$5:$G$42,L476)+IF(Q476=1,INDEX(新属性投放!T$20:T$23,卡牌属性!M476-1),INDEX(新属性投放!T$25:T$28,卡牌属性!M476-1)))*SQRT(INDEX($I$5:$I$42,L476)),2)</f>
        <v>30643.599999999999</v>
      </c>
      <c r="Y476" s="29" t="s">
        <v>177</v>
      </c>
      <c r="Z476" s="14">
        <f>ROUND(IF(Q476=1,INDEX(新属性投放!$D$14:$D$34,卡牌属性!R476),INDEX(新属性投放!$D$42:$D$62,卡牌属性!R476))*INDEX($G$5:$G$42,L476)/SQRT(INDEX($I$5:$I$42,L476)),2)</f>
        <v>134.34</v>
      </c>
      <c r="AA476" s="29" t="s">
        <v>178</v>
      </c>
      <c r="AB476" s="14">
        <f>ROUND(IF(Q476=1,INDEX(新属性投放!$E$14:$E$34,卡牌属性!R476),INDEX(新属性投放!$E$42:$E$62,卡牌属性!R476))*INDEX($G$5:$G$42,L476),2)</f>
        <v>67.17</v>
      </c>
      <c r="AC476" s="29" t="s">
        <v>179</v>
      </c>
      <c r="AD476" s="14">
        <f>ROUND(IF(Q476=1,INDEX(新属性投放!$F$14:$F$34,卡牌属性!R476),INDEX(新属性投放!$F$42:$F$62,卡牌属性!R476))*INDEX($G$5:$G$42,L476)*SQRT(INDEX($I$5:$I$42,L476)),2)</f>
        <v>604.5</v>
      </c>
      <c r="AF476" s="14">
        <f t="shared" si="135"/>
        <v>1343</v>
      </c>
      <c r="AG476" s="14">
        <f t="shared" si="136"/>
        <v>671</v>
      </c>
      <c r="AH476" s="14">
        <f t="shared" si="137"/>
        <v>6045</v>
      </c>
      <c r="AJ476" s="14">
        <f t="shared" si="138"/>
        <v>5613</v>
      </c>
      <c r="AK476" s="14">
        <f t="shared" si="139"/>
        <v>2804</v>
      </c>
      <c r="AL476" s="14">
        <f t="shared" si="140"/>
        <v>25233</v>
      </c>
    </row>
    <row r="477" spans="11:38" ht="16.5" x14ac:dyDescent="0.2">
      <c r="K477" s="13">
        <v>474</v>
      </c>
      <c r="L477" s="13">
        <f t="shared" si="129"/>
        <v>23</v>
      </c>
      <c r="M477" s="13">
        <f t="shared" si="130"/>
        <v>4</v>
      </c>
      <c r="N477" s="14">
        <f t="shared" si="131"/>
        <v>1102007</v>
      </c>
      <c r="O477" s="14" t="str">
        <f t="shared" si="132"/>
        <v>天使缇娜12突</v>
      </c>
      <c r="P477" s="29" t="s">
        <v>341</v>
      </c>
      <c r="Q477" s="14">
        <f t="shared" si="133"/>
        <v>2</v>
      </c>
      <c r="R477" s="14">
        <f t="shared" si="134"/>
        <v>12</v>
      </c>
      <c r="S477" s="14" t="s">
        <v>39</v>
      </c>
      <c r="T477" s="14">
        <f>ROUND(((IF(Q477=1,INDEX(新属性投放!$J$14:$J$34,卡牌属性!R477),INDEX(新属性投放!$J$42:$J$62,卡牌属性!R477)))*INDEX($G$5:$G$42,L477)+IF(Q477=1,INDEX(新属性投放!R$20:R$23,卡牌属性!M477-1),INDEX(新属性投放!R$25:R$28,卡牌属性!M477-1)))/SQRT(INDEX($I$5:$I$42,L477)),2)</f>
        <v>7616.87</v>
      </c>
      <c r="U477" s="29" t="s">
        <v>178</v>
      </c>
      <c r="V477" s="14">
        <f>ROUND((IF(Q477=1,INDEX(新属性投放!$K$14:$K$34,卡牌属性!R477),INDEX(新属性投放!$K$42:$K$62,卡牌属性!R477))+IF(Q477=1,INDEX(新属性投放!S$20:S$23,卡牌属性!M477-1),INDEX(新属性投放!S$25:S$28,卡牌属性!M477-1)))*INDEX($G$5:$G$42,L477),2)</f>
        <v>3630.19</v>
      </c>
      <c r="W477" s="29" t="s">
        <v>179</v>
      </c>
      <c r="X477" s="14">
        <f>ROUND((IF(Q477=1,INDEX(新属性投放!$L$14:$L$34,卡牌属性!R477),INDEX(新属性投放!$L$42:$L$62,卡牌属性!R477))*INDEX($G$5:$G$42,L477)+IF(Q477=1,INDEX(新属性投放!T$20:T$23,卡牌属性!M477-1),INDEX(新属性投放!T$25:T$28,卡牌属性!M477-1)))*SQRT(INDEX($I$5:$I$42,L477)),2)</f>
        <v>39707.199999999997</v>
      </c>
      <c r="Y477" s="29" t="s">
        <v>177</v>
      </c>
      <c r="Z477" s="14">
        <f>ROUND(IF(Q477=1,INDEX(新属性投放!$D$14:$D$34,卡牌属性!R477),INDEX(新属性投放!$D$42:$D$62,卡牌属性!R477))*INDEX($G$5:$G$42,L477)/SQRT(INDEX($I$5:$I$42,L477)),2)</f>
        <v>176.31</v>
      </c>
      <c r="AA477" s="29" t="s">
        <v>178</v>
      </c>
      <c r="AB477" s="14">
        <f>ROUND(IF(Q477=1,INDEX(新属性投放!$E$14:$E$34,卡牌属性!R477),INDEX(新属性投放!$E$42:$E$62,卡牌属性!R477))*INDEX($G$5:$G$42,L477),2)</f>
        <v>88.15</v>
      </c>
      <c r="AC477" s="29" t="s">
        <v>179</v>
      </c>
      <c r="AD477" s="14">
        <f>ROUND(IF(Q477=1,INDEX(新属性投放!$F$14:$F$34,卡牌属性!R477),INDEX(新属性投放!$F$42:$F$62,卡牌属性!R477))*INDEX($G$5:$G$42,L477)*SQRT(INDEX($I$5:$I$42,L477)),2)</f>
        <v>793</v>
      </c>
      <c r="AF477" s="14">
        <f t="shared" si="135"/>
        <v>1763</v>
      </c>
      <c r="AG477" s="14">
        <f t="shared" si="136"/>
        <v>881</v>
      </c>
      <c r="AH477" s="14">
        <f t="shared" si="137"/>
        <v>7930</v>
      </c>
      <c r="AJ477" s="14">
        <f t="shared" si="138"/>
        <v>7376</v>
      </c>
      <c r="AK477" s="14">
        <f t="shared" si="139"/>
        <v>3685</v>
      </c>
      <c r="AL477" s="14">
        <f t="shared" si="140"/>
        <v>33163</v>
      </c>
    </row>
    <row r="478" spans="11:38" ht="16.5" x14ac:dyDescent="0.2">
      <c r="K478" s="13">
        <v>475</v>
      </c>
      <c r="L478" s="13">
        <f t="shared" si="129"/>
        <v>23</v>
      </c>
      <c r="M478" s="13">
        <f t="shared" si="130"/>
        <v>4</v>
      </c>
      <c r="N478" s="14">
        <f t="shared" si="131"/>
        <v>1102007</v>
      </c>
      <c r="O478" s="14" t="str">
        <f t="shared" si="132"/>
        <v>天使缇娜13突</v>
      </c>
      <c r="P478" s="29" t="s">
        <v>341</v>
      </c>
      <c r="Q478" s="14">
        <f t="shared" si="133"/>
        <v>2</v>
      </c>
      <c r="R478" s="14">
        <f t="shared" si="134"/>
        <v>13</v>
      </c>
      <c r="S478" s="14" t="s">
        <v>39</v>
      </c>
      <c r="T478" s="14">
        <f>ROUND(((IF(Q478=1,INDEX(新属性投放!$J$14:$J$34,卡牌属性!R478),INDEX(新属性投放!$J$42:$J$62,卡牌属性!R478)))*INDEX($G$5:$G$42,L478)+IF(Q478=1,INDEX(新属性投放!R$20:R$23,卡牌属性!M478-1),INDEX(新属性投放!R$25:R$28,卡牌属性!M478-1)))/SQRT(INDEX($I$5:$I$42,L478)),2)</f>
        <v>9820.6299999999992</v>
      </c>
      <c r="U478" s="29" t="s">
        <v>178</v>
      </c>
      <c r="V478" s="14">
        <f>ROUND((IF(Q478=1,INDEX(新属性投放!$K$14:$K$34,卡牌属性!R478),INDEX(新属性投放!$K$42:$K$62,卡牌属性!R478))+IF(Q478=1,INDEX(新属性投放!S$20:S$23,卡牌属性!M478-1),INDEX(新属性投放!S$25:S$28,卡牌属性!M478-1)))*INDEX($G$5:$G$42,L478),2)</f>
        <v>4732.72</v>
      </c>
      <c r="W478" s="29" t="s">
        <v>179</v>
      </c>
      <c r="X478" s="14">
        <f>ROUND((IF(Q478=1,INDEX(新属性投放!$L$14:$L$34,卡牌属性!R478),INDEX(新属性投放!$L$42:$L$62,卡牌属性!R478))*INDEX($G$5:$G$42,L478)+IF(Q478=1,INDEX(新属性投放!T$20:T$23,卡牌属性!M478-1),INDEX(新属性投放!T$25:T$28,卡牌属性!M478-1)))*SQRT(INDEX($I$5:$I$42,L478)),2)</f>
        <v>51603.5</v>
      </c>
      <c r="Y478" s="29" t="s">
        <v>177</v>
      </c>
      <c r="Z478" s="14">
        <f>ROUND(IF(Q478=1,INDEX(新属性投放!$D$14:$D$34,卡牌属性!R478),INDEX(新属性投放!$D$42:$D$62,卡牌属性!R478))*INDEX($G$5:$G$42,L478)/SQRT(INDEX($I$5:$I$42,L478)),2)</f>
        <v>231.4</v>
      </c>
      <c r="AA478" s="29" t="s">
        <v>178</v>
      </c>
      <c r="AB478" s="14">
        <f>ROUND(IF(Q478=1,INDEX(新属性投放!$E$14:$E$34,卡牌属性!R478),INDEX(新属性投放!$E$42:$E$62,卡牌属性!R478))*INDEX($G$5:$G$42,L478),2)</f>
        <v>115.7</v>
      </c>
      <c r="AC478" s="29" t="s">
        <v>179</v>
      </c>
      <c r="AD478" s="14">
        <f>ROUND(IF(Q478=1,INDEX(新属性投放!$F$14:$F$34,卡牌属性!R478),INDEX(新属性投放!$F$42:$F$62,卡牌属性!R478))*INDEX($G$5:$G$42,L478)*SQRT(INDEX($I$5:$I$42,L478)),2)</f>
        <v>1041.3</v>
      </c>
      <c r="AF478" s="14">
        <f t="shared" si="135"/>
        <v>2314</v>
      </c>
      <c r="AG478" s="14">
        <f t="shared" si="136"/>
        <v>1157</v>
      </c>
      <c r="AH478" s="14">
        <f t="shared" si="137"/>
        <v>10413</v>
      </c>
      <c r="AJ478" s="14">
        <f t="shared" si="138"/>
        <v>9690</v>
      </c>
      <c r="AK478" s="14">
        <f t="shared" si="139"/>
        <v>4842</v>
      </c>
      <c r="AL478" s="14">
        <f t="shared" si="140"/>
        <v>43576</v>
      </c>
    </row>
    <row r="479" spans="11:38" ht="16.5" x14ac:dyDescent="0.2">
      <c r="K479" s="13">
        <v>476</v>
      </c>
      <c r="L479" s="13">
        <f t="shared" si="129"/>
        <v>23</v>
      </c>
      <c r="M479" s="13">
        <f t="shared" si="130"/>
        <v>4</v>
      </c>
      <c r="N479" s="14">
        <f t="shared" si="131"/>
        <v>1102007</v>
      </c>
      <c r="O479" s="14" t="str">
        <f t="shared" si="132"/>
        <v>天使缇娜14突</v>
      </c>
      <c r="P479" s="29" t="s">
        <v>341</v>
      </c>
      <c r="Q479" s="14">
        <f t="shared" si="133"/>
        <v>2</v>
      </c>
      <c r="R479" s="14">
        <f t="shared" si="134"/>
        <v>14</v>
      </c>
      <c r="S479" s="14" t="s">
        <v>39</v>
      </c>
      <c r="T479" s="14">
        <f>ROUND(((IF(Q479=1,INDEX(新属性投放!$J$14:$J$34,卡牌属性!R479),INDEX(新属性投放!$J$42:$J$62,卡牌属性!R479)))*INDEX($G$5:$G$42,L479)+IF(Q479=1,INDEX(新属性投放!R$20:R$23,卡牌属性!M479-1),INDEX(新属性投放!R$25:R$28,卡牌属性!M479-1)))/SQRT(INDEX($I$5:$I$42,L479)),2)</f>
        <v>12713.13</v>
      </c>
      <c r="U479" s="29" t="s">
        <v>178</v>
      </c>
      <c r="V479" s="14">
        <f>ROUND((IF(Q479=1,INDEX(新属性投放!$K$14:$K$34,卡牌属性!R479),INDEX(新属性投放!$K$42:$K$62,卡牌属性!R479))+IF(Q479=1,INDEX(新属性投放!S$20:S$23,卡牌属性!M479-1),INDEX(新属性投放!S$25:S$28,卡牌属性!M479-1)))*INDEX($G$5:$G$42,L479),2)</f>
        <v>6179.62</v>
      </c>
      <c r="W479" s="29" t="s">
        <v>179</v>
      </c>
      <c r="X479" s="14">
        <f>ROUND((IF(Q479=1,INDEX(新属性投放!$L$14:$L$34,卡牌属性!R479),INDEX(新属性投放!$L$42:$L$62,卡牌属性!R479))*INDEX($G$5:$G$42,L479)+IF(Q479=1,INDEX(新属性投放!T$20:T$23,卡牌属性!M479-1),INDEX(新属性投放!T$25:T$28,卡牌属性!M479-1)))*SQRT(INDEX($I$5:$I$42,L479)),2)</f>
        <v>67223</v>
      </c>
      <c r="Y479" s="29" t="s">
        <v>177</v>
      </c>
      <c r="Z479" s="14">
        <f>ROUND(IF(Q479=1,INDEX(新属性投放!$D$14:$D$34,卡牌属性!R479),INDEX(新属性投放!$D$42:$D$62,卡牌属性!R479))*INDEX($G$5:$G$42,L479)/SQRT(INDEX($I$5:$I$42,L479)),2)</f>
        <v>303.72000000000003</v>
      </c>
      <c r="AA479" s="29" t="s">
        <v>178</v>
      </c>
      <c r="AB479" s="14">
        <f>ROUND(IF(Q479=1,INDEX(新属性投放!$E$14:$E$34,卡牌属性!R479),INDEX(新属性投放!$E$42:$E$62,卡牌属性!R479))*INDEX($G$5:$G$42,L479),2)</f>
        <v>151.86000000000001</v>
      </c>
      <c r="AC479" s="29" t="s">
        <v>179</v>
      </c>
      <c r="AD479" s="14">
        <f>ROUND(IF(Q479=1,INDEX(新属性投放!$F$14:$F$34,卡牌属性!R479),INDEX(新属性投放!$F$42:$F$62,卡牌属性!R479))*INDEX($G$5:$G$42,L479)*SQRT(INDEX($I$5:$I$42,L479)),2)</f>
        <v>1366.3</v>
      </c>
      <c r="AF479" s="14">
        <f t="shared" si="135"/>
        <v>3037</v>
      </c>
      <c r="AG479" s="14">
        <f t="shared" si="136"/>
        <v>1518</v>
      </c>
      <c r="AH479" s="14">
        <f t="shared" si="137"/>
        <v>13663</v>
      </c>
      <c r="AJ479" s="14">
        <f t="shared" si="138"/>
        <v>12727</v>
      </c>
      <c r="AK479" s="14">
        <f t="shared" si="139"/>
        <v>6360</v>
      </c>
      <c r="AL479" s="14">
        <f t="shared" si="140"/>
        <v>57239</v>
      </c>
    </row>
    <row r="480" spans="11:38" ht="16.5" x14ac:dyDescent="0.2">
      <c r="K480" s="13">
        <v>477</v>
      </c>
      <c r="L480" s="13">
        <f t="shared" si="129"/>
        <v>23</v>
      </c>
      <c r="M480" s="13">
        <f t="shared" si="130"/>
        <v>4</v>
      </c>
      <c r="N480" s="14">
        <f t="shared" si="131"/>
        <v>1102007</v>
      </c>
      <c r="O480" s="14" t="str">
        <f t="shared" si="132"/>
        <v>天使缇娜15突</v>
      </c>
      <c r="P480" s="29" t="s">
        <v>341</v>
      </c>
      <c r="Q480" s="14">
        <f t="shared" si="133"/>
        <v>2</v>
      </c>
      <c r="R480" s="14">
        <f t="shared" si="134"/>
        <v>15</v>
      </c>
      <c r="S480" s="14" t="s">
        <v>39</v>
      </c>
      <c r="T480" s="14">
        <f>ROUND(((IF(Q480=1,INDEX(新属性投放!$J$14:$J$34,卡牌属性!R480),INDEX(新属性投放!$J$42:$J$62,卡牌属性!R480)))*INDEX($G$5:$G$42,L480)+IF(Q480=1,INDEX(新属性投放!R$20:R$23,卡牌属性!M480-1),INDEX(新属性投放!R$25:R$28,卡牌属性!M480-1)))/SQRT(INDEX($I$5:$I$42,L480)),2)</f>
        <v>16509.52</v>
      </c>
      <c r="U480" s="29" t="s">
        <v>178</v>
      </c>
      <c r="V480" s="14">
        <f>ROUND((IF(Q480=1,INDEX(新属性投放!$K$14:$K$34,卡牌属性!R480),INDEX(新属性投放!$K$42:$K$62,卡牌属性!R480))+IF(Q480=1,INDEX(新属性投放!S$20:S$23,卡牌属性!M480-1),INDEX(新属性投放!S$25:S$28,卡牌属性!M480-1)))*INDEX($G$5:$G$42,L480),2)</f>
        <v>8077.81</v>
      </c>
      <c r="W480" s="29" t="s">
        <v>179</v>
      </c>
      <c r="X480" s="14">
        <f>ROUND((IF(Q480=1,INDEX(新属性投放!$L$14:$L$34,卡牌属性!R480),INDEX(新属性投放!$L$42:$L$62,卡牌属性!R480))*INDEX($G$5:$G$42,L480)+IF(Q480=1,INDEX(新属性投放!T$20:T$23,卡牌属性!M480-1),INDEX(新属性投放!T$25:T$28,卡牌属性!M480-1)))*SQRT(INDEX($I$5:$I$42,L480)),2)</f>
        <v>87718.8</v>
      </c>
      <c r="Y480" s="29" t="s">
        <v>177</v>
      </c>
      <c r="Z480" s="14">
        <f>ROUND(IF(Q480=1,INDEX(新属性投放!$D$14:$D$34,卡牌属性!R480),INDEX(新属性投放!$D$42:$D$62,卡牌属性!R480))*INDEX($G$5:$G$42,L480)/SQRT(INDEX($I$5:$I$42,L480)),2)</f>
        <v>398.63</v>
      </c>
      <c r="AA480" s="29" t="s">
        <v>178</v>
      </c>
      <c r="AB480" s="14">
        <f>ROUND(IF(Q480=1,INDEX(新属性投放!$E$14:$E$34,卡牌属性!R480),INDEX(新属性投放!$E$42:$E$62,卡牌属性!R480))*INDEX($G$5:$G$42,L480),2)</f>
        <v>199.32</v>
      </c>
      <c r="AC480" s="29" t="s">
        <v>179</v>
      </c>
      <c r="AD480" s="14">
        <f>ROUND(IF(Q480=1,INDEX(新属性投放!$F$14:$F$34,卡牌属性!R480),INDEX(新属性投放!$F$42:$F$62,卡牌属性!R480))*INDEX($G$5:$G$42,L480)*SQRT(INDEX($I$5:$I$42,L480)),2)</f>
        <v>1792.7</v>
      </c>
      <c r="AF480" s="14">
        <f t="shared" si="135"/>
        <v>3986</v>
      </c>
      <c r="AG480" s="14">
        <f t="shared" si="136"/>
        <v>1993</v>
      </c>
      <c r="AH480" s="14">
        <f t="shared" si="137"/>
        <v>17927</v>
      </c>
      <c r="AJ480" s="14">
        <f t="shared" si="138"/>
        <v>16713</v>
      </c>
      <c r="AK480" s="14">
        <f t="shared" si="139"/>
        <v>8353</v>
      </c>
      <c r="AL480" s="14">
        <f t="shared" si="140"/>
        <v>75166</v>
      </c>
    </row>
    <row r="481" spans="11:38" ht="16.5" x14ac:dyDescent="0.2">
      <c r="K481" s="13">
        <v>478</v>
      </c>
      <c r="L481" s="13">
        <f t="shared" si="129"/>
        <v>23</v>
      </c>
      <c r="M481" s="13">
        <f t="shared" si="130"/>
        <v>4</v>
      </c>
      <c r="N481" s="14">
        <f t="shared" si="131"/>
        <v>1102007</v>
      </c>
      <c r="O481" s="14" t="str">
        <f t="shared" si="132"/>
        <v>天使缇娜16突</v>
      </c>
      <c r="P481" s="29" t="s">
        <v>341</v>
      </c>
      <c r="Q481" s="14">
        <f t="shared" si="133"/>
        <v>2</v>
      </c>
      <c r="R481" s="14">
        <f t="shared" si="134"/>
        <v>16</v>
      </c>
      <c r="S481" s="14" t="s">
        <v>39</v>
      </c>
      <c r="T481" s="14">
        <f>ROUND(((IF(Q481=1,INDEX(新属性投放!$J$14:$J$34,卡牌属性!R481),INDEX(新属性投放!$J$42:$J$62,卡牌属性!R481)))*INDEX($G$5:$G$42,L481)+IF(Q481=1,INDEX(新属性投放!R$20:R$23,卡牌属性!M481-1),INDEX(新属性投放!R$25:R$28,卡牌属性!M481-1)))/SQRT(INDEX($I$5:$I$42,L481)),2)</f>
        <v>21492.94</v>
      </c>
      <c r="U481" s="29" t="s">
        <v>178</v>
      </c>
      <c r="V481" s="14">
        <f>ROUND((IF(Q481=1,INDEX(新属性投放!$K$14:$K$34,卡牌属性!R481),INDEX(新属性投放!$K$42:$K$62,卡牌属性!R481))+IF(Q481=1,INDEX(新属性投放!S$20:S$23,卡牌属性!M481-1),INDEX(新属性投放!S$25:S$28,卡牌属性!M481-1)))*INDEX($G$5:$G$42,L481),2)</f>
        <v>10568.87</v>
      </c>
      <c r="W481" s="29" t="s">
        <v>179</v>
      </c>
      <c r="X481" s="14">
        <f>ROUND((IF(Q481=1,INDEX(新属性投放!$L$14:$L$34,卡牌属性!R481),INDEX(新属性投放!$L$42:$L$62,卡牌属性!R481))*INDEX($G$5:$G$42,L481)+IF(Q481=1,INDEX(新属性投放!T$20:T$23,卡牌属性!M481-1),INDEX(新属性投放!T$25:T$28,卡牌属性!M481-1)))*SQRT(INDEX($I$5:$I$42,L481)),2)</f>
        <v>114619.7</v>
      </c>
      <c r="Y481" s="29" t="s">
        <v>177</v>
      </c>
      <c r="Z481" s="14">
        <f>ROUND(IF(Q481=1,INDEX(新属性投放!$D$14:$D$34,卡牌属性!R481),INDEX(新属性投放!$D$42:$D$62,卡牌属性!R481))*INDEX($G$5:$G$42,L481)/SQRT(INDEX($I$5:$I$42,L481)),2)</f>
        <v>523.21</v>
      </c>
      <c r="AA481" s="29" t="s">
        <v>178</v>
      </c>
      <c r="AB481" s="14">
        <f>ROUND(IF(Q481=1,INDEX(新属性投放!$E$14:$E$34,卡牌属性!R481),INDEX(新属性投放!$E$42:$E$62,卡牌属性!R481))*INDEX($G$5:$G$42,L481),2)</f>
        <v>261.61</v>
      </c>
      <c r="AC481" s="29" t="s">
        <v>179</v>
      </c>
      <c r="AD481" s="14">
        <f>ROUND(IF(Q481=1,INDEX(新属性投放!$F$14:$F$34,卡牌属性!R481),INDEX(新属性投放!$F$42:$F$62,卡牌属性!R481))*INDEX($G$5:$G$42,L481)*SQRT(INDEX($I$5:$I$42,L481)),2)</f>
        <v>2354.3000000000002</v>
      </c>
      <c r="AF481" s="14">
        <f t="shared" si="135"/>
        <v>5232</v>
      </c>
      <c r="AG481" s="14">
        <f t="shared" si="136"/>
        <v>2616</v>
      </c>
      <c r="AH481" s="14">
        <f t="shared" si="137"/>
        <v>23543</v>
      </c>
      <c r="AJ481" s="14">
        <f t="shared" si="138"/>
        <v>21945</v>
      </c>
      <c r="AK481" s="14">
        <f t="shared" si="139"/>
        <v>10969</v>
      </c>
      <c r="AL481" s="14">
        <f t="shared" si="140"/>
        <v>98709</v>
      </c>
    </row>
    <row r="482" spans="11:38" ht="16.5" x14ac:dyDescent="0.2">
      <c r="K482" s="13">
        <v>479</v>
      </c>
      <c r="L482" s="13">
        <f t="shared" si="129"/>
        <v>23</v>
      </c>
      <c r="M482" s="13">
        <f t="shared" si="130"/>
        <v>4</v>
      </c>
      <c r="N482" s="14">
        <f t="shared" si="131"/>
        <v>1102007</v>
      </c>
      <c r="O482" s="14" t="str">
        <f t="shared" si="132"/>
        <v>天使缇娜17突</v>
      </c>
      <c r="P482" s="29" t="s">
        <v>341</v>
      </c>
      <c r="Q482" s="14">
        <f t="shared" si="133"/>
        <v>2</v>
      </c>
      <c r="R482" s="14">
        <f t="shared" si="134"/>
        <v>17</v>
      </c>
      <c r="S482" s="14" t="s">
        <v>39</v>
      </c>
      <c r="T482" s="14">
        <f>ROUND(((IF(Q482=1,INDEX(新属性投放!$J$14:$J$34,卡牌属性!R482),INDEX(新属性投放!$J$42:$J$62,卡牌属性!R482)))*INDEX($G$5:$G$42,L482)+IF(Q482=1,INDEX(新属性投放!R$20:R$23,卡牌属性!M482-1),INDEX(新属性投放!R$25:R$28,卡牌属性!M482-1)))/SQRT(INDEX($I$5:$I$42,L482)),2)</f>
        <v>28032.85</v>
      </c>
      <c r="U482" s="29" t="s">
        <v>178</v>
      </c>
      <c r="V482" s="14">
        <f>ROUND((IF(Q482=1,INDEX(新属性投放!$K$14:$K$34,卡牌属性!R482),INDEX(新属性投放!$K$42:$K$62,卡牌属性!R482))+IF(Q482=1,INDEX(新属性投放!S$20:S$23,卡牌属性!M482-1),INDEX(新属性投放!S$25:S$28,卡牌属性!M482-1)))*INDEX($G$5:$G$42,L482),2)</f>
        <v>13838.83</v>
      </c>
      <c r="W482" s="29" t="s">
        <v>179</v>
      </c>
      <c r="X482" s="14">
        <f>ROUND((IF(Q482=1,INDEX(新属性投放!$L$14:$L$34,卡牌属性!R482),INDEX(新属性投放!$L$42:$L$62,卡牌属性!R482))*INDEX($G$5:$G$42,L482)+IF(Q482=1,INDEX(新属性投放!T$20:T$23,卡牌属性!M482-1),INDEX(新属性投放!T$25:T$28,卡牌属性!M482-1)))*SQRT(INDEX($I$5:$I$42,L482)),2)</f>
        <v>149932.9</v>
      </c>
      <c r="Y482" s="29" t="s">
        <v>177</v>
      </c>
      <c r="Z482" s="14">
        <f>ROUND(IF(Q482=1,INDEX(新属性投放!$D$14:$D$34,卡牌属性!R482),INDEX(新属性投放!$D$42:$D$62,卡牌属性!R482))*INDEX($G$5:$G$42,L482)/SQRT(INDEX($I$5:$I$42,L482)),2)</f>
        <v>686.71</v>
      </c>
      <c r="AA482" s="29" t="s">
        <v>178</v>
      </c>
      <c r="AB482" s="14">
        <f>ROUND(IF(Q482=1,INDEX(新属性投放!$E$14:$E$34,卡牌属性!R482),INDEX(新属性投放!$E$42:$E$62,卡牌属性!R482))*INDEX($G$5:$G$42,L482),2)</f>
        <v>343.36</v>
      </c>
      <c r="AC482" s="29" t="s">
        <v>179</v>
      </c>
      <c r="AD482" s="14">
        <f>ROUND(IF(Q482=1,INDEX(新属性投放!$F$14:$F$34,卡牌属性!R482),INDEX(新属性投放!$F$42:$F$62,卡牌属性!R482))*INDEX($G$5:$G$42,L482)*SQRT(INDEX($I$5:$I$42,L482)),2)</f>
        <v>3090.1</v>
      </c>
      <c r="AF482" s="14">
        <f t="shared" si="135"/>
        <v>6867</v>
      </c>
      <c r="AG482" s="14">
        <f t="shared" si="136"/>
        <v>3433</v>
      </c>
      <c r="AH482" s="14">
        <f t="shared" si="137"/>
        <v>30901</v>
      </c>
      <c r="AJ482" s="14">
        <f t="shared" si="138"/>
        <v>28812</v>
      </c>
      <c r="AK482" s="14">
        <f t="shared" si="139"/>
        <v>14402</v>
      </c>
      <c r="AL482" s="14">
        <f t="shared" si="140"/>
        <v>129610</v>
      </c>
    </row>
    <row r="483" spans="11:38" ht="16.5" x14ac:dyDescent="0.2">
      <c r="K483" s="13">
        <v>480</v>
      </c>
      <c r="L483" s="13">
        <f t="shared" si="129"/>
        <v>23</v>
      </c>
      <c r="M483" s="13">
        <f t="shared" si="130"/>
        <v>4</v>
      </c>
      <c r="N483" s="14">
        <f t="shared" si="131"/>
        <v>1102007</v>
      </c>
      <c r="O483" s="14" t="str">
        <f t="shared" si="132"/>
        <v>天使缇娜18突</v>
      </c>
      <c r="P483" s="29" t="s">
        <v>341</v>
      </c>
      <c r="Q483" s="14">
        <f t="shared" si="133"/>
        <v>2</v>
      </c>
      <c r="R483" s="14">
        <f t="shared" si="134"/>
        <v>18</v>
      </c>
      <c r="S483" s="14" t="s">
        <v>39</v>
      </c>
      <c r="T483" s="14">
        <f>ROUND(((IF(Q483=1,INDEX(新属性投放!$J$14:$J$34,卡牌属性!R483),INDEX(新属性投放!$J$42:$J$62,卡牌属性!R483)))*INDEX($G$5:$G$42,L483)+IF(Q483=1,INDEX(新属性投放!R$20:R$23,卡牌属性!M483-1),INDEX(新属性投放!R$25:R$28,卡牌属性!M483-1)))/SQRT(INDEX($I$5:$I$42,L483)),2)</f>
        <v>36617.269999999997</v>
      </c>
      <c r="U483" s="29" t="s">
        <v>178</v>
      </c>
      <c r="V483" s="14">
        <f>ROUND((IF(Q483=1,INDEX(新属性投放!$K$14:$K$34,卡牌属性!R483),INDEX(新属性投放!$K$42:$K$62,卡牌属性!R483))+IF(Q483=1,INDEX(新属性投放!S$20:S$23,卡牌属性!M483-1),INDEX(新属性投放!S$25:S$28,卡牌属性!M483-1)))*INDEX($G$5:$G$42,L483),2)</f>
        <v>18130.39</v>
      </c>
      <c r="W483" s="29" t="s">
        <v>179</v>
      </c>
      <c r="X483" s="14">
        <f>ROUND((IF(Q483=1,INDEX(新属性投放!$L$14:$L$34,卡牌属性!R483),INDEX(新属性投放!$L$42:$L$62,卡牌属性!R483))*INDEX($G$5:$G$42,L483)+IF(Q483=1,INDEX(新属性投放!T$20:T$23,卡牌属性!M483-1),INDEX(新属性投放!T$25:T$28,卡牌属性!M483-1)))*SQRT(INDEX($I$5:$I$42,L483)),2)</f>
        <v>196289.6</v>
      </c>
      <c r="Y483" s="29" t="s">
        <v>177</v>
      </c>
      <c r="Z483" s="14">
        <f>ROUND(IF(Q483=1,INDEX(新属性投放!$D$14:$D$34,卡牌属性!R483),INDEX(新属性投放!$D$42:$D$62,卡牌属性!R483))*INDEX($G$5:$G$42,L483)/SQRT(INDEX($I$5:$I$42,L483)),2)</f>
        <v>901.32</v>
      </c>
      <c r="AA483" s="29" t="s">
        <v>178</v>
      </c>
      <c r="AB483" s="14">
        <f>ROUND(IF(Q483=1,INDEX(新属性投放!$E$14:$E$34,卡牌属性!R483),INDEX(新属性投放!$E$42:$E$62,卡牌属性!R483))*INDEX($G$5:$G$42,L483),2)</f>
        <v>450.66</v>
      </c>
      <c r="AC483" s="29" t="s">
        <v>179</v>
      </c>
      <c r="AD483" s="14">
        <f>ROUND(IF(Q483=1,INDEX(新属性投放!$F$14:$F$34,卡牌属性!R483),INDEX(新属性投放!$F$42:$F$62,卡牌属性!R483))*INDEX($G$5:$G$42,L483)*SQRT(INDEX($I$5:$I$42,L483)),2)</f>
        <v>4054.7</v>
      </c>
      <c r="AF483" s="14">
        <f t="shared" si="135"/>
        <v>9013</v>
      </c>
      <c r="AG483" s="14">
        <f t="shared" si="136"/>
        <v>4506</v>
      </c>
      <c r="AH483" s="14">
        <f t="shared" si="137"/>
        <v>40547</v>
      </c>
      <c r="AJ483" s="14">
        <f t="shared" si="138"/>
        <v>37825</v>
      </c>
      <c r="AK483" s="14">
        <f t="shared" si="139"/>
        <v>18908</v>
      </c>
      <c r="AL483" s="14">
        <f t="shared" si="140"/>
        <v>170157</v>
      </c>
    </row>
    <row r="484" spans="11:38" ht="16.5" x14ac:dyDescent="0.2">
      <c r="K484" s="13">
        <v>481</v>
      </c>
      <c r="L484" s="13">
        <f t="shared" si="129"/>
        <v>23</v>
      </c>
      <c r="M484" s="13">
        <f t="shared" si="130"/>
        <v>4</v>
      </c>
      <c r="N484" s="14">
        <f t="shared" si="131"/>
        <v>1102007</v>
      </c>
      <c r="O484" s="14" t="str">
        <f t="shared" si="132"/>
        <v>天使缇娜19突</v>
      </c>
      <c r="P484" s="29" t="s">
        <v>341</v>
      </c>
      <c r="Q484" s="14">
        <f t="shared" si="133"/>
        <v>2</v>
      </c>
      <c r="R484" s="14">
        <f t="shared" si="134"/>
        <v>19</v>
      </c>
      <c r="S484" s="14" t="s">
        <v>39</v>
      </c>
      <c r="T484" s="14">
        <f>ROUND(((IF(Q484=1,INDEX(新属性投放!$J$14:$J$34,卡牌属性!R484),INDEX(新属性投放!$J$42:$J$62,卡牌属性!R484)))*INDEX($G$5:$G$42,L484)+IF(Q484=1,INDEX(新属性投放!R$20:R$23,卡牌属性!M484-1),INDEX(新属性投放!R$25:R$28,卡牌属性!M484-1)))/SQRT(INDEX($I$5:$I$42,L484)),2)</f>
        <v>47883.33</v>
      </c>
      <c r="U484" s="29" t="s">
        <v>178</v>
      </c>
      <c r="V484" s="14">
        <f>ROUND((IF(Q484=1,INDEX(新属性投放!$K$14:$K$34,卡牌属性!R484),INDEX(新属性投放!$K$42:$K$62,卡牌属性!R484))+IF(Q484=1,INDEX(新属性投放!S$20:S$23,卡牌属性!M484-1),INDEX(新属性投放!S$25:S$28,卡牌属性!M484-1)))*INDEX($G$5:$G$42,L484),2)</f>
        <v>23764.07</v>
      </c>
      <c r="W484" s="29" t="s">
        <v>179</v>
      </c>
      <c r="X484" s="14">
        <f>ROUND((IF(Q484=1,INDEX(新属性投放!$L$14:$L$34,卡牌属性!R484),INDEX(新属性投放!$L$42:$L$62,卡牌属性!R484))*INDEX($G$5:$G$42,L484)+IF(Q484=1,INDEX(新属性投放!T$20:T$23,卡牌属性!M484-1),INDEX(新属性投放!T$25:T$28,卡牌属性!M484-1)))*SQRT(INDEX($I$5:$I$42,L484)),2)</f>
        <v>257112.7</v>
      </c>
      <c r="Y484" s="29" t="s">
        <v>177</v>
      </c>
      <c r="Z484" s="14">
        <f>ROUND(IF(Q484=1,INDEX(新属性投放!$D$14:$D$34,卡牌属性!R484),INDEX(新属性投放!$D$42:$D$62,卡牌属性!R484))*INDEX($G$5:$G$42,L484)/SQRT(INDEX($I$5:$I$42,L484)),2)</f>
        <v>1182.97</v>
      </c>
      <c r="AA484" s="29" t="s">
        <v>178</v>
      </c>
      <c r="AB484" s="14">
        <f>ROUND(IF(Q484=1,INDEX(新属性投放!$E$14:$E$34,卡牌属性!R484),INDEX(新属性投放!$E$42:$E$62,卡牌属性!R484))*INDEX($G$5:$G$42,L484),2)</f>
        <v>591.49</v>
      </c>
      <c r="AC484" s="29" t="s">
        <v>179</v>
      </c>
      <c r="AD484" s="14">
        <f>ROUND(IF(Q484=1,INDEX(新属性投放!$F$14:$F$34,卡牌属性!R484),INDEX(新属性投放!$F$42:$F$62,卡牌属性!R484))*INDEX($G$5:$G$42,L484)*SQRT(INDEX($I$5:$I$42,L484)),2)</f>
        <v>5322.2</v>
      </c>
      <c r="AF484" s="14">
        <f t="shared" si="135"/>
        <v>11829</v>
      </c>
      <c r="AG484" s="14">
        <f t="shared" si="136"/>
        <v>5914</v>
      </c>
      <c r="AH484" s="14">
        <f t="shared" si="137"/>
        <v>53222</v>
      </c>
      <c r="AJ484" s="14">
        <f t="shared" si="138"/>
        <v>49654</v>
      </c>
      <c r="AK484" s="14">
        <f t="shared" si="139"/>
        <v>24822</v>
      </c>
      <c r="AL484" s="14">
        <f t="shared" si="140"/>
        <v>223379</v>
      </c>
    </row>
    <row r="485" spans="11:38" ht="16.5" x14ac:dyDescent="0.2">
      <c r="K485" s="13">
        <v>482</v>
      </c>
      <c r="L485" s="13">
        <f t="shared" si="129"/>
        <v>23</v>
      </c>
      <c r="M485" s="13">
        <f t="shared" si="130"/>
        <v>4</v>
      </c>
      <c r="N485" s="14">
        <f t="shared" si="131"/>
        <v>1102007</v>
      </c>
      <c r="O485" s="14" t="str">
        <f t="shared" si="132"/>
        <v>天使缇娜20突</v>
      </c>
      <c r="P485" s="29" t="s">
        <v>341</v>
      </c>
      <c r="Q485" s="14">
        <f t="shared" si="133"/>
        <v>2</v>
      </c>
      <c r="R485" s="14">
        <f t="shared" si="134"/>
        <v>20</v>
      </c>
      <c r="S485" s="14" t="s">
        <v>39</v>
      </c>
      <c r="T485" s="14">
        <f>ROUND(((IF(Q485=1,INDEX(新属性投放!$J$14:$J$34,卡牌属性!R485),INDEX(新属性投放!$J$42:$J$62,卡牌属性!R485)))*INDEX($G$5:$G$42,L485)+IF(Q485=1,INDEX(新属性投放!R$20:R$23,卡牌属性!M485-1),INDEX(新属性投放!R$25:R$28,卡牌属性!M485-1)))/SQRT(INDEX($I$5:$I$42,L485)),2)</f>
        <v>62670.57</v>
      </c>
      <c r="U485" s="29" t="s">
        <v>178</v>
      </c>
      <c r="V485" s="14">
        <f>ROUND((IF(Q485=1,INDEX(新属性投放!$K$14:$K$34,卡牌属性!R485),INDEX(新属性投放!$K$42:$K$62,卡牌属性!R485))+IF(Q485=1,INDEX(新属性投放!S$20:S$23,卡牌属性!M485-1),INDEX(新属性投放!S$25:S$28,卡牌属性!M485-1)))*INDEX($G$5:$G$42,L485),2)</f>
        <v>31157.040000000001</v>
      </c>
      <c r="W485" s="29" t="s">
        <v>179</v>
      </c>
      <c r="X485" s="14">
        <f>ROUND((IF(Q485=1,INDEX(新属性投放!$L$14:$L$34,卡牌属性!R485),INDEX(新属性投放!$L$42:$L$62,卡牌属性!R485))*INDEX($G$5:$G$42,L485)+IF(Q485=1,INDEX(新属性投放!T$20:T$23,卡牌属性!M485-1),INDEX(新属性投放!T$25:T$28,卡牌属性!M485-1)))*SQRT(INDEX($I$5:$I$42,L485)),2)</f>
        <v>336952.2</v>
      </c>
      <c r="Y485" s="29" t="s">
        <v>177</v>
      </c>
      <c r="Z485" s="14">
        <f>ROUND(IF(Q485=1,INDEX(新属性投放!$D$14:$D$34,卡牌属性!R485),INDEX(新属性投放!$D$42:$D$62,卡牌属性!R485))*INDEX($G$5:$G$42,L485)/SQRT(INDEX($I$5:$I$42,L485)),2)</f>
        <v>1552.66</v>
      </c>
      <c r="AA485" s="29" t="s">
        <v>178</v>
      </c>
      <c r="AB485" s="14">
        <f>ROUND(IF(Q485=1,INDEX(新属性投放!$E$14:$E$34,卡牌属性!R485),INDEX(新属性投放!$E$42:$E$62,卡牌属性!R485))*INDEX($G$5:$G$42,L485),2)</f>
        <v>776.33</v>
      </c>
      <c r="AC485" s="29" t="s">
        <v>179</v>
      </c>
      <c r="AD485" s="14">
        <f>ROUND(IF(Q485=1,INDEX(新属性投放!$F$14:$F$34,卡牌属性!R485),INDEX(新属性投放!$F$42:$F$62,卡牌属性!R485))*INDEX($G$5:$G$42,L485)*SQRT(INDEX($I$5:$I$42,L485)),2)</f>
        <v>6986.2</v>
      </c>
      <c r="AF485" s="14">
        <f t="shared" si="135"/>
        <v>15526</v>
      </c>
      <c r="AG485" s="14">
        <f t="shared" si="136"/>
        <v>7763</v>
      </c>
      <c r="AH485" s="14">
        <f t="shared" si="137"/>
        <v>69862</v>
      </c>
      <c r="AJ485" s="14">
        <f t="shared" si="138"/>
        <v>65180</v>
      </c>
      <c r="AK485" s="14">
        <f t="shared" si="139"/>
        <v>32585</v>
      </c>
      <c r="AL485" s="14">
        <f t="shared" si="140"/>
        <v>293241</v>
      </c>
    </row>
    <row r="486" spans="11:38" ht="16.5" x14ac:dyDescent="0.2">
      <c r="K486" s="13">
        <v>483</v>
      </c>
      <c r="L486" s="13">
        <f t="shared" si="129"/>
        <v>23</v>
      </c>
      <c r="M486" s="13">
        <f t="shared" si="130"/>
        <v>4</v>
      </c>
      <c r="N486" s="14">
        <f t="shared" si="131"/>
        <v>1102007</v>
      </c>
      <c r="O486" s="14" t="str">
        <f t="shared" si="132"/>
        <v>天使缇娜21突</v>
      </c>
      <c r="P486" s="29" t="s">
        <v>341</v>
      </c>
      <c r="Q486" s="14">
        <f t="shared" si="133"/>
        <v>2</v>
      </c>
      <c r="R486" s="14">
        <f t="shared" si="134"/>
        <v>21</v>
      </c>
      <c r="S486" s="14" t="s">
        <v>39</v>
      </c>
      <c r="T486" s="14">
        <f>ROUND(((IF(Q486=1,INDEX(新属性投放!$J$14:$J$34,卡牌属性!R486),INDEX(新属性投放!$J$42:$J$62,卡牌属性!R486)))*INDEX($G$5:$G$42,L486)+IF(Q486=1,INDEX(新属性投放!R$20:R$23,卡牌属性!M486-1),INDEX(新属性投放!R$25:R$28,卡牌属性!M486-1)))/SQRT(INDEX($I$5:$I$42,L486)),2)</f>
        <v>82078.92</v>
      </c>
      <c r="U486" s="29" t="s">
        <v>178</v>
      </c>
      <c r="V486" s="14">
        <f>ROUND((IF(Q486=1,INDEX(新属性投放!$K$14:$K$34,卡牌属性!R486),INDEX(新属性投放!$K$42:$K$62,卡牌属性!R486))+IF(Q486=1,INDEX(新属性投放!S$20:S$23,卡牌属性!M486-1),INDEX(新属性投放!S$25:S$28,卡牌属性!M486-1)))*INDEX($G$5:$G$42,L486),2)</f>
        <v>40861.21</v>
      </c>
      <c r="W486" s="29" t="s">
        <v>179</v>
      </c>
      <c r="X486" s="14">
        <f>ROUND((IF(Q486=1,INDEX(新属性投放!$L$14:$L$34,卡牌属性!R486),INDEX(新属性投放!$L$42:$L$62,卡牌属性!R486))*INDEX($G$5:$G$42,L486)+IF(Q486=1,INDEX(新属性投放!T$20:T$23,卡牌属性!M486-1),INDEX(新属性投放!T$25:T$28,卡牌属性!M486-1)))*SQRT(INDEX($I$5:$I$42,L486)),2)</f>
        <v>441750.4</v>
      </c>
      <c r="Y486" s="29" t="s">
        <v>177</v>
      </c>
      <c r="Z486" s="14">
        <f>ROUND(IF(Q486=1,INDEX(新属性投放!$D$14:$D$34,卡牌属性!R486),INDEX(新属性投放!$D$42:$D$62,卡牌属性!R486))*INDEX($G$5:$G$42,L486)/SQRT(INDEX($I$5:$I$42,L486)),2)</f>
        <v>2037.87</v>
      </c>
      <c r="AA486" s="29" t="s">
        <v>178</v>
      </c>
      <c r="AB486" s="14">
        <f>ROUND(IF(Q486=1,INDEX(新属性投放!$E$14:$E$34,卡牌属性!R486),INDEX(新属性投放!$E$42:$E$62,卡牌属性!R486))*INDEX($G$5:$G$42,L486),2)</f>
        <v>1018.93</v>
      </c>
      <c r="AC486" s="29" t="s">
        <v>179</v>
      </c>
      <c r="AD486" s="14">
        <f>ROUND(IF(Q486=1,INDEX(新属性投放!$F$14:$F$34,卡牌属性!R486),INDEX(新属性投放!$F$42:$F$62,卡牌属性!R486))*INDEX($G$5:$G$42,L486)*SQRT(INDEX($I$5:$I$42,L486)),2)</f>
        <v>9170.2000000000007</v>
      </c>
      <c r="AF486" s="14">
        <f t="shared" si="135"/>
        <v>20378</v>
      </c>
      <c r="AG486" s="14">
        <f t="shared" si="136"/>
        <v>10189</v>
      </c>
      <c r="AH486" s="14">
        <f t="shared" si="137"/>
        <v>91702</v>
      </c>
      <c r="AJ486" s="14">
        <f t="shared" si="138"/>
        <v>85558</v>
      </c>
      <c r="AK486" s="14">
        <f t="shared" si="139"/>
        <v>42774</v>
      </c>
      <c r="AL486" s="14">
        <f t="shared" si="140"/>
        <v>384943</v>
      </c>
    </row>
    <row r="487" spans="11:38" ht="16.5" x14ac:dyDescent="0.2">
      <c r="K487" s="13">
        <v>484</v>
      </c>
      <c r="L487" s="13">
        <f t="shared" si="129"/>
        <v>24</v>
      </c>
      <c r="M487" s="13">
        <f t="shared" si="130"/>
        <v>4</v>
      </c>
      <c r="N487" s="14">
        <f t="shared" si="131"/>
        <v>1102008</v>
      </c>
      <c r="O487" s="14" t="str">
        <f t="shared" si="132"/>
        <v>夏侯渊1突</v>
      </c>
      <c r="P487" s="29" t="s">
        <v>341</v>
      </c>
      <c r="Q487" s="14">
        <f t="shared" si="133"/>
        <v>2</v>
      </c>
      <c r="R487" s="14">
        <f t="shared" si="134"/>
        <v>1</v>
      </c>
      <c r="S487" s="14" t="s">
        <v>39</v>
      </c>
      <c r="T487" s="14">
        <f>ROUND(((IF(Q487=1,INDEX(新属性投放!$J$14:$J$34,卡牌属性!R487),INDEX(新属性投放!$J$42:$J$62,卡牌属性!R487)))*INDEX($G$5:$G$42,L487)+IF(Q487=1,INDEX(新属性投放!R$20:R$23,卡牌属性!M487-1),INDEX(新属性投放!R$25:R$28,卡牌属性!M487-1)))/SQRT(INDEX($I$5:$I$42,L487)),2)</f>
        <v>610</v>
      </c>
      <c r="U487" s="29" t="s">
        <v>178</v>
      </c>
      <c r="V487" s="14">
        <f>ROUND((IF(Q487=1,INDEX(新属性投放!$K$14:$K$34,卡牌属性!R487),INDEX(新属性投放!$K$42:$K$62,卡牌属性!R487))+IF(Q487=1,INDEX(新属性投放!S$20:S$23,卡牌属性!M487-1),INDEX(新属性投放!S$25:S$28,卡牌属性!M487-1)))*INDEX($G$5:$G$42,L487),2)</f>
        <v>130</v>
      </c>
      <c r="W487" s="29" t="s">
        <v>179</v>
      </c>
      <c r="X487" s="14">
        <f>ROUND((IF(Q487=1,INDEX(新属性投放!$L$14:$L$34,卡牌属性!R487),INDEX(新属性投放!$L$42:$L$62,卡牌属性!R487))*INDEX($G$5:$G$42,L487)+IF(Q487=1,INDEX(新属性投放!T$20:T$23,卡牌属性!M487-1),INDEX(新属性投放!T$25:T$28,卡牌属性!M487-1)))*SQRT(INDEX($I$5:$I$42,L487)),2)</f>
        <v>1885</v>
      </c>
      <c r="Y487" s="29" t="s">
        <v>177</v>
      </c>
      <c r="Z487" s="14">
        <f>ROUND(IF(Q487=1,INDEX(新属性投放!$D$14:$D$34,卡牌属性!R487),INDEX(新属性投放!$D$42:$D$62,卡牌属性!R487))*INDEX($G$5:$G$42,L487)/SQRT(INDEX($I$5:$I$42,L487)),2)</f>
        <v>13</v>
      </c>
      <c r="AA487" s="29" t="s">
        <v>178</v>
      </c>
      <c r="AB487" s="14">
        <f>ROUND(IF(Q487=1,INDEX(新属性投放!$E$14:$E$34,卡牌属性!R487),INDEX(新属性投放!$E$42:$E$62,卡牌属性!R487))*INDEX($G$5:$G$42,L487),2)</f>
        <v>6.5</v>
      </c>
      <c r="AC487" s="29" t="s">
        <v>179</v>
      </c>
      <c r="AD487" s="14">
        <f>ROUND(IF(Q487=1,INDEX(新属性投放!$F$14:$F$34,卡牌属性!R487),INDEX(新属性投放!$F$42:$F$62,卡牌属性!R487))*INDEX($G$5:$G$42,L487)*SQRT(INDEX($I$5:$I$42,L487)),2)</f>
        <v>58.5</v>
      </c>
      <c r="AF487" s="14">
        <f t="shared" si="135"/>
        <v>130</v>
      </c>
      <c r="AG487" s="14">
        <f t="shared" si="136"/>
        <v>65</v>
      </c>
      <c r="AH487" s="14">
        <f t="shared" si="137"/>
        <v>585</v>
      </c>
      <c r="AJ487" s="14">
        <f>AF487</f>
        <v>130</v>
      </c>
      <c r="AK487" s="14">
        <f>AG487</f>
        <v>65</v>
      </c>
      <c r="AL487" s="14">
        <f>AH487</f>
        <v>585</v>
      </c>
    </row>
    <row r="488" spans="11:38" ht="16.5" x14ac:dyDescent="0.2">
      <c r="K488" s="13">
        <v>485</v>
      </c>
      <c r="L488" s="13">
        <f t="shared" si="129"/>
        <v>24</v>
      </c>
      <c r="M488" s="13">
        <f t="shared" si="130"/>
        <v>4</v>
      </c>
      <c r="N488" s="14">
        <f t="shared" si="131"/>
        <v>1102008</v>
      </c>
      <c r="O488" s="14" t="str">
        <f t="shared" si="132"/>
        <v>夏侯渊2突</v>
      </c>
      <c r="P488" s="29" t="s">
        <v>341</v>
      </c>
      <c r="Q488" s="14">
        <f t="shared" si="133"/>
        <v>2</v>
      </c>
      <c r="R488" s="14">
        <f t="shared" si="134"/>
        <v>2</v>
      </c>
      <c r="S488" s="14" t="s">
        <v>39</v>
      </c>
      <c r="T488" s="14">
        <f>ROUND(((IF(Q488=1,INDEX(新属性投放!$J$14:$J$34,卡牌属性!R488),INDEX(新属性投放!$J$42:$J$62,卡牌属性!R488)))*INDEX($G$5:$G$42,L488)+IF(Q488=1,INDEX(新属性投放!R$20:R$23,卡牌属性!M488-1),INDEX(新属性投放!R$25:R$28,卡牌属性!M488-1)))/SQRT(INDEX($I$5:$I$42,L488)),2)</f>
        <v>759.5</v>
      </c>
      <c r="U488" s="29" t="s">
        <v>178</v>
      </c>
      <c r="V488" s="14">
        <f>ROUND((IF(Q488=1,INDEX(新属性投放!$K$14:$K$34,卡牌属性!R488),INDEX(新属性投放!$K$42:$K$62,卡牌属性!R488))+IF(Q488=1,INDEX(新属性投放!S$20:S$23,卡牌属性!M488-1),INDEX(新属性投放!S$25:S$28,卡牌属性!M488-1)))*INDEX($G$5:$G$42,L488),2)</f>
        <v>201.5</v>
      </c>
      <c r="W488" s="29" t="s">
        <v>179</v>
      </c>
      <c r="X488" s="14">
        <f>ROUND((IF(Q488=1,INDEX(新属性投放!$L$14:$L$34,卡牌属性!R488),INDEX(新属性投放!$L$42:$L$62,卡牌属性!R488))*INDEX($G$5:$G$42,L488)+IF(Q488=1,INDEX(新属性投放!T$20:T$23,卡牌属性!M488-1),INDEX(新属性投放!T$25:T$28,卡牌属性!M488-1)))*SQRT(INDEX($I$5:$I$42,L488)),2)</f>
        <v>2704</v>
      </c>
      <c r="Y488" s="29" t="s">
        <v>177</v>
      </c>
      <c r="Z488" s="14">
        <f>ROUND(IF(Q488=1,INDEX(新属性投放!$D$14:$D$34,卡牌属性!R488),INDEX(新属性投放!$D$42:$D$62,卡牌属性!R488))*INDEX($G$5:$G$42,L488)/SQRT(INDEX($I$5:$I$42,L488)),2)</f>
        <v>13</v>
      </c>
      <c r="AA488" s="29" t="s">
        <v>178</v>
      </c>
      <c r="AB488" s="14">
        <f>ROUND(IF(Q488=1,INDEX(新属性投放!$E$14:$E$34,卡牌属性!R488),INDEX(新属性投放!$E$42:$E$62,卡牌属性!R488))*INDEX($G$5:$G$42,L488),2)</f>
        <v>6.5</v>
      </c>
      <c r="AC488" s="29" t="s">
        <v>179</v>
      </c>
      <c r="AD488" s="14">
        <f>ROUND(IF(Q488=1,INDEX(新属性投放!$F$14:$F$34,卡牌属性!R488),INDEX(新属性投放!$F$42:$F$62,卡牌属性!R488))*INDEX($G$5:$G$42,L488)*SQRT(INDEX($I$5:$I$42,L488)),2)</f>
        <v>58.5</v>
      </c>
      <c r="AF488" s="14">
        <f t="shared" si="135"/>
        <v>130</v>
      </c>
      <c r="AG488" s="14">
        <f t="shared" si="136"/>
        <v>65</v>
      </c>
      <c r="AH488" s="14">
        <f t="shared" si="137"/>
        <v>585</v>
      </c>
      <c r="AJ488" s="14">
        <f t="shared" ref="AJ488:AJ507" si="141">AJ487+AF488</f>
        <v>260</v>
      </c>
      <c r="AK488" s="14">
        <f t="shared" ref="AK488:AK507" si="142">AK487+AG488</f>
        <v>130</v>
      </c>
      <c r="AL488" s="14">
        <f t="shared" ref="AL488:AL507" si="143">AL487+AH488</f>
        <v>1170</v>
      </c>
    </row>
    <row r="489" spans="11:38" ht="16.5" x14ac:dyDescent="0.2">
      <c r="K489" s="13">
        <v>486</v>
      </c>
      <c r="L489" s="13">
        <f t="shared" si="129"/>
        <v>24</v>
      </c>
      <c r="M489" s="13">
        <f t="shared" si="130"/>
        <v>4</v>
      </c>
      <c r="N489" s="14">
        <f t="shared" si="131"/>
        <v>1102008</v>
      </c>
      <c r="O489" s="14" t="str">
        <f t="shared" si="132"/>
        <v>夏侯渊3突</v>
      </c>
      <c r="P489" s="29" t="s">
        <v>341</v>
      </c>
      <c r="Q489" s="14">
        <f t="shared" si="133"/>
        <v>2</v>
      </c>
      <c r="R489" s="14">
        <f t="shared" si="134"/>
        <v>3</v>
      </c>
      <c r="S489" s="14" t="s">
        <v>39</v>
      </c>
      <c r="T489" s="14">
        <f>ROUND(((IF(Q489=1,INDEX(新属性投放!$J$14:$J$34,卡牌属性!R489),INDEX(新属性投放!$J$42:$J$62,卡牌属性!R489)))*INDEX($G$5:$G$42,L489)+IF(Q489=1,INDEX(新属性投放!R$20:R$23,卡牌属性!M489-1),INDEX(新属性投放!R$25:R$28,卡牌属性!M489-1)))/SQRT(INDEX($I$5:$I$42,L489)),2)</f>
        <v>922</v>
      </c>
      <c r="U489" s="29" t="s">
        <v>178</v>
      </c>
      <c r="V489" s="14">
        <f>ROUND((IF(Q489=1,INDEX(新属性投放!$K$14:$K$34,卡牌属性!R489),INDEX(新属性投放!$K$42:$K$62,卡牌属性!R489))+IF(Q489=1,INDEX(新属性投放!S$20:S$23,卡牌属性!M489-1),INDEX(新属性投放!S$25:S$28,卡牌属性!M489-1)))*INDEX($G$5:$G$42,L489),2)</f>
        <v>283.39999999999998</v>
      </c>
      <c r="W489" s="29" t="s">
        <v>179</v>
      </c>
      <c r="X489" s="14">
        <f>ROUND((IF(Q489=1,INDEX(新属性投放!$L$14:$L$34,卡牌属性!R489),INDEX(新属性投放!$L$42:$L$62,卡牌属性!R489))*INDEX($G$5:$G$42,L489)+IF(Q489=1,INDEX(新属性投放!T$20:T$23,卡牌属性!M489-1),INDEX(新属性投放!T$25:T$28,卡牌属性!M489-1)))*SQRT(INDEX($I$5:$I$42,L489)),2)</f>
        <v>3581.5</v>
      </c>
      <c r="Y489" s="29" t="s">
        <v>177</v>
      </c>
      <c r="Z489" s="14">
        <f>ROUND(IF(Q489=1,INDEX(新属性投放!$D$14:$D$34,卡牌属性!R489),INDEX(新属性投放!$D$42:$D$62,卡牌属性!R489))*INDEX($G$5:$G$42,L489)/SQRT(INDEX($I$5:$I$42,L489)),2)</f>
        <v>19.5</v>
      </c>
      <c r="AA489" s="29" t="s">
        <v>178</v>
      </c>
      <c r="AB489" s="14">
        <f>ROUND(IF(Q489=1,INDEX(新属性投放!$E$14:$E$34,卡牌属性!R489),INDEX(新属性投放!$E$42:$E$62,卡牌属性!R489))*INDEX($G$5:$G$42,L489),2)</f>
        <v>9.75</v>
      </c>
      <c r="AC489" s="29" t="s">
        <v>179</v>
      </c>
      <c r="AD489" s="14">
        <f>ROUND(IF(Q489=1,INDEX(新属性投放!$F$14:$F$34,卡牌属性!R489),INDEX(新属性投放!$F$42:$F$62,卡牌属性!R489))*INDEX($G$5:$G$42,L489)*SQRT(INDEX($I$5:$I$42,L489)),2)</f>
        <v>87.1</v>
      </c>
      <c r="AF489" s="14">
        <f t="shared" si="135"/>
        <v>195</v>
      </c>
      <c r="AG489" s="14">
        <f t="shared" si="136"/>
        <v>97</v>
      </c>
      <c r="AH489" s="14">
        <f t="shared" si="137"/>
        <v>871</v>
      </c>
      <c r="AJ489" s="14">
        <f t="shared" si="141"/>
        <v>455</v>
      </c>
      <c r="AK489" s="14">
        <f t="shared" si="142"/>
        <v>227</v>
      </c>
      <c r="AL489" s="14">
        <f t="shared" si="143"/>
        <v>2041</v>
      </c>
    </row>
    <row r="490" spans="11:38" ht="16.5" x14ac:dyDescent="0.2">
      <c r="K490" s="13">
        <v>487</v>
      </c>
      <c r="L490" s="13">
        <f t="shared" si="129"/>
        <v>24</v>
      </c>
      <c r="M490" s="13">
        <f t="shared" si="130"/>
        <v>4</v>
      </c>
      <c r="N490" s="14">
        <f t="shared" si="131"/>
        <v>1102008</v>
      </c>
      <c r="O490" s="14" t="str">
        <f t="shared" si="132"/>
        <v>夏侯渊4突</v>
      </c>
      <c r="P490" s="29" t="s">
        <v>341</v>
      </c>
      <c r="Q490" s="14">
        <f t="shared" si="133"/>
        <v>2</v>
      </c>
      <c r="R490" s="14">
        <f t="shared" si="134"/>
        <v>4</v>
      </c>
      <c r="S490" s="14" t="s">
        <v>39</v>
      </c>
      <c r="T490" s="14">
        <f>ROUND(((IF(Q490=1,INDEX(新属性投放!$J$14:$J$34,卡牌属性!R490),INDEX(新属性投放!$J$42:$J$62,卡牌属性!R490)))*INDEX($G$5:$G$42,L490)+IF(Q490=1,INDEX(新属性投放!R$20:R$23,卡牌属性!M490-1),INDEX(新属性投放!R$25:R$28,卡牌属性!M490-1)))/SQRT(INDEX($I$5:$I$42,L490)),2)</f>
        <v>1166.4000000000001</v>
      </c>
      <c r="U490" s="29" t="s">
        <v>178</v>
      </c>
      <c r="V490" s="14">
        <f>ROUND((IF(Q490=1,INDEX(新属性投放!$K$14:$K$34,卡牌属性!R490),INDEX(新属性投放!$K$42:$K$62,卡牌属性!R490))+IF(Q490=1,INDEX(新属性投放!S$20:S$23,卡牌属性!M490-1),INDEX(新属性投放!S$25:S$28,卡牌属性!M490-1)))*INDEX($G$5:$G$42,L490),2)</f>
        <v>405.6</v>
      </c>
      <c r="W490" s="29" t="s">
        <v>179</v>
      </c>
      <c r="X490" s="14">
        <f>ROUND((IF(Q490=1,INDEX(新属性投放!$L$14:$L$34,卡牌属性!R490),INDEX(新属性投放!$L$42:$L$62,卡牌属性!R490))*INDEX($G$5:$G$42,L490)+IF(Q490=1,INDEX(新属性投放!T$20:T$23,卡牌属性!M490-1),INDEX(新属性投放!T$25:T$28,卡牌属性!M490-1)))*SQRT(INDEX($I$5:$I$42,L490)),2)</f>
        <v>4897.1000000000004</v>
      </c>
      <c r="Y490" s="29" t="s">
        <v>177</v>
      </c>
      <c r="Z490" s="14">
        <f>ROUND(IF(Q490=1,INDEX(新属性投放!$D$14:$D$34,卡牌属性!R490),INDEX(新属性投放!$D$42:$D$62,卡牌属性!R490))*INDEX($G$5:$G$42,L490)/SQRT(INDEX($I$5:$I$42,L490)),2)</f>
        <v>26</v>
      </c>
      <c r="AA490" s="29" t="s">
        <v>178</v>
      </c>
      <c r="AB490" s="14">
        <f>ROUND(IF(Q490=1,INDEX(新属性投放!$E$14:$E$34,卡牌属性!R490),INDEX(新属性投放!$E$42:$E$62,卡牌属性!R490))*INDEX($G$5:$G$42,L490),2)</f>
        <v>13</v>
      </c>
      <c r="AC490" s="29" t="s">
        <v>179</v>
      </c>
      <c r="AD490" s="14">
        <f>ROUND(IF(Q490=1,INDEX(新属性投放!$F$14:$F$34,卡牌属性!R490),INDEX(新属性投放!$F$42:$F$62,卡牌属性!R490))*INDEX($G$5:$G$42,L490)*SQRT(INDEX($I$5:$I$42,L490)),2)</f>
        <v>117</v>
      </c>
      <c r="AF490" s="14">
        <f t="shared" si="135"/>
        <v>260</v>
      </c>
      <c r="AG490" s="14">
        <f t="shared" si="136"/>
        <v>130</v>
      </c>
      <c r="AH490" s="14">
        <f t="shared" si="137"/>
        <v>1170</v>
      </c>
      <c r="AJ490" s="14">
        <f t="shared" si="141"/>
        <v>715</v>
      </c>
      <c r="AK490" s="14">
        <f t="shared" si="142"/>
        <v>357</v>
      </c>
      <c r="AL490" s="14">
        <f t="shared" si="143"/>
        <v>3211</v>
      </c>
    </row>
    <row r="491" spans="11:38" ht="16.5" x14ac:dyDescent="0.2">
      <c r="K491" s="13">
        <v>488</v>
      </c>
      <c r="L491" s="13">
        <f t="shared" si="129"/>
        <v>24</v>
      </c>
      <c r="M491" s="13">
        <f t="shared" si="130"/>
        <v>4</v>
      </c>
      <c r="N491" s="14">
        <f t="shared" si="131"/>
        <v>1102008</v>
      </c>
      <c r="O491" s="14" t="str">
        <f t="shared" si="132"/>
        <v>夏侯渊5突</v>
      </c>
      <c r="P491" s="29" t="s">
        <v>341</v>
      </c>
      <c r="Q491" s="14">
        <f t="shared" si="133"/>
        <v>2</v>
      </c>
      <c r="R491" s="14">
        <f t="shared" si="134"/>
        <v>5</v>
      </c>
      <c r="S491" s="14" t="s">
        <v>39</v>
      </c>
      <c r="T491" s="14">
        <f>ROUND(((IF(Q491=1,INDEX(新属性投放!$J$14:$J$34,卡牌属性!R491),INDEX(新属性投放!$J$42:$J$62,卡牌属性!R491)))*INDEX($G$5:$G$42,L491)+IF(Q491=1,INDEX(新属性投放!R$20:R$23,卡牌属性!M491-1),INDEX(新属性投放!R$25:R$28,卡牌属性!M491-1)))/SQRT(INDEX($I$5:$I$42,L491)),2)</f>
        <v>1491.4</v>
      </c>
      <c r="U491" s="29" t="s">
        <v>178</v>
      </c>
      <c r="V491" s="14">
        <f>ROUND((IF(Q491=1,INDEX(新属性投放!$K$14:$K$34,卡牌属性!R491),INDEX(新属性投放!$K$42:$K$62,卡牌属性!R491))+IF(Q491=1,INDEX(新属性投放!S$20:S$23,卡牌属性!M491-1),INDEX(新属性投放!S$25:S$28,卡牌属性!M491-1)))*INDEX($G$5:$G$42,L491),2)</f>
        <v>568.1</v>
      </c>
      <c r="W491" s="29" t="s">
        <v>179</v>
      </c>
      <c r="X491" s="14">
        <f>ROUND((IF(Q491=1,INDEX(新属性投放!$L$14:$L$34,卡牌属性!R491),INDEX(新属性投放!$L$42:$L$62,卡牌属性!R491))*INDEX($G$5:$G$42,L491)+IF(Q491=1,INDEX(新属性投放!T$20:T$23,卡牌属性!M491-1),INDEX(新属性投放!T$25:T$28,卡牌属性!M491-1)))*SQRT(INDEX($I$5:$I$42,L491)),2)</f>
        <v>6652.1</v>
      </c>
      <c r="Y491" s="29" t="s">
        <v>177</v>
      </c>
      <c r="Z491" s="14">
        <f>ROUND(IF(Q491=1,INDEX(新属性投放!$D$14:$D$34,卡牌属性!R491),INDEX(新属性投放!$D$42:$D$62,卡牌属性!R491))*INDEX($G$5:$G$42,L491)/SQRT(INDEX($I$5:$I$42,L491)),2)</f>
        <v>32.5</v>
      </c>
      <c r="AA491" s="29" t="s">
        <v>178</v>
      </c>
      <c r="AB491" s="14">
        <f>ROUND(IF(Q491=1,INDEX(新属性投放!$E$14:$E$34,卡牌属性!R491),INDEX(新属性投放!$E$42:$E$62,卡牌属性!R491))*INDEX($G$5:$G$42,L491),2)</f>
        <v>16.25</v>
      </c>
      <c r="AC491" s="29" t="s">
        <v>179</v>
      </c>
      <c r="AD491" s="14">
        <f>ROUND(IF(Q491=1,INDEX(新属性投放!$F$14:$F$34,卡牌属性!R491),INDEX(新属性投放!$F$42:$F$62,卡牌属性!R491))*INDEX($G$5:$G$42,L491)*SQRT(INDEX($I$5:$I$42,L491)),2)</f>
        <v>145.6</v>
      </c>
      <c r="AF491" s="14">
        <f t="shared" si="135"/>
        <v>325</v>
      </c>
      <c r="AG491" s="14">
        <f t="shared" si="136"/>
        <v>162</v>
      </c>
      <c r="AH491" s="14">
        <f t="shared" si="137"/>
        <v>1456</v>
      </c>
      <c r="AJ491" s="14">
        <f t="shared" si="141"/>
        <v>1040</v>
      </c>
      <c r="AK491" s="14">
        <f t="shared" si="142"/>
        <v>519</v>
      </c>
      <c r="AL491" s="14">
        <f t="shared" si="143"/>
        <v>4667</v>
      </c>
    </row>
    <row r="492" spans="11:38" ht="16.5" x14ac:dyDescent="0.2">
      <c r="K492" s="13">
        <v>489</v>
      </c>
      <c r="L492" s="13">
        <f t="shared" si="129"/>
        <v>24</v>
      </c>
      <c r="M492" s="13">
        <f t="shared" si="130"/>
        <v>4</v>
      </c>
      <c r="N492" s="14">
        <f t="shared" si="131"/>
        <v>1102008</v>
      </c>
      <c r="O492" s="14" t="str">
        <f t="shared" si="132"/>
        <v>夏侯渊6突</v>
      </c>
      <c r="P492" s="29" t="s">
        <v>341</v>
      </c>
      <c r="Q492" s="14">
        <f t="shared" si="133"/>
        <v>2</v>
      </c>
      <c r="R492" s="14">
        <f t="shared" si="134"/>
        <v>6</v>
      </c>
      <c r="S492" s="14" t="s">
        <v>39</v>
      </c>
      <c r="T492" s="14">
        <f>ROUND(((IF(Q492=1,INDEX(新属性投放!$J$14:$J$34,卡牌属性!R492),INDEX(新属性投放!$J$42:$J$62,卡牌属性!R492)))*INDEX($G$5:$G$42,L492)+IF(Q492=1,INDEX(新属性投放!R$20:R$23,卡牌属性!M492-1),INDEX(新属性投放!R$25:R$28,卡牌属性!M492-1)))/SQRT(INDEX($I$5:$I$42,L492)),2)</f>
        <v>1898.3</v>
      </c>
      <c r="U492" s="29" t="s">
        <v>178</v>
      </c>
      <c r="V492" s="14">
        <f>ROUND((IF(Q492=1,INDEX(新属性投放!$K$14:$K$34,卡牌属性!R492),INDEX(新属性投放!$K$42:$K$62,卡牌属性!R492))+IF(Q492=1,INDEX(新属性投放!S$20:S$23,卡牌属性!M492-1),INDEX(新属性投放!S$25:S$28,卡牌属性!M492-1)))*INDEX($G$5:$G$42,L492),2)</f>
        <v>770.9</v>
      </c>
      <c r="W492" s="29" t="s">
        <v>179</v>
      </c>
      <c r="X492" s="14">
        <f>ROUND((IF(Q492=1,INDEX(新属性投放!$L$14:$L$34,卡牌属性!R492),INDEX(新属性投放!$L$42:$L$62,卡牌属性!R492))*INDEX($G$5:$G$42,L492)+IF(Q492=1,INDEX(新属性投放!T$20:T$23,卡牌属性!M492-1),INDEX(新属性投放!T$25:T$28,卡牌属性!M492-1)))*SQRT(INDEX($I$5:$I$42,L492)),2)</f>
        <v>8845.2000000000007</v>
      </c>
      <c r="Y492" s="29" t="s">
        <v>177</v>
      </c>
      <c r="Z492" s="14">
        <f>ROUND(IF(Q492=1,INDEX(新属性投放!$D$14:$D$34,卡牌属性!R492),INDEX(新属性投放!$D$42:$D$62,卡牌属性!R492))*INDEX($G$5:$G$42,L492)/SQRT(INDEX($I$5:$I$42,L492)),2)</f>
        <v>39</v>
      </c>
      <c r="AA492" s="29" t="s">
        <v>178</v>
      </c>
      <c r="AB492" s="14">
        <f>ROUND(IF(Q492=1,INDEX(新属性投放!$E$14:$E$34,卡牌属性!R492),INDEX(新属性投放!$E$42:$E$62,卡牌属性!R492))*INDEX($G$5:$G$42,L492),2)</f>
        <v>19.5</v>
      </c>
      <c r="AC492" s="29" t="s">
        <v>179</v>
      </c>
      <c r="AD492" s="14">
        <f>ROUND(IF(Q492=1,INDEX(新属性投放!$F$14:$F$34,卡牌属性!R492),INDEX(新属性投放!$F$42:$F$62,卡牌属性!R492))*INDEX($G$5:$G$42,L492)*SQRT(INDEX($I$5:$I$42,L492)),2)</f>
        <v>175.5</v>
      </c>
      <c r="AF492" s="14">
        <f t="shared" si="135"/>
        <v>390</v>
      </c>
      <c r="AG492" s="14">
        <f t="shared" si="136"/>
        <v>195</v>
      </c>
      <c r="AH492" s="14">
        <f t="shared" si="137"/>
        <v>1755</v>
      </c>
      <c r="AJ492" s="14">
        <f t="shared" si="141"/>
        <v>1430</v>
      </c>
      <c r="AK492" s="14">
        <f t="shared" si="142"/>
        <v>714</v>
      </c>
      <c r="AL492" s="14">
        <f t="shared" si="143"/>
        <v>6422</v>
      </c>
    </row>
    <row r="493" spans="11:38" ht="16.5" x14ac:dyDescent="0.2">
      <c r="K493" s="13">
        <v>490</v>
      </c>
      <c r="L493" s="13">
        <f t="shared" si="129"/>
        <v>24</v>
      </c>
      <c r="M493" s="13">
        <f t="shared" si="130"/>
        <v>4</v>
      </c>
      <c r="N493" s="14">
        <f t="shared" si="131"/>
        <v>1102008</v>
      </c>
      <c r="O493" s="14" t="str">
        <f t="shared" si="132"/>
        <v>夏侯渊7突</v>
      </c>
      <c r="P493" s="29" t="s">
        <v>341</v>
      </c>
      <c r="Q493" s="14">
        <f t="shared" si="133"/>
        <v>2</v>
      </c>
      <c r="R493" s="14">
        <f t="shared" si="134"/>
        <v>7</v>
      </c>
      <c r="S493" s="14" t="s">
        <v>39</v>
      </c>
      <c r="T493" s="14">
        <f>ROUND(((IF(Q493=1,INDEX(新属性投放!$J$14:$J$34,卡牌属性!R493),INDEX(新属性投放!$J$42:$J$62,卡牌属性!R493)))*INDEX($G$5:$G$42,L493)+IF(Q493=1,INDEX(新属性投放!R$20:R$23,卡牌属性!M493-1),INDEX(新属性投放!R$25:R$28,卡牌属性!M493-1)))/SQRT(INDEX($I$5:$I$42,L493)),2)</f>
        <v>2385.8000000000002</v>
      </c>
      <c r="U493" s="29" t="s">
        <v>178</v>
      </c>
      <c r="V493" s="14">
        <f>ROUND((IF(Q493=1,INDEX(新属性投放!$K$14:$K$34,卡牌属性!R493),INDEX(新属性投放!$K$42:$K$62,卡牌属性!R493))+IF(Q493=1,INDEX(新属性投放!S$20:S$23,卡牌属性!M493-1),INDEX(新属性投放!S$25:S$28,卡牌属性!M493-1)))*INDEX($G$5:$G$42,L493),2)</f>
        <v>1015.3</v>
      </c>
      <c r="W493" s="29" t="s">
        <v>179</v>
      </c>
      <c r="X493" s="14">
        <f>ROUND((IF(Q493=1,INDEX(新属性投放!$L$14:$L$34,卡牌属性!R493),INDEX(新属性投放!$L$42:$L$62,卡牌属性!R493))*INDEX($G$5:$G$42,L493)+IF(Q493=1,INDEX(新属性投放!T$20:T$23,卡牌属性!M493-1),INDEX(新属性投放!T$25:T$28,卡牌属性!M493-1)))*SQRT(INDEX($I$5:$I$42,L493)),2)</f>
        <v>11477.7</v>
      </c>
      <c r="Y493" s="29" t="s">
        <v>177</v>
      </c>
      <c r="Z493" s="14">
        <f>ROUND(IF(Q493=1,INDEX(新属性投放!$D$14:$D$34,卡牌属性!R493),INDEX(新属性投放!$D$42:$D$62,卡牌属性!R493))*INDEX($G$5:$G$42,L493)/SQRT(INDEX($I$5:$I$42,L493)),2)</f>
        <v>45.5</v>
      </c>
      <c r="AA493" s="29" t="s">
        <v>178</v>
      </c>
      <c r="AB493" s="14">
        <f>ROUND(IF(Q493=1,INDEX(新属性投放!$E$14:$E$34,卡牌属性!R493),INDEX(新属性投放!$E$42:$E$62,卡牌属性!R493))*INDEX($G$5:$G$42,L493),2)</f>
        <v>22.75</v>
      </c>
      <c r="AC493" s="29" t="s">
        <v>179</v>
      </c>
      <c r="AD493" s="14">
        <f>ROUND(IF(Q493=1,INDEX(新属性投放!$F$14:$F$34,卡牌属性!R493),INDEX(新属性投放!$F$42:$F$62,卡牌属性!R493))*INDEX($G$5:$G$42,L493)*SQRT(INDEX($I$5:$I$42,L493)),2)</f>
        <v>204.1</v>
      </c>
      <c r="AF493" s="14">
        <f t="shared" si="135"/>
        <v>455</v>
      </c>
      <c r="AG493" s="14">
        <f t="shared" si="136"/>
        <v>227</v>
      </c>
      <c r="AH493" s="14">
        <f t="shared" si="137"/>
        <v>2041</v>
      </c>
      <c r="AJ493" s="14">
        <f t="shared" si="141"/>
        <v>1885</v>
      </c>
      <c r="AK493" s="14">
        <f t="shared" si="142"/>
        <v>941</v>
      </c>
      <c r="AL493" s="14">
        <f t="shared" si="143"/>
        <v>8463</v>
      </c>
    </row>
    <row r="494" spans="11:38" ht="16.5" x14ac:dyDescent="0.2">
      <c r="K494" s="13">
        <v>491</v>
      </c>
      <c r="L494" s="13">
        <f t="shared" si="129"/>
        <v>24</v>
      </c>
      <c r="M494" s="13">
        <f t="shared" si="130"/>
        <v>4</v>
      </c>
      <c r="N494" s="14">
        <f t="shared" si="131"/>
        <v>1102008</v>
      </c>
      <c r="O494" s="14" t="str">
        <f t="shared" si="132"/>
        <v>夏侯渊8突</v>
      </c>
      <c r="P494" s="29" t="s">
        <v>341</v>
      </c>
      <c r="Q494" s="14">
        <f t="shared" si="133"/>
        <v>2</v>
      </c>
      <c r="R494" s="14">
        <f t="shared" si="134"/>
        <v>8</v>
      </c>
      <c r="S494" s="14" t="s">
        <v>39</v>
      </c>
      <c r="T494" s="14">
        <f>ROUND(((IF(Q494=1,INDEX(新属性投放!$J$14:$J$34,卡牌属性!R494),INDEX(新属性投放!$J$42:$J$62,卡牌属性!R494)))*INDEX($G$5:$G$42,L494)+IF(Q494=1,INDEX(新属性投放!R$20:R$23,卡牌属性!M494-1),INDEX(新属性投放!R$25:R$28,卡牌属性!M494-1)))/SQRT(INDEX($I$5:$I$42,L494)),2)</f>
        <v>2955.2</v>
      </c>
      <c r="U494" s="29" t="s">
        <v>178</v>
      </c>
      <c r="V494" s="14">
        <f>ROUND((IF(Q494=1,INDEX(新属性投放!$K$14:$K$34,卡牌属性!R494),INDEX(新属性投放!$K$42:$K$62,卡牌属性!R494))+IF(Q494=1,INDEX(新属性投放!S$20:S$23,卡牌属性!M494-1),INDEX(新属性投放!S$25:S$28,卡牌属性!M494-1)))*INDEX($G$5:$G$42,L494),2)</f>
        <v>1300</v>
      </c>
      <c r="W494" s="29" t="s">
        <v>179</v>
      </c>
      <c r="X494" s="14">
        <f>ROUND((IF(Q494=1,INDEX(新属性投放!$L$14:$L$34,卡牌属性!R494),INDEX(新属性投放!$L$42:$L$62,卡牌属性!R494))*INDEX($G$5:$G$42,L494)+IF(Q494=1,INDEX(新属性投放!T$20:T$23,卡牌属性!M494-1),INDEX(新属性投放!T$25:T$28,卡牌属性!M494-1)))*SQRT(INDEX($I$5:$I$42,L494)),2)</f>
        <v>14548.3</v>
      </c>
      <c r="Y494" s="29" t="s">
        <v>177</v>
      </c>
      <c r="Z494" s="14">
        <f>ROUND(IF(Q494=1,INDEX(新属性投放!$D$14:$D$34,卡牌属性!R494),INDEX(新属性投放!$D$42:$D$62,卡牌属性!R494))*INDEX($G$5:$G$42,L494)/SQRT(INDEX($I$5:$I$42,L494)),2)</f>
        <v>58.5</v>
      </c>
      <c r="AA494" s="29" t="s">
        <v>178</v>
      </c>
      <c r="AB494" s="14">
        <f>ROUND(IF(Q494=1,INDEX(新属性投放!$E$14:$E$34,卡牌属性!R494),INDEX(新属性投放!$E$42:$E$62,卡牌属性!R494))*INDEX($G$5:$G$42,L494),2)</f>
        <v>29.25</v>
      </c>
      <c r="AC494" s="29" t="s">
        <v>179</v>
      </c>
      <c r="AD494" s="14">
        <f>ROUND(IF(Q494=1,INDEX(新属性投放!$F$14:$F$34,卡牌属性!R494),INDEX(新属性投放!$F$42:$F$62,卡牌属性!R494))*INDEX($G$5:$G$42,L494)*SQRT(INDEX($I$5:$I$42,L494)),2)</f>
        <v>262.60000000000002</v>
      </c>
      <c r="AF494" s="14">
        <f t="shared" si="135"/>
        <v>585</v>
      </c>
      <c r="AG494" s="14">
        <f t="shared" si="136"/>
        <v>292</v>
      </c>
      <c r="AH494" s="14">
        <f t="shared" si="137"/>
        <v>2626</v>
      </c>
      <c r="AJ494" s="14">
        <f t="shared" si="141"/>
        <v>2470</v>
      </c>
      <c r="AK494" s="14">
        <f t="shared" si="142"/>
        <v>1233</v>
      </c>
      <c r="AL494" s="14">
        <f t="shared" si="143"/>
        <v>11089</v>
      </c>
    </row>
    <row r="495" spans="11:38" ht="16.5" x14ac:dyDescent="0.2">
      <c r="K495" s="13">
        <v>492</v>
      </c>
      <c r="L495" s="13">
        <f t="shared" si="129"/>
        <v>24</v>
      </c>
      <c r="M495" s="13">
        <f t="shared" si="130"/>
        <v>4</v>
      </c>
      <c r="N495" s="14">
        <f t="shared" si="131"/>
        <v>1102008</v>
      </c>
      <c r="O495" s="14" t="str">
        <f t="shared" si="132"/>
        <v>夏侯渊9突</v>
      </c>
      <c r="P495" s="29" t="s">
        <v>341</v>
      </c>
      <c r="Q495" s="14">
        <f t="shared" si="133"/>
        <v>2</v>
      </c>
      <c r="R495" s="14">
        <f t="shared" si="134"/>
        <v>9</v>
      </c>
      <c r="S495" s="14" t="s">
        <v>39</v>
      </c>
      <c r="T495" s="14">
        <f>ROUND(((IF(Q495=1,INDEX(新属性投放!$J$14:$J$34,卡牌属性!R495),INDEX(新属性投放!$J$42:$J$62,卡牌属性!R495)))*INDEX($G$5:$G$42,L495)+IF(Q495=1,INDEX(新属性投放!R$20:R$23,卡牌属性!M495-1),INDEX(新属性投放!R$25:R$28,卡牌属性!M495-1)))/SQRT(INDEX($I$5:$I$42,L495)),2)</f>
        <v>3687.1</v>
      </c>
      <c r="U495" s="29" t="s">
        <v>178</v>
      </c>
      <c r="V495" s="14">
        <f>ROUND((IF(Q495=1,INDEX(新属性投放!$K$14:$K$34,卡牌属性!R495),INDEX(新属性投放!$K$42:$K$62,卡牌属性!R495))+IF(Q495=1,INDEX(新属性投放!S$20:S$23,卡牌属性!M495-1),INDEX(新属性投放!S$25:S$28,卡牌属性!M495-1)))*INDEX($G$5:$G$42,L495),2)</f>
        <v>1665.3</v>
      </c>
      <c r="W495" s="29" t="s">
        <v>179</v>
      </c>
      <c r="X495" s="14">
        <f>ROUND((IF(Q495=1,INDEX(新属性投放!$L$14:$L$34,卡牌属性!R495),INDEX(新属性投放!$L$42:$L$62,卡牌属性!R495))*INDEX($G$5:$G$42,L495)+IF(Q495=1,INDEX(新属性投放!T$20:T$23,卡牌属性!M495-1),INDEX(新属性投放!T$25:T$28,卡牌属性!M495-1)))*SQRT(INDEX($I$5:$I$42,L495)),2)</f>
        <v>18496.400000000001</v>
      </c>
      <c r="Y495" s="29" t="s">
        <v>177</v>
      </c>
      <c r="Z495" s="14">
        <f>ROUND(IF(Q495=1,INDEX(新属性投放!$D$14:$D$34,卡牌属性!R495),INDEX(新属性投放!$D$42:$D$62,卡牌属性!R495))*INDEX($G$5:$G$42,L495)/SQRT(INDEX($I$5:$I$42,L495)),2)</f>
        <v>78.069999999999993</v>
      </c>
      <c r="AA495" s="29" t="s">
        <v>178</v>
      </c>
      <c r="AB495" s="14">
        <f>ROUND(IF(Q495=1,INDEX(新属性投放!$E$14:$E$34,卡牌属性!R495),INDEX(新属性投放!$E$42:$E$62,卡牌属性!R495))*INDEX($G$5:$G$42,L495),2)</f>
        <v>39.03</v>
      </c>
      <c r="AC495" s="29" t="s">
        <v>179</v>
      </c>
      <c r="AD495" s="14">
        <f>ROUND(IF(Q495=1,INDEX(新属性投放!$F$14:$F$34,卡牌属性!R495),INDEX(新属性投放!$F$42:$F$62,卡牌属性!R495))*INDEX($G$5:$G$42,L495)*SQRT(INDEX($I$5:$I$42,L495)),2)</f>
        <v>351</v>
      </c>
      <c r="AF495" s="14">
        <f t="shared" si="135"/>
        <v>780</v>
      </c>
      <c r="AG495" s="14">
        <f t="shared" si="136"/>
        <v>390</v>
      </c>
      <c r="AH495" s="14">
        <f t="shared" si="137"/>
        <v>3510</v>
      </c>
      <c r="AJ495" s="14">
        <f t="shared" si="141"/>
        <v>3250</v>
      </c>
      <c r="AK495" s="14">
        <f t="shared" si="142"/>
        <v>1623</v>
      </c>
      <c r="AL495" s="14">
        <f t="shared" si="143"/>
        <v>14599</v>
      </c>
    </row>
    <row r="496" spans="11:38" ht="16.5" x14ac:dyDescent="0.2">
      <c r="K496" s="13">
        <v>493</v>
      </c>
      <c r="L496" s="13">
        <f t="shared" si="129"/>
        <v>24</v>
      </c>
      <c r="M496" s="13">
        <f t="shared" si="130"/>
        <v>4</v>
      </c>
      <c r="N496" s="14">
        <f t="shared" si="131"/>
        <v>1102008</v>
      </c>
      <c r="O496" s="14" t="str">
        <f t="shared" si="132"/>
        <v>夏侯渊10突</v>
      </c>
      <c r="P496" s="29" t="s">
        <v>341</v>
      </c>
      <c r="Q496" s="14">
        <f t="shared" si="133"/>
        <v>2</v>
      </c>
      <c r="R496" s="14">
        <f t="shared" si="134"/>
        <v>10</v>
      </c>
      <c r="S496" s="14" t="s">
        <v>39</v>
      </c>
      <c r="T496" s="14">
        <f>ROUND(((IF(Q496=1,INDEX(新属性投放!$J$14:$J$34,卡牌属性!R496),INDEX(新属性投放!$J$42:$J$62,卡牌属性!R496)))*INDEX($G$5:$G$42,L496)+IF(Q496=1,INDEX(新属性投放!R$20:R$23,卡牌属性!M496-1),INDEX(新属性投放!R$25:R$28,卡牌属性!M496-1)))/SQRT(INDEX($I$5:$I$42,L496)),2)</f>
        <v>4662.75</v>
      </c>
      <c r="U496" s="29" t="s">
        <v>178</v>
      </c>
      <c r="V496" s="14">
        <f>ROUND((IF(Q496=1,INDEX(新属性投放!$K$14:$K$34,卡牌属性!R496),INDEX(新属性投放!$K$42:$K$62,卡牌属性!R496))+IF(Q496=1,INDEX(新属性投放!S$20:S$23,卡牌属性!M496-1),INDEX(新属性投放!S$25:S$28,卡牌属性!M496-1)))*INDEX($G$5:$G$42,L496),2)</f>
        <v>2153.13</v>
      </c>
      <c r="W496" s="29" t="s">
        <v>179</v>
      </c>
      <c r="X496" s="14">
        <f>ROUND((IF(Q496=1,INDEX(新属性投放!$L$14:$L$34,卡牌属性!R496),INDEX(新属性投放!$L$42:$L$62,卡牌属性!R496))*INDEX($G$5:$G$42,L496)+IF(Q496=1,INDEX(新属性投放!T$20:T$23,卡牌属性!M496-1),INDEX(新属性投放!T$25:T$28,卡牌属性!M496-1)))*SQRT(INDEX($I$5:$I$42,L496)),2)</f>
        <v>23761.4</v>
      </c>
      <c r="Y496" s="29" t="s">
        <v>177</v>
      </c>
      <c r="Z496" s="14">
        <f>ROUND(IF(Q496=1,INDEX(新属性投放!$D$14:$D$34,卡牌属性!R496),INDEX(新属性投放!$D$42:$D$62,卡牌属性!R496))*INDEX($G$5:$G$42,L496)/SQRT(INDEX($I$5:$I$42,L496)),2)</f>
        <v>102.05</v>
      </c>
      <c r="AA496" s="29" t="s">
        <v>178</v>
      </c>
      <c r="AB496" s="14">
        <f>ROUND(IF(Q496=1,INDEX(新属性投放!$E$14:$E$34,卡牌属性!R496),INDEX(新属性投放!$E$42:$E$62,卡牌属性!R496))*INDEX($G$5:$G$42,L496),2)</f>
        <v>51.03</v>
      </c>
      <c r="AC496" s="29" t="s">
        <v>179</v>
      </c>
      <c r="AD496" s="14">
        <f>ROUND(IF(Q496=1,INDEX(新属性投放!$F$14:$F$34,卡牌属性!R496),INDEX(新属性投放!$F$42:$F$62,卡牌属性!R496))*INDEX($G$5:$G$42,L496)*SQRT(INDEX($I$5:$I$42,L496)),2)</f>
        <v>458.9</v>
      </c>
      <c r="AF496" s="14">
        <f t="shared" si="135"/>
        <v>1020</v>
      </c>
      <c r="AG496" s="14">
        <f t="shared" si="136"/>
        <v>510</v>
      </c>
      <c r="AH496" s="14">
        <f t="shared" si="137"/>
        <v>4589</v>
      </c>
      <c r="AJ496" s="14">
        <f t="shared" si="141"/>
        <v>4270</v>
      </c>
      <c r="AK496" s="14">
        <f t="shared" si="142"/>
        <v>2133</v>
      </c>
      <c r="AL496" s="14">
        <f t="shared" si="143"/>
        <v>19188</v>
      </c>
    </row>
    <row r="497" spans="11:38" ht="16.5" x14ac:dyDescent="0.2">
      <c r="K497" s="13">
        <v>494</v>
      </c>
      <c r="L497" s="13">
        <f t="shared" si="129"/>
        <v>24</v>
      </c>
      <c r="M497" s="13">
        <f t="shared" si="130"/>
        <v>4</v>
      </c>
      <c r="N497" s="14">
        <f t="shared" si="131"/>
        <v>1102008</v>
      </c>
      <c r="O497" s="14" t="str">
        <f t="shared" si="132"/>
        <v>夏侯渊11突</v>
      </c>
      <c r="P497" s="29" t="s">
        <v>341</v>
      </c>
      <c r="Q497" s="14">
        <f t="shared" si="133"/>
        <v>2</v>
      </c>
      <c r="R497" s="14">
        <f t="shared" si="134"/>
        <v>11</v>
      </c>
      <c r="S497" s="14" t="s">
        <v>39</v>
      </c>
      <c r="T497" s="14">
        <f>ROUND(((IF(Q497=1,INDEX(新属性投放!$J$14:$J$34,卡牌属性!R497),INDEX(新属性投放!$J$42:$J$62,卡牌属性!R497)))*INDEX($G$5:$G$42,L497)+IF(Q497=1,INDEX(新属性投放!R$20:R$23,卡牌属性!M497-1),INDEX(新属性投放!R$25:R$28,卡牌属性!M497-1)))/SQRT(INDEX($I$5:$I$42,L497)),2)</f>
        <v>5938.05</v>
      </c>
      <c r="U497" s="29" t="s">
        <v>178</v>
      </c>
      <c r="V497" s="14">
        <f>ROUND((IF(Q497=1,INDEX(新属性投放!$K$14:$K$34,卡牌属性!R497),INDEX(新属性投放!$K$42:$K$62,卡牌属性!R497))+IF(Q497=1,INDEX(新属性投放!S$20:S$23,卡牌属性!M497-1),INDEX(新属性投放!S$25:S$28,卡牌属性!M497-1)))*INDEX($G$5:$G$42,L497),2)</f>
        <v>2790.78</v>
      </c>
      <c r="W497" s="29" t="s">
        <v>179</v>
      </c>
      <c r="X497" s="14">
        <f>ROUND((IF(Q497=1,INDEX(新属性投放!$L$14:$L$34,卡牌属性!R497),INDEX(新属性投放!$L$42:$L$62,卡牌属性!R497))*INDEX($G$5:$G$42,L497)+IF(Q497=1,INDEX(新属性投放!T$20:T$23,卡牌属性!M497-1),INDEX(新属性投放!T$25:T$28,卡牌属性!M497-1)))*SQRT(INDEX($I$5:$I$42,L497)),2)</f>
        <v>30643.599999999999</v>
      </c>
      <c r="Y497" s="29" t="s">
        <v>177</v>
      </c>
      <c r="Z497" s="14">
        <f>ROUND(IF(Q497=1,INDEX(新属性投放!$D$14:$D$34,卡牌属性!R497),INDEX(新属性投放!$D$42:$D$62,卡牌属性!R497))*INDEX($G$5:$G$42,L497)/SQRT(INDEX($I$5:$I$42,L497)),2)</f>
        <v>134.34</v>
      </c>
      <c r="AA497" s="29" t="s">
        <v>178</v>
      </c>
      <c r="AB497" s="14">
        <f>ROUND(IF(Q497=1,INDEX(新属性投放!$E$14:$E$34,卡牌属性!R497),INDEX(新属性投放!$E$42:$E$62,卡牌属性!R497))*INDEX($G$5:$G$42,L497),2)</f>
        <v>67.17</v>
      </c>
      <c r="AC497" s="29" t="s">
        <v>179</v>
      </c>
      <c r="AD497" s="14">
        <f>ROUND(IF(Q497=1,INDEX(新属性投放!$F$14:$F$34,卡牌属性!R497),INDEX(新属性投放!$F$42:$F$62,卡牌属性!R497))*INDEX($G$5:$G$42,L497)*SQRT(INDEX($I$5:$I$42,L497)),2)</f>
        <v>604.5</v>
      </c>
      <c r="AF497" s="14">
        <f t="shared" si="135"/>
        <v>1343</v>
      </c>
      <c r="AG497" s="14">
        <f t="shared" si="136"/>
        <v>671</v>
      </c>
      <c r="AH497" s="14">
        <f t="shared" si="137"/>
        <v>6045</v>
      </c>
      <c r="AJ497" s="14">
        <f t="shared" si="141"/>
        <v>5613</v>
      </c>
      <c r="AK497" s="14">
        <f t="shared" si="142"/>
        <v>2804</v>
      </c>
      <c r="AL497" s="14">
        <f t="shared" si="143"/>
        <v>25233</v>
      </c>
    </row>
    <row r="498" spans="11:38" ht="16.5" x14ac:dyDescent="0.2">
      <c r="K498" s="13">
        <v>495</v>
      </c>
      <c r="L498" s="13">
        <f t="shared" si="129"/>
        <v>24</v>
      </c>
      <c r="M498" s="13">
        <f t="shared" si="130"/>
        <v>4</v>
      </c>
      <c r="N498" s="14">
        <f t="shared" si="131"/>
        <v>1102008</v>
      </c>
      <c r="O498" s="14" t="str">
        <f t="shared" si="132"/>
        <v>夏侯渊12突</v>
      </c>
      <c r="P498" s="29" t="s">
        <v>341</v>
      </c>
      <c r="Q498" s="14">
        <f t="shared" si="133"/>
        <v>2</v>
      </c>
      <c r="R498" s="14">
        <f t="shared" si="134"/>
        <v>12</v>
      </c>
      <c r="S498" s="14" t="s">
        <v>39</v>
      </c>
      <c r="T498" s="14">
        <f>ROUND(((IF(Q498=1,INDEX(新属性投放!$J$14:$J$34,卡牌属性!R498),INDEX(新属性投放!$J$42:$J$62,卡牌属性!R498)))*INDEX($G$5:$G$42,L498)+IF(Q498=1,INDEX(新属性投放!R$20:R$23,卡牌属性!M498-1),INDEX(新属性投放!R$25:R$28,卡牌属性!M498-1)))/SQRT(INDEX($I$5:$I$42,L498)),2)</f>
        <v>7616.87</v>
      </c>
      <c r="U498" s="29" t="s">
        <v>178</v>
      </c>
      <c r="V498" s="14">
        <f>ROUND((IF(Q498=1,INDEX(新属性投放!$K$14:$K$34,卡牌属性!R498),INDEX(新属性投放!$K$42:$K$62,卡牌属性!R498))+IF(Q498=1,INDEX(新属性投放!S$20:S$23,卡牌属性!M498-1),INDEX(新属性投放!S$25:S$28,卡牌属性!M498-1)))*INDEX($G$5:$G$42,L498),2)</f>
        <v>3630.19</v>
      </c>
      <c r="W498" s="29" t="s">
        <v>179</v>
      </c>
      <c r="X498" s="14">
        <f>ROUND((IF(Q498=1,INDEX(新属性投放!$L$14:$L$34,卡牌属性!R498),INDEX(新属性投放!$L$42:$L$62,卡牌属性!R498))*INDEX($G$5:$G$42,L498)+IF(Q498=1,INDEX(新属性投放!T$20:T$23,卡牌属性!M498-1),INDEX(新属性投放!T$25:T$28,卡牌属性!M498-1)))*SQRT(INDEX($I$5:$I$42,L498)),2)</f>
        <v>39707.199999999997</v>
      </c>
      <c r="Y498" s="29" t="s">
        <v>177</v>
      </c>
      <c r="Z498" s="14">
        <f>ROUND(IF(Q498=1,INDEX(新属性投放!$D$14:$D$34,卡牌属性!R498),INDEX(新属性投放!$D$42:$D$62,卡牌属性!R498))*INDEX($G$5:$G$42,L498)/SQRT(INDEX($I$5:$I$42,L498)),2)</f>
        <v>176.31</v>
      </c>
      <c r="AA498" s="29" t="s">
        <v>178</v>
      </c>
      <c r="AB498" s="14">
        <f>ROUND(IF(Q498=1,INDEX(新属性投放!$E$14:$E$34,卡牌属性!R498),INDEX(新属性投放!$E$42:$E$62,卡牌属性!R498))*INDEX($G$5:$G$42,L498),2)</f>
        <v>88.15</v>
      </c>
      <c r="AC498" s="29" t="s">
        <v>179</v>
      </c>
      <c r="AD498" s="14">
        <f>ROUND(IF(Q498=1,INDEX(新属性投放!$F$14:$F$34,卡牌属性!R498),INDEX(新属性投放!$F$42:$F$62,卡牌属性!R498))*INDEX($G$5:$G$42,L498)*SQRT(INDEX($I$5:$I$42,L498)),2)</f>
        <v>793</v>
      </c>
      <c r="AF498" s="14">
        <f t="shared" si="135"/>
        <v>1763</v>
      </c>
      <c r="AG498" s="14">
        <f t="shared" si="136"/>
        <v>881</v>
      </c>
      <c r="AH498" s="14">
        <f t="shared" si="137"/>
        <v>7930</v>
      </c>
      <c r="AJ498" s="14">
        <f t="shared" si="141"/>
        <v>7376</v>
      </c>
      <c r="AK498" s="14">
        <f t="shared" si="142"/>
        <v>3685</v>
      </c>
      <c r="AL498" s="14">
        <f t="shared" si="143"/>
        <v>33163</v>
      </c>
    </row>
    <row r="499" spans="11:38" ht="16.5" x14ac:dyDescent="0.2">
      <c r="K499" s="13">
        <v>496</v>
      </c>
      <c r="L499" s="13">
        <f t="shared" si="129"/>
        <v>24</v>
      </c>
      <c r="M499" s="13">
        <f t="shared" si="130"/>
        <v>4</v>
      </c>
      <c r="N499" s="14">
        <f t="shared" si="131"/>
        <v>1102008</v>
      </c>
      <c r="O499" s="14" t="str">
        <f t="shared" si="132"/>
        <v>夏侯渊13突</v>
      </c>
      <c r="P499" s="29" t="s">
        <v>341</v>
      </c>
      <c r="Q499" s="14">
        <f t="shared" si="133"/>
        <v>2</v>
      </c>
      <c r="R499" s="14">
        <f t="shared" si="134"/>
        <v>13</v>
      </c>
      <c r="S499" s="14" t="s">
        <v>39</v>
      </c>
      <c r="T499" s="14">
        <f>ROUND(((IF(Q499=1,INDEX(新属性投放!$J$14:$J$34,卡牌属性!R499),INDEX(新属性投放!$J$42:$J$62,卡牌属性!R499)))*INDEX($G$5:$G$42,L499)+IF(Q499=1,INDEX(新属性投放!R$20:R$23,卡牌属性!M499-1),INDEX(新属性投放!R$25:R$28,卡牌属性!M499-1)))/SQRT(INDEX($I$5:$I$42,L499)),2)</f>
        <v>9820.6299999999992</v>
      </c>
      <c r="U499" s="29" t="s">
        <v>178</v>
      </c>
      <c r="V499" s="14">
        <f>ROUND((IF(Q499=1,INDEX(新属性投放!$K$14:$K$34,卡牌属性!R499),INDEX(新属性投放!$K$42:$K$62,卡牌属性!R499))+IF(Q499=1,INDEX(新属性投放!S$20:S$23,卡牌属性!M499-1),INDEX(新属性投放!S$25:S$28,卡牌属性!M499-1)))*INDEX($G$5:$G$42,L499),2)</f>
        <v>4732.72</v>
      </c>
      <c r="W499" s="29" t="s">
        <v>179</v>
      </c>
      <c r="X499" s="14">
        <f>ROUND((IF(Q499=1,INDEX(新属性投放!$L$14:$L$34,卡牌属性!R499),INDEX(新属性投放!$L$42:$L$62,卡牌属性!R499))*INDEX($G$5:$G$42,L499)+IF(Q499=1,INDEX(新属性投放!T$20:T$23,卡牌属性!M499-1),INDEX(新属性投放!T$25:T$28,卡牌属性!M499-1)))*SQRT(INDEX($I$5:$I$42,L499)),2)</f>
        <v>51603.5</v>
      </c>
      <c r="Y499" s="29" t="s">
        <v>177</v>
      </c>
      <c r="Z499" s="14">
        <f>ROUND(IF(Q499=1,INDEX(新属性投放!$D$14:$D$34,卡牌属性!R499),INDEX(新属性投放!$D$42:$D$62,卡牌属性!R499))*INDEX($G$5:$G$42,L499)/SQRT(INDEX($I$5:$I$42,L499)),2)</f>
        <v>231.4</v>
      </c>
      <c r="AA499" s="29" t="s">
        <v>178</v>
      </c>
      <c r="AB499" s="14">
        <f>ROUND(IF(Q499=1,INDEX(新属性投放!$E$14:$E$34,卡牌属性!R499),INDEX(新属性投放!$E$42:$E$62,卡牌属性!R499))*INDEX($G$5:$G$42,L499),2)</f>
        <v>115.7</v>
      </c>
      <c r="AC499" s="29" t="s">
        <v>179</v>
      </c>
      <c r="AD499" s="14">
        <f>ROUND(IF(Q499=1,INDEX(新属性投放!$F$14:$F$34,卡牌属性!R499),INDEX(新属性投放!$F$42:$F$62,卡牌属性!R499))*INDEX($G$5:$G$42,L499)*SQRT(INDEX($I$5:$I$42,L499)),2)</f>
        <v>1041.3</v>
      </c>
      <c r="AF499" s="14">
        <f t="shared" si="135"/>
        <v>2314</v>
      </c>
      <c r="AG499" s="14">
        <f t="shared" si="136"/>
        <v>1157</v>
      </c>
      <c r="AH499" s="14">
        <f t="shared" si="137"/>
        <v>10413</v>
      </c>
      <c r="AJ499" s="14">
        <f t="shared" si="141"/>
        <v>9690</v>
      </c>
      <c r="AK499" s="14">
        <f t="shared" si="142"/>
        <v>4842</v>
      </c>
      <c r="AL499" s="14">
        <f t="shared" si="143"/>
        <v>43576</v>
      </c>
    </row>
    <row r="500" spans="11:38" ht="16.5" x14ac:dyDescent="0.2">
      <c r="K500" s="13">
        <v>497</v>
      </c>
      <c r="L500" s="13">
        <f t="shared" si="129"/>
        <v>24</v>
      </c>
      <c r="M500" s="13">
        <f t="shared" si="130"/>
        <v>4</v>
      </c>
      <c r="N500" s="14">
        <f t="shared" si="131"/>
        <v>1102008</v>
      </c>
      <c r="O500" s="14" t="str">
        <f t="shared" si="132"/>
        <v>夏侯渊14突</v>
      </c>
      <c r="P500" s="29" t="s">
        <v>341</v>
      </c>
      <c r="Q500" s="14">
        <f t="shared" si="133"/>
        <v>2</v>
      </c>
      <c r="R500" s="14">
        <f t="shared" si="134"/>
        <v>14</v>
      </c>
      <c r="S500" s="14" t="s">
        <v>39</v>
      </c>
      <c r="T500" s="14">
        <f>ROUND(((IF(Q500=1,INDEX(新属性投放!$J$14:$J$34,卡牌属性!R500),INDEX(新属性投放!$J$42:$J$62,卡牌属性!R500)))*INDEX($G$5:$G$42,L500)+IF(Q500=1,INDEX(新属性投放!R$20:R$23,卡牌属性!M500-1),INDEX(新属性投放!R$25:R$28,卡牌属性!M500-1)))/SQRT(INDEX($I$5:$I$42,L500)),2)</f>
        <v>12713.13</v>
      </c>
      <c r="U500" s="29" t="s">
        <v>178</v>
      </c>
      <c r="V500" s="14">
        <f>ROUND((IF(Q500=1,INDEX(新属性投放!$K$14:$K$34,卡牌属性!R500),INDEX(新属性投放!$K$42:$K$62,卡牌属性!R500))+IF(Q500=1,INDEX(新属性投放!S$20:S$23,卡牌属性!M500-1),INDEX(新属性投放!S$25:S$28,卡牌属性!M500-1)))*INDEX($G$5:$G$42,L500),2)</f>
        <v>6179.62</v>
      </c>
      <c r="W500" s="29" t="s">
        <v>179</v>
      </c>
      <c r="X500" s="14">
        <f>ROUND((IF(Q500=1,INDEX(新属性投放!$L$14:$L$34,卡牌属性!R500),INDEX(新属性投放!$L$42:$L$62,卡牌属性!R500))*INDEX($G$5:$G$42,L500)+IF(Q500=1,INDEX(新属性投放!T$20:T$23,卡牌属性!M500-1),INDEX(新属性投放!T$25:T$28,卡牌属性!M500-1)))*SQRT(INDEX($I$5:$I$42,L500)),2)</f>
        <v>67223</v>
      </c>
      <c r="Y500" s="29" t="s">
        <v>177</v>
      </c>
      <c r="Z500" s="14">
        <f>ROUND(IF(Q500=1,INDEX(新属性投放!$D$14:$D$34,卡牌属性!R500),INDEX(新属性投放!$D$42:$D$62,卡牌属性!R500))*INDEX($G$5:$G$42,L500)/SQRT(INDEX($I$5:$I$42,L500)),2)</f>
        <v>303.72000000000003</v>
      </c>
      <c r="AA500" s="29" t="s">
        <v>178</v>
      </c>
      <c r="AB500" s="14">
        <f>ROUND(IF(Q500=1,INDEX(新属性投放!$E$14:$E$34,卡牌属性!R500),INDEX(新属性投放!$E$42:$E$62,卡牌属性!R500))*INDEX($G$5:$G$42,L500),2)</f>
        <v>151.86000000000001</v>
      </c>
      <c r="AC500" s="29" t="s">
        <v>179</v>
      </c>
      <c r="AD500" s="14">
        <f>ROUND(IF(Q500=1,INDEX(新属性投放!$F$14:$F$34,卡牌属性!R500),INDEX(新属性投放!$F$42:$F$62,卡牌属性!R500))*INDEX($G$5:$G$42,L500)*SQRT(INDEX($I$5:$I$42,L500)),2)</f>
        <v>1366.3</v>
      </c>
      <c r="AF500" s="14">
        <f t="shared" si="135"/>
        <v>3037</v>
      </c>
      <c r="AG500" s="14">
        <f t="shared" si="136"/>
        <v>1518</v>
      </c>
      <c r="AH500" s="14">
        <f t="shared" si="137"/>
        <v>13663</v>
      </c>
      <c r="AJ500" s="14">
        <f t="shared" si="141"/>
        <v>12727</v>
      </c>
      <c r="AK500" s="14">
        <f t="shared" si="142"/>
        <v>6360</v>
      </c>
      <c r="AL500" s="14">
        <f t="shared" si="143"/>
        <v>57239</v>
      </c>
    </row>
    <row r="501" spans="11:38" ht="16.5" x14ac:dyDescent="0.2">
      <c r="K501" s="13">
        <v>498</v>
      </c>
      <c r="L501" s="13">
        <f t="shared" si="129"/>
        <v>24</v>
      </c>
      <c r="M501" s="13">
        <f t="shared" si="130"/>
        <v>4</v>
      </c>
      <c r="N501" s="14">
        <f t="shared" si="131"/>
        <v>1102008</v>
      </c>
      <c r="O501" s="14" t="str">
        <f t="shared" si="132"/>
        <v>夏侯渊15突</v>
      </c>
      <c r="P501" s="29" t="s">
        <v>341</v>
      </c>
      <c r="Q501" s="14">
        <f t="shared" si="133"/>
        <v>2</v>
      </c>
      <c r="R501" s="14">
        <f t="shared" si="134"/>
        <v>15</v>
      </c>
      <c r="S501" s="14" t="s">
        <v>39</v>
      </c>
      <c r="T501" s="14">
        <f>ROUND(((IF(Q501=1,INDEX(新属性投放!$J$14:$J$34,卡牌属性!R501),INDEX(新属性投放!$J$42:$J$62,卡牌属性!R501)))*INDEX($G$5:$G$42,L501)+IF(Q501=1,INDEX(新属性投放!R$20:R$23,卡牌属性!M501-1),INDEX(新属性投放!R$25:R$28,卡牌属性!M501-1)))/SQRT(INDEX($I$5:$I$42,L501)),2)</f>
        <v>16509.52</v>
      </c>
      <c r="U501" s="29" t="s">
        <v>178</v>
      </c>
      <c r="V501" s="14">
        <f>ROUND((IF(Q501=1,INDEX(新属性投放!$K$14:$K$34,卡牌属性!R501),INDEX(新属性投放!$K$42:$K$62,卡牌属性!R501))+IF(Q501=1,INDEX(新属性投放!S$20:S$23,卡牌属性!M501-1),INDEX(新属性投放!S$25:S$28,卡牌属性!M501-1)))*INDEX($G$5:$G$42,L501),2)</f>
        <v>8077.81</v>
      </c>
      <c r="W501" s="29" t="s">
        <v>179</v>
      </c>
      <c r="X501" s="14">
        <f>ROUND((IF(Q501=1,INDEX(新属性投放!$L$14:$L$34,卡牌属性!R501),INDEX(新属性投放!$L$42:$L$62,卡牌属性!R501))*INDEX($G$5:$G$42,L501)+IF(Q501=1,INDEX(新属性投放!T$20:T$23,卡牌属性!M501-1),INDEX(新属性投放!T$25:T$28,卡牌属性!M501-1)))*SQRT(INDEX($I$5:$I$42,L501)),2)</f>
        <v>87718.8</v>
      </c>
      <c r="Y501" s="29" t="s">
        <v>177</v>
      </c>
      <c r="Z501" s="14">
        <f>ROUND(IF(Q501=1,INDEX(新属性投放!$D$14:$D$34,卡牌属性!R501),INDEX(新属性投放!$D$42:$D$62,卡牌属性!R501))*INDEX($G$5:$G$42,L501)/SQRT(INDEX($I$5:$I$42,L501)),2)</f>
        <v>398.63</v>
      </c>
      <c r="AA501" s="29" t="s">
        <v>178</v>
      </c>
      <c r="AB501" s="14">
        <f>ROUND(IF(Q501=1,INDEX(新属性投放!$E$14:$E$34,卡牌属性!R501),INDEX(新属性投放!$E$42:$E$62,卡牌属性!R501))*INDEX($G$5:$G$42,L501),2)</f>
        <v>199.32</v>
      </c>
      <c r="AC501" s="29" t="s">
        <v>179</v>
      </c>
      <c r="AD501" s="14">
        <f>ROUND(IF(Q501=1,INDEX(新属性投放!$F$14:$F$34,卡牌属性!R501),INDEX(新属性投放!$F$42:$F$62,卡牌属性!R501))*INDEX($G$5:$G$42,L501)*SQRT(INDEX($I$5:$I$42,L501)),2)</f>
        <v>1792.7</v>
      </c>
      <c r="AF501" s="14">
        <f t="shared" si="135"/>
        <v>3986</v>
      </c>
      <c r="AG501" s="14">
        <f t="shared" si="136"/>
        <v>1993</v>
      </c>
      <c r="AH501" s="14">
        <f t="shared" si="137"/>
        <v>17927</v>
      </c>
      <c r="AJ501" s="14">
        <f t="shared" si="141"/>
        <v>16713</v>
      </c>
      <c r="AK501" s="14">
        <f t="shared" si="142"/>
        <v>8353</v>
      </c>
      <c r="AL501" s="14">
        <f t="shared" si="143"/>
        <v>75166</v>
      </c>
    </row>
    <row r="502" spans="11:38" ht="16.5" x14ac:dyDescent="0.2">
      <c r="K502" s="13">
        <v>499</v>
      </c>
      <c r="L502" s="13">
        <f t="shared" si="129"/>
        <v>24</v>
      </c>
      <c r="M502" s="13">
        <f t="shared" si="130"/>
        <v>4</v>
      </c>
      <c r="N502" s="14">
        <f t="shared" si="131"/>
        <v>1102008</v>
      </c>
      <c r="O502" s="14" t="str">
        <f t="shared" si="132"/>
        <v>夏侯渊16突</v>
      </c>
      <c r="P502" s="29" t="s">
        <v>341</v>
      </c>
      <c r="Q502" s="14">
        <f t="shared" si="133"/>
        <v>2</v>
      </c>
      <c r="R502" s="14">
        <f t="shared" si="134"/>
        <v>16</v>
      </c>
      <c r="S502" s="14" t="s">
        <v>39</v>
      </c>
      <c r="T502" s="14">
        <f>ROUND(((IF(Q502=1,INDEX(新属性投放!$J$14:$J$34,卡牌属性!R502),INDEX(新属性投放!$J$42:$J$62,卡牌属性!R502)))*INDEX($G$5:$G$42,L502)+IF(Q502=1,INDEX(新属性投放!R$20:R$23,卡牌属性!M502-1),INDEX(新属性投放!R$25:R$28,卡牌属性!M502-1)))/SQRT(INDEX($I$5:$I$42,L502)),2)</f>
        <v>21492.94</v>
      </c>
      <c r="U502" s="29" t="s">
        <v>178</v>
      </c>
      <c r="V502" s="14">
        <f>ROUND((IF(Q502=1,INDEX(新属性投放!$K$14:$K$34,卡牌属性!R502),INDEX(新属性投放!$K$42:$K$62,卡牌属性!R502))+IF(Q502=1,INDEX(新属性投放!S$20:S$23,卡牌属性!M502-1),INDEX(新属性投放!S$25:S$28,卡牌属性!M502-1)))*INDEX($G$5:$G$42,L502),2)</f>
        <v>10568.87</v>
      </c>
      <c r="W502" s="29" t="s">
        <v>179</v>
      </c>
      <c r="X502" s="14">
        <f>ROUND((IF(Q502=1,INDEX(新属性投放!$L$14:$L$34,卡牌属性!R502),INDEX(新属性投放!$L$42:$L$62,卡牌属性!R502))*INDEX($G$5:$G$42,L502)+IF(Q502=1,INDEX(新属性投放!T$20:T$23,卡牌属性!M502-1),INDEX(新属性投放!T$25:T$28,卡牌属性!M502-1)))*SQRT(INDEX($I$5:$I$42,L502)),2)</f>
        <v>114619.7</v>
      </c>
      <c r="Y502" s="29" t="s">
        <v>177</v>
      </c>
      <c r="Z502" s="14">
        <f>ROUND(IF(Q502=1,INDEX(新属性投放!$D$14:$D$34,卡牌属性!R502),INDEX(新属性投放!$D$42:$D$62,卡牌属性!R502))*INDEX($G$5:$G$42,L502)/SQRT(INDEX($I$5:$I$42,L502)),2)</f>
        <v>523.21</v>
      </c>
      <c r="AA502" s="29" t="s">
        <v>178</v>
      </c>
      <c r="AB502" s="14">
        <f>ROUND(IF(Q502=1,INDEX(新属性投放!$E$14:$E$34,卡牌属性!R502),INDEX(新属性投放!$E$42:$E$62,卡牌属性!R502))*INDEX($G$5:$G$42,L502),2)</f>
        <v>261.61</v>
      </c>
      <c r="AC502" s="29" t="s">
        <v>179</v>
      </c>
      <c r="AD502" s="14">
        <f>ROUND(IF(Q502=1,INDEX(新属性投放!$F$14:$F$34,卡牌属性!R502),INDEX(新属性投放!$F$42:$F$62,卡牌属性!R502))*INDEX($G$5:$G$42,L502)*SQRT(INDEX($I$5:$I$42,L502)),2)</f>
        <v>2354.3000000000002</v>
      </c>
      <c r="AF502" s="14">
        <f t="shared" si="135"/>
        <v>5232</v>
      </c>
      <c r="AG502" s="14">
        <f t="shared" si="136"/>
        <v>2616</v>
      </c>
      <c r="AH502" s="14">
        <f t="shared" si="137"/>
        <v>23543</v>
      </c>
      <c r="AJ502" s="14">
        <f t="shared" si="141"/>
        <v>21945</v>
      </c>
      <c r="AK502" s="14">
        <f t="shared" si="142"/>
        <v>10969</v>
      </c>
      <c r="AL502" s="14">
        <f t="shared" si="143"/>
        <v>98709</v>
      </c>
    </row>
    <row r="503" spans="11:38" ht="16.5" x14ac:dyDescent="0.2">
      <c r="K503" s="13">
        <v>500</v>
      </c>
      <c r="L503" s="13">
        <f t="shared" si="129"/>
        <v>24</v>
      </c>
      <c r="M503" s="13">
        <f t="shared" si="130"/>
        <v>4</v>
      </c>
      <c r="N503" s="14">
        <f t="shared" si="131"/>
        <v>1102008</v>
      </c>
      <c r="O503" s="14" t="str">
        <f t="shared" si="132"/>
        <v>夏侯渊17突</v>
      </c>
      <c r="P503" s="29" t="s">
        <v>341</v>
      </c>
      <c r="Q503" s="14">
        <f t="shared" si="133"/>
        <v>2</v>
      </c>
      <c r="R503" s="14">
        <f t="shared" si="134"/>
        <v>17</v>
      </c>
      <c r="S503" s="14" t="s">
        <v>39</v>
      </c>
      <c r="T503" s="14">
        <f>ROUND(((IF(Q503=1,INDEX(新属性投放!$J$14:$J$34,卡牌属性!R503),INDEX(新属性投放!$J$42:$J$62,卡牌属性!R503)))*INDEX($G$5:$G$42,L503)+IF(Q503=1,INDEX(新属性投放!R$20:R$23,卡牌属性!M503-1),INDEX(新属性投放!R$25:R$28,卡牌属性!M503-1)))/SQRT(INDEX($I$5:$I$42,L503)),2)</f>
        <v>28032.85</v>
      </c>
      <c r="U503" s="29" t="s">
        <v>178</v>
      </c>
      <c r="V503" s="14">
        <f>ROUND((IF(Q503=1,INDEX(新属性投放!$K$14:$K$34,卡牌属性!R503),INDEX(新属性投放!$K$42:$K$62,卡牌属性!R503))+IF(Q503=1,INDEX(新属性投放!S$20:S$23,卡牌属性!M503-1),INDEX(新属性投放!S$25:S$28,卡牌属性!M503-1)))*INDEX($G$5:$G$42,L503),2)</f>
        <v>13838.83</v>
      </c>
      <c r="W503" s="29" t="s">
        <v>179</v>
      </c>
      <c r="X503" s="14">
        <f>ROUND((IF(Q503=1,INDEX(新属性投放!$L$14:$L$34,卡牌属性!R503),INDEX(新属性投放!$L$42:$L$62,卡牌属性!R503))*INDEX($G$5:$G$42,L503)+IF(Q503=1,INDEX(新属性投放!T$20:T$23,卡牌属性!M503-1),INDEX(新属性投放!T$25:T$28,卡牌属性!M503-1)))*SQRT(INDEX($I$5:$I$42,L503)),2)</f>
        <v>149932.9</v>
      </c>
      <c r="Y503" s="29" t="s">
        <v>177</v>
      </c>
      <c r="Z503" s="14">
        <f>ROUND(IF(Q503=1,INDEX(新属性投放!$D$14:$D$34,卡牌属性!R503),INDEX(新属性投放!$D$42:$D$62,卡牌属性!R503))*INDEX($G$5:$G$42,L503)/SQRT(INDEX($I$5:$I$42,L503)),2)</f>
        <v>686.71</v>
      </c>
      <c r="AA503" s="29" t="s">
        <v>178</v>
      </c>
      <c r="AB503" s="14">
        <f>ROUND(IF(Q503=1,INDEX(新属性投放!$E$14:$E$34,卡牌属性!R503),INDEX(新属性投放!$E$42:$E$62,卡牌属性!R503))*INDEX($G$5:$G$42,L503),2)</f>
        <v>343.36</v>
      </c>
      <c r="AC503" s="29" t="s">
        <v>179</v>
      </c>
      <c r="AD503" s="14">
        <f>ROUND(IF(Q503=1,INDEX(新属性投放!$F$14:$F$34,卡牌属性!R503),INDEX(新属性投放!$F$42:$F$62,卡牌属性!R503))*INDEX($G$5:$G$42,L503)*SQRT(INDEX($I$5:$I$42,L503)),2)</f>
        <v>3090.1</v>
      </c>
      <c r="AF503" s="14">
        <f t="shared" si="135"/>
        <v>6867</v>
      </c>
      <c r="AG503" s="14">
        <f t="shared" si="136"/>
        <v>3433</v>
      </c>
      <c r="AH503" s="14">
        <f t="shared" si="137"/>
        <v>30901</v>
      </c>
      <c r="AJ503" s="14">
        <f t="shared" si="141"/>
        <v>28812</v>
      </c>
      <c r="AK503" s="14">
        <f t="shared" si="142"/>
        <v>14402</v>
      </c>
      <c r="AL503" s="14">
        <f t="shared" si="143"/>
        <v>129610</v>
      </c>
    </row>
    <row r="504" spans="11:38" ht="16.5" x14ac:dyDescent="0.2">
      <c r="K504" s="13">
        <v>501</v>
      </c>
      <c r="L504" s="13">
        <f t="shared" si="129"/>
        <v>24</v>
      </c>
      <c r="M504" s="13">
        <f t="shared" si="130"/>
        <v>4</v>
      </c>
      <c r="N504" s="14">
        <f t="shared" si="131"/>
        <v>1102008</v>
      </c>
      <c r="O504" s="14" t="str">
        <f t="shared" si="132"/>
        <v>夏侯渊18突</v>
      </c>
      <c r="P504" s="29" t="s">
        <v>341</v>
      </c>
      <c r="Q504" s="14">
        <f t="shared" si="133"/>
        <v>2</v>
      </c>
      <c r="R504" s="14">
        <f t="shared" si="134"/>
        <v>18</v>
      </c>
      <c r="S504" s="14" t="s">
        <v>39</v>
      </c>
      <c r="T504" s="14">
        <f>ROUND(((IF(Q504=1,INDEX(新属性投放!$J$14:$J$34,卡牌属性!R504),INDEX(新属性投放!$J$42:$J$62,卡牌属性!R504)))*INDEX($G$5:$G$42,L504)+IF(Q504=1,INDEX(新属性投放!R$20:R$23,卡牌属性!M504-1),INDEX(新属性投放!R$25:R$28,卡牌属性!M504-1)))/SQRT(INDEX($I$5:$I$42,L504)),2)</f>
        <v>36617.269999999997</v>
      </c>
      <c r="U504" s="29" t="s">
        <v>178</v>
      </c>
      <c r="V504" s="14">
        <f>ROUND((IF(Q504=1,INDEX(新属性投放!$K$14:$K$34,卡牌属性!R504),INDEX(新属性投放!$K$42:$K$62,卡牌属性!R504))+IF(Q504=1,INDEX(新属性投放!S$20:S$23,卡牌属性!M504-1),INDEX(新属性投放!S$25:S$28,卡牌属性!M504-1)))*INDEX($G$5:$G$42,L504),2)</f>
        <v>18130.39</v>
      </c>
      <c r="W504" s="29" t="s">
        <v>179</v>
      </c>
      <c r="X504" s="14">
        <f>ROUND((IF(Q504=1,INDEX(新属性投放!$L$14:$L$34,卡牌属性!R504),INDEX(新属性投放!$L$42:$L$62,卡牌属性!R504))*INDEX($G$5:$G$42,L504)+IF(Q504=1,INDEX(新属性投放!T$20:T$23,卡牌属性!M504-1),INDEX(新属性投放!T$25:T$28,卡牌属性!M504-1)))*SQRT(INDEX($I$5:$I$42,L504)),2)</f>
        <v>196289.6</v>
      </c>
      <c r="Y504" s="29" t="s">
        <v>177</v>
      </c>
      <c r="Z504" s="14">
        <f>ROUND(IF(Q504=1,INDEX(新属性投放!$D$14:$D$34,卡牌属性!R504),INDEX(新属性投放!$D$42:$D$62,卡牌属性!R504))*INDEX($G$5:$G$42,L504)/SQRT(INDEX($I$5:$I$42,L504)),2)</f>
        <v>901.32</v>
      </c>
      <c r="AA504" s="29" t="s">
        <v>178</v>
      </c>
      <c r="AB504" s="14">
        <f>ROUND(IF(Q504=1,INDEX(新属性投放!$E$14:$E$34,卡牌属性!R504),INDEX(新属性投放!$E$42:$E$62,卡牌属性!R504))*INDEX($G$5:$G$42,L504),2)</f>
        <v>450.66</v>
      </c>
      <c r="AC504" s="29" t="s">
        <v>179</v>
      </c>
      <c r="AD504" s="14">
        <f>ROUND(IF(Q504=1,INDEX(新属性投放!$F$14:$F$34,卡牌属性!R504),INDEX(新属性投放!$F$42:$F$62,卡牌属性!R504))*INDEX($G$5:$G$42,L504)*SQRT(INDEX($I$5:$I$42,L504)),2)</f>
        <v>4054.7</v>
      </c>
      <c r="AF504" s="14">
        <f t="shared" si="135"/>
        <v>9013</v>
      </c>
      <c r="AG504" s="14">
        <f t="shared" si="136"/>
        <v>4506</v>
      </c>
      <c r="AH504" s="14">
        <f t="shared" si="137"/>
        <v>40547</v>
      </c>
      <c r="AJ504" s="14">
        <f t="shared" si="141"/>
        <v>37825</v>
      </c>
      <c r="AK504" s="14">
        <f t="shared" si="142"/>
        <v>18908</v>
      </c>
      <c r="AL504" s="14">
        <f t="shared" si="143"/>
        <v>170157</v>
      </c>
    </row>
    <row r="505" spans="11:38" ht="16.5" x14ac:dyDescent="0.2">
      <c r="K505" s="13">
        <v>502</v>
      </c>
      <c r="L505" s="13">
        <f t="shared" si="129"/>
        <v>24</v>
      </c>
      <c r="M505" s="13">
        <f t="shared" si="130"/>
        <v>4</v>
      </c>
      <c r="N505" s="14">
        <f t="shared" si="131"/>
        <v>1102008</v>
      </c>
      <c r="O505" s="14" t="str">
        <f t="shared" si="132"/>
        <v>夏侯渊19突</v>
      </c>
      <c r="P505" s="29" t="s">
        <v>341</v>
      </c>
      <c r="Q505" s="14">
        <f t="shared" si="133"/>
        <v>2</v>
      </c>
      <c r="R505" s="14">
        <f t="shared" si="134"/>
        <v>19</v>
      </c>
      <c r="S505" s="14" t="s">
        <v>39</v>
      </c>
      <c r="T505" s="14">
        <f>ROUND(((IF(Q505=1,INDEX(新属性投放!$J$14:$J$34,卡牌属性!R505),INDEX(新属性投放!$J$42:$J$62,卡牌属性!R505)))*INDEX($G$5:$G$42,L505)+IF(Q505=1,INDEX(新属性投放!R$20:R$23,卡牌属性!M505-1),INDEX(新属性投放!R$25:R$28,卡牌属性!M505-1)))/SQRT(INDEX($I$5:$I$42,L505)),2)</f>
        <v>47883.33</v>
      </c>
      <c r="U505" s="29" t="s">
        <v>178</v>
      </c>
      <c r="V505" s="14">
        <f>ROUND((IF(Q505=1,INDEX(新属性投放!$K$14:$K$34,卡牌属性!R505),INDEX(新属性投放!$K$42:$K$62,卡牌属性!R505))+IF(Q505=1,INDEX(新属性投放!S$20:S$23,卡牌属性!M505-1),INDEX(新属性投放!S$25:S$28,卡牌属性!M505-1)))*INDEX($G$5:$G$42,L505),2)</f>
        <v>23764.07</v>
      </c>
      <c r="W505" s="29" t="s">
        <v>179</v>
      </c>
      <c r="X505" s="14">
        <f>ROUND((IF(Q505=1,INDEX(新属性投放!$L$14:$L$34,卡牌属性!R505),INDEX(新属性投放!$L$42:$L$62,卡牌属性!R505))*INDEX($G$5:$G$42,L505)+IF(Q505=1,INDEX(新属性投放!T$20:T$23,卡牌属性!M505-1),INDEX(新属性投放!T$25:T$28,卡牌属性!M505-1)))*SQRT(INDEX($I$5:$I$42,L505)),2)</f>
        <v>257112.7</v>
      </c>
      <c r="Y505" s="29" t="s">
        <v>177</v>
      </c>
      <c r="Z505" s="14">
        <f>ROUND(IF(Q505=1,INDEX(新属性投放!$D$14:$D$34,卡牌属性!R505),INDEX(新属性投放!$D$42:$D$62,卡牌属性!R505))*INDEX($G$5:$G$42,L505)/SQRT(INDEX($I$5:$I$42,L505)),2)</f>
        <v>1182.97</v>
      </c>
      <c r="AA505" s="29" t="s">
        <v>178</v>
      </c>
      <c r="AB505" s="14">
        <f>ROUND(IF(Q505=1,INDEX(新属性投放!$E$14:$E$34,卡牌属性!R505),INDEX(新属性投放!$E$42:$E$62,卡牌属性!R505))*INDEX($G$5:$G$42,L505),2)</f>
        <v>591.49</v>
      </c>
      <c r="AC505" s="29" t="s">
        <v>179</v>
      </c>
      <c r="AD505" s="14">
        <f>ROUND(IF(Q505=1,INDEX(新属性投放!$F$14:$F$34,卡牌属性!R505),INDEX(新属性投放!$F$42:$F$62,卡牌属性!R505))*INDEX($G$5:$G$42,L505)*SQRT(INDEX($I$5:$I$42,L505)),2)</f>
        <v>5322.2</v>
      </c>
      <c r="AF505" s="14">
        <f t="shared" si="135"/>
        <v>11829</v>
      </c>
      <c r="AG505" s="14">
        <f t="shared" si="136"/>
        <v>5914</v>
      </c>
      <c r="AH505" s="14">
        <f t="shared" si="137"/>
        <v>53222</v>
      </c>
      <c r="AJ505" s="14">
        <f t="shared" si="141"/>
        <v>49654</v>
      </c>
      <c r="AK505" s="14">
        <f t="shared" si="142"/>
        <v>24822</v>
      </c>
      <c r="AL505" s="14">
        <f t="shared" si="143"/>
        <v>223379</v>
      </c>
    </row>
    <row r="506" spans="11:38" ht="16.5" x14ac:dyDescent="0.2">
      <c r="K506" s="13">
        <v>503</v>
      </c>
      <c r="L506" s="13">
        <f t="shared" si="129"/>
        <v>24</v>
      </c>
      <c r="M506" s="13">
        <f t="shared" si="130"/>
        <v>4</v>
      </c>
      <c r="N506" s="14">
        <f t="shared" si="131"/>
        <v>1102008</v>
      </c>
      <c r="O506" s="14" t="str">
        <f t="shared" si="132"/>
        <v>夏侯渊20突</v>
      </c>
      <c r="P506" s="29" t="s">
        <v>341</v>
      </c>
      <c r="Q506" s="14">
        <f t="shared" si="133"/>
        <v>2</v>
      </c>
      <c r="R506" s="14">
        <f t="shared" si="134"/>
        <v>20</v>
      </c>
      <c r="S506" s="14" t="s">
        <v>39</v>
      </c>
      <c r="T506" s="14">
        <f>ROUND(((IF(Q506=1,INDEX(新属性投放!$J$14:$J$34,卡牌属性!R506),INDEX(新属性投放!$J$42:$J$62,卡牌属性!R506)))*INDEX($G$5:$G$42,L506)+IF(Q506=1,INDEX(新属性投放!R$20:R$23,卡牌属性!M506-1),INDEX(新属性投放!R$25:R$28,卡牌属性!M506-1)))/SQRT(INDEX($I$5:$I$42,L506)),2)</f>
        <v>62670.57</v>
      </c>
      <c r="U506" s="29" t="s">
        <v>178</v>
      </c>
      <c r="V506" s="14">
        <f>ROUND((IF(Q506=1,INDEX(新属性投放!$K$14:$K$34,卡牌属性!R506),INDEX(新属性投放!$K$42:$K$62,卡牌属性!R506))+IF(Q506=1,INDEX(新属性投放!S$20:S$23,卡牌属性!M506-1),INDEX(新属性投放!S$25:S$28,卡牌属性!M506-1)))*INDEX($G$5:$G$42,L506),2)</f>
        <v>31157.040000000001</v>
      </c>
      <c r="W506" s="29" t="s">
        <v>179</v>
      </c>
      <c r="X506" s="14">
        <f>ROUND((IF(Q506=1,INDEX(新属性投放!$L$14:$L$34,卡牌属性!R506),INDEX(新属性投放!$L$42:$L$62,卡牌属性!R506))*INDEX($G$5:$G$42,L506)+IF(Q506=1,INDEX(新属性投放!T$20:T$23,卡牌属性!M506-1),INDEX(新属性投放!T$25:T$28,卡牌属性!M506-1)))*SQRT(INDEX($I$5:$I$42,L506)),2)</f>
        <v>336952.2</v>
      </c>
      <c r="Y506" s="29" t="s">
        <v>177</v>
      </c>
      <c r="Z506" s="14">
        <f>ROUND(IF(Q506=1,INDEX(新属性投放!$D$14:$D$34,卡牌属性!R506),INDEX(新属性投放!$D$42:$D$62,卡牌属性!R506))*INDEX($G$5:$G$42,L506)/SQRT(INDEX($I$5:$I$42,L506)),2)</f>
        <v>1552.66</v>
      </c>
      <c r="AA506" s="29" t="s">
        <v>178</v>
      </c>
      <c r="AB506" s="14">
        <f>ROUND(IF(Q506=1,INDEX(新属性投放!$E$14:$E$34,卡牌属性!R506),INDEX(新属性投放!$E$42:$E$62,卡牌属性!R506))*INDEX($G$5:$G$42,L506),2)</f>
        <v>776.33</v>
      </c>
      <c r="AC506" s="29" t="s">
        <v>179</v>
      </c>
      <c r="AD506" s="14">
        <f>ROUND(IF(Q506=1,INDEX(新属性投放!$F$14:$F$34,卡牌属性!R506),INDEX(新属性投放!$F$42:$F$62,卡牌属性!R506))*INDEX($G$5:$G$42,L506)*SQRT(INDEX($I$5:$I$42,L506)),2)</f>
        <v>6986.2</v>
      </c>
      <c r="AF506" s="14">
        <f t="shared" si="135"/>
        <v>15526</v>
      </c>
      <c r="AG506" s="14">
        <f t="shared" si="136"/>
        <v>7763</v>
      </c>
      <c r="AH506" s="14">
        <f t="shared" si="137"/>
        <v>69862</v>
      </c>
      <c r="AJ506" s="14">
        <f t="shared" si="141"/>
        <v>65180</v>
      </c>
      <c r="AK506" s="14">
        <f t="shared" si="142"/>
        <v>32585</v>
      </c>
      <c r="AL506" s="14">
        <f t="shared" si="143"/>
        <v>293241</v>
      </c>
    </row>
    <row r="507" spans="11:38" ht="16.5" x14ac:dyDescent="0.2">
      <c r="K507" s="13">
        <v>504</v>
      </c>
      <c r="L507" s="13">
        <f t="shared" si="129"/>
        <v>24</v>
      </c>
      <c r="M507" s="13">
        <f t="shared" si="130"/>
        <v>4</v>
      </c>
      <c r="N507" s="14">
        <f t="shared" si="131"/>
        <v>1102008</v>
      </c>
      <c r="O507" s="14" t="str">
        <f t="shared" si="132"/>
        <v>夏侯渊21突</v>
      </c>
      <c r="P507" s="29" t="s">
        <v>341</v>
      </c>
      <c r="Q507" s="14">
        <f t="shared" si="133"/>
        <v>2</v>
      </c>
      <c r="R507" s="14">
        <f t="shared" si="134"/>
        <v>21</v>
      </c>
      <c r="S507" s="14" t="s">
        <v>39</v>
      </c>
      <c r="T507" s="14">
        <f>ROUND(((IF(Q507=1,INDEX(新属性投放!$J$14:$J$34,卡牌属性!R507),INDEX(新属性投放!$J$42:$J$62,卡牌属性!R507)))*INDEX($G$5:$G$42,L507)+IF(Q507=1,INDEX(新属性投放!R$20:R$23,卡牌属性!M507-1),INDEX(新属性投放!R$25:R$28,卡牌属性!M507-1)))/SQRT(INDEX($I$5:$I$42,L507)),2)</f>
        <v>82078.92</v>
      </c>
      <c r="U507" s="29" t="s">
        <v>178</v>
      </c>
      <c r="V507" s="14">
        <f>ROUND((IF(Q507=1,INDEX(新属性投放!$K$14:$K$34,卡牌属性!R507),INDEX(新属性投放!$K$42:$K$62,卡牌属性!R507))+IF(Q507=1,INDEX(新属性投放!S$20:S$23,卡牌属性!M507-1),INDEX(新属性投放!S$25:S$28,卡牌属性!M507-1)))*INDEX($G$5:$G$42,L507),2)</f>
        <v>40861.21</v>
      </c>
      <c r="W507" s="29" t="s">
        <v>179</v>
      </c>
      <c r="X507" s="14">
        <f>ROUND((IF(Q507=1,INDEX(新属性投放!$L$14:$L$34,卡牌属性!R507),INDEX(新属性投放!$L$42:$L$62,卡牌属性!R507))*INDEX($G$5:$G$42,L507)+IF(Q507=1,INDEX(新属性投放!T$20:T$23,卡牌属性!M507-1),INDEX(新属性投放!T$25:T$28,卡牌属性!M507-1)))*SQRT(INDEX($I$5:$I$42,L507)),2)</f>
        <v>441750.4</v>
      </c>
      <c r="Y507" s="29" t="s">
        <v>177</v>
      </c>
      <c r="Z507" s="14">
        <f>ROUND(IF(Q507=1,INDEX(新属性投放!$D$14:$D$34,卡牌属性!R507),INDEX(新属性投放!$D$42:$D$62,卡牌属性!R507))*INDEX($G$5:$G$42,L507)/SQRT(INDEX($I$5:$I$42,L507)),2)</f>
        <v>2037.87</v>
      </c>
      <c r="AA507" s="29" t="s">
        <v>178</v>
      </c>
      <c r="AB507" s="14">
        <f>ROUND(IF(Q507=1,INDEX(新属性投放!$E$14:$E$34,卡牌属性!R507),INDEX(新属性投放!$E$42:$E$62,卡牌属性!R507))*INDEX($G$5:$G$42,L507),2)</f>
        <v>1018.93</v>
      </c>
      <c r="AC507" s="29" t="s">
        <v>179</v>
      </c>
      <c r="AD507" s="14">
        <f>ROUND(IF(Q507=1,INDEX(新属性投放!$F$14:$F$34,卡牌属性!R507),INDEX(新属性投放!$F$42:$F$62,卡牌属性!R507))*INDEX($G$5:$G$42,L507)*SQRT(INDEX($I$5:$I$42,L507)),2)</f>
        <v>9170.2000000000007</v>
      </c>
      <c r="AF507" s="14">
        <f t="shared" si="135"/>
        <v>20378</v>
      </c>
      <c r="AG507" s="14">
        <f t="shared" si="136"/>
        <v>10189</v>
      </c>
      <c r="AH507" s="14">
        <f t="shared" si="137"/>
        <v>91702</v>
      </c>
      <c r="AJ507" s="14">
        <f t="shared" si="141"/>
        <v>85558</v>
      </c>
      <c r="AK507" s="14">
        <f t="shared" si="142"/>
        <v>42774</v>
      </c>
      <c r="AL507" s="14">
        <f t="shared" si="143"/>
        <v>384943</v>
      </c>
    </row>
    <row r="508" spans="11:38" ht="16.5" x14ac:dyDescent="0.2">
      <c r="K508" s="13">
        <v>505</v>
      </c>
      <c r="L508" s="13">
        <f t="shared" si="129"/>
        <v>25</v>
      </c>
      <c r="M508" s="13">
        <f t="shared" si="130"/>
        <v>4</v>
      </c>
      <c r="N508" s="14">
        <f t="shared" si="131"/>
        <v>1102009</v>
      </c>
      <c r="O508" s="14" t="str">
        <f t="shared" si="132"/>
        <v>徐晃1突</v>
      </c>
      <c r="P508" s="29" t="s">
        <v>341</v>
      </c>
      <c r="Q508" s="14">
        <f t="shared" si="133"/>
        <v>2</v>
      </c>
      <c r="R508" s="14">
        <f t="shared" si="134"/>
        <v>1</v>
      </c>
      <c r="S508" s="14" t="s">
        <v>39</v>
      </c>
      <c r="T508" s="14">
        <f>ROUND(((IF(Q508=1,INDEX(新属性投放!$J$14:$J$34,卡牌属性!R508),INDEX(新属性投放!$J$42:$J$62,卡牌属性!R508)))*INDEX($G$5:$G$42,L508)+IF(Q508=1,INDEX(新属性投放!R$20:R$23,卡牌属性!M508-1),INDEX(新属性投放!R$25:R$28,卡牌属性!M508-1)))/SQRT(INDEX($I$5:$I$42,L508)),2)</f>
        <v>610</v>
      </c>
      <c r="U508" s="29" t="s">
        <v>178</v>
      </c>
      <c r="V508" s="14">
        <f>ROUND((IF(Q508=1,INDEX(新属性投放!$K$14:$K$34,卡牌属性!R508),INDEX(新属性投放!$K$42:$K$62,卡牌属性!R508))+IF(Q508=1,INDEX(新属性投放!S$20:S$23,卡牌属性!M508-1),INDEX(新属性投放!S$25:S$28,卡牌属性!M508-1)))*INDEX($G$5:$G$42,L508),2)</f>
        <v>130</v>
      </c>
      <c r="W508" s="29" t="s">
        <v>179</v>
      </c>
      <c r="X508" s="14">
        <f>ROUND((IF(Q508=1,INDEX(新属性投放!$L$14:$L$34,卡牌属性!R508),INDEX(新属性投放!$L$42:$L$62,卡牌属性!R508))*INDEX($G$5:$G$42,L508)+IF(Q508=1,INDEX(新属性投放!T$20:T$23,卡牌属性!M508-1),INDEX(新属性投放!T$25:T$28,卡牌属性!M508-1)))*SQRT(INDEX($I$5:$I$42,L508)),2)</f>
        <v>1885</v>
      </c>
      <c r="Y508" s="29" t="s">
        <v>177</v>
      </c>
      <c r="Z508" s="14">
        <f>ROUND(IF(Q508=1,INDEX(新属性投放!$D$14:$D$34,卡牌属性!R508),INDEX(新属性投放!$D$42:$D$62,卡牌属性!R508))*INDEX($G$5:$G$42,L508)/SQRT(INDEX($I$5:$I$42,L508)),2)</f>
        <v>13</v>
      </c>
      <c r="AA508" s="29" t="s">
        <v>178</v>
      </c>
      <c r="AB508" s="14">
        <f>ROUND(IF(Q508=1,INDEX(新属性投放!$E$14:$E$34,卡牌属性!R508),INDEX(新属性投放!$E$42:$E$62,卡牌属性!R508))*INDEX($G$5:$G$42,L508),2)</f>
        <v>6.5</v>
      </c>
      <c r="AC508" s="29" t="s">
        <v>179</v>
      </c>
      <c r="AD508" s="14">
        <f>ROUND(IF(Q508=1,INDEX(新属性投放!$F$14:$F$34,卡牌属性!R508),INDEX(新属性投放!$F$42:$F$62,卡牌属性!R508))*INDEX($G$5:$G$42,L508)*SQRT(INDEX($I$5:$I$42,L508)),2)</f>
        <v>58.5</v>
      </c>
      <c r="AF508" s="14">
        <f t="shared" si="135"/>
        <v>130</v>
      </c>
      <c r="AG508" s="14">
        <f t="shared" si="136"/>
        <v>65</v>
      </c>
      <c r="AH508" s="14">
        <f t="shared" si="137"/>
        <v>585</v>
      </c>
      <c r="AJ508" s="14">
        <f>AF508</f>
        <v>130</v>
      </c>
      <c r="AK508" s="14">
        <f>AG508</f>
        <v>65</v>
      </c>
      <c r="AL508" s="14">
        <f>AH508</f>
        <v>585</v>
      </c>
    </row>
    <row r="509" spans="11:38" ht="16.5" x14ac:dyDescent="0.2">
      <c r="K509" s="13">
        <v>506</v>
      </c>
      <c r="L509" s="13">
        <f t="shared" si="129"/>
        <v>25</v>
      </c>
      <c r="M509" s="13">
        <f t="shared" si="130"/>
        <v>4</v>
      </c>
      <c r="N509" s="14">
        <f t="shared" si="131"/>
        <v>1102009</v>
      </c>
      <c r="O509" s="14" t="str">
        <f t="shared" si="132"/>
        <v>徐晃2突</v>
      </c>
      <c r="P509" s="29" t="s">
        <v>341</v>
      </c>
      <c r="Q509" s="14">
        <f t="shared" si="133"/>
        <v>2</v>
      </c>
      <c r="R509" s="14">
        <f t="shared" si="134"/>
        <v>2</v>
      </c>
      <c r="S509" s="14" t="s">
        <v>39</v>
      </c>
      <c r="T509" s="14">
        <f>ROUND(((IF(Q509=1,INDEX(新属性投放!$J$14:$J$34,卡牌属性!R509),INDEX(新属性投放!$J$42:$J$62,卡牌属性!R509)))*INDEX($G$5:$G$42,L509)+IF(Q509=1,INDEX(新属性投放!R$20:R$23,卡牌属性!M509-1),INDEX(新属性投放!R$25:R$28,卡牌属性!M509-1)))/SQRT(INDEX($I$5:$I$42,L509)),2)</f>
        <v>759.5</v>
      </c>
      <c r="U509" s="29" t="s">
        <v>178</v>
      </c>
      <c r="V509" s="14">
        <f>ROUND((IF(Q509=1,INDEX(新属性投放!$K$14:$K$34,卡牌属性!R509),INDEX(新属性投放!$K$42:$K$62,卡牌属性!R509))+IF(Q509=1,INDEX(新属性投放!S$20:S$23,卡牌属性!M509-1),INDEX(新属性投放!S$25:S$28,卡牌属性!M509-1)))*INDEX($G$5:$G$42,L509),2)</f>
        <v>201.5</v>
      </c>
      <c r="W509" s="29" t="s">
        <v>179</v>
      </c>
      <c r="X509" s="14">
        <f>ROUND((IF(Q509=1,INDEX(新属性投放!$L$14:$L$34,卡牌属性!R509),INDEX(新属性投放!$L$42:$L$62,卡牌属性!R509))*INDEX($G$5:$G$42,L509)+IF(Q509=1,INDEX(新属性投放!T$20:T$23,卡牌属性!M509-1),INDEX(新属性投放!T$25:T$28,卡牌属性!M509-1)))*SQRT(INDEX($I$5:$I$42,L509)),2)</f>
        <v>2704</v>
      </c>
      <c r="Y509" s="29" t="s">
        <v>177</v>
      </c>
      <c r="Z509" s="14">
        <f>ROUND(IF(Q509=1,INDEX(新属性投放!$D$14:$D$34,卡牌属性!R509),INDEX(新属性投放!$D$42:$D$62,卡牌属性!R509))*INDEX($G$5:$G$42,L509)/SQRT(INDEX($I$5:$I$42,L509)),2)</f>
        <v>13</v>
      </c>
      <c r="AA509" s="29" t="s">
        <v>178</v>
      </c>
      <c r="AB509" s="14">
        <f>ROUND(IF(Q509=1,INDEX(新属性投放!$E$14:$E$34,卡牌属性!R509),INDEX(新属性投放!$E$42:$E$62,卡牌属性!R509))*INDEX($G$5:$G$42,L509),2)</f>
        <v>6.5</v>
      </c>
      <c r="AC509" s="29" t="s">
        <v>179</v>
      </c>
      <c r="AD509" s="14">
        <f>ROUND(IF(Q509=1,INDEX(新属性投放!$F$14:$F$34,卡牌属性!R509),INDEX(新属性投放!$F$42:$F$62,卡牌属性!R509))*INDEX($G$5:$G$42,L509)*SQRT(INDEX($I$5:$I$42,L509)),2)</f>
        <v>58.5</v>
      </c>
      <c r="AF509" s="14">
        <f t="shared" si="135"/>
        <v>130</v>
      </c>
      <c r="AG509" s="14">
        <f t="shared" si="136"/>
        <v>65</v>
      </c>
      <c r="AH509" s="14">
        <f t="shared" si="137"/>
        <v>585</v>
      </c>
      <c r="AJ509" s="14">
        <f t="shared" ref="AJ509:AJ528" si="144">AJ508+AF509</f>
        <v>260</v>
      </c>
      <c r="AK509" s="14">
        <f t="shared" ref="AK509:AK528" si="145">AK508+AG509</f>
        <v>130</v>
      </c>
      <c r="AL509" s="14">
        <f t="shared" ref="AL509:AL528" si="146">AL508+AH509</f>
        <v>1170</v>
      </c>
    </row>
    <row r="510" spans="11:38" ht="16.5" x14ac:dyDescent="0.2">
      <c r="K510" s="13">
        <v>507</v>
      </c>
      <c r="L510" s="13">
        <f t="shared" si="129"/>
        <v>25</v>
      </c>
      <c r="M510" s="13">
        <f t="shared" si="130"/>
        <v>4</v>
      </c>
      <c r="N510" s="14">
        <f t="shared" si="131"/>
        <v>1102009</v>
      </c>
      <c r="O510" s="14" t="str">
        <f t="shared" si="132"/>
        <v>徐晃3突</v>
      </c>
      <c r="P510" s="29" t="s">
        <v>341</v>
      </c>
      <c r="Q510" s="14">
        <f t="shared" si="133"/>
        <v>2</v>
      </c>
      <c r="R510" s="14">
        <f t="shared" si="134"/>
        <v>3</v>
      </c>
      <c r="S510" s="14" t="s">
        <v>39</v>
      </c>
      <c r="T510" s="14">
        <f>ROUND(((IF(Q510=1,INDEX(新属性投放!$J$14:$J$34,卡牌属性!R510),INDEX(新属性投放!$J$42:$J$62,卡牌属性!R510)))*INDEX($G$5:$G$42,L510)+IF(Q510=1,INDEX(新属性投放!R$20:R$23,卡牌属性!M510-1),INDEX(新属性投放!R$25:R$28,卡牌属性!M510-1)))/SQRT(INDEX($I$5:$I$42,L510)),2)</f>
        <v>922</v>
      </c>
      <c r="U510" s="29" t="s">
        <v>178</v>
      </c>
      <c r="V510" s="14">
        <f>ROUND((IF(Q510=1,INDEX(新属性投放!$K$14:$K$34,卡牌属性!R510),INDEX(新属性投放!$K$42:$K$62,卡牌属性!R510))+IF(Q510=1,INDEX(新属性投放!S$20:S$23,卡牌属性!M510-1),INDEX(新属性投放!S$25:S$28,卡牌属性!M510-1)))*INDEX($G$5:$G$42,L510),2)</f>
        <v>283.39999999999998</v>
      </c>
      <c r="W510" s="29" t="s">
        <v>179</v>
      </c>
      <c r="X510" s="14">
        <f>ROUND((IF(Q510=1,INDEX(新属性投放!$L$14:$L$34,卡牌属性!R510),INDEX(新属性投放!$L$42:$L$62,卡牌属性!R510))*INDEX($G$5:$G$42,L510)+IF(Q510=1,INDEX(新属性投放!T$20:T$23,卡牌属性!M510-1),INDEX(新属性投放!T$25:T$28,卡牌属性!M510-1)))*SQRT(INDEX($I$5:$I$42,L510)),2)</f>
        <v>3581.5</v>
      </c>
      <c r="Y510" s="29" t="s">
        <v>177</v>
      </c>
      <c r="Z510" s="14">
        <f>ROUND(IF(Q510=1,INDEX(新属性投放!$D$14:$D$34,卡牌属性!R510),INDEX(新属性投放!$D$42:$D$62,卡牌属性!R510))*INDEX($G$5:$G$42,L510)/SQRT(INDEX($I$5:$I$42,L510)),2)</f>
        <v>19.5</v>
      </c>
      <c r="AA510" s="29" t="s">
        <v>178</v>
      </c>
      <c r="AB510" s="14">
        <f>ROUND(IF(Q510=1,INDEX(新属性投放!$E$14:$E$34,卡牌属性!R510),INDEX(新属性投放!$E$42:$E$62,卡牌属性!R510))*INDEX($G$5:$G$42,L510),2)</f>
        <v>9.75</v>
      </c>
      <c r="AC510" s="29" t="s">
        <v>179</v>
      </c>
      <c r="AD510" s="14">
        <f>ROUND(IF(Q510=1,INDEX(新属性投放!$F$14:$F$34,卡牌属性!R510),INDEX(新属性投放!$F$42:$F$62,卡牌属性!R510))*INDEX($G$5:$G$42,L510)*SQRT(INDEX($I$5:$I$42,L510)),2)</f>
        <v>87.1</v>
      </c>
      <c r="AF510" s="14">
        <f t="shared" si="135"/>
        <v>195</v>
      </c>
      <c r="AG510" s="14">
        <f t="shared" si="136"/>
        <v>97</v>
      </c>
      <c r="AH510" s="14">
        <f t="shared" si="137"/>
        <v>871</v>
      </c>
      <c r="AJ510" s="14">
        <f t="shared" si="144"/>
        <v>455</v>
      </c>
      <c r="AK510" s="14">
        <f t="shared" si="145"/>
        <v>227</v>
      </c>
      <c r="AL510" s="14">
        <f t="shared" si="146"/>
        <v>2041</v>
      </c>
    </row>
    <row r="511" spans="11:38" ht="16.5" x14ac:dyDescent="0.2">
      <c r="K511" s="13">
        <v>508</v>
      </c>
      <c r="L511" s="13">
        <f t="shared" si="129"/>
        <v>25</v>
      </c>
      <c r="M511" s="13">
        <f t="shared" si="130"/>
        <v>4</v>
      </c>
      <c r="N511" s="14">
        <f t="shared" si="131"/>
        <v>1102009</v>
      </c>
      <c r="O511" s="14" t="str">
        <f t="shared" si="132"/>
        <v>徐晃4突</v>
      </c>
      <c r="P511" s="29" t="s">
        <v>341</v>
      </c>
      <c r="Q511" s="14">
        <f t="shared" si="133"/>
        <v>2</v>
      </c>
      <c r="R511" s="14">
        <f t="shared" si="134"/>
        <v>4</v>
      </c>
      <c r="S511" s="14" t="s">
        <v>39</v>
      </c>
      <c r="T511" s="14">
        <f>ROUND(((IF(Q511=1,INDEX(新属性投放!$J$14:$J$34,卡牌属性!R511),INDEX(新属性投放!$J$42:$J$62,卡牌属性!R511)))*INDEX($G$5:$G$42,L511)+IF(Q511=1,INDEX(新属性投放!R$20:R$23,卡牌属性!M511-1),INDEX(新属性投放!R$25:R$28,卡牌属性!M511-1)))/SQRT(INDEX($I$5:$I$42,L511)),2)</f>
        <v>1166.4000000000001</v>
      </c>
      <c r="U511" s="29" t="s">
        <v>178</v>
      </c>
      <c r="V511" s="14">
        <f>ROUND((IF(Q511=1,INDEX(新属性投放!$K$14:$K$34,卡牌属性!R511),INDEX(新属性投放!$K$42:$K$62,卡牌属性!R511))+IF(Q511=1,INDEX(新属性投放!S$20:S$23,卡牌属性!M511-1),INDEX(新属性投放!S$25:S$28,卡牌属性!M511-1)))*INDEX($G$5:$G$42,L511),2)</f>
        <v>405.6</v>
      </c>
      <c r="W511" s="29" t="s">
        <v>179</v>
      </c>
      <c r="X511" s="14">
        <f>ROUND((IF(Q511=1,INDEX(新属性投放!$L$14:$L$34,卡牌属性!R511),INDEX(新属性投放!$L$42:$L$62,卡牌属性!R511))*INDEX($G$5:$G$42,L511)+IF(Q511=1,INDEX(新属性投放!T$20:T$23,卡牌属性!M511-1),INDEX(新属性投放!T$25:T$28,卡牌属性!M511-1)))*SQRT(INDEX($I$5:$I$42,L511)),2)</f>
        <v>4897.1000000000004</v>
      </c>
      <c r="Y511" s="29" t="s">
        <v>177</v>
      </c>
      <c r="Z511" s="14">
        <f>ROUND(IF(Q511=1,INDEX(新属性投放!$D$14:$D$34,卡牌属性!R511),INDEX(新属性投放!$D$42:$D$62,卡牌属性!R511))*INDEX($G$5:$G$42,L511)/SQRT(INDEX($I$5:$I$42,L511)),2)</f>
        <v>26</v>
      </c>
      <c r="AA511" s="29" t="s">
        <v>178</v>
      </c>
      <c r="AB511" s="14">
        <f>ROUND(IF(Q511=1,INDEX(新属性投放!$E$14:$E$34,卡牌属性!R511),INDEX(新属性投放!$E$42:$E$62,卡牌属性!R511))*INDEX($G$5:$G$42,L511),2)</f>
        <v>13</v>
      </c>
      <c r="AC511" s="29" t="s">
        <v>179</v>
      </c>
      <c r="AD511" s="14">
        <f>ROUND(IF(Q511=1,INDEX(新属性投放!$F$14:$F$34,卡牌属性!R511),INDEX(新属性投放!$F$42:$F$62,卡牌属性!R511))*INDEX($G$5:$G$42,L511)*SQRT(INDEX($I$5:$I$42,L511)),2)</f>
        <v>117</v>
      </c>
      <c r="AF511" s="14">
        <f t="shared" si="135"/>
        <v>260</v>
      </c>
      <c r="AG511" s="14">
        <f t="shared" si="136"/>
        <v>130</v>
      </c>
      <c r="AH511" s="14">
        <f t="shared" si="137"/>
        <v>1170</v>
      </c>
      <c r="AJ511" s="14">
        <f t="shared" si="144"/>
        <v>715</v>
      </c>
      <c r="AK511" s="14">
        <f t="shared" si="145"/>
        <v>357</v>
      </c>
      <c r="AL511" s="14">
        <f t="shared" si="146"/>
        <v>3211</v>
      </c>
    </row>
    <row r="512" spans="11:38" ht="16.5" x14ac:dyDescent="0.2">
      <c r="K512" s="13">
        <v>509</v>
      </c>
      <c r="L512" s="13">
        <f t="shared" si="129"/>
        <v>25</v>
      </c>
      <c r="M512" s="13">
        <f t="shared" si="130"/>
        <v>4</v>
      </c>
      <c r="N512" s="14">
        <f t="shared" si="131"/>
        <v>1102009</v>
      </c>
      <c r="O512" s="14" t="str">
        <f t="shared" si="132"/>
        <v>徐晃5突</v>
      </c>
      <c r="P512" s="29" t="s">
        <v>341</v>
      </c>
      <c r="Q512" s="14">
        <f t="shared" si="133"/>
        <v>2</v>
      </c>
      <c r="R512" s="14">
        <f t="shared" si="134"/>
        <v>5</v>
      </c>
      <c r="S512" s="14" t="s">
        <v>39</v>
      </c>
      <c r="T512" s="14">
        <f>ROUND(((IF(Q512=1,INDEX(新属性投放!$J$14:$J$34,卡牌属性!R512),INDEX(新属性投放!$J$42:$J$62,卡牌属性!R512)))*INDEX($G$5:$G$42,L512)+IF(Q512=1,INDEX(新属性投放!R$20:R$23,卡牌属性!M512-1),INDEX(新属性投放!R$25:R$28,卡牌属性!M512-1)))/SQRT(INDEX($I$5:$I$42,L512)),2)</f>
        <v>1491.4</v>
      </c>
      <c r="U512" s="29" t="s">
        <v>178</v>
      </c>
      <c r="V512" s="14">
        <f>ROUND((IF(Q512=1,INDEX(新属性投放!$K$14:$K$34,卡牌属性!R512),INDEX(新属性投放!$K$42:$K$62,卡牌属性!R512))+IF(Q512=1,INDEX(新属性投放!S$20:S$23,卡牌属性!M512-1),INDEX(新属性投放!S$25:S$28,卡牌属性!M512-1)))*INDEX($G$5:$G$42,L512),2)</f>
        <v>568.1</v>
      </c>
      <c r="W512" s="29" t="s">
        <v>179</v>
      </c>
      <c r="X512" s="14">
        <f>ROUND((IF(Q512=1,INDEX(新属性投放!$L$14:$L$34,卡牌属性!R512),INDEX(新属性投放!$L$42:$L$62,卡牌属性!R512))*INDEX($G$5:$G$42,L512)+IF(Q512=1,INDEX(新属性投放!T$20:T$23,卡牌属性!M512-1),INDEX(新属性投放!T$25:T$28,卡牌属性!M512-1)))*SQRT(INDEX($I$5:$I$42,L512)),2)</f>
        <v>6652.1</v>
      </c>
      <c r="Y512" s="29" t="s">
        <v>177</v>
      </c>
      <c r="Z512" s="14">
        <f>ROUND(IF(Q512=1,INDEX(新属性投放!$D$14:$D$34,卡牌属性!R512),INDEX(新属性投放!$D$42:$D$62,卡牌属性!R512))*INDEX($G$5:$G$42,L512)/SQRT(INDEX($I$5:$I$42,L512)),2)</f>
        <v>32.5</v>
      </c>
      <c r="AA512" s="29" t="s">
        <v>178</v>
      </c>
      <c r="AB512" s="14">
        <f>ROUND(IF(Q512=1,INDEX(新属性投放!$E$14:$E$34,卡牌属性!R512),INDEX(新属性投放!$E$42:$E$62,卡牌属性!R512))*INDEX($G$5:$G$42,L512),2)</f>
        <v>16.25</v>
      </c>
      <c r="AC512" s="29" t="s">
        <v>179</v>
      </c>
      <c r="AD512" s="14">
        <f>ROUND(IF(Q512=1,INDEX(新属性投放!$F$14:$F$34,卡牌属性!R512),INDEX(新属性投放!$F$42:$F$62,卡牌属性!R512))*INDEX($G$5:$G$42,L512)*SQRT(INDEX($I$5:$I$42,L512)),2)</f>
        <v>145.6</v>
      </c>
      <c r="AF512" s="14">
        <f t="shared" si="135"/>
        <v>325</v>
      </c>
      <c r="AG512" s="14">
        <f t="shared" si="136"/>
        <v>162</v>
      </c>
      <c r="AH512" s="14">
        <f t="shared" si="137"/>
        <v>1456</v>
      </c>
      <c r="AJ512" s="14">
        <f t="shared" si="144"/>
        <v>1040</v>
      </c>
      <c r="AK512" s="14">
        <f t="shared" si="145"/>
        <v>519</v>
      </c>
      <c r="AL512" s="14">
        <f t="shared" si="146"/>
        <v>4667</v>
      </c>
    </row>
    <row r="513" spans="11:38" ht="16.5" x14ac:dyDescent="0.2">
      <c r="K513" s="13">
        <v>510</v>
      </c>
      <c r="L513" s="13">
        <f t="shared" si="129"/>
        <v>25</v>
      </c>
      <c r="M513" s="13">
        <f t="shared" si="130"/>
        <v>4</v>
      </c>
      <c r="N513" s="14">
        <f t="shared" si="131"/>
        <v>1102009</v>
      </c>
      <c r="O513" s="14" t="str">
        <f t="shared" si="132"/>
        <v>徐晃6突</v>
      </c>
      <c r="P513" s="29" t="s">
        <v>341</v>
      </c>
      <c r="Q513" s="14">
        <f t="shared" si="133"/>
        <v>2</v>
      </c>
      <c r="R513" s="14">
        <f t="shared" si="134"/>
        <v>6</v>
      </c>
      <c r="S513" s="14" t="s">
        <v>39</v>
      </c>
      <c r="T513" s="14">
        <f>ROUND(((IF(Q513=1,INDEX(新属性投放!$J$14:$J$34,卡牌属性!R513),INDEX(新属性投放!$J$42:$J$62,卡牌属性!R513)))*INDEX($G$5:$G$42,L513)+IF(Q513=1,INDEX(新属性投放!R$20:R$23,卡牌属性!M513-1),INDEX(新属性投放!R$25:R$28,卡牌属性!M513-1)))/SQRT(INDEX($I$5:$I$42,L513)),2)</f>
        <v>1898.3</v>
      </c>
      <c r="U513" s="29" t="s">
        <v>178</v>
      </c>
      <c r="V513" s="14">
        <f>ROUND((IF(Q513=1,INDEX(新属性投放!$K$14:$K$34,卡牌属性!R513),INDEX(新属性投放!$K$42:$K$62,卡牌属性!R513))+IF(Q513=1,INDEX(新属性投放!S$20:S$23,卡牌属性!M513-1),INDEX(新属性投放!S$25:S$28,卡牌属性!M513-1)))*INDEX($G$5:$G$42,L513),2)</f>
        <v>770.9</v>
      </c>
      <c r="W513" s="29" t="s">
        <v>179</v>
      </c>
      <c r="X513" s="14">
        <f>ROUND((IF(Q513=1,INDEX(新属性投放!$L$14:$L$34,卡牌属性!R513),INDEX(新属性投放!$L$42:$L$62,卡牌属性!R513))*INDEX($G$5:$G$42,L513)+IF(Q513=1,INDEX(新属性投放!T$20:T$23,卡牌属性!M513-1),INDEX(新属性投放!T$25:T$28,卡牌属性!M513-1)))*SQRT(INDEX($I$5:$I$42,L513)),2)</f>
        <v>8845.2000000000007</v>
      </c>
      <c r="Y513" s="29" t="s">
        <v>177</v>
      </c>
      <c r="Z513" s="14">
        <f>ROUND(IF(Q513=1,INDEX(新属性投放!$D$14:$D$34,卡牌属性!R513),INDEX(新属性投放!$D$42:$D$62,卡牌属性!R513))*INDEX($G$5:$G$42,L513)/SQRT(INDEX($I$5:$I$42,L513)),2)</f>
        <v>39</v>
      </c>
      <c r="AA513" s="29" t="s">
        <v>178</v>
      </c>
      <c r="AB513" s="14">
        <f>ROUND(IF(Q513=1,INDEX(新属性投放!$E$14:$E$34,卡牌属性!R513),INDEX(新属性投放!$E$42:$E$62,卡牌属性!R513))*INDEX($G$5:$G$42,L513),2)</f>
        <v>19.5</v>
      </c>
      <c r="AC513" s="29" t="s">
        <v>179</v>
      </c>
      <c r="AD513" s="14">
        <f>ROUND(IF(Q513=1,INDEX(新属性投放!$F$14:$F$34,卡牌属性!R513),INDEX(新属性投放!$F$42:$F$62,卡牌属性!R513))*INDEX($G$5:$G$42,L513)*SQRT(INDEX($I$5:$I$42,L513)),2)</f>
        <v>175.5</v>
      </c>
      <c r="AF513" s="14">
        <f t="shared" si="135"/>
        <v>390</v>
      </c>
      <c r="AG513" s="14">
        <f t="shared" si="136"/>
        <v>195</v>
      </c>
      <c r="AH513" s="14">
        <f t="shared" si="137"/>
        <v>1755</v>
      </c>
      <c r="AJ513" s="14">
        <f t="shared" si="144"/>
        <v>1430</v>
      </c>
      <c r="AK513" s="14">
        <f t="shared" si="145"/>
        <v>714</v>
      </c>
      <c r="AL513" s="14">
        <f t="shared" si="146"/>
        <v>6422</v>
      </c>
    </row>
    <row r="514" spans="11:38" ht="16.5" x14ac:dyDescent="0.2">
      <c r="K514" s="13">
        <v>511</v>
      </c>
      <c r="L514" s="13">
        <f t="shared" si="129"/>
        <v>25</v>
      </c>
      <c r="M514" s="13">
        <f t="shared" si="130"/>
        <v>4</v>
      </c>
      <c r="N514" s="14">
        <f t="shared" si="131"/>
        <v>1102009</v>
      </c>
      <c r="O514" s="14" t="str">
        <f t="shared" si="132"/>
        <v>徐晃7突</v>
      </c>
      <c r="P514" s="29" t="s">
        <v>341</v>
      </c>
      <c r="Q514" s="14">
        <f t="shared" si="133"/>
        <v>2</v>
      </c>
      <c r="R514" s="14">
        <f t="shared" si="134"/>
        <v>7</v>
      </c>
      <c r="S514" s="14" t="s">
        <v>39</v>
      </c>
      <c r="T514" s="14">
        <f>ROUND(((IF(Q514=1,INDEX(新属性投放!$J$14:$J$34,卡牌属性!R514),INDEX(新属性投放!$J$42:$J$62,卡牌属性!R514)))*INDEX($G$5:$G$42,L514)+IF(Q514=1,INDEX(新属性投放!R$20:R$23,卡牌属性!M514-1),INDEX(新属性投放!R$25:R$28,卡牌属性!M514-1)))/SQRT(INDEX($I$5:$I$42,L514)),2)</f>
        <v>2385.8000000000002</v>
      </c>
      <c r="U514" s="29" t="s">
        <v>178</v>
      </c>
      <c r="V514" s="14">
        <f>ROUND((IF(Q514=1,INDEX(新属性投放!$K$14:$K$34,卡牌属性!R514),INDEX(新属性投放!$K$42:$K$62,卡牌属性!R514))+IF(Q514=1,INDEX(新属性投放!S$20:S$23,卡牌属性!M514-1),INDEX(新属性投放!S$25:S$28,卡牌属性!M514-1)))*INDEX($G$5:$G$42,L514),2)</f>
        <v>1015.3</v>
      </c>
      <c r="W514" s="29" t="s">
        <v>179</v>
      </c>
      <c r="X514" s="14">
        <f>ROUND((IF(Q514=1,INDEX(新属性投放!$L$14:$L$34,卡牌属性!R514),INDEX(新属性投放!$L$42:$L$62,卡牌属性!R514))*INDEX($G$5:$G$42,L514)+IF(Q514=1,INDEX(新属性投放!T$20:T$23,卡牌属性!M514-1),INDEX(新属性投放!T$25:T$28,卡牌属性!M514-1)))*SQRT(INDEX($I$5:$I$42,L514)),2)</f>
        <v>11477.7</v>
      </c>
      <c r="Y514" s="29" t="s">
        <v>177</v>
      </c>
      <c r="Z514" s="14">
        <f>ROUND(IF(Q514=1,INDEX(新属性投放!$D$14:$D$34,卡牌属性!R514),INDEX(新属性投放!$D$42:$D$62,卡牌属性!R514))*INDEX($G$5:$G$42,L514)/SQRT(INDEX($I$5:$I$42,L514)),2)</f>
        <v>45.5</v>
      </c>
      <c r="AA514" s="29" t="s">
        <v>178</v>
      </c>
      <c r="AB514" s="14">
        <f>ROUND(IF(Q514=1,INDEX(新属性投放!$E$14:$E$34,卡牌属性!R514),INDEX(新属性投放!$E$42:$E$62,卡牌属性!R514))*INDEX($G$5:$G$42,L514),2)</f>
        <v>22.75</v>
      </c>
      <c r="AC514" s="29" t="s">
        <v>179</v>
      </c>
      <c r="AD514" s="14">
        <f>ROUND(IF(Q514=1,INDEX(新属性投放!$F$14:$F$34,卡牌属性!R514),INDEX(新属性投放!$F$42:$F$62,卡牌属性!R514))*INDEX($G$5:$G$42,L514)*SQRT(INDEX($I$5:$I$42,L514)),2)</f>
        <v>204.1</v>
      </c>
      <c r="AF514" s="14">
        <f t="shared" si="135"/>
        <v>455</v>
      </c>
      <c r="AG514" s="14">
        <f t="shared" si="136"/>
        <v>227</v>
      </c>
      <c r="AH514" s="14">
        <f t="shared" si="137"/>
        <v>2041</v>
      </c>
      <c r="AJ514" s="14">
        <f t="shared" si="144"/>
        <v>1885</v>
      </c>
      <c r="AK514" s="14">
        <f t="shared" si="145"/>
        <v>941</v>
      </c>
      <c r="AL514" s="14">
        <f t="shared" si="146"/>
        <v>8463</v>
      </c>
    </row>
    <row r="515" spans="11:38" ht="16.5" x14ac:dyDescent="0.2">
      <c r="K515" s="13">
        <v>512</v>
      </c>
      <c r="L515" s="13">
        <f t="shared" si="129"/>
        <v>25</v>
      </c>
      <c r="M515" s="13">
        <f t="shared" si="130"/>
        <v>4</v>
      </c>
      <c r="N515" s="14">
        <f t="shared" si="131"/>
        <v>1102009</v>
      </c>
      <c r="O515" s="14" t="str">
        <f t="shared" si="132"/>
        <v>徐晃8突</v>
      </c>
      <c r="P515" s="29" t="s">
        <v>341</v>
      </c>
      <c r="Q515" s="14">
        <f t="shared" si="133"/>
        <v>2</v>
      </c>
      <c r="R515" s="14">
        <f t="shared" si="134"/>
        <v>8</v>
      </c>
      <c r="S515" s="14" t="s">
        <v>39</v>
      </c>
      <c r="T515" s="14">
        <f>ROUND(((IF(Q515=1,INDEX(新属性投放!$J$14:$J$34,卡牌属性!R515),INDEX(新属性投放!$J$42:$J$62,卡牌属性!R515)))*INDEX($G$5:$G$42,L515)+IF(Q515=1,INDEX(新属性投放!R$20:R$23,卡牌属性!M515-1),INDEX(新属性投放!R$25:R$28,卡牌属性!M515-1)))/SQRT(INDEX($I$5:$I$42,L515)),2)</f>
        <v>2955.2</v>
      </c>
      <c r="U515" s="29" t="s">
        <v>178</v>
      </c>
      <c r="V515" s="14">
        <f>ROUND((IF(Q515=1,INDEX(新属性投放!$K$14:$K$34,卡牌属性!R515),INDEX(新属性投放!$K$42:$K$62,卡牌属性!R515))+IF(Q515=1,INDEX(新属性投放!S$20:S$23,卡牌属性!M515-1),INDEX(新属性投放!S$25:S$28,卡牌属性!M515-1)))*INDEX($G$5:$G$42,L515),2)</f>
        <v>1300</v>
      </c>
      <c r="W515" s="29" t="s">
        <v>179</v>
      </c>
      <c r="X515" s="14">
        <f>ROUND((IF(Q515=1,INDEX(新属性投放!$L$14:$L$34,卡牌属性!R515),INDEX(新属性投放!$L$42:$L$62,卡牌属性!R515))*INDEX($G$5:$G$42,L515)+IF(Q515=1,INDEX(新属性投放!T$20:T$23,卡牌属性!M515-1),INDEX(新属性投放!T$25:T$28,卡牌属性!M515-1)))*SQRT(INDEX($I$5:$I$42,L515)),2)</f>
        <v>14548.3</v>
      </c>
      <c r="Y515" s="29" t="s">
        <v>177</v>
      </c>
      <c r="Z515" s="14">
        <f>ROUND(IF(Q515=1,INDEX(新属性投放!$D$14:$D$34,卡牌属性!R515),INDEX(新属性投放!$D$42:$D$62,卡牌属性!R515))*INDEX($G$5:$G$42,L515)/SQRT(INDEX($I$5:$I$42,L515)),2)</f>
        <v>58.5</v>
      </c>
      <c r="AA515" s="29" t="s">
        <v>178</v>
      </c>
      <c r="AB515" s="14">
        <f>ROUND(IF(Q515=1,INDEX(新属性投放!$E$14:$E$34,卡牌属性!R515),INDEX(新属性投放!$E$42:$E$62,卡牌属性!R515))*INDEX($G$5:$G$42,L515),2)</f>
        <v>29.25</v>
      </c>
      <c r="AC515" s="29" t="s">
        <v>179</v>
      </c>
      <c r="AD515" s="14">
        <f>ROUND(IF(Q515=1,INDEX(新属性投放!$F$14:$F$34,卡牌属性!R515),INDEX(新属性投放!$F$42:$F$62,卡牌属性!R515))*INDEX($G$5:$G$42,L515)*SQRT(INDEX($I$5:$I$42,L515)),2)</f>
        <v>262.60000000000002</v>
      </c>
      <c r="AF515" s="14">
        <f t="shared" si="135"/>
        <v>585</v>
      </c>
      <c r="AG515" s="14">
        <f t="shared" si="136"/>
        <v>292</v>
      </c>
      <c r="AH515" s="14">
        <f t="shared" si="137"/>
        <v>2626</v>
      </c>
      <c r="AJ515" s="14">
        <f t="shared" si="144"/>
        <v>2470</v>
      </c>
      <c r="AK515" s="14">
        <f t="shared" si="145"/>
        <v>1233</v>
      </c>
      <c r="AL515" s="14">
        <f t="shared" si="146"/>
        <v>11089</v>
      </c>
    </row>
    <row r="516" spans="11:38" ht="16.5" x14ac:dyDescent="0.2">
      <c r="K516" s="13">
        <v>513</v>
      </c>
      <c r="L516" s="13">
        <f t="shared" si="129"/>
        <v>25</v>
      </c>
      <c r="M516" s="13">
        <f t="shared" si="130"/>
        <v>4</v>
      </c>
      <c r="N516" s="14">
        <f t="shared" si="131"/>
        <v>1102009</v>
      </c>
      <c r="O516" s="14" t="str">
        <f t="shared" si="132"/>
        <v>徐晃9突</v>
      </c>
      <c r="P516" s="29" t="s">
        <v>341</v>
      </c>
      <c r="Q516" s="14">
        <f t="shared" si="133"/>
        <v>2</v>
      </c>
      <c r="R516" s="14">
        <f t="shared" si="134"/>
        <v>9</v>
      </c>
      <c r="S516" s="14" t="s">
        <v>39</v>
      </c>
      <c r="T516" s="14">
        <f>ROUND(((IF(Q516=1,INDEX(新属性投放!$J$14:$J$34,卡牌属性!R516),INDEX(新属性投放!$J$42:$J$62,卡牌属性!R516)))*INDEX($G$5:$G$42,L516)+IF(Q516=1,INDEX(新属性投放!R$20:R$23,卡牌属性!M516-1),INDEX(新属性投放!R$25:R$28,卡牌属性!M516-1)))/SQRT(INDEX($I$5:$I$42,L516)),2)</f>
        <v>3687.1</v>
      </c>
      <c r="U516" s="29" t="s">
        <v>178</v>
      </c>
      <c r="V516" s="14">
        <f>ROUND((IF(Q516=1,INDEX(新属性投放!$K$14:$K$34,卡牌属性!R516),INDEX(新属性投放!$K$42:$K$62,卡牌属性!R516))+IF(Q516=1,INDEX(新属性投放!S$20:S$23,卡牌属性!M516-1),INDEX(新属性投放!S$25:S$28,卡牌属性!M516-1)))*INDEX($G$5:$G$42,L516),2)</f>
        <v>1665.3</v>
      </c>
      <c r="W516" s="29" t="s">
        <v>179</v>
      </c>
      <c r="X516" s="14">
        <f>ROUND((IF(Q516=1,INDEX(新属性投放!$L$14:$L$34,卡牌属性!R516),INDEX(新属性投放!$L$42:$L$62,卡牌属性!R516))*INDEX($G$5:$G$42,L516)+IF(Q516=1,INDEX(新属性投放!T$20:T$23,卡牌属性!M516-1),INDEX(新属性投放!T$25:T$28,卡牌属性!M516-1)))*SQRT(INDEX($I$5:$I$42,L516)),2)</f>
        <v>18496.400000000001</v>
      </c>
      <c r="Y516" s="29" t="s">
        <v>177</v>
      </c>
      <c r="Z516" s="14">
        <f>ROUND(IF(Q516=1,INDEX(新属性投放!$D$14:$D$34,卡牌属性!R516),INDEX(新属性投放!$D$42:$D$62,卡牌属性!R516))*INDEX($G$5:$G$42,L516)/SQRT(INDEX($I$5:$I$42,L516)),2)</f>
        <v>78.069999999999993</v>
      </c>
      <c r="AA516" s="29" t="s">
        <v>178</v>
      </c>
      <c r="AB516" s="14">
        <f>ROUND(IF(Q516=1,INDEX(新属性投放!$E$14:$E$34,卡牌属性!R516),INDEX(新属性投放!$E$42:$E$62,卡牌属性!R516))*INDEX($G$5:$G$42,L516),2)</f>
        <v>39.03</v>
      </c>
      <c r="AC516" s="29" t="s">
        <v>179</v>
      </c>
      <c r="AD516" s="14">
        <f>ROUND(IF(Q516=1,INDEX(新属性投放!$F$14:$F$34,卡牌属性!R516),INDEX(新属性投放!$F$42:$F$62,卡牌属性!R516))*INDEX($G$5:$G$42,L516)*SQRT(INDEX($I$5:$I$42,L516)),2)</f>
        <v>351</v>
      </c>
      <c r="AF516" s="14">
        <f t="shared" si="135"/>
        <v>780</v>
      </c>
      <c r="AG516" s="14">
        <f t="shared" si="136"/>
        <v>390</v>
      </c>
      <c r="AH516" s="14">
        <f t="shared" si="137"/>
        <v>3510</v>
      </c>
      <c r="AJ516" s="14">
        <f t="shared" si="144"/>
        <v>3250</v>
      </c>
      <c r="AK516" s="14">
        <f t="shared" si="145"/>
        <v>1623</v>
      </c>
      <c r="AL516" s="14">
        <f t="shared" si="146"/>
        <v>14599</v>
      </c>
    </row>
    <row r="517" spans="11:38" ht="16.5" x14ac:dyDescent="0.2">
      <c r="K517" s="13">
        <v>514</v>
      </c>
      <c r="L517" s="13">
        <f t="shared" ref="L517:L580" si="147">MATCH(K517-1,$F$4:$F$41,1)</f>
        <v>25</v>
      </c>
      <c r="M517" s="13">
        <f t="shared" ref="M517:M580" si="148">INDEX($D$5:$D$42,L517)</f>
        <v>4</v>
      </c>
      <c r="N517" s="14">
        <f t="shared" ref="N517:N580" si="149">INDEX($A$4:$A$42,L517+1)</f>
        <v>1102009</v>
      </c>
      <c r="O517" s="14" t="str">
        <f t="shared" ref="O517:O580" si="150">INDEX($B$4:$B$42,MATCH(N517,$A$4:$A$42,0))&amp;R517&amp;"突"</f>
        <v>徐晃10突</v>
      </c>
      <c r="P517" s="29" t="s">
        <v>341</v>
      </c>
      <c r="Q517" s="14">
        <f t="shared" ref="Q517:Q580" si="151">INDEX($C$4:$C$42,L517+1)</f>
        <v>2</v>
      </c>
      <c r="R517" s="14">
        <f t="shared" ref="R517:R580" si="152">K517-INDEX($F$4:$F$42,L517)</f>
        <v>10</v>
      </c>
      <c r="S517" s="14" t="s">
        <v>39</v>
      </c>
      <c r="T517" s="14">
        <f>ROUND(((IF(Q517=1,INDEX(新属性投放!$J$14:$J$34,卡牌属性!R517),INDEX(新属性投放!$J$42:$J$62,卡牌属性!R517)))*INDEX($G$5:$G$42,L517)+IF(Q517=1,INDEX(新属性投放!R$20:R$23,卡牌属性!M517-1),INDEX(新属性投放!R$25:R$28,卡牌属性!M517-1)))/SQRT(INDEX($I$5:$I$42,L517)),2)</f>
        <v>4662.75</v>
      </c>
      <c r="U517" s="29" t="s">
        <v>178</v>
      </c>
      <c r="V517" s="14">
        <f>ROUND((IF(Q517=1,INDEX(新属性投放!$K$14:$K$34,卡牌属性!R517),INDEX(新属性投放!$K$42:$K$62,卡牌属性!R517))+IF(Q517=1,INDEX(新属性投放!S$20:S$23,卡牌属性!M517-1),INDEX(新属性投放!S$25:S$28,卡牌属性!M517-1)))*INDEX($G$5:$G$42,L517),2)</f>
        <v>2153.13</v>
      </c>
      <c r="W517" s="29" t="s">
        <v>179</v>
      </c>
      <c r="X517" s="14">
        <f>ROUND((IF(Q517=1,INDEX(新属性投放!$L$14:$L$34,卡牌属性!R517),INDEX(新属性投放!$L$42:$L$62,卡牌属性!R517))*INDEX($G$5:$G$42,L517)+IF(Q517=1,INDEX(新属性投放!T$20:T$23,卡牌属性!M517-1),INDEX(新属性投放!T$25:T$28,卡牌属性!M517-1)))*SQRT(INDEX($I$5:$I$42,L517)),2)</f>
        <v>23761.4</v>
      </c>
      <c r="Y517" s="29" t="s">
        <v>177</v>
      </c>
      <c r="Z517" s="14">
        <f>ROUND(IF(Q517=1,INDEX(新属性投放!$D$14:$D$34,卡牌属性!R517),INDEX(新属性投放!$D$42:$D$62,卡牌属性!R517))*INDEX($G$5:$G$42,L517)/SQRT(INDEX($I$5:$I$42,L517)),2)</f>
        <v>102.05</v>
      </c>
      <c r="AA517" s="29" t="s">
        <v>178</v>
      </c>
      <c r="AB517" s="14">
        <f>ROUND(IF(Q517=1,INDEX(新属性投放!$E$14:$E$34,卡牌属性!R517),INDEX(新属性投放!$E$42:$E$62,卡牌属性!R517))*INDEX($G$5:$G$42,L517),2)</f>
        <v>51.03</v>
      </c>
      <c r="AC517" s="29" t="s">
        <v>179</v>
      </c>
      <c r="AD517" s="14">
        <f>ROUND(IF(Q517=1,INDEX(新属性投放!$F$14:$F$34,卡牌属性!R517),INDEX(新属性投放!$F$42:$F$62,卡牌属性!R517))*INDEX($G$5:$G$42,L517)*SQRT(INDEX($I$5:$I$42,L517)),2)</f>
        <v>458.9</v>
      </c>
      <c r="AF517" s="14">
        <f t="shared" ref="AF517:AF580" si="153">INT(Z517*AF$2*10)</f>
        <v>1020</v>
      </c>
      <c r="AG517" s="14">
        <f t="shared" ref="AG517:AG580" si="154">INT(AB517*AF$2*10)</f>
        <v>510</v>
      </c>
      <c r="AH517" s="14">
        <f t="shared" ref="AH517:AH580" si="155">INT(AD517*AF$2*10)</f>
        <v>4589</v>
      </c>
      <c r="AJ517" s="14">
        <f t="shared" si="144"/>
        <v>4270</v>
      </c>
      <c r="AK517" s="14">
        <f t="shared" si="145"/>
        <v>2133</v>
      </c>
      <c r="AL517" s="14">
        <f t="shared" si="146"/>
        <v>19188</v>
      </c>
    </row>
    <row r="518" spans="11:38" ht="16.5" x14ac:dyDescent="0.2">
      <c r="K518" s="13">
        <v>515</v>
      </c>
      <c r="L518" s="13">
        <f t="shared" si="147"/>
        <v>25</v>
      </c>
      <c r="M518" s="13">
        <f t="shared" si="148"/>
        <v>4</v>
      </c>
      <c r="N518" s="14">
        <f t="shared" si="149"/>
        <v>1102009</v>
      </c>
      <c r="O518" s="14" t="str">
        <f t="shared" si="150"/>
        <v>徐晃11突</v>
      </c>
      <c r="P518" s="29" t="s">
        <v>341</v>
      </c>
      <c r="Q518" s="14">
        <f t="shared" si="151"/>
        <v>2</v>
      </c>
      <c r="R518" s="14">
        <f t="shared" si="152"/>
        <v>11</v>
      </c>
      <c r="S518" s="14" t="s">
        <v>39</v>
      </c>
      <c r="T518" s="14">
        <f>ROUND(((IF(Q518=1,INDEX(新属性投放!$J$14:$J$34,卡牌属性!R518),INDEX(新属性投放!$J$42:$J$62,卡牌属性!R518)))*INDEX($G$5:$G$42,L518)+IF(Q518=1,INDEX(新属性投放!R$20:R$23,卡牌属性!M518-1),INDEX(新属性投放!R$25:R$28,卡牌属性!M518-1)))/SQRT(INDEX($I$5:$I$42,L518)),2)</f>
        <v>5938.05</v>
      </c>
      <c r="U518" s="29" t="s">
        <v>178</v>
      </c>
      <c r="V518" s="14">
        <f>ROUND((IF(Q518=1,INDEX(新属性投放!$K$14:$K$34,卡牌属性!R518),INDEX(新属性投放!$K$42:$K$62,卡牌属性!R518))+IF(Q518=1,INDEX(新属性投放!S$20:S$23,卡牌属性!M518-1),INDEX(新属性投放!S$25:S$28,卡牌属性!M518-1)))*INDEX($G$5:$G$42,L518),2)</f>
        <v>2790.78</v>
      </c>
      <c r="W518" s="29" t="s">
        <v>179</v>
      </c>
      <c r="X518" s="14">
        <f>ROUND((IF(Q518=1,INDEX(新属性投放!$L$14:$L$34,卡牌属性!R518),INDEX(新属性投放!$L$42:$L$62,卡牌属性!R518))*INDEX($G$5:$G$42,L518)+IF(Q518=1,INDEX(新属性投放!T$20:T$23,卡牌属性!M518-1),INDEX(新属性投放!T$25:T$28,卡牌属性!M518-1)))*SQRT(INDEX($I$5:$I$42,L518)),2)</f>
        <v>30643.599999999999</v>
      </c>
      <c r="Y518" s="29" t="s">
        <v>177</v>
      </c>
      <c r="Z518" s="14">
        <f>ROUND(IF(Q518=1,INDEX(新属性投放!$D$14:$D$34,卡牌属性!R518),INDEX(新属性投放!$D$42:$D$62,卡牌属性!R518))*INDEX($G$5:$G$42,L518)/SQRT(INDEX($I$5:$I$42,L518)),2)</f>
        <v>134.34</v>
      </c>
      <c r="AA518" s="29" t="s">
        <v>178</v>
      </c>
      <c r="AB518" s="14">
        <f>ROUND(IF(Q518=1,INDEX(新属性投放!$E$14:$E$34,卡牌属性!R518),INDEX(新属性投放!$E$42:$E$62,卡牌属性!R518))*INDEX($G$5:$G$42,L518),2)</f>
        <v>67.17</v>
      </c>
      <c r="AC518" s="29" t="s">
        <v>179</v>
      </c>
      <c r="AD518" s="14">
        <f>ROUND(IF(Q518=1,INDEX(新属性投放!$F$14:$F$34,卡牌属性!R518),INDEX(新属性投放!$F$42:$F$62,卡牌属性!R518))*INDEX($G$5:$G$42,L518)*SQRT(INDEX($I$5:$I$42,L518)),2)</f>
        <v>604.5</v>
      </c>
      <c r="AF518" s="14">
        <f t="shared" si="153"/>
        <v>1343</v>
      </c>
      <c r="AG518" s="14">
        <f t="shared" si="154"/>
        <v>671</v>
      </c>
      <c r="AH518" s="14">
        <f t="shared" si="155"/>
        <v>6045</v>
      </c>
      <c r="AJ518" s="14">
        <f t="shared" si="144"/>
        <v>5613</v>
      </c>
      <c r="AK518" s="14">
        <f t="shared" si="145"/>
        <v>2804</v>
      </c>
      <c r="AL518" s="14">
        <f t="shared" si="146"/>
        <v>25233</v>
      </c>
    </row>
    <row r="519" spans="11:38" ht="16.5" x14ac:dyDescent="0.2">
      <c r="K519" s="13">
        <v>516</v>
      </c>
      <c r="L519" s="13">
        <f t="shared" si="147"/>
        <v>25</v>
      </c>
      <c r="M519" s="13">
        <f t="shared" si="148"/>
        <v>4</v>
      </c>
      <c r="N519" s="14">
        <f t="shared" si="149"/>
        <v>1102009</v>
      </c>
      <c r="O519" s="14" t="str">
        <f t="shared" si="150"/>
        <v>徐晃12突</v>
      </c>
      <c r="P519" s="29" t="s">
        <v>341</v>
      </c>
      <c r="Q519" s="14">
        <f t="shared" si="151"/>
        <v>2</v>
      </c>
      <c r="R519" s="14">
        <f t="shared" si="152"/>
        <v>12</v>
      </c>
      <c r="S519" s="14" t="s">
        <v>39</v>
      </c>
      <c r="T519" s="14">
        <f>ROUND(((IF(Q519=1,INDEX(新属性投放!$J$14:$J$34,卡牌属性!R519),INDEX(新属性投放!$J$42:$J$62,卡牌属性!R519)))*INDEX($G$5:$G$42,L519)+IF(Q519=1,INDEX(新属性投放!R$20:R$23,卡牌属性!M519-1),INDEX(新属性投放!R$25:R$28,卡牌属性!M519-1)))/SQRT(INDEX($I$5:$I$42,L519)),2)</f>
        <v>7616.87</v>
      </c>
      <c r="U519" s="29" t="s">
        <v>178</v>
      </c>
      <c r="V519" s="14">
        <f>ROUND((IF(Q519=1,INDEX(新属性投放!$K$14:$K$34,卡牌属性!R519),INDEX(新属性投放!$K$42:$K$62,卡牌属性!R519))+IF(Q519=1,INDEX(新属性投放!S$20:S$23,卡牌属性!M519-1),INDEX(新属性投放!S$25:S$28,卡牌属性!M519-1)))*INDEX($G$5:$G$42,L519),2)</f>
        <v>3630.19</v>
      </c>
      <c r="W519" s="29" t="s">
        <v>179</v>
      </c>
      <c r="X519" s="14">
        <f>ROUND((IF(Q519=1,INDEX(新属性投放!$L$14:$L$34,卡牌属性!R519),INDEX(新属性投放!$L$42:$L$62,卡牌属性!R519))*INDEX($G$5:$G$42,L519)+IF(Q519=1,INDEX(新属性投放!T$20:T$23,卡牌属性!M519-1),INDEX(新属性投放!T$25:T$28,卡牌属性!M519-1)))*SQRT(INDEX($I$5:$I$42,L519)),2)</f>
        <v>39707.199999999997</v>
      </c>
      <c r="Y519" s="29" t="s">
        <v>177</v>
      </c>
      <c r="Z519" s="14">
        <f>ROUND(IF(Q519=1,INDEX(新属性投放!$D$14:$D$34,卡牌属性!R519),INDEX(新属性投放!$D$42:$D$62,卡牌属性!R519))*INDEX($G$5:$G$42,L519)/SQRT(INDEX($I$5:$I$42,L519)),2)</f>
        <v>176.31</v>
      </c>
      <c r="AA519" s="29" t="s">
        <v>178</v>
      </c>
      <c r="AB519" s="14">
        <f>ROUND(IF(Q519=1,INDEX(新属性投放!$E$14:$E$34,卡牌属性!R519),INDEX(新属性投放!$E$42:$E$62,卡牌属性!R519))*INDEX($G$5:$G$42,L519),2)</f>
        <v>88.15</v>
      </c>
      <c r="AC519" s="29" t="s">
        <v>179</v>
      </c>
      <c r="AD519" s="14">
        <f>ROUND(IF(Q519=1,INDEX(新属性投放!$F$14:$F$34,卡牌属性!R519),INDEX(新属性投放!$F$42:$F$62,卡牌属性!R519))*INDEX($G$5:$G$42,L519)*SQRT(INDEX($I$5:$I$42,L519)),2)</f>
        <v>793</v>
      </c>
      <c r="AF519" s="14">
        <f t="shared" si="153"/>
        <v>1763</v>
      </c>
      <c r="AG519" s="14">
        <f t="shared" si="154"/>
        <v>881</v>
      </c>
      <c r="AH519" s="14">
        <f t="shared" si="155"/>
        <v>7930</v>
      </c>
      <c r="AJ519" s="14">
        <f t="shared" si="144"/>
        <v>7376</v>
      </c>
      <c r="AK519" s="14">
        <f t="shared" si="145"/>
        <v>3685</v>
      </c>
      <c r="AL519" s="14">
        <f t="shared" si="146"/>
        <v>33163</v>
      </c>
    </row>
    <row r="520" spans="11:38" ht="16.5" x14ac:dyDescent="0.2">
      <c r="K520" s="13">
        <v>517</v>
      </c>
      <c r="L520" s="13">
        <f t="shared" si="147"/>
        <v>25</v>
      </c>
      <c r="M520" s="13">
        <f t="shared" si="148"/>
        <v>4</v>
      </c>
      <c r="N520" s="14">
        <f t="shared" si="149"/>
        <v>1102009</v>
      </c>
      <c r="O520" s="14" t="str">
        <f t="shared" si="150"/>
        <v>徐晃13突</v>
      </c>
      <c r="P520" s="29" t="s">
        <v>341</v>
      </c>
      <c r="Q520" s="14">
        <f t="shared" si="151"/>
        <v>2</v>
      </c>
      <c r="R520" s="14">
        <f t="shared" si="152"/>
        <v>13</v>
      </c>
      <c r="S520" s="14" t="s">
        <v>39</v>
      </c>
      <c r="T520" s="14">
        <f>ROUND(((IF(Q520=1,INDEX(新属性投放!$J$14:$J$34,卡牌属性!R520),INDEX(新属性投放!$J$42:$J$62,卡牌属性!R520)))*INDEX($G$5:$G$42,L520)+IF(Q520=1,INDEX(新属性投放!R$20:R$23,卡牌属性!M520-1),INDEX(新属性投放!R$25:R$28,卡牌属性!M520-1)))/SQRT(INDEX($I$5:$I$42,L520)),2)</f>
        <v>9820.6299999999992</v>
      </c>
      <c r="U520" s="29" t="s">
        <v>178</v>
      </c>
      <c r="V520" s="14">
        <f>ROUND((IF(Q520=1,INDEX(新属性投放!$K$14:$K$34,卡牌属性!R520),INDEX(新属性投放!$K$42:$K$62,卡牌属性!R520))+IF(Q520=1,INDEX(新属性投放!S$20:S$23,卡牌属性!M520-1),INDEX(新属性投放!S$25:S$28,卡牌属性!M520-1)))*INDEX($G$5:$G$42,L520),2)</f>
        <v>4732.72</v>
      </c>
      <c r="W520" s="29" t="s">
        <v>179</v>
      </c>
      <c r="X520" s="14">
        <f>ROUND((IF(Q520=1,INDEX(新属性投放!$L$14:$L$34,卡牌属性!R520),INDEX(新属性投放!$L$42:$L$62,卡牌属性!R520))*INDEX($G$5:$G$42,L520)+IF(Q520=1,INDEX(新属性投放!T$20:T$23,卡牌属性!M520-1),INDEX(新属性投放!T$25:T$28,卡牌属性!M520-1)))*SQRT(INDEX($I$5:$I$42,L520)),2)</f>
        <v>51603.5</v>
      </c>
      <c r="Y520" s="29" t="s">
        <v>177</v>
      </c>
      <c r="Z520" s="14">
        <f>ROUND(IF(Q520=1,INDEX(新属性投放!$D$14:$D$34,卡牌属性!R520),INDEX(新属性投放!$D$42:$D$62,卡牌属性!R520))*INDEX($G$5:$G$42,L520)/SQRT(INDEX($I$5:$I$42,L520)),2)</f>
        <v>231.4</v>
      </c>
      <c r="AA520" s="29" t="s">
        <v>178</v>
      </c>
      <c r="AB520" s="14">
        <f>ROUND(IF(Q520=1,INDEX(新属性投放!$E$14:$E$34,卡牌属性!R520),INDEX(新属性投放!$E$42:$E$62,卡牌属性!R520))*INDEX($G$5:$G$42,L520),2)</f>
        <v>115.7</v>
      </c>
      <c r="AC520" s="29" t="s">
        <v>179</v>
      </c>
      <c r="AD520" s="14">
        <f>ROUND(IF(Q520=1,INDEX(新属性投放!$F$14:$F$34,卡牌属性!R520),INDEX(新属性投放!$F$42:$F$62,卡牌属性!R520))*INDEX($G$5:$G$42,L520)*SQRT(INDEX($I$5:$I$42,L520)),2)</f>
        <v>1041.3</v>
      </c>
      <c r="AF520" s="14">
        <f t="shared" si="153"/>
        <v>2314</v>
      </c>
      <c r="AG520" s="14">
        <f t="shared" si="154"/>
        <v>1157</v>
      </c>
      <c r="AH520" s="14">
        <f t="shared" si="155"/>
        <v>10413</v>
      </c>
      <c r="AJ520" s="14">
        <f t="shared" si="144"/>
        <v>9690</v>
      </c>
      <c r="AK520" s="14">
        <f t="shared" si="145"/>
        <v>4842</v>
      </c>
      <c r="AL520" s="14">
        <f t="shared" si="146"/>
        <v>43576</v>
      </c>
    </row>
    <row r="521" spans="11:38" ht="16.5" x14ac:dyDescent="0.2">
      <c r="K521" s="13">
        <v>518</v>
      </c>
      <c r="L521" s="13">
        <f t="shared" si="147"/>
        <v>25</v>
      </c>
      <c r="M521" s="13">
        <f t="shared" si="148"/>
        <v>4</v>
      </c>
      <c r="N521" s="14">
        <f t="shared" si="149"/>
        <v>1102009</v>
      </c>
      <c r="O521" s="14" t="str">
        <f t="shared" si="150"/>
        <v>徐晃14突</v>
      </c>
      <c r="P521" s="29" t="s">
        <v>341</v>
      </c>
      <c r="Q521" s="14">
        <f t="shared" si="151"/>
        <v>2</v>
      </c>
      <c r="R521" s="14">
        <f t="shared" si="152"/>
        <v>14</v>
      </c>
      <c r="S521" s="14" t="s">
        <v>39</v>
      </c>
      <c r="T521" s="14">
        <f>ROUND(((IF(Q521=1,INDEX(新属性投放!$J$14:$J$34,卡牌属性!R521),INDEX(新属性投放!$J$42:$J$62,卡牌属性!R521)))*INDEX($G$5:$G$42,L521)+IF(Q521=1,INDEX(新属性投放!R$20:R$23,卡牌属性!M521-1),INDEX(新属性投放!R$25:R$28,卡牌属性!M521-1)))/SQRT(INDEX($I$5:$I$42,L521)),2)</f>
        <v>12713.13</v>
      </c>
      <c r="U521" s="29" t="s">
        <v>178</v>
      </c>
      <c r="V521" s="14">
        <f>ROUND((IF(Q521=1,INDEX(新属性投放!$K$14:$K$34,卡牌属性!R521),INDEX(新属性投放!$K$42:$K$62,卡牌属性!R521))+IF(Q521=1,INDEX(新属性投放!S$20:S$23,卡牌属性!M521-1),INDEX(新属性投放!S$25:S$28,卡牌属性!M521-1)))*INDEX($G$5:$G$42,L521),2)</f>
        <v>6179.62</v>
      </c>
      <c r="W521" s="29" t="s">
        <v>179</v>
      </c>
      <c r="X521" s="14">
        <f>ROUND((IF(Q521=1,INDEX(新属性投放!$L$14:$L$34,卡牌属性!R521),INDEX(新属性投放!$L$42:$L$62,卡牌属性!R521))*INDEX($G$5:$G$42,L521)+IF(Q521=1,INDEX(新属性投放!T$20:T$23,卡牌属性!M521-1),INDEX(新属性投放!T$25:T$28,卡牌属性!M521-1)))*SQRT(INDEX($I$5:$I$42,L521)),2)</f>
        <v>67223</v>
      </c>
      <c r="Y521" s="29" t="s">
        <v>177</v>
      </c>
      <c r="Z521" s="14">
        <f>ROUND(IF(Q521=1,INDEX(新属性投放!$D$14:$D$34,卡牌属性!R521),INDEX(新属性投放!$D$42:$D$62,卡牌属性!R521))*INDEX($G$5:$G$42,L521)/SQRT(INDEX($I$5:$I$42,L521)),2)</f>
        <v>303.72000000000003</v>
      </c>
      <c r="AA521" s="29" t="s">
        <v>178</v>
      </c>
      <c r="AB521" s="14">
        <f>ROUND(IF(Q521=1,INDEX(新属性投放!$E$14:$E$34,卡牌属性!R521),INDEX(新属性投放!$E$42:$E$62,卡牌属性!R521))*INDEX($G$5:$G$42,L521),2)</f>
        <v>151.86000000000001</v>
      </c>
      <c r="AC521" s="29" t="s">
        <v>179</v>
      </c>
      <c r="AD521" s="14">
        <f>ROUND(IF(Q521=1,INDEX(新属性投放!$F$14:$F$34,卡牌属性!R521),INDEX(新属性投放!$F$42:$F$62,卡牌属性!R521))*INDEX($G$5:$G$42,L521)*SQRT(INDEX($I$5:$I$42,L521)),2)</f>
        <v>1366.3</v>
      </c>
      <c r="AF521" s="14">
        <f t="shared" si="153"/>
        <v>3037</v>
      </c>
      <c r="AG521" s="14">
        <f t="shared" si="154"/>
        <v>1518</v>
      </c>
      <c r="AH521" s="14">
        <f t="shared" si="155"/>
        <v>13663</v>
      </c>
      <c r="AJ521" s="14">
        <f t="shared" si="144"/>
        <v>12727</v>
      </c>
      <c r="AK521" s="14">
        <f t="shared" si="145"/>
        <v>6360</v>
      </c>
      <c r="AL521" s="14">
        <f t="shared" si="146"/>
        <v>57239</v>
      </c>
    </row>
    <row r="522" spans="11:38" ht="16.5" x14ac:dyDescent="0.2">
      <c r="K522" s="13">
        <v>519</v>
      </c>
      <c r="L522" s="13">
        <f t="shared" si="147"/>
        <v>25</v>
      </c>
      <c r="M522" s="13">
        <f t="shared" si="148"/>
        <v>4</v>
      </c>
      <c r="N522" s="14">
        <f t="shared" si="149"/>
        <v>1102009</v>
      </c>
      <c r="O522" s="14" t="str">
        <f t="shared" si="150"/>
        <v>徐晃15突</v>
      </c>
      <c r="P522" s="29" t="s">
        <v>341</v>
      </c>
      <c r="Q522" s="14">
        <f t="shared" si="151"/>
        <v>2</v>
      </c>
      <c r="R522" s="14">
        <f t="shared" si="152"/>
        <v>15</v>
      </c>
      <c r="S522" s="14" t="s">
        <v>39</v>
      </c>
      <c r="T522" s="14">
        <f>ROUND(((IF(Q522=1,INDEX(新属性投放!$J$14:$J$34,卡牌属性!R522),INDEX(新属性投放!$J$42:$J$62,卡牌属性!R522)))*INDEX($G$5:$G$42,L522)+IF(Q522=1,INDEX(新属性投放!R$20:R$23,卡牌属性!M522-1),INDEX(新属性投放!R$25:R$28,卡牌属性!M522-1)))/SQRT(INDEX($I$5:$I$42,L522)),2)</f>
        <v>16509.52</v>
      </c>
      <c r="U522" s="29" t="s">
        <v>178</v>
      </c>
      <c r="V522" s="14">
        <f>ROUND((IF(Q522=1,INDEX(新属性投放!$K$14:$K$34,卡牌属性!R522),INDEX(新属性投放!$K$42:$K$62,卡牌属性!R522))+IF(Q522=1,INDEX(新属性投放!S$20:S$23,卡牌属性!M522-1),INDEX(新属性投放!S$25:S$28,卡牌属性!M522-1)))*INDEX($G$5:$G$42,L522),2)</f>
        <v>8077.81</v>
      </c>
      <c r="W522" s="29" t="s">
        <v>179</v>
      </c>
      <c r="X522" s="14">
        <f>ROUND((IF(Q522=1,INDEX(新属性投放!$L$14:$L$34,卡牌属性!R522),INDEX(新属性投放!$L$42:$L$62,卡牌属性!R522))*INDEX($G$5:$G$42,L522)+IF(Q522=1,INDEX(新属性投放!T$20:T$23,卡牌属性!M522-1),INDEX(新属性投放!T$25:T$28,卡牌属性!M522-1)))*SQRT(INDEX($I$5:$I$42,L522)),2)</f>
        <v>87718.8</v>
      </c>
      <c r="Y522" s="29" t="s">
        <v>177</v>
      </c>
      <c r="Z522" s="14">
        <f>ROUND(IF(Q522=1,INDEX(新属性投放!$D$14:$D$34,卡牌属性!R522),INDEX(新属性投放!$D$42:$D$62,卡牌属性!R522))*INDEX($G$5:$G$42,L522)/SQRT(INDEX($I$5:$I$42,L522)),2)</f>
        <v>398.63</v>
      </c>
      <c r="AA522" s="29" t="s">
        <v>178</v>
      </c>
      <c r="AB522" s="14">
        <f>ROUND(IF(Q522=1,INDEX(新属性投放!$E$14:$E$34,卡牌属性!R522),INDEX(新属性投放!$E$42:$E$62,卡牌属性!R522))*INDEX($G$5:$G$42,L522),2)</f>
        <v>199.32</v>
      </c>
      <c r="AC522" s="29" t="s">
        <v>179</v>
      </c>
      <c r="AD522" s="14">
        <f>ROUND(IF(Q522=1,INDEX(新属性投放!$F$14:$F$34,卡牌属性!R522),INDEX(新属性投放!$F$42:$F$62,卡牌属性!R522))*INDEX($G$5:$G$42,L522)*SQRT(INDEX($I$5:$I$42,L522)),2)</f>
        <v>1792.7</v>
      </c>
      <c r="AF522" s="14">
        <f t="shared" si="153"/>
        <v>3986</v>
      </c>
      <c r="AG522" s="14">
        <f t="shared" si="154"/>
        <v>1993</v>
      </c>
      <c r="AH522" s="14">
        <f t="shared" si="155"/>
        <v>17927</v>
      </c>
      <c r="AJ522" s="14">
        <f t="shared" si="144"/>
        <v>16713</v>
      </c>
      <c r="AK522" s="14">
        <f t="shared" si="145"/>
        <v>8353</v>
      </c>
      <c r="AL522" s="14">
        <f t="shared" si="146"/>
        <v>75166</v>
      </c>
    </row>
    <row r="523" spans="11:38" ht="16.5" x14ac:dyDescent="0.2">
      <c r="K523" s="13">
        <v>520</v>
      </c>
      <c r="L523" s="13">
        <f t="shared" si="147"/>
        <v>25</v>
      </c>
      <c r="M523" s="13">
        <f t="shared" si="148"/>
        <v>4</v>
      </c>
      <c r="N523" s="14">
        <f t="shared" si="149"/>
        <v>1102009</v>
      </c>
      <c r="O523" s="14" t="str">
        <f t="shared" si="150"/>
        <v>徐晃16突</v>
      </c>
      <c r="P523" s="29" t="s">
        <v>341</v>
      </c>
      <c r="Q523" s="14">
        <f t="shared" si="151"/>
        <v>2</v>
      </c>
      <c r="R523" s="14">
        <f t="shared" si="152"/>
        <v>16</v>
      </c>
      <c r="S523" s="14" t="s">
        <v>39</v>
      </c>
      <c r="T523" s="14">
        <f>ROUND(((IF(Q523=1,INDEX(新属性投放!$J$14:$J$34,卡牌属性!R523),INDEX(新属性投放!$J$42:$J$62,卡牌属性!R523)))*INDEX($G$5:$G$42,L523)+IF(Q523=1,INDEX(新属性投放!R$20:R$23,卡牌属性!M523-1),INDEX(新属性投放!R$25:R$28,卡牌属性!M523-1)))/SQRT(INDEX($I$5:$I$42,L523)),2)</f>
        <v>21492.94</v>
      </c>
      <c r="U523" s="29" t="s">
        <v>178</v>
      </c>
      <c r="V523" s="14">
        <f>ROUND((IF(Q523=1,INDEX(新属性投放!$K$14:$K$34,卡牌属性!R523),INDEX(新属性投放!$K$42:$K$62,卡牌属性!R523))+IF(Q523=1,INDEX(新属性投放!S$20:S$23,卡牌属性!M523-1),INDEX(新属性投放!S$25:S$28,卡牌属性!M523-1)))*INDEX($G$5:$G$42,L523),2)</f>
        <v>10568.87</v>
      </c>
      <c r="W523" s="29" t="s">
        <v>179</v>
      </c>
      <c r="X523" s="14">
        <f>ROUND((IF(Q523=1,INDEX(新属性投放!$L$14:$L$34,卡牌属性!R523),INDEX(新属性投放!$L$42:$L$62,卡牌属性!R523))*INDEX($G$5:$G$42,L523)+IF(Q523=1,INDEX(新属性投放!T$20:T$23,卡牌属性!M523-1),INDEX(新属性投放!T$25:T$28,卡牌属性!M523-1)))*SQRT(INDEX($I$5:$I$42,L523)),2)</f>
        <v>114619.7</v>
      </c>
      <c r="Y523" s="29" t="s">
        <v>177</v>
      </c>
      <c r="Z523" s="14">
        <f>ROUND(IF(Q523=1,INDEX(新属性投放!$D$14:$D$34,卡牌属性!R523),INDEX(新属性投放!$D$42:$D$62,卡牌属性!R523))*INDEX($G$5:$G$42,L523)/SQRT(INDEX($I$5:$I$42,L523)),2)</f>
        <v>523.21</v>
      </c>
      <c r="AA523" s="29" t="s">
        <v>178</v>
      </c>
      <c r="AB523" s="14">
        <f>ROUND(IF(Q523=1,INDEX(新属性投放!$E$14:$E$34,卡牌属性!R523),INDEX(新属性投放!$E$42:$E$62,卡牌属性!R523))*INDEX($G$5:$G$42,L523),2)</f>
        <v>261.61</v>
      </c>
      <c r="AC523" s="29" t="s">
        <v>179</v>
      </c>
      <c r="AD523" s="14">
        <f>ROUND(IF(Q523=1,INDEX(新属性投放!$F$14:$F$34,卡牌属性!R523),INDEX(新属性投放!$F$42:$F$62,卡牌属性!R523))*INDEX($G$5:$G$42,L523)*SQRT(INDEX($I$5:$I$42,L523)),2)</f>
        <v>2354.3000000000002</v>
      </c>
      <c r="AF523" s="14">
        <f t="shared" si="153"/>
        <v>5232</v>
      </c>
      <c r="AG523" s="14">
        <f t="shared" si="154"/>
        <v>2616</v>
      </c>
      <c r="AH523" s="14">
        <f t="shared" si="155"/>
        <v>23543</v>
      </c>
      <c r="AJ523" s="14">
        <f t="shared" si="144"/>
        <v>21945</v>
      </c>
      <c r="AK523" s="14">
        <f t="shared" si="145"/>
        <v>10969</v>
      </c>
      <c r="AL523" s="14">
        <f t="shared" si="146"/>
        <v>98709</v>
      </c>
    </row>
    <row r="524" spans="11:38" ht="16.5" x14ac:dyDescent="0.2">
      <c r="K524" s="13">
        <v>521</v>
      </c>
      <c r="L524" s="13">
        <f t="shared" si="147"/>
        <v>25</v>
      </c>
      <c r="M524" s="13">
        <f t="shared" si="148"/>
        <v>4</v>
      </c>
      <c r="N524" s="14">
        <f t="shared" si="149"/>
        <v>1102009</v>
      </c>
      <c r="O524" s="14" t="str">
        <f t="shared" si="150"/>
        <v>徐晃17突</v>
      </c>
      <c r="P524" s="29" t="s">
        <v>341</v>
      </c>
      <c r="Q524" s="14">
        <f t="shared" si="151"/>
        <v>2</v>
      </c>
      <c r="R524" s="14">
        <f t="shared" si="152"/>
        <v>17</v>
      </c>
      <c r="S524" s="14" t="s">
        <v>39</v>
      </c>
      <c r="T524" s="14">
        <f>ROUND(((IF(Q524=1,INDEX(新属性投放!$J$14:$J$34,卡牌属性!R524),INDEX(新属性投放!$J$42:$J$62,卡牌属性!R524)))*INDEX($G$5:$G$42,L524)+IF(Q524=1,INDEX(新属性投放!R$20:R$23,卡牌属性!M524-1),INDEX(新属性投放!R$25:R$28,卡牌属性!M524-1)))/SQRT(INDEX($I$5:$I$42,L524)),2)</f>
        <v>28032.85</v>
      </c>
      <c r="U524" s="29" t="s">
        <v>178</v>
      </c>
      <c r="V524" s="14">
        <f>ROUND((IF(Q524=1,INDEX(新属性投放!$K$14:$K$34,卡牌属性!R524),INDEX(新属性投放!$K$42:$K$62,卡牌属性!R524))+IF(Q524=1,INDEX(新属性投放!S$20:S$23,卡牌属性!M524-1),INDEX(新属性投放!S$25:S$28,卡牌属性!M524-1)))*INDEX($G$5:$G$42,L524),2)</f>
        <v>13838.83</v>
      </c>
      <c r="W524" s="29" t="s">
        <v>179</v>
      </c>
      <c r="X524" s="14">
        <f>ROUND((IF(Q524=1,INDEX(新属性投放!$L$14:$L$34,卡牌属性!R524),INDEX(新属性投放!$L$42:$L$62,卡牌属性!R524))*INDEX($G$5:$G$42,L524)+IF(Q524=1,INDEX(新属性投放!T$20:T$23,卡牌属性!M524-1),INDEX(新属性投放!T$25:T$28,卡牌属性!M524-1)))*SQRT(INDEX($I$5:$I$42,L524)),2)</f>
        <v>149932.9</v>
      </c>
      <c r="Y524" s="29" t="s">
        <v>177</v>
      </c>
      <c r="Z524" s="14">
        <f>ROUND(IF(Q524=1,INDEX(新属性投放!$D$14:$D$34,卡牌属性!R524),INDEX(新属性投放!$D$42:$D$62,卡牌属性!R524))*INDEX($G$5:$G$42,L524)/SQRT(INDEX($I$5:$I$42,L524)),2)</f>
        <v>686.71</v>
      </c>
      <c r="AA524" s="29" t="s">
        <v>178</v>
      </c>
      <c r="AB524" s="14">
        <f>ROUND(IF(Q524=1,INDEX(新属性投放!$E$14:$E$34,卡牌属性!R524),INDEX(新属性投放!$E$42:$E$62,卡牌属性!R524))*INDEX($G$5:$G$42,L524),2)</f>
        <v>343.36</v>
      </c>
      <c r="AC524" s="29" t="s">
        <v>179</v>
      </c>
      <c r="AD524" s="14">
        <f>ROUND(IF(Q524=1,INDEX(新属性投放!$F$14:$F$34,卡牌属性!R524),INDEX(新属性投放!$F$42:$F$62,卡牌属性!R524))*INDEX($G$5:$G$42,L524)*SQRT(INDEX($I$5:$I$42,L524)),2)</f>
        <v>3090.1</v>
      </c>
      <c r="AF524" s="14">
        <f t="shared" si="153"/>
        <v>6867</v>
      </c>
      <c r="AG524" s="14">
        <f t="shared" si="154"/>
        <v>3433</v>
      </c>
      <c r="AH524" s="14">
        <f t="shared" si="155"/>
        <v>30901</v>
      </c>
      <c r="AJ524" s="14">
        <f t="shared" si="144"/>
        <v>28812</v>
      </c>
      <c r="AK524" s="14">
        <f t="shared" si="145"/>
        <v>14402</v>
      </c>
      <c r="AL524" s="14">
        <f t="shared" si="146"/>
        <v>129610</v>
      </c>
    </row>
    <row r="525" spans="11:38" ht="16.5" x14ac:dyDescent="0.2">
      <c r="K525" s="13">
        <v>522</v>
      </c>
      <c r="L525" s="13">
        <f t="shared" si="147"/>
        <v>25</v>
      </c>
      <c r="M525" s="13">
        <f t="shared" si="148"/>
        <v>4</v>
      </c>
      <c r="N525" s="14">
        <f t="shared" si="149"/>
        <v>1102009</v>
      </c>
      <c r="O525" s="14" t="str">
        <f t="shared" si="150"/>
        <v>徐晃18突</v>
      </c>
      <c r="P525" s="29" t="s">
        <v>341</v>
      </c>
      <c r="Q525" s="14">
        <f t="shared" si="151"/>
        <v>2</v>
      </c>
      <c r="R525" s="14">
        <f t="shared" si="152"/>
        <v>18</v>
      </c>
      <c r="S525" s="14" t="s">
        <v>39</v>
      </c>
      <c r="T525" s="14">
        <f>ROUND(((IF(Q525=1,INDEX(新属性投放!$J$14:$J$34,卡牌属性!R525),INDEX(新属性投放!$J$42:$J$62,卡牌属性!R525)))*INDEX($G$5:$G$42,L525)+IF(Q525=1,INDEX(新属性投放!R$20:R$23,卡牌属性!M525-1),INDEX(新属性投放!R$25:R$28,卡牌属性!M525-1)))/SQRT(INDEX($I$5:$I$42,L525)),2)</f>
        <v>36617.269999999997</v>
      </c>
      <c r="U525" s="29" t="s">
        <v>178</v>
      </c>
      <c r="V525" s="14">
        <f>ROUND((IF(Q525=1,INDEX(新属性投放!$K$14:$K$34,卡牌属性!R525),INDEX(新属性投放!$K$42:$K$62,卡牌属性!R525))+IF(Q525=1,INDEX(新属性投放!S$20:S$23,卡牌属性!M525-1),INDEX(新属性投放!S$25:S$28,卡牌属性!M525-1)))*INDEX($G$5:$G$42,L525),2)</f>
        <v>18130.39</v>
      </c>
      <c r="W525" s="29" t="s">
        <v>179</v>
      </c>
      <c r="X525" s="14">
        <f>ROUND((IF(Q525=1,INDEX(新属性投放!$L$14:$L$34,卡牌属性!R525),INDEX(新属性投放!$L$42:$L$62,卡牌属性!R525))*INDEX($G$5:$G$42,L525)+IF(Q525=1,INDEX(新属性投放!T$20:T$23,卡牌属性!M525-1),INDEX(新属性投放!T$25:T$28,卡牌属性!M525-1)))*SQRT(INDEX($I$5:$I$42,L525)),2)</f>
        <v>196289.6</v>
      </c>
      <c r="Y525" s="29" t="s">
        <v>177</v>
      </c>
      <c r="Z525" s="14">
        <f>ROUND(IF(Q525=1,INDEX(新属性投放!$D$14:$D$34,卡牌属性!R525),INDEX(新属性投放!$D$42:$D$62,卡牌属性!R525))*INDEX($G$5:$G$42,L525)/SQRT(INDEX($I$5:$I$42,L525)),2)</f>
        <v>901.32</v>
      </c>
      <c r="AA525" s="29" t="s">
        <v>178</v>
      </c>
      <c r="AB525" s="14">
        <f>ROUND(IF(Q525=1,INDEX(新属性投放!$E$14:$E$34,卡牌属性!R525),INDEX(新属性投放!$E$42:$E$62,卡牌属性!R525))*INDEX($G$5:$G$42,L525),2)</f>
        <v>450.66</v>
      </c>
      <c r="AC525" s="29" t="s">
        <v>179</v>
      </c>
      <c r="AD525" s="14">
        <f>ROUND(IF(Q525=1,INDEX(新属性投放!$F$14:$F$34,卡牌属性!R525),INDEX(新属性投放!$F$42:$F$62,卡牌属性!R525))*INDEX($G$5:$G$42,L525)*SQRT(INDEX($I$5:$I$42,L525)),2)</f>
        <v>4054.7</v>
      </c>
      <c r="AF525" s="14">
        <f t="shared" si="153"/>
        <v>9013</v>
      </c>
      <c r="AG525" s="14">
        <f t="shared" si="154"/>
        <v>4506</v>
      </c>
      <c r="AH525" s="14">
        <f t="shared" si="155"/>
        <v>40547</v>
      </c>
      <c r="AJ525" s="14">
        <f t="shared" si="144"/>
        <v>37825</v>
      </c>
      <c r="AK525" s="14">
        <f t="shared" si="145"/>
        <v>18908</v>
      </c>
      <c r="AL525" s="14">
        <f t="shared" si="146"/>
        <v>170157</v>
      </c>
    </row>
    <row r="526" spans="11:38" ht="16.5" x14ac:dyDescent="0.2">
      <c r="K526" s="13">
        <v>523</v>
      </c>
      <c r="L526" s="13">
        <f t="shared" si="147"/>
        <v>25</v>
      </c>
      <c r="M526" s="13">
        <f t="shared" si="148"/>
        <v>4</v>
      </c>
      <c r="N526" s="14">
        <f t="shared" si="149"/>
        <v>1102009</v>
      </c>
      <c r="O526" s="14" t="str">
        <f t="shared" si="150"/>
        <v>徐晃19突</v>
      </c>
      <c r="P526" s="29" t="s">
        <v>341</v>
      </c>
      <c r="Q526" s="14">
        <f t="shared" si="151"/>
        <v>2</v>
      </c>
      <c r="R526" s="14">
        <f t="shared" si="152"/>
        <v>19</v>
      </c>
      <c r="S526" s="14" t="s">
        <v>39</v>
      </c>
      <c r="T526" s="14">
        <f>ROUND(((IF(Q526=1,INDEX(新属性投放!$J$14:$J$34,卡牌属性!R526),INDEX(新属性投放!$J$42:$J$62,卡牌属性!R526)))*INDEX($G$5:$G$42,L526)+IF(Q526=1,INDEX(新属性投放!R$20:R$23,卡牌属性!M526-1),INDEX(新属性投放!R$25:R$28,卡牌属性!M526-1)))/SQRT(INDEX($I$5:$I$42,L526)),2)</f>
        <v>47883.33</v>
      </c>
      <c r="U526" s="29" t="s">
        <v>178</v>
      </c>
      <c r="V526" s="14">
        <f>ROUND((IF(Q526=1,INDEX(新属性投放!$K$14:$K$34,卡牌属性!R526),INDEX(新属性投放!$K$42:$K$62,卡牌属性!R526))+IF(Q526=1,INDEX(新属性投放!S$20:S$23,卡牌属性!M526-1),INDEX(新属性投放!S$25:S$28,卡牌属性!M526-1)))*INDEX($G$5:$G$42,L526),2)</f>
        <v>23764.07</v>
      </c>
      <c r="W526" s="29" t="s">
        <v>179</v>
      </c>
      <c r="X526" s="14">
        <f>ROUND((IF(Q526=1,INDEX(新属性投放!$L$14:$L$34,卡牌属性!R526),INDEX(新属性投放!$L$42:$L$62,卡牌属性!R526))*INDEX($G$5:$G$42,L526)+IF(Q526=1,INDEX(新属性投放!T$20:T$23,卡牌属性!M526-1),INDEX(新属性投放!T$25:T$28,卡牌属性!M526-1)))*SQRT(INDEX($I$5:$I$42,L526)),2)</f>
        <v>257112.7</v>
      </c>
      <c r="Y526" s="29" t="s">
        <v>177</v>
      </c>
      <c r="Z526" s="14">
        <f>ROUND(IF(Q526=1,INDEX(新属性投放!$D$14:$D$34,卡牌属性!R526),INDEX(新属性投放!$D$42:$D$62,卡牌属性!R526))*INDEX($G$5:$G$42,L526)/SQRT(INDEX($I$5:$I$42,L526)),2)</f>
        <v>1182.97</v>
      </c>
      <c r="AA526" s="29" t="s">
        <v>178</v>
      </c>
      <c r="AB526" s="14">
        <f>ROUND(IF(Q526=1,INDEX(新属性投放!$E$14:$E$34,卡牌属性!R526),INDEX(新属性投放!$E$42:$E$62,卡牌属性!R526))*INDEX($G$5:$G$42,L526),2)</f>
        <v>591.49</v>
      </c>
      <c r="AC526" s="29" t="s">
        <v>179</v>
      </c>
      <c r="AD526" s="14">
        <f>ROUND(IF(Q526=1,INDEX(新属性投放!$F$14:$F$34,卡牌属性!R526),INDEX(新属性投放!$F$42:$F$62,卡牌属性!R526))*INDEX($G$5:$G$42,L526)*SQRT(INDEX($I$5:$I$42,L526)),2)</f>
        <v>5322.2</v>
      </c>
      <c r="AF526" s="14">
        <f t="shared" si="153"/>
        <v>11829</v>
      </c>
      <c r="AG526" s="14">
        <f t="shared" si="154"/>
        <v>5914</v>
      </c>
      <c r="AH526" s="14">
        <f t="shared" si="155"/>
        <v>53222</v>
      </c>
      <c r="AJ526" s="14">
        <f t="shared" si="144"/>
        <v>49654</v>
      </c>
      <c r="AK526" s="14">
        <f t="shared" si="145"/>
        <v>24822</v>
      </c>
      <c r="AL526" s="14">
        <f t="shared" si="146"/>
        <v>223379</v>
      </c>
    </row>
    <row r="527" spans="11:38" ht="16.5" x14ac:dyDescent="0.2">
      <c r="K527" s="13">
        <v>524</v>
      </c>
      <c r="L527" s="13">
        <f t="shared" si="147"/>
        <v>25</v>
      </c>
      <c r="M527" s="13">
        <f t="shared" si="148"/>
        <v>4</v>
      </c>
      <c r="N527" s="14">
        <f t="shared" si="149"/>
        <v>1102009</v>
      </c>
      <c r="O527" s="14" t="str">
        <f t="shared" si="150"/>
        <v>徐晃20突</v>
      </c>
      <c r="P527" s="29" t="s">
        <v>341</v>
      </c>
      <c r="Q527" s="14">
        <f t="shared" si="151"/>
        <v>2</v>
      </c>
      <c r="R527" s="14">
        <f t="shared" si="152"/>
        <v>20</v>
      </c>
      <c r="S527" s="14" t="s">
        <v>39</v>
      </c>
      <c r="T527" s="14">
        <f>ROUND(((IF(Q527=1,INDEX(新属性投放!$J$14:$J$34,卡牌属性!R527),INDEX(新属性投放!$J$42:$J$62,卡牌属性!R527)))*INDEX($G$5:$G$42,L527)+IF(Q527=1,INDEX(新属性投放!R$20:R$23,卡牌属性!M527-1),INDEX(新属性投放!R$25:R$28,卡牌属性!M527-1)))/SQRT(INDEX($I$5:$I$42,L527)),2)</f>
        <v>62670.57</v>
      </c>
      <c r="U527" s="29" t="s">
        <v>178</v>
      </c>
      <c r="V527" s="14">
        <f>ROUND((IF(Q527=1,INDEX(新属性投放!$K$14:$K$34,卡牌属性!R527),INDEX(新属性投放!$K$42:$K$62,卡牌属性!R527))+IF(Q527=1,INDEX(新属性投放!S$20:S$23,卡牌属性!M527-1),INDEX(新属性投放!S$25:S$28,卡牌属性!M527-1)))*INDEX($G$5:$G$42,L527),2)</f>
        <v>31157.040000000001</v>
      </c>
      <c r="W527" s="29" t="s">
        <v>179</v>
      </c>
      <c r="X527" s="14">
        <f>ROUND((IF(Q527=1,INDEX(新属性投放!$L$14:$L$34,卡牌属性!R527),INDEX(新属性投放!$L$42:$L$62,卡牌属性!R527))*INDEX($G$5:$G$42,L527)+IF(Q527=1,INDEX(新属性投放!T$20:T$23,卡牌属性!M527-1),INDEX(新属性投放!T$25:T$28,卡牌属性!M527-1)))*SQRT(INDEX($I$5:$I$42,L527)),2)</f>
        <v>336952.2</v>
      </c>
      <c r="Y527" s="29" t="s">
        <v>177</v>
      </c>
      <c r="Z527" s="14">
        <f>ROUND(IF(Q527=1,INDEX(新属性投放!$D$14:$D$34,卡牌属性!R527),INDEX(新属性投放!$D$42:$D$62,卡牌属性!R527))*INDEX($G$5:$G$42,L527)/SQRT(INDEX($I$5:$I$42,L527)),2)</f>
        <v>1552.66</v>
      </c>
      <c r="AA527" s="29" t="s">
        <v>178</v>
      </c>
      <c r="AB527" s="14">
        <f>ROUND(IF(Q527=1,INDEX(新属性投放!$E$14:$E$34,卡牌属性!R527),INDEX(新属性投放!$E$42:$E$62,卡牌属性!R527))*INDEX($G$5:$G$42,L527),2)</f>
        <v>776.33</v>
      </c>
      <c r="AC527" s="29" t="s">
        <v>179</v>
      </c>
      <c r="AD527" s="14">
        <f>ROUND(IF(Q527=1,INDEX(新属性投放!$F$14:$F$34,卡牌属性!R527),INDEX(新属性投放!$F$42:$F$62,卡牌属性!R527))*INDEX($G$5:$G$42,L527)*SQRT(INDEX($I$5:$I$42,L527)),2)</f>
        <v>6986.2</v>
      </c>
      <c r="AF527" s="14">
        <f t="shared" si="153"/>
        <v>15526</v>
      </c>
      <c r="AG527" s="14">
        <f t="shared" si="154"/>
        <v>7763</v>
      </c>
      <c r="AH527" s="14">
        <f t="shared" si="155"/>
        <v>69862</v>
      </c>
      <c r="AJ527" s="14">
        <f t="shared" si="144"/>
        <v>65180</v>
      </c>
      <c r="AK527" s="14">
        <f t="shared" si="145"/>
        <v>32585</v>
      </c>
      <c r="AL527" s="14">
        <f t="shared" si="146"/>
        <v>293241</v>
      </c>
    </row>
    <row r="528" spans="11:38" ht="16.5" x14ac:dyDescent="0.2">
      <c r="K528" s="13">
        <v>525</v>
      </c>
      <c r="L528" s="13">
        <f t="shared" si="147"/>
        <v>25</v>
      </c>
      <c r="M528" s="13">
        <f t="shared" si="148"/>
        <v>4</v>
      </c>
      <c r="N528" s="14">
        <f t="shared" si="149"/>
        <v>1102009</v>
      </c>
      <c r="O528" s="14" t="str">
        <f t="shared" si="150"/>
        <v>徐晃21突</v>
      </c>
      <c r="P528" s="29" t="s">
        <v>341</v>
      </c>
      <c r="Q528" s="14">
        <f t="shared" si="151"/>
        <v>2</v>
      </c>
      <c r="R528" s="14">
        <f t="shared" si="152"/>
        <v>21</v>
      </c>
      <c r="S528" s="14" t="s">
        <v>39</v>
      </c>
      <c r="T528" s="14">
        <f>ROUND(((IF(Q528=1,INDEX(新属性投放!$J$14:$J$34,卡牌属性!R528),INDEX(新属性投放!$J$42:$J$62,卡牌属性!R528)))*INDEX($G$5:$G$42,L528)+IF(Q528=1,INDEX(新属性投放!R$20:R$23,卡牌属性!M528-1),INDEX(新属性投放!R$25:R$28,卡牌属性!M528-1)))/SQRT(INDEX($I$5:$I$42,L528)),2)</f>
        <v>82078.92</v>
      </c>
      <c r="U528" s="29" t="s">
        <v>178</v>
      </c>
      <c r="V528" s="14">
        <f>ROUND((IF(Q528=1,INDEX(新属性投放!$K$14:$K$34,卡牌属性!R528),INDEX(新属性投放!$K$42:$K$62,卡牌属性!R528))+IF(Q528=1,INDEX(新属性投放!S$20:S$23,卡牌属性!M528-1),INDEX(新属性投放!S$25:S$28,卡牌属性!M528-1)))*INDEX($G$5:$G$42,L528),2)</f>
        <v>40861.21</v>
      </c>
      <c r="W528" s="29" t="s">
        <v>179</v>
      </c>
      <c r="X528" s="14">
        <f>ROUND((IF(Q528=1,INDEX(新属性投放!$L$14:$L$34,卡牌属性!R528),INDEX(新属性投放!$L$42:$L$62,卡牌属性!R528))*INDEX($G$5:$G$42,L528)+IF(Q528=1,INDEX(新属性投放!T$20:T$23,卡牌属性!M528-1),INDEX(新属性投放!T$25:T$28,卡牌属性!M528-1)))*SQRT(INDEX($I$5:$I$42,L528)),2)</f>
        <v>441750.4</v>
      </c>
      <c r="Y528" s="29" t="s">
        <v>177</v>
      </c>
      <c r="Z528" s="14">
        <f>ROUND(IF(Q528=1,INDEX(新属性投放!$D$14:$D$34,卡牌属性!R528),INDEX(新属性投放!$D$42:$D$62,卡牌属性!R528))*INDEX($G$5:$G$42,L528)/SQRT(INDEX($I$5:$I$42,L528)),2)</f>
        <v>2037.87</v>
      </c>
      <c r="AA528" s="29" t="s">
        <v>178</v>
      </c>
      <c r="AB528" s="14">
        <f>ROUND(IF(Q528=1,INDEX(新属性投放!$E$14:$E$34,卡牌属性!R528),INDEX(新属性投放!$E$42:$E$62,卡牌属性!R528))*INDEX($G$5:$G$42,L528),2)</f>
        <v>1018.93</v>
      </c>
      <c r="AC528" s="29" t="s">
        <v>179</v>
      </c>
      <c r="AD528" s="14">
        <f>ROUND(IF(Q528=1,INDEX(新属性投放!$F$14:$F$34,卡牌属性!R528),INDEX(新属性投放!$F$42:$F$62,卡牌属性!R528))*INDEX($G$5:$G$42,L528)*SQRT(INDEX($I$5:$I$42,L528)),2)</f>
        <v>9170.2000000000007</v>
      </c>
      <c r="AF528" s="14">
        <f t="shared" si="153"/>
        <v>20378</v>
      </c>
      <c r="AG528" s="14">
        <f t="shared" si="154"/>
        <v>10189</v>
      </c>
      <c r="AH528" s="14">
        <f t="shared" si="155"/>
        <v>91702</v>
      </c>
      <c r="AJ528" s="14">
        <f t="shared" si="144"/>
        <v>85558</v>
      </c>
      <c r="AK528" s="14">
        <f t="shared" si="145"/>
        <v>42774</v>
      </c>
      <c r="AL528" s="14">
        <f t="shared" si="146"/>
        <v>384943</v>
      </c>
    </row>
    <row r="529" spans="11:38" ht="16.5" x14ac:dyDescent="0.2">
      <c r="K529" s="13">
        <v>526</v>
      </c>
      <c r="L529" s="13">
        <f t="shared" si="147"/>
        <v>26</v>
      </c>
      <c r="M529" s="13">
        <f t="shared" si="148"/>
        <v>5</v>
      </c>
      <c r="N529" s="14">
        <f t="shared" si="149"/>
        <v>1102010</v>
      </c>
      <c r="O529" s="14" t="str">
        <f t="shared" si="150"/>
        <v>张郃1突</v>
      </c>
      <c r="P529" s="29" t="s">
        <v>341</v>
      </c>
      <c r="Q529" s="14">
        <f t="shared" si="151"/>
        <v>2</v>
      </c>
      <c r="R529" s="14">
        <f t="shared" si="152"/>
        <v>1</v>
      </c>
      <c r="S529" s="14" t="s">
        <v>39</v>
      </c>
      <c r="T529" s="14">
        <f>ROUND(((IF(Q529=1,INDEX(新属性投放!$J$14:$J$34,卡牌属性!R529),INDEX(新属性投放!$J$42:$J$62,卡牌属性!R529)))*INDEX($G$5:$G$42,L529)+IF(Q529=1,INDEX(新属性投放!R$20:R$23,卡牌属性!M529-1),INDEX(新属性投放!R$25:R$28,卡牌属性!M529-1)))/SQRT(INDEX($I$5:$I$42,L529)),2)</f>
        <v>900</v>
      </c>
      <c r="U529" s="29" t="s">
        <v>178</v>
      </c>
      <c r="V529" s="14">
        <f>ROUND((IF(Q529=1,INDEX(新属性投放!$K$14:$K$34,卡牌属性!R529),INDEX(新属性投放!$K$42:$K$62,卡牌属性!R529))+IF(Q529=1,INDEX(新属性投放!S$20:S$23,卡牌属性!M529-1),INDEX(新属性投放!S$25:S$28,卡牌属性!M529-1)))*INDEX($G$5:$G$42,L529),2)</f>
        <v>150</v>
      </c>
      <c r="W529" s="29" t="s">
        <v>179</v>
      </c>
      <c r="X529" s="14">
        <f>ROUND((IF(Q529=1,INDEX(新属性投放!$L$14:$L$34,卡牌属性!R529),INDEX(新属性投放!$L$42:$L$62,卡牌属性!R529))*INDEX($G$5:$G$42,L529)+IF(Q529=1,INDEX(新属性投放!T$20:T$23,卡牌属性!M529-1),INDEX(新属性投放!T$25:T$28,卡牌属性!M529-1)))*SQRT(INDEX($I$5:$I$42,L529)),2)</f>
        <v>3475</v>
      </c>
      <c r="Y529" s="29" t="s">
        <v>177</v>
      </c>
      <c r="Z529" s="14">
        <f>ROUND(IF(Q529=1,INDEX(新属性投放!$D$14:$D$34,卡牌属性!R529),INDEX(新属性投放!$D$42:$D$62,卡牌属性!R529))*INDEX($G$5:$G$42,L529)/SQRT(INDEX($I$5:$I$42,L529)),2)</f>
        <v>15</v>
      </c>
      <c r="AA529" s="29" t="s">
        <v>178</v>
      </c>
      <c r="AB529" s="14">
        <f>ROUND(IF(Q529=1,INDEX(新属性投放!$E$14:$E$34,卡牌属性!R529),INDEX(新属性投放!$E$42:$E$62,卡牌属性!R529))*INDEX($G$5:$G$42,L529),2)</f>
        <v>7.5</v>
      </c>
      <c r="AC529" s="29" t="s">
        <v>179</v>
      </c>
      <c r="AD529" s="14">
        <f>ROUND(IF(Q529=1,INDEX(新属性投放!$F$14:$F$34,卡牌属性!R529),INDEX(新属性投放!$F$42:$F$62,卡牌属性!R529))*INDEX($G$5:$G$42,L529)*SQRT(INDEX($I$5:$I$42,L529)),2)</f>
        <v>67.5</v>
      </c>
      <c r="AF529" s="14">
        <f t="shared" si="153"/>
        <v>150</v>
      </c>
      <c r="AG529" s="14">
        <f t="shared" si="154"/>
        <v>75</v>
      </c>
      <c r="AH529" s="14">
        <f t="shared" si="155"/>
        <v>675</v>
      </c>
      <c r="AJ529" s="14">
        <f>AF529</f>
        <v>150</v>
      </c>
      <c r="AK529" s="14">
        <f>AG529</f>
        <v>75</v>
      </c>
      <c r="AL529" s="14">
        <f>AH529</f>
        <v>675</v>
      </c>
    </row>
    <row r="530" spans="11:38" ht="16.5" x14ac:dyDescent="0.2">
      <c r="K530" s="13">
        <v>527</v>
      </c>
      <c r="L530" s="13">
        <f t="shared" si="147"/>
        <v>26</v>
      </c>
      <c r="M530" s="13">
        <f t="shared" si="148"/>
        <v>5</v>
      </c>
      <c r="N530" s="14">
        <f t="shared" si="149"/>
        <v>1102010</v>
      </c>
      <c r="O530" s="14" t="str">
        <f t="shared" si="150"/>
        <v>张郃2突</v>
      </c>
      <c r="P530" s="29" t="s">
        <v>341</v>
      </c>
      <c r="Q530" s="14">
        <f t="shared" si="151"/>
        <v>2</v>
      </c>
      <c r="R530" s="14">
        <f t="shared" si="152"/>
        <v>2</v>
      </c>
      <c r="S530" s="14" t="s">
        <v>39</v>
      </c>
      <c r="T530" s="14">
        <f>ROUND(((IF(Q530=1,INDEX(新属性投放!$J$14:$J$34,卡牌属性!R530),INDEX(新属性投放!$J$42:$J$62,卡牌属性!R530)))*INDEX($G$5:$G$42,L530)+IF(Q530=1,INDEX(新属性投放!R$20:R$23,卡牌属性!M530-1),INDEX(新属性投放!R$25:R$28,卡牌属性!M530-1)))/SQRT(INDEX($I$5:$I$42,L530)),2)</f>
        <v>1072.5</v>
      </c>
      <c r="U530" s="29" t="s">
        <v>178</v>
      </c>
      <c r="V530" s="14">
        <f>ROUND((IF(Q530=1,INDEX(新属性投放!$K$14:$K$34,卡牌属性!R530),INDEX(新属性投放!$K$42:$K$62,卡牌属性!R530))+IF(Q530=1,INDEX(新属性投放!S$20:S$23,卡牌属性!M530-1),INDEX(新属性投放!S$25:S$28,卡牌属性!M530-1)))*INDEX($G$5:$G$42,L530),2)</f>
        <v>232.5</v>
      </c>
      <c r="W530" s="29" t="s">
        <v>179</v>
      </c>
      <c r="X530" s="14">
        <f>ROUND((IF(Q530=1,INDEX(新属性投放!$L$14:$L$34,卡牌属性!R530),INDEX(新属性投放!$L$42:$L$62,卡牌属性!R530))*INDEX($G$5:$G$42,L530)+IF(Q530=1,INDEX(新属性投放!T$20:T$23,卡牌属性!M530-1),INDEX(新属性投放!T$25:T$28,卡牌属性!M530-1)))*SQRT(INDEX($I$5:$I$42,L530)),2)</f>
        <v>4420</v>
      </c>
      <c r="Y530" s="29" t="s">
        <v>177</v>
      </c>
      <c r="Z530" s="14">
        <f>ROUND(IF(Q530=1,INDEX(新属性投放!$D$14:$D$34,卡牌属性!R530),INDEX(新属性投放!$D$42:$D$62,卡牌属性!R530))*INDEX($G$5:$G$42,L530)/SQRT(INDEX($I$5:$I$42,L530)),2)</f>
        <v>15</v>
      </c>
      <c r="AA530" s="29" t="s">
        <v>178</v>
      </c>
      <c r="AB530" s="14">
        <f>ROUND(IF(Q530=1,INDEX(新属性投放!$E$14:$E$34,卡牌属性!R530),INDEX(新属性投放!$E$42:$E$62,卡牌属性!R530))*INDEX($G$5:$G$42,L530),2)</f>
        <v>7.5</v>
      </c>
      <c r="AC530" s="29" t="s">
        <v>179</v>
      </c>
      <c r="AD530" s="14">
        <f>ROUND(IF(Q530=1,INDEX(新属性投放!$F$14:$F$34,卡牌属性!R530),INDEX(新属性投放!$F$42:$F$62,卡牌属性!R530))*INDEX($G$5:$G$42,L530)*SQRT(INDEX($I$5:$I$42,L530)),2)</f>
        <v>67.5</v>
      </c>
      <c r="AF530" s="14">
        <f t="shared" si="153"/>
        <v>150</v>
      </c>
      <c r="AG530" s="14">
        <f t="shared" si="154"/>
        <v>75</v>
      </c>
      <c r="AH530" s="14">
        <f t="shared" si="155"/>
        <v>675</v>
      </c>
      <c r="AJ530" s="14">
        <f t="shared" ref="AJ530:AJ549" si="156">AJ529+AF530</f>
        <v>300</v>
      </c>
      <c r="AK530" s="14">
        <f t="shared" ref="AK530:AK549" si="157">AK529+AG530</f>
        <v>150</v>
      </c>
      <c r="AL530" s="14">
        <f t="shared" ref="AL530:AL549" si="158">AL529+AH530</f>
        <v>1350</v>
      </c>
    </row>
    <row r="531" spans="11:38" ht="16.5" x14ac:dyDescent="0.2">
      <c r="K531" s="13">
        <v>528</v>
      </c>
      <c r="L531" s="13">
        <f t="shared" si="147"/>
        <v>26</v>
      </c>
      <c r="M531" s="13">
        <f t="shared" si="148"/>
        <v>5</v>
      </c>
      <c r="N531" s="14">
        <f t="shared" si="149"/>
        <v>1102010</v>
      </c>
      <c r="O531" s="14" t="str">
        <f t="shared" si="150"/>
        <v>张郃3突</v>
      </c>
      <c r="P531" s="29" t="s">
        <v>341</v>
      </c>
      <c r="Q531" s="14">
        <f t="shared" si="151"/>
        <v>2</v>
      </c>
      <c r="R531" s="14">
        <f t="shared" si="152"/>
        <v>3</v>
      </c>
      <c r="S531" s="14" t="s">
        <v>39</v>
      </c>
      <c r="T531" s="14">
        <f>ROUND(((IF(Q531=1,INDEX(新属性投放!$J$14:$J$34,卡牌属性!R531),INDEX(新属性投放!$J$42:$J$62,卡牌属性!R531)))*INDEX($G$5:$G$42,L531)+IF(Q531=1,INDEX(新属性投放!R$20:R$23,卡牌属性!M531-1),INDEX(新属性投放!R$25:R$28,卡牌属性!M531-1)))/SQRT(INDEX($I$5:$I$42,L531)),2)</f>
        <v>1260</v>
      </c>
      <c r="U531" s="29" t="s">
        <v>178</v>
      </c>
      <c r="V531" s="14">
        <f>ROUND((IF(Q531=1,INDEX(新属性投放!$K$14:$K$34,卡牌属性!R531),INDEX(新属性投放!$K$42:$K$62,卡牌属性!R531))+IF(Q531=1,INDEX(新属性投放!S$20:S$23,卡牌属性!M531-1),INDEX(新属性投放!S$25:S$28,卡牌属性!M531-1)))*INDEX($G$5:$G$42,L531),2)</f>
        <v>327</v>
      </c>
      <c r="W531" s="29" t="s">
        <v>179</v>
      </c>
      <c r="X531" s="14">
        <f>ROUND((IF(Q531=1,INDEX(新属性投放!$L$14:$L$34,卡牌属性!R531),INDEX(新属性投放!$L$42:$L$62,卡牌属性!R531))*INDEX($G$5:$G$42,L531)+IF(Q531=1,INDEX(新属性投放!T$20:T$23,卡牌属性!M531-1),INDEX(新属性投放!T$25:T$28,卡牌属性!M531-1)))*SQRT(INDEX($I$5:$I$42,L531)),2)</f>
        <v>5432.5</v>
      </c>
      <c r="Y531" s="29" t="s">
        <v>177</v>
      </c>
      <c r="Z531" s="14">
        <f>ROUND(IF(Q531=1,INDEX(新属性投放!$D$14:$D$34,卡牌属性!R531),INDEX(新属性投放!$D$42:$D$62,卡牌属性!R531))*INDEX($G$5:$G$42,L531)/SQRT(INDEX($I$5:$I$42,L531)),2)</f>
        <v>22.5</v>
      </c>
      <c r="AA531" s="29" t="s">
        <v>178</v>
      </c>
      <c r="AB531" s="14">
        <f>ROUND(IF(Q531=1,INDEX(新属性投放!$E$14:$E$34,卡牌属性!R531),INDEX(新属性投放!$E$42:$E$62,卡牌属性!R531))*INDEX($G$5:$G$42,L531),2)</f>
        <v>11.25</v>
      </c>
      <c r="AC531" s="29" t="s">
        <v>179</v>
      </c>
      <c r="AD531" s="14">
        <f>ROUND(IF(Q531=1,INDEX(新属性投放!$F$14:$F$34,卡牌属性!R531),INDEX(新属性投放!$F$42:$F$62,卡牌属性!R531))*INDEX($G$5:$G$42,L531)*SQRT(INDEX($I$5:$I$42,L531)),2)</f>
        <v>100.5</v>
      </c>
      <c r="AF531" s="14">
        <f t="shared" si="153"/>
        <v>225</v>
      </c>
      <c r="AG531" s="14">
        <f t="shared" si="154"/>
        <v>112</v>
      </c>
      <c r="AH531" s="14">
        <f t="shared" si="155"/>
        <v>1005</v>
      </c>
      <c r="AJ531" s="14">
        <f t="shared" si="156"/>
        <v>525</v>
      </c>
      <c r="AK531" s="14">
        <f t="shared" si="157"/>
        <v>262</v>
      </c>
      <c r="AL531" s="14">
        <f t="shared" si="158"/>
        <v>2355</v>
      </c>
    </row>
    <row r="532" spans="11:38" ht="16.5" x14ac:dyDescent="0.2">
      <c r="K532" s="13">
        <v>529</v>
      </c>
      <c r="L532" s="13">
        <f t="shared" si="147"/>
        <v>26</v>
      </c>
      <c r="M532" s="13">
        <f t="shared" si="148"/>
        <v>5</v>
      </c>
      <c r="N532" s="14">
        <f t="shared" si="149"/>
        <v>1102010</v>
      </c>
      <c r="O532" s="14" t="str">
        <f t="shared" si="150"/>
        <v>张郃4突</v>
      </c>
      <c r="P532" s="29" t="s">
        <v>341</v>
      </c>
      <c r="Q532" s="14">
        <f t="shared" si="151"/>
        <v>2</v>
      </c>
      <c r="R532" s="14">
        <f t="shared" si="152"/>
        <v>4</v>
      </c>
      <c r="S532" s="14" t="s">
        <v>39</v>
      </c>
      <c r="T532" s="14">
        <f>ROUND(((IF(Q532=1,INDEX(新属性投放!$J$14:$J$34,卡牌属性!R532),INDEX(新属性投放!$J$42:$J$62,卡牌属性!R532)))*INDEX($G$5:$G$42,L532)+IF(Q532=1,INDEX(新属性投放!R$20:R$23,卡牌属性!M532-1),INDEX(新属性投放!R$25:R$28,卡牌属性!M532-1)))/SQRT(INDEX($I$5:$I$42,L532)),2)</f>
        <v>1542</v>
      </c>
      <c r="U532" s="29" t="s">
        <v>178</v>
      </c>
      <c r="V532" s="14">
        <f>ROUND((IF(Q532=1,INDEX(新属性投放!$K$14:$K$34,卡牌属性!R532),INDEX(新属性投放!$K$42:$K$62,卡牌属性!R532))+IF(Q532=1,INDEX(新属性投放!S$20:S$23,卡牌属性!M532-1),INDEX(新属性投放!S$25:S$28,卡牌属性!M532-1)))*INDEX($G$5:$G$42,L532),2)</f>
        <v>468</v>
      </c>
      <c r="W532" s="29" t="s">
        <v>179</v>
      </c>
      <c r="X532" s="14">
        <f>ROUND((IF(Q532=1,INDEX(新属性投放!$L$14:$L$34,卡牌属性!R532),INDEX(新属性投放!$L$42:$L$62,卡牌属性!R532))*INDEX($G$5:$G$42,L532)+IF(Q532=1,INDEX(新属性投放!T$20:T$23,卡牌属性!M532-1),INDEX(新属性投放!T$25:T$28,卡牌属性!M532-1)))*SQRT(INDEX($I$5:$I$42,L532)),2)</f>
        <v>6950.5</v>
      </c>
      <c r="Y532" s="29" t="s">
        <v>177</v>
      </c>
      <c r="Z532" s="14">
        <f>ROUND(IF(Q532=1,INDEX(新属性投放!$D$14:$D$34,卡牌属性!R532),INDEX(新属性投放!$D$42:$D$62,卡牌属性!R532))*INDEX($G$5:$G$42,L532)/SQRT(INDEX($I$5:$I$42,L532)),2)</f>
        <v>30</v>
      </c>
      <c r="AA532" s="29" t="s">
        <v>178</v>
      </c>
      <c r="AB532" s="14">
        <f>ROUND(IF(Q532=1,INDEX(新属性投放!$E$14:$E$34,卡牌属性!R532),INDEX(新属性投放!$E$42:$E$62,卡牌属性!R532))*INDEX($G$5:$G$42,L532),2)</f>
        <v>15</v>
      </c>
      <c r="AC532" s="29" t="s">
        <v>179</v>
      </c>
      <c r="AD532" s="14">
        <f>ROUND(IF(Q532=1,INDEX(新属性投放!$F$14:$F$34,卡牌属性!R532),INDEX(新属性投放!$F$42:$F$62,卡牌属性!R532))*INDEX($G$5:$G$42,L532)*SQRT(INDEX($I$5:$I$42,L532)),2)</f>
        <v>135</v>
      </c>
      <c r="AF532" s="14">
        <f t="shared" si="153"/>
        <v>300</v>
      </c>
      <c r="AG532" s="14">
        <f t="shared" si="154"/>
        <v>150</v>
      </c>
      <c r="AH532" s="14">
        <f t="shared" si="155"/>
        <v>1350</v>
      </c>
      <c r="AJ532" s="14">
        <f t="shared" si="156"/>
        <v>825</v>
      </c>
      <c r="AK532" s="14">
        <f t="shared" si="157"/>
        <v>412</v>
      </c>
      <c r="AL532" s="14">
        <f t="shared" si="158"/>
        <v>3705</v>
      </c>
    </row>
    <row r="533" spans="11:38" ht="16.5" x14ac:dyDescent="0.2">
      <c r="K533" s="13">
        <v>530</v>
      </c>
      <c r="L533" s="13">
        <f t="shared" si="147"/>
        <v>26</v>
      </c>
      <c r="M533" s="13">
        <f t="shared" si="148"/>
        <v>5</v>
      </c>
      <c r="N533" s="14">
        <f t="shared" si="149"/>
        <v>1102010</v>
      </c>
      <c r="O533" s="14" t="str">
        <f t="shared" si="150"/>
        <v>张郃5突</v>
      </c>
      <c r="P533" s="29" t="s">
        <v>341</v>
      </c>
      <c r="Q533" s="14">
        <f t="shared" si="151"/>
        <v>2</v>
      </c>
      <c r="R533" s="14">
        <f t="shared" si="152"/>
        <v>5</v>
      </c>
      <c r="S533" s="14" t="s">
        <v>39</v>
      </c>
      <c r="T533" s="14">
        <f>ROUND(((IF(Q533=1,INDEX(新属性投放!$J$14:$J$34,卡牌属性!R533),INDEX(新属性投放!$J$42:$J$62,卡牌属性!R533)))*INDEX($G$5:$G$42,L533)+IF(Q533=1,INDEX(新属性投放!R$20:R$23,卡牌属性!M533-1),INDEX(新属性投放!R$25:R$28,卡牌属性!M533-1)))/SQRT(INDEX($I$5:$I$42,L533)),2)</f>
        <v>1917</v>
      </c>
      <c r="U533" s="29" t="s">
        <v>178</v>
      </c>
      <c r="V533" s="14">
        <f>ROUND((IF(Q533=1,INDEX(新属性投放!$K$14:$K$34,卡牌属性!R533),INDEX(新属性投放!$K$42:$K$62,卡牌属性!R533))+IF(Q533=1,INDEX(新属性投放!S$20:S$23,卡牌属性!M533-1),INDEX(新属性投放!S$25:S$28,卡牌属性!M533-1)))*INDEX($G$5:$G$42,L533),2)</f>
        <v>655.5</v>
      </c>
      <c r="W533" s="29" t="s">
        <v>179</v>
      </c>
      <c r="X533" s="14">
        <f>ROUND((IF(Q533=1,INDEX(新属性投放!$L$14:$L$34,卡牌属性!R533),INDEX(新属性投放!$L$42:$L$62,卡牌属性!R533))*INDEX($G$5:$G$42,L533)+IF(Q533=1,INDEX(新属性投放!T$20:T$23,卡牌属性!M533-1),INDEX(新属性投放!T$25:T$28,卡牌属性!M533-1)))*SQRT(INDEX($I$5:$I$42,L533)),2)</f>
        <v>8975.5</v>
      </c>
      <c r="Y533" s="29" t="s">
        <v>177</v>
      </c>
      <c r="Z533" s="14">
        <f>ROUND(IF(Q533=1,INDEX(新属性投放!$D$14:$D$34,卡牌属性!R533),INDEX(新属性投放!$D$42:$D$62,卡牌属性!R533))*INDEX($G$5:$G$42,L533)/SQRT(INDEX($I$5:$I$42,L533)),2)</f>
        <v>37.5</v>
      </c>
      <c r="AA533" s="29" t="s">
        <v>178</v>
      </c>
      <c r="AB533" s="14">
        <f>ROUND(IF(Q533=1,INDEX(新属性投放!$E$14:$E$34,卡牌属性!R533),INDEX(新属性投放!$E$42:$E$62,卡牌属性!R533))*INDEX($G$5:$G$42,L533),2)</f>
        <v>18.75</v>
      </c>
      <c r="AC533" s="29" t="s">
        <v>179</v>
      </c>
      <c r="AD533" s="14">
        <f>ROUND(IF(Q533=1,INDEX(新属性投放!$F$14:$F$34,卡牌属性!R533),INDEX(新属性投放!$F$42:$F$62,卡牌属性!R533))*INDEX($G$5:$G$42,L533)*SQRT(INDEX($I$5:$I$42,L533)),2)</f>
        <v>168</v>
      </c>
      <c r="AF533" s="14">
        <f t="shared" si="153"/>
        <v>375</v>
      </c>
      <c r="AG533" s="14">
        <f t="shared" si="154"/>
        <v>187</v>
      </c>
      <c r="AH533" s="14">
        <f t="shared" si="155"/>
        <v>1680</v>
      </c>
      <c r="AJ533" s="14">
        <f t="shared" si="156"/>
        <v>1200</v>
      </c>
      <c r="AK533" s="14">
        <f t="shared" si="157"/>
        <v>599</v>
      </c>
      <c r="AL533" s="14">
        <f t="shared" si="158"/>
        <v>5385</v>
      </c>
    </row>
    <row r="534" spans="11:38" ht="16.5" x14ac:dyDescent="0.2">
      <c r="K534" s="13">
        <v>531</v>
      </c>
      <c r="L534" s="13">
        <f t="shared" si="147"/>
        <v>26</v>
      </c>
      <c r="M534" s="13">
        <f t="shared" si="148"/>
        <v>5</v>
      </c>
      <c r="N534" s="14">
        <f t="shared" si="149"/>
        <v>1102010</v>
      </c>
      <c r="O534" s="14" t="str">
        <f t="shared" si="150"/>
        <v>张郃6突</v>
      </c>
      <c r="P534" s="29" t="s">
        <v>341</v>
      </c>
      <c r="Q534" s="14">
        <f t="shared" si="151"/>
        <v>2</v>
      </c>
      <c r="R534" s="14">
        <f t="shared" si="152"/>
        <v>6</v>
      </c>
      <c r="S534" s="14" t="s">
        <v>39</v>
      </c>
      <c r="T534" s="14">
        <f>ROUND(((IF(Q534=1,INDEX(新属性投放!$J$14:$J$34,卡牌属性!R534),INDEX(新属性投放!$J$42:$J$62,卡牌属性!R534)))*INDEX($G$5:$G$42,L534)+IF(Q534=1,INDEX(新属性投放!R$20:R$23,卡牌属性!M534-1),INDEX(新属性投放!R$25:R$28,卡牌属性!M534-1)))/SQRT(INDEX($I$5:$I$42,L534)),2)</f>
        <v>2386.5</v>
      </c>
      <c r="U534" s="29" t="s">
        <v>178</v>
      </c>
      <c r="V534" s="14">
        <f>ROUND((IF(Q534=1,INDEX(新属性投放!$K$14:$K$34,卡牌属性!R534),INDEX(新属性投放!$K$42:$K$62,卡牌属性!R534))+IF(Q534=1,INDEX(新属性投放!S$20:S$23,卡牌属性!M534-1),INDEX(新属性投放!S$25:S$28,卡牌属性!M534-1)))*INDEX($G$5:$G$42,L534),2)</f>
        <v>889.5</v>
      </c>
      <c r="W534" s="29" t="s">
        <v>179</v>
      </c>
      <c r="X534" s="14">
        <f>ROUND((IF(Q534=1,INDEX(新属性投放!$L$14:$L$34,卡牌属性!R534),INDEX(新属性投放!$L$42:$L$62,卡牌属性!R534))*INDEX($G$5:$G$42,L534)+IF(Q534=1,INDEX(新属性投放!T$20:T$23,卡牌属性!M534-1),INDEX(新属性投放!T$25:T$28,卡牌属性!M534-1)))*SQRT(INDEX($I$5:$I$42,L534)),2)</f>
        <v>11506</v>
      </c>
      <c r="Y534" s="29" t="s">
        <v>177</v>
      </c>
      <c r="Z534" s="14">
        <f>ROUND(IF(Q534=1,INDEX(新属性投放!$D$14:$D$34,卡牌属性!R534),INDEX(新属性投放!$D$42:$D$62,卡牌属性!R534))*INDEX($G$5:$G$42,L534)/SQRT(INDEX($I$5:$I$42,L534)),2)</f>
        <v>45</v>
      </c>
      <c r="AA534" s="29" t="s">
        <v>178</v>
      </c>
      <c r="AB534" s="14">
        <f>ROUND(IF(Q534=1,INDEX(新属性投放!$E$14:$E$34,卡牌属性!R534),INDEX(新属性投放!$E$42:$E$62,卡牌属性!R534))*INDEX($G$5:$G$42,L534),2)</f>
        <v>22.5</v>
      </c>
      <c r="AC534" s="29" t="s">
        <v>179</v>
      </c>
      <c r="AD534" s="14">
        <f>ROUND(IF(Q534=1,INDEX(新属性投放!$F$14:$F$34,卡牌属性!R534),INDEX(新属性投放!$F$42:$F$62,卡牌属性!R534))*INDEX($G$5:$G$42,L534)*SQRT(INDEX($I$5:$I$42,L534)),2)</f>
        <v>202.5</v>
      </c>
      <c r="AF534" s="14">
        <f t="shared" si="153"/>
        <v>450</v>
      </c>
      <c r="AG534" s="14">
        <f t="shared" si="154"/>
        <v>225</v>
      </c>
      <c r="AH534" s="14">
        <f t="shared" si="155"/>
        <v>2025</v>
      </c>
      <c r="AJ534" s="14">
        <f t="shared" si="156"/>
        <v>1650</v>
      </c>
      <c r="AK534" s="14">
        <f t="shared" si="157"/>
        <v>824</v>
      </c>
      <c r="AL534" s="14">
        <f t="shared" si="158"/>
        <v>7410</v>
      </c>
    </row>
    <row r="535" spans="11:38" ht="16.5" x14ac:dyDescent="0.2">
      <c r="K535" s="13">
        <v>532</v>
      </c>
      <c r="L535" s="13">
        <f t="shared" si="147"/>
        <v>26</v>
      </c>
      <c r="M535" s="13">
        <f t="shared" si="148"/>
        <v>5</v>
      </c>
      <c r="N535" s="14">
        <f t="shared" si="149"/>
        <v>1102010</v>
      </c>
      <c r="O535" s="14" t="str">
        <f t="shared" si="150"/>
        <v>张郃7突</v>
      </c>
      <c r="P535" s="29" t="s">
        <v>341</v>
      </c>
      <c r="Q535" s="14">
        <f t="shared" si="151"/>
        <v>2</v>
      </c>
      <c r="R535" s="14">
        <f t="shared" si="152"/>
        <v>7</v>
      </c>
      <c r="S535" s="14" t="s">
        <v>39</v>
      </c>
      <c r="T535" s="14">
        <f>ROUND(((IF(Q535=1,INDEX(新属性投放!$J$14:$J$34,卡牌属性!R535),INDEX(新属性投放!$J$42:$J$62,卡牌属性!R535)))*INDEX($G$5:$G$42,L535)+IF(Q535=1,INDEX(新属性投放!R$20:R$23,卡牌属性!M535-1),INDEX(新属性投放!R$25:R$28,卡牌属性!M535-1)))/SQRT(INDEX($I$5:$I$42,L535)),2)</f>
        <v>2949</v>
      </c>
      <c r="U535" s="29" t="s">
        <v>178</v>
      </c>
      <c r="V535" s="14">
        <f>ROUND((IF(Q535=1,INDEX(新属性投放!$K$14:$K$34,卡牌属性!R535),INDEX(新属性投放!$K$42:$K$62,卡牌属性!R535))+IF(Q535=1,INDEX(新属性投放!S$20:S$23,卡牌属性!M535-1),INDEX(新属性投放!S$25:S$28,卡牌属性!M535-1)))*INDEX($G$5:$G$42,L535),2)</f>
        <v>1171.5</v>
      </c>
      <c r="W535" s="29" t="s">
        <v>179</v>
      </c>
      <c r="X535" s="14">
        <f>ROUND((IF(Q535=1,INDEX(新属性投放!$L$14:$L$34,卡牌属性!R535),INDEX(新属性投放!$L$42:$L$62,卡牌属性!R535))*INDEX($G$5:$G$42,L535)+IF(Q535=1,INDEX(新属性投放!T$20:T$23,卡牌属性!M535-1),INDEX(新属性投放!T$25:T$28,卡牌属性!M535-1)))*SQRT(INDEX($I$5:$I$42,L535)),2)</f>
        <v>14543.5</v>
      </c>
      <c r="Y535" s="29" t="s">
        <v>177</v>
      </c>
      <c r="Z535" s="14">
        <f>ROUND(IF(Q535=1,INDEX(新属性投放!$D$14:$D$34,卡牌属性!R535),INDEX(新属性投放!$D$42:$D$62,卡牌属性!R535))*INDEX($G$5:$G$42,L535)/SQRT(INDEX($I$5:$I$42,L535)),2)</f>
        <v>52.5</v>
      </c>
      <c r="AA535" s="29" t="s">
        <v>178</v>
      </c>
      <c r="AB535" s="14">
        <f>ROUND(IF(Q535=1,INDEX(新属性投放!$E$14:$E$34,卡牌属性!R535),INDEX(新属性投放!$E$42:$E$62,卡牌属性!R535))*INDEX($G$5:$G$42,L535),2)</f>
        <v>26.25</v>
      </c>
      <c r="AC535" s="29" t="s">
        <v>179</v>
      </c>
      <c r="AD535" s="14">
        <f>ROUND(IF(Q535=1,INDEX(新属性投放!$F$14:$F$34,卡牌属性!R535),INDEX(新属性投放!$F$42:$F$62,卡牌属性!R535))*INDEX($G$5:$G$42,L535)*SQRT(INDEX($I$5:$I$42,L535)),2)</f>
        <v>235.5</v>
      </c>
      <c r="AF535" s="14">
        <f t="shared" si="153"/>
        <v>525</v>
      </c>
      <c r="AG535" s="14">
        <f t="shared" si="154"/>
        <v>262</v>
      </c>
      <c r="AH535" s="14">
        <f t="shared" si="155"/>
        <v>2355</v>
      </c>
      <c r="AJ535" s="14">
        <f t="shared" si="156"/>
        <v>2175</v>
      </c>
      <c r="AK535" s="14">
        <f t="shared" si="157"/>
        <v>1086</v>
      </c>
      <c r="AL535" s="14">
        <f t="shared" si="158"/>
        <v>9765</v>
      </c>
    </row>
    <row r="536" spans="11:38" ht="16.5" x14ac:dyDescent="0.2">
      <c r="K536" s="13">
        <v>533</v>
      </c>
      <c r="L536" s="13">
        <f t="shared" si="147"/>
        <v>26</v>
      </c>
      <c r="M536" s="13">
        <f t="shared" si="148"/>
        <v>5</v>
      </c>
      <c r="N536" s="14">
        <f t="shared" si="149"/>
        <v>1102010</v>
      </c>
      <c r="O536" s="14" t="str">
        <f t="shared" si="150"/>
        <v>张郃8突</v>
      </c>
      <c r="P536" s="29" t="s">
        <v>341</v>
      </c>
      <c r="Q536" s="14">
        <f t="shared" si="151"/>
        <v>2</v>
      </c>
      <c r="R536" s="14">
        <f t="shared" si="152"/>
        <v>8</v>
      </c>
      <c r="S536" s="14" t="s">
        <v>39</v>
      </c>
      <c r="T536" s="14">
        <f>ROUND(((IF(Q536=1,INDEX(新属性投放!$J$14:$J$34,卡牌属性!R536),INDEX(新属性投放!$J$42:$J$62,卡牌属性!R536)))*INDEX($G$5:$G$42,L536)+IF(Q536=1,INDEX(新属性投放!R$20:R$23,卡牌属性!M536-1),INDEX(新属性投放!R$25:R$28,卡牌属性!M536-1)))/SQRT(INDEX($I$5:$I$42,L536)),2)</f>
        <v>3606</v>
      </c>
      <c r="U536" s="29" t="s">
        <v>178</v>
      </c>
      <c r="V536" s="14">
        <f>ROUND((IF(Q536=1,INDEX(新属性投放!$K$14:$K$34,卡牌属性!R536),INDEX(新属性投放!$K$42:$K$62,卡牌属性!R536))+IF(Q536=1,INDEX(新属性投放!S$20:S$23,卡牌属性!M536-1),INDEX(新属性投放!S$25:S$28,卡牌属性!M536-1)))*INDEX($G$5:$G$42,L536),2)</f>
        <v>1500</v>
      </c>
      <c r="W536" s="29" t="s">
        <v>179</v>
      </c>
      <c r="X536" s="14">
        <f>ROUND((IF(Q536=1,INDEX(新属性投放!$L$14:$L$34,卡牌属性!R536),INDEX(新属性投放!$L$42:$L$62,卡牌属性!R536))*INDEX($G$5:$G$42,L536)+IF(Q536=1,INDEX(新属性投放!T$20:T$23,卡牌属性!M536-1),INDEX(新属性投放!T$25:T$28,卡牌属性!M536-1)))*SQRT(INDEX($I$5:$I$42,L536)),2)</f>
        <v>18086.5</v>
      </c>
      <c r="Y536" s="29" t="s">
        <v>177</v>
      </c>
      <c r="Z536" s="14">
        <f>ROUND(IF(Q536=1,INDEX(新属性投放!$D$14:$D$34,卡牌属性!R536),INDEX(新属性投放!$D$42:$D$62,卡牌属性!R536))*INDEX($G$5:$G$42,L536)/SQRT(INDEX($I$5:$I$42,L536)),2)</f>
        <v>67.5</v>
      </c>
      <c r="AA536" s="29" t="s">
        <v>178</v>
      </c>
      <c r="AB536" s="14">
        <f>ROUND(IF(Q536=1,INDEX(新属性投放!$E$14:$E$34,卡牌属性!R536),INDEX(新属性投放!$E$42:$E$62,卡牌属性!R536))*INDEX($G$5:$G$42,L536),2)</f>
        <v>33.75</v>
      </c>
      <c r="AC536" s="29" t="s">
        <v>179</v>
      </c>
      <c r="AD536" s="14">
        <f>ROUND(IF(Q536=1,INDEX(新属性投放!$F$14:$F$34,卡牌属性!R536),INDEX(新属性投放!$F$42:$F$62,卡牌属性!R536))*INDEX($G$5:$G$42,L536)*SQRT(INDEX($I$5:$I$42,L536)),2)</f>
        <v>303</v>
      </c>
      <c r="AF536" s="14">
        <f t="shared" si="153"/>
        <v>675</v>
      </c>
      <c r="AG536" s="14">
        <f t="shared" si="154"/>
        <v>337</v>
      </c>
      <c r="AH536" s="14">
        <f t="shared" si="155"/>
        <v>3030</v>
      </c>
      <c r="AJ536" s="14">
        <f t="shared" si="156"/>
        <v>2850</v>
      </c>
      <c r="AK536" s="14">
        <f t="shared" si="157"/>
        <v>1423</v>
      </c>
      <c r="AL536" s="14">
        <f t="shared" si="158"/>
        <v>12795</v>
      </c>
    </row>
    <row r="537" spans="11:38" ht="16.5" x14ac:dyDescent="0.2">
      <c r="K537" s="13">
        <v>534</v>
      </c>
      <c r="L537" s="13">
        <f t="shared" si="147"/>
        <v>26</v>
      </c>
      <c r="M537" s="13">
        <f t="shared" si="148"/>
        <v>5</v>
      </c>
      <c r="N537" s="14">
        <f t="shared" si="149"/>
        <v>1102010</v>
      </c>
      <c r="O537" s="14" t="str">
        <f t="shared" si="150"/>
        <v>张郃9突</v>
      </c>
      <c r="P537" s="29" t="s">
        <v>341</v>
      </c>
      <c r="Q537" s="14">
        <f t="shared" si="151"/>
        <v>2</v>
      </c>
      <c r="R537" s="14">
        <f t="shared" si="152"/>
        <v>9</v>
      </c>
      <c r="S537" s="14" t="s">
        <v>39</v>
      </c>
      <c r="T537" s="14">
        <f>ROUND(((IF(Q537=1,INDEX(新属性投放!$J$14:$J$34,卡牌属性!R537),INDEX(新属性投放!$J$42:$J$62,卡牌属性!R537)))*INDEX($G$5:$G$42,L537)+IF(Q537=1,INDEX(新属性投放!R$20:R$23,卡牌属性!M537-1),INDEX(新属性投放!R$25:R$28,卡牌属性!M537-1)))/SQRT(INDEX($I$5:$I$42,L537)),2)</f>
        <v>4450.5</v>
      </c>
      <c r="U537" s="29" t="s">
        <v>178</v>
      </c>
      <c r="V537" s="14">
        <f>ROUND((IF(Q537=1,INDEX(新属性投放!$K$14:$K$34,卡牌属性!R537),INDEX(新属性投放!$K$42:$K$62,卡牌属性!R537))+IF(Q537=1,INDEX(新属性投放!S$20:S$23,卡牌属性!M537-1),INDEX(新属性投放!S$25:S$28,卡牌属性!M537-1)))*INDEX($G$5:$G$42,L537),2)</f>
        <v>1921.5</v>
      </c>
      <c r="W537" s="29" t="s">
        <v>179</v>
      </c>
      <c r="X537" s="14">
        <f>ROUND((IF(Q537=1,INDEX(新属性投放!$L$14:$L$34,卡牌属性!R537),INDEX(新属性投放!$L$42:$L$62,卡牌属性!R537))*INDEX($G$5:$G$42,L537)+IF(Q537=1,INDEX(新属性投放!T$20:T$23,卡牌属性!M537-1),INDEX(新属性投放!T$25:T$28,卡牌属性!M537-1)))*SQRT(INDEX($I$5:$I$42,L537)),2)</f>
        <v>22642</v>
      </c>
      <c r="Y537" s="29" t="s">
        <v>177</v>
      </c>
      <c r="Z537" s="14">
        <f>ROUND(IF(Q537=1,INDEX(新属性投放!$D$14:$D$34,卡牌属性!R537),INDEX(新属性投放!$D$42:$D$62,卡牌属性!R537))*INDEX($G$5:$G$42,L537)/SQRT(INDEX($I$5:$I$42,L537)),2)</f>
        <v>90.08</v>
      </c>
      <c r="AA537" s="29" t="s">
        <v>178</v>
      </c>
      <c r="AB537" s="14">
        <f>ROUND(IF(Q537=1,INDEX(新属性投放!$E$14:$E$34,卡牌属性!R537),INDEX(新属性投放!$E$42:$E$62,卡牌属性!R537))*INDEX($G$5:$G$42,L537),2)</f>
        <v>45.04</v>
      </c>
      <c r="AC537" s="29" t="s">
        <v>179</v>
      </c>
      <c r="AD537" s="14">
        <f>ROUND(IF(Q537=1,INDEX(新属性投放!$F$14:$F$34,卡牌属性!R537),INDEX(新属性投放!$F$42:$F$62,卡牌属性!R537))*INDEX($G$5:$G$42,L537)*SQRT(INDEX($I$5:$I$42,L537)),2)</f>
        <v>405</v>
      </c>
      <c r="AF537" s="14">
        <f t="shared" si="153"/>
        <v>900</v>
      </c>
      <c r="AG537" s="14">
        <f t="shared" si="154"/>
        <v>450</v>
      </c>
      <c r="AH537" s="14">
        <f t="shared" si="155"/>
        <v>4050</v>
      </c>
      <c r="AJ537" s="14">
        <f t="shared" si="156"/>
        <v>3750</v>
      </c>
      <c r="AK537" s="14">
        <f t="shared" si="157"/>
        <v>1873</v>
      </c>
      <c r="AL537" s="14">
        <f t="shared" si="158"/>
        <v>16845</v>
      </c>
    </row>
    <row r="538" spans="11:38" ht="16.5" x14ac:dyDescent="0.2">
      <c r="K538" s="13">
        <v>535</v>
      </c>
      <c r="L538" s="13">
        <f t="shared" si="147"/>
        <v>26</v>
      </c>
      <c r="M538" s="13">
        <f t="shared" si="148"/>
        <v>5</v>
      </c>
      <c r="N538" s="14">
        <f t="shared" si="149"/>
        <v>1102010</v>
      </c>
      <c r="O538" s="14" t="str">
        <f t="shared" si="150"/>
        <v>张郃10突</v>
      </c>
      <c r="P538" s="29" t="s">
        <v>341</v>
      </c>
      <c r="Q538" s="14">
        <f t="shared" si="151"/>
        <v>2</v>
      </c>
      <c r="R538" s="14">
        <f t="shared" si="152"/>
        <v>10</v>
      </c>
      <c r="S538" s="14" t="s">
        <v>39</v>
      </c>
      <c r="T538" s="14">
        <f>ROUND(((IF(Q538=1,INDEX(新属性投放!$J$14:$J$34,卡牌属性!R538),INDEX(新属性投放!$J$42:$J$62,卡牌属性!R538)))*INDEX($G$5:$G$42,L538)+IF(Q538=1,INDEX(新属性投放!R$20:R$23,卡牌属性!M538-1),INDEX(新属性投放!R$25:R$28,卡牌属性!M538-1)))/SQRT(INDEX($I$5:$I$42,L538)),2)</f>
        <v>5576.25</v>
      </c>
      <c r="U538" s="29" t="s">
        <v>178</v>
      </c>
      <c r="V538" s="14">
        <f>ROUND((IF(Q538=1,INDEX(新属性投放!$K$14:$K$34,卡牌属性!R538),INDEX(新属性投放!$K$42:$K$62,卡牌属性!R538))+IF(Q538=1,INDEX(新属性投放!S$20:S$23,卡牌属性!M538-1),INDEX(新属性投放!S$25:S$28,卡牌属性!M538-1)))*INDEX($G$5:$G$42,L538),2)</f>
        <v>2484.38</v>
      </c>
      <c r="W538" s="29" t="s">
        <v>179</v>
      </c>
      <c r="X538" s="14">
        <f>ROUND((IF(Q538=1,INDEX(新属性投放!$L$14:$L$34,卡牌属性!R538),INDEX(新属性投放!$L$42:$L$62,卡牌属性!R538))*INDEX($G$5:$G$42,L538)+IF(Q538=1,INDEX(新属性投放!T$20:T$23,卡牌属性!M538-1),INDEX(新属性投放!T$25:T$28,卡牌属性!M538-1)))*SQRT(INDEX($I$5:$I$42,L538)),2)</f>
        <v>28717</v>
      </c>
      <c r="Y538" s="29" t="s">
        <v>177</v>
      </c>
      <c r="Z538" s="14">
        <f>ROUND(IF(Q538=1,INDEX(新属性投放!$D$14:$D$34,卡牌属性!R538),INDEX(新属性投放!$D$42:$D$62,卡牌属性!R538))*INDEX($G$5:$G$42,L538)/SQRT(INDEX($I$5:$I$42,L538)),2)</f>
        <v>117.75</v>
      </c>
      <c r="AA538" s="29" t="s">
        <v>178</v>
      </c>
      <c r="AB538" s="14">
        <f>ROUND(IF(Q538=1,INDEX(新属性投放!$E$14:$E$34,卡牌属性!R538),INDEX(新属性投放!$E$42:$E$62,卡牌属性!R538))*INDEX($G$5:$G$42,L538),2)</f>
        <v>58.88</v>
      </c>
      <c r="AC538" s="29" t="s">
        <v>179</v>
      </c>
      <c r="AD538" s="14">
        <f>ROUND(IF(Q538=1,INDEX(新属性投放!$F$14:$F$34,卡牌属性!R538),INDEX(新属性投放!$F$42:$F$62,卡牌属性!R538))*INDEX($G$5:$G$42,L538)*SQRT(INDEX($I$5:$I$42,L538)),2)</f>
        <v>529.5</v>
      </c>
      <c r="AF538" s="14">
        <f t="shared" si="153"/>
        <v>1177</v>
      </c>
      <c r="AG538" s="14">
        <f t="shared" si="154"/>
        <v>588</v>
      </c>
      <c r="AH538" s="14">
        <f t="shared" si="155"/>
        <v>5295</v>
      </c>
      <c r="AJ538" s="14">
        <f t="shared" si="156"/>
        <v>4927</v>
      </c>
      <c r="AK538" s="14">
        <f t="shared" si="157"/>
        <v>2461</v>
      </c>
      <c r="AL538" s="14">
        <f t="shared" si="158"/>
        <v>22140</v>
      </c>
    </row>
    <row r="539" spans="11:38" ht="16.5" x14ac:dyDescent="0.2">
      <c r="K539" s="13">
        <v>536</v>
      </c>
      <c r="L539" s="13">
        <f t="shared" si="147"/>
        <v>26</v>
      </c>
      <c r="M539" s="13">
        <f t="shared" si="148"/>
        <v>5</v>
      </c>
      <c r="N539" s="14">
        <f t="shared" si="149"/>
        <v>1102010</v>
      </c>
      <c r="O539" s="14" t="str">
        <f t="shared" si="150"/>
        <v>张郃11突</v>
      </c>
      <c r="P539" s="29" t="s">
        <v>341</v>
      </c>
      <c r="Q539" s="14">
        <f t="shared" si="151"/>
        <v>2</v>
      </c>
      <c r="R539" s="14">
        <f t="shared" si="152"/>
        <v>11</v>
      </c>
      <c r="S539" s="14" t="s">
        <v>39</v>
      </c>
      <c r="T539" s="14">
        <f>ROUND(((IF(Q539=1,INDEX(新属性投放!$J$14:$J$34,卡牌属性!R539),INDEX(新属性投放!$J$42:$J$62,卡牌属性!R539)))*INDEX($G$5:$G$42,L539)+IF(Q539=1,INDEX(新属性投放!R$20:R$23,卡牌属性!M539-1),INDEX(新属性投放!R$25:R$28,卡牌属性!M539-1)))/SQRT(INDEX($I$5:$I$42,L539)),2)</f>
        <v>7047.75</v>
      </c>
      <c r="U539" s="29" t="s">
        <v>178</v>
      </c>
      <c r="V539" s="14">
        <f>ROUND((IF(Q539=1,INDEX(新属性投放!$K$14:$K$34,卡牌属性!R539),INDEX(新属性投放!$K$42:$K$62,卡牌属性!R539))+IF(Q539=1,INDEX(新属性投放!S$20:S$23,卡牌属性!M539-1),INDEX(新属性投放!S$25:S$28,卡牌属性!M539-1)))*INDEX($G$5:$G$42,L539),2)</f>
        <v>3220.13</v>
      </c>
      <c r="W539" s="29" t="s">
        <v>179</v>
      </c>
      <c r="X539" s="14">
        <f>ROUND((IF(Q539=1,INDEX(新属性投放!$L$14:$L$34,卡牌属性!R539),INDEX(新属性投放!$L$42:$L$62,卡牌属性!R539))*INDEX($G$5:$G$42,L539)+IF(Q539=1,INDEX(新属性投放!T$20:T$23,卡牌属性!M539-1),INDEX(新属性投放!T$25:T$28,卡牌属性!M539-1)))*SQRT(INDEX($I$5:$I$42,L539)),2)</f>
        <v>36658</v>
      </c>
      <c r="Y539" s="29" t="s">
        <v>177</v>
      </c>
      <c r="Z539" s="14">
        <f>ROUND(IF(Q539=1,INDEX(新属性投放!$D$14:$D$34,卡牌属性!R539),INDEX(新属性投放!$D$42:$D$62,卡牌属性!R539))*INDEX($G$5:$G$42,L539)/SQRT(INDEX($I$5:$I$42,L539)),2)</f>
        <v>155.01</v>
      </c>
      <c r="AA539" s="29" t="s">
        <v>178</v>
      </c>
      <c r="AB539" s="14">
        <f>ROUND(IF(Q539=1,INDEX(新属性投放!$E$14:$E$34,卡牌属性!R539),INDEX(新属性投放!$E$42:$E$62,卡牌属性!R539))*INDEX($G$5:$G$42,L539),2)</f>
        <v>77.510000000000005</v>
      </c>
      <c r="AC539" s="29" t="s">
        <v>179</v>
      </c>
      <c r="AD539" s="14">
        <f>ROUND(IF(Q539=1,INDEX(新属性投放!$F$14:$F$34,卡牌属性!R539),INDEX(新属性投放!$F$42:$F$62,卡牌属性!R539))*INDEX($G$5:$G$42,L539)*SQRT(INDEX($I$5:$I$42,L539)),2)</f>
        <v>697.5</v>
      </c>
      <c r="AF539" s="14">
        <f t="shared" si="153"/>
        <v>1550</v>
      </c>
      <c r="AG539" s="14">
        <f t="shared" si="154"/>
        <v>775</v>
      </c>
      <c r="AH539" s="14">
        <f t="shared" si="155"/>
        <v>6975</v>
      </c>
      <c r="AJ539" s="14">
        <f t="shared" si="156"/>
        <v>6477</v>
      </c>
      <c r="AK539" s="14">
        <f t="shared" si="157"/>
        <v>3236</v>
      </c>
      <c r="AL539" s="14">
        <f t="shared" si="158"/>
        <v>29115</v>
      </c>
    </row>
    <row r="540" spans="11:38" ht="16.5" x14ac:dyDescent="0.2">
      <c r="K540" s="13">
        <v>537</v>
      </c>
      <c r="L540" s="13">
        <f t="shared" si="147"/>
        <v>26</v>
      </c>
      <c r="M540" s="13">
        <f t="shared" si="148"/>
        <v>5</v>
      </c>
      <c r="N540" s="14">
        <f t="shared" si="149"/>
        <v>1102010</v>
      </c>
      <c r="O540" s="14" t="str">
        <f t="shared" si="150"/>
        <v>张郃12突</v>
      </c>
      <c r="P540" s="29" t="s">
        <v>341</v>
      </c>
      <c r="Q540" s="14">
        <f t="shared" si="151"/>
        <v>2</v>
      </c>
      <c r="R540" s="14">
        <f t="shared" si="152"/>
        <v>12</v>
      </c>
      <c r="S540" s="14" t="s">
        <v>39</v>
      </c>
      <c r="T540" s="14">
        <f>ROUND(((IF(Q540=1,INDEX(新属性投放!$J$14:$J$34,卡牌属性!R540),INDEX(新属性投放!$J$42:$J$62,卡牌属性!R540)))*INDEX($G$5:$G$42,L540)+IF(Q540=1,INDEX(新属性投放!R$20:R$23,卡牌属性!M540-1),INDEX(新属性投放!R$25:R$28,卡牌属性!M540-1)))/SQRT(INDEX($I$5:$I$42,L540)),2)</f>
        <v>8984.85</v>
      </c>
      <c r="U540" s="29" t="s">
        <v>178</v>
      </c>
      <c r="V540" s="14">
        <f>ROUND((IF(Q540=1,INDEX(新属性投放!$K$14:$K$34,卡牌属性!R540),INDEX(新属性投放!$K$42:$K$62,卡牌属性!R540))+IF(Q540=1,INDEX(新属性投放!S$20:S$23,卡牌属性!M540-1),INDEX(新属性投放!S$25:S$28,卡牌属性!M540-1)))*INDEX($G$5:$G$42,L540),2)</f>
        <v>4188.68</v>
      </c>
      <c r="W540" s="29" t="s">
        <v>179</v>
      </c>
      <c r="X540" s="14">
        <f>ROUND((IF(Q540=1,INDEX(新属性投放!$L$14:$L$34,卡牌属性!R540),INDEX(新属性投放!$L$42:$L$62,卡牌属性!R540))*INDEX($G$5:$G$42,L540)+IF(Q540=1,INDEX(新属性投放!T$20:T$23,卡牌属性!M540-1),INDEX(新属性投放!T$25:T$28,卡牌属性!M540-1)))*SQRT(INDEX($I$5:$I$42,L540)),2)</f>
        <v>47116</v>
      </c>
      <c r="Y540" s="29" t="s">
        <v>177</v>
      </c>
      <c r="Z540" s="14">
        <f>ROUND(IF(Q540=1,INDEX(新属性投放!$D$14:$D$34,卡牌属性!R540),INDEX(新属性投放!$D$42:$D$62,卡牌属性!R540))*INDEX($G$5:$G$42,L540)/SQRT(INDEX($I$5:$I$42,L540)),2)</f>
        <v>203.43</v>
      </c>
      <c r="AA540" s="29" t="s">
        <v>178</v>
      </c>
      <c r="AB540" s="14">
        <f>ROUND(IF(Q540=1,INDEX(新属性投放!$E$14:$E$34,卡牌属性!R540),INDEX(新属性投放!$E$42:$E$62,卡牌属性!R540))*INDEX($G$5:$G$42,L540),2)</f>
        <v>101.72</v>
      </c>
      <c r="AC540" s="29" t="s">
        <v>179</v>
      </c>
      <c r="AD540" s="14">
        <f>ROUND(IF(Q540=1,INDEX(新属性投放!$F$14:$F$34,卡牌属性!R540),INDEX(新属性投放!$F$42:$F$62,卡牌属性!R540))*INDEX($G$5:$G$42,L540)*SQRT(INDEX($I$5:$I$42,L540)),2)</f>
        <v>915</v>
      </c>
      <c r="AF540" s="14">
        <f t="shared" si="153"/>
        <v>2034</v>
      </c>
      <c r="AG540" s="14">
        <f t="shared" si="154"/>
        <v>1017</v>
      </c>
      <c r="AH540" s="14">
        <f t="shared" si="155"/>
        <v>9150</v>
      </c>
      <c r="AJ540" s="14">
        <f t="shared" si="156"/>
        <v>8511</v>
      </c>
      <c r="AK540" s="14">
        <f t="shared" si="157"/>
        <v>4253</v>
      </c>
      <c r="AL540" s="14">
        <f t="shared" si="158"/>
        <v>38265</v>
      </c>
    </row>
    <row r="541" spans="11:38" ht="16.5" x14ac:dyDescent="0.2">
      <c r="K541" s="13">
        <v>538</v>
      </c>
      <c r="L541" s="13">
        <f t="shared" si="147"/>
        <v>26</v>
      </c>
      <c r="M541" s="13">
        <f t="shared" si="148"/>
        <v>5</v>
      </c>
      <c r="N541" s="14">
        <f t="shared" si="149"/>
        <v>1102010</v>
      </c>
      <c r="O541" s="14" t="str">
        <f t="shared" si="150"/>
        <v>张郃13突</v>
      </c>
      <c r="P541" s="29" t="s">
        <v>341</v>
      </c>
      <c r="Q541" s="14">
        <f t="shared" si="151"/>
        <v>2</v>
      </c>
      <c r="R541" s="14">
        <f t="shared" si="152"/>
        <v>13</v>
      </c>
      <c r="S541" s="14" t="s">
        <v>39</v>
      </c>
      <c r="T541" s="14">
        <f>ROUND(((IF(Q541=1,INDEX(新属性投放!$J$14:$J$34,卡牌属性!R541),INDEX(新属性投放!$J$42:$J$62,卡牌属性!R541)))*INDEX($G$5:$G$42,L541)+IF(Q541=1,INDEX(新属性投放!R$20:R$23,卡牌属性!M541-1),INDEX(新属性投放!R$25:R$28,卡牌属性!M541-1)))/SQRT(INDEX($I$5:$I$42,L541)),2)</f>
        <v>11527.65</v>
      </c>
      <c r="U541" s="29" t="s">
        <v>178</v>
      </c>
      <c r="V541" s="14">
        <f>ROUND((IF(Q541=1,INDEX(新属性投放!$K$14:$K$34,卡牌属性!R541),INDEX(新属性投放!$K$42:$K$62,卡牌属性!R541))+IF(Q541=1,INDEX(新属性投放!S$20:S$23,卡牌属性!M541-1),INDEX(新属性投放!S$25:S$28,卡牌属性!M541-1)))*INDEX($G$5:$G$42,L541),2)</f>
        <v>5460.83</v>
      </c>
      <c r="W541" s="29" t="s">
        <v>179</v>
      </c>
      <c r="X541" s="14">
        <f>ROUND((IF(Q541=1,INDEX(新属性投放!$L$14:$L$34,卡牌属性!R541),INDEX(新属性投放!$L$42:$L$62,卡牌属性!R541))*INDEX($G$5:$G$42,L541)+IF(Q541=1,INDEX(新属性投放!T$20:T$23,卡牌属性!M541-1),INDEX(新属性投放!T$25:T$28,卡牌属性!M541-1)))*SQRT(INDEX($I$5:$I$42,L541)),2)</f>
        <v>60842.5</v>
      </c>
      <c r="Y541" s="29" t="s">
        <v>177</v>
      </c>
      <c r="Z541" s="14">
        <f>ROUND(IF(Q541=1,INDEX(新属性投放!$D$14:$D$34,卡牌属性!R541),INDEX(新属性投放!$D$42:$D$62,卡牌属性!R541))*INDEX($G$5:$G$42,L541)/SQRT(INDEX($I$5:$I$42,L541)),2)</f>
        <v>267</v>
      </c>
      <c r="AA541" s="29" t="s">
        <v>178</v>
      </c>
      <c r="AB541" s="14">
        <f>ROUND(IF(Q541=1,INDEX(新属性投放!$E$14:$E$34,卡牌属性!R541),INDEX(新属性投放!$E$42:$E$62,卡牌属性!R541))*INDEX($G$5:$G$42,L541),2)</f>
        <v>133.5</v>
      </c>
      <c r="AC541" s="29" t="s">
        <v>179</v>
      </c>
      <c r="AD541" s="14">
        <f>ROUND(IF(Q541=1,INDEX(新属性投放!$F$14:$F$34,卡牌属性!R541),INDEX(新属性投放!$F$42:$F$62,卡牌属性!R541))*INDEX($G$5:$G$42,L541)*SQRT(INDEX($I$5:$I$42,L541)),2)</f>
        <v>1201.5</v>
      </c>
      <c r="AF541" s="14">
        <f t="shared" si="153"/>
        <v>2670</v>
      </c>
      <c r="AG541" s="14">
        <f t="shared" si="154"/>
        <v>1335</v>
      </c>
      <c r="AH541" s="14">
        <f t="shared" si="155"/>
        <v>12015</v>
      </c>
      <c r="AJ541" s="14">
        <f t="shared" si="156"/>
        <v>11181</v>
      </c>
      <c r="AK541" s="14">
        <f t="shared" si="157"/>
        <v>5588</v>
      </c>
      <c r="AL541" s="14">
        <f t="shared" si="158"/>
        <v>50280</v>
      </c>
    </row>
    <row r="542" spans="11:38" ht="16.5" x14ac:dyDescent="0.2">
      <c r="K542" s="13">
        <v>539</v>
      </c>
      <c r="L542" s="13">
        <f t="shared" si="147"/>
        <v>26</v>
      </c>
      <c r="M542" s="13">
        <f t="shared" si="148"/>
        <v>5</v>
      </c>
      <c r="N542" s="14">
        <f t="shared" si="149"/>
        <v>1102010</v>
      </c>
      <c r="O542" s="14" t="str">
        <f t="shared" si="150"/>
        <v>张郃14突</v>
      </c>
      <c r="P542" s="29" t="s">
        <v>341</v>
      </c>
      <c r="Q542" s="14">
        <f t="shared" si="151"/>
        <v>2</v>
      </c>
      <c r="R542" s="14">
        <f t="shared" si="152"/>
        <v>14</v>
      </c>
      <c r="S542" s="14" t="s">
        <v>39</v>
      </c>
      <c r="T542" s="14">
        <f>ROUND(((IF(Q542=1,INDEX(新属性投放!$J$14:$J$34,卡牌属性!R542),INDEX(新属性投放!$J$42:$J$62,卡牌属性!R542)))*INDEX($G$5:$G$42,L542)+IF(Q542=1,INDEX(新属性投放!R$20:R$23,卡牌属性!M542-1),INDEX(新属性投放!R$25:R$28,卡牌属性!M542-1)))/SQRT(INDEX($I$5:$I$42,L542)),2)</f>
        <v>14865.15</v>
      </c>
      <c r="U542" s="29" t="s">
        <v>178</v>
      </c>
      <c r="V542" s="14">
        <f>ROUND((IF(Q542=1,INDEX(新属性投放!$K$14:$K$34,卡牌属性!R542),INDEX(新属性投放!$K$42:$K$62,卡牌属性!R542))+IF(Q542=1,INDEX(新属性投放!S$20:S$23,卡牌属性!M542-1),INDEX(新属性投放!S$25:S$28,卡牌属性!M542-1)))*INDEX($G$5:$G$42,L542),2)</f>
        <v>7130.33</v>
      </c>
      <c r="W542" s="29" t="s">
        <v>179</v>
      </c>
      <c r="X542" s="14">
        <f>ROUND((IF(Q542=1,INDEX(新属性投放!$L$14:$L$34,卡牌属性!R542),INDEX(新属性投放!$L$42:$L$62,卡牌属性!R542))*INDEX($G$5:$G$42,L542)+IF(Q542=1,INDEX(新属性投放!T$20:T$23,卡牌属性!M542-1),INDEX(新属性投放!T$25:T$28,卡牌属性!M542-1)))*SQRT(INDEX($I$5:$I$42,L542)),2)</f>
        <v>78865</v>
      </c>
      <c r="Y542" s="29" t="s">
        <v>177</v>
      </c>
      <c r="Z542" s="14">
        <f>ROUND(IF(Q542=1,INDEX(新属性投放!$D$14:$D$34,卡牌属性!R542),INDEX(新属性投放!$D$42:$D$62,卡牌属性!R542))*INDEX($G$5:$G$42,L542)/SQRT(INDEX($I$5:$I$42,L542)),2)</f>
        <v>350.45</v>
      </c>
      <c r="AA542" s="29" t="s">
        <v>178</v>
      </c>
      <c r="AB542" s="14">
        <f>ROUND(IF(Q542=1,INDEX(新属性投放!$E$14:$E$34,卡牌属性!R542),INDEX(新属性投放!$E$42:$E$62,卡牌属性!R542))*INDEX($G$5:$G$42,L542),2)</f>
        <v>175.22</v>
      </c>
      <c r="AC542" s="29" t="s">
        <v>179</v>
      </c>
      <c r="AD542" s="14">
        <f>ROUND(IF(Q542=1,INDEX(新属性投放!$F$14:$F$34,卡牌属性!R542),INDEX(新属性投放!$F$42:$F$62,卡牌属性!R542))*INDEX($G$5:$G$42,L542)*SQRT(INDEX($I$5:$I$42,L542)),2)</f>
        <v>1576.5</v>
      </c>
      <c r="AF542" s="14">
        <f t="shared" si="153"/>
        <v>3504</v>
      </c>
      <c r="AG542" s="14">
        <f t="shared" si="154"/>
        <v>1752</v>
      </c>
      <c r="AH542" s="14">
        <f t="shared" si="155"/>
        <v>15765</v>
      </c>
      <c r="AJ542" s="14">
        <f t="shared" si="156"/>
        <v>14685</v>
      </c>
      <c r="AK542" s="14">
        <f t="shared" si="157"/>
        <v>7340</v>
      </c>
      <c r="AL542" s="14">
        <f t="shared" si="158"/>
        <v>66045</v>
      </c>
    </row>
    <row r="543" spans="11:38" ht="16.5" x14ac:dyDescent="0.2">
      <c r="K543" s="13">
        <v>540</v>
      </c>
      <c r="L543" s="13">
        <f t="shared" si="147"/>
        <v>26</v>
      </c>
      <c r="M543" s="13">
        <f t="shared" si="148"/>
        <v>5</v>
      </c>
      <c r="N543" s="14">
        <f t="shared" si="149"/>
        <v>1102010</v>
      </c>
      <c r="O543" s="14" t="str">
        <f t="shared" si="150"/>
        <v>张郃15突</v>
      </c>
      <c r="P543" s="29" t="s">
        <v>341</v>
      </c>
      <c r="Q543" s="14">
        <f t="shared" si="151"/>
        <v>2</v>
      </c>
      <c r="R543" s="14">
        <f t="shared" si="152"/>
        <v>15</v>
      </c>
      <c r="S543" s="14" t="s">
        <v>39</v>
      </c>
      <c r="T543" s="14">
        <f>ROUND(((IF(Q543=1,INDEX(新属性投放!$J$14:$J$34,卡牌属性!R543),INDEX(新属性投放!$J$42:$J$62,卡牌属性!R543)))*INDEX($G$5:$G$42,L543)+IF(Q543=1,INDEX(新属性投放!R$20:R$23,卡牌属性!M543-1),INDEX(新属性投放!R$25:R$28,卡牌属性!M543-1)))/SQRT(INDEX($I$5:$I$42,L543)),2)</f>
        <v>19245.599999999999</v>
      </c>
      <c r="U543" s="29" t="s">
        <v>178</v>
      </c>
      <c r="V543" s="14">
        <f>ROUND((IF(Q543=1,INDEX(新属性投放!$K$14:$K$34,卡牌属性!R543),INDEX(新属性投放!$K$42:$K$62,卡牌属性!R543))+IF(Q543=1,INDEX(新属性投放!S$20:S$23,卡牌属性!M543-1),INDEX(新属性投放!S$25:S$28,卡牌属性!M543-1)))*INDEX($G$5:$G$42,L543),2)</f>
        <v>9320.5499999999993</v>
      </c>
      <c r="W543" s="29" t="s">
        <v>179</v>
      </c>
      <c r="X543" s="14">
        <f>ROUND((IF(Q543=1,INDEX(新属性投放!$L$14:$L$34,卡牌属性!R543),INDEX(新属性投放!$L$42:$L$62,卡牌属性!R543))*INDEX($G$5:$G$42,L543)+IF(Q543=1,INDEX(新属性投放!T$20:T$23,卡牌属性!M543-1),INDEX(新属性投放!T$25:T$28,卡牌属性!M543-1)))*SQRT(INDEX($I$5:$I$42,L543)),2)</f>
        <v>102514</v>
      </c>
      <c r="Y543" s="29" t="s">
        <v>177</v>
      </c>
      <c r="Z543" s="14">
        <f>ROUND(IF(Q543=1,INDEX(新属性投放!$D$14:$D$34,卡牌属性!R543),INDEX(新属性投放!$D$42:$D$62,卡牌属性!R543))*INDEX($G$5:$G$42,L543)/SQRT(INDEX($I$5:$I$42,L543)),2)</f>
        <v>459.96</v>
      </c>
      <c r="AA543" s="29" t="s">
        <v>178</v>
      </c>
      <c r="AB543" s="14">
        <f>ROUND(IF(Q543=1,INDEX(新属性投放!$E$14:$E$34,卡牌属性!R543),INDEX(新属性投放!$E$42:$E$62,卡牌属性!R543))*INDEX($G$5:$G$42,L543),2)</f>
        <v>229.98</v>
      </c>
      <c r="AC543" s="29" t="s">
        <v>179</v>
      </c>
      <c r="AD543" s="14">
        <f>ROUND(IF(Q543=1,INDEX(新属性投放!$F$14:$F$34,卡牌属性!R543),INDEX(新属性投放!$F$42:$F$62,卡牌属性!R543))*INDEX($G$5:$G$42,L543)*SQRT(INDEX($I$5:$I$42,L543)),2)</f>
        <v>2068.5</v>
      </c>
      <c r="AF543" s="14">
        <f t="shared" si="153"/>
        <v>4599</v>
      </c>
      <c r="AG543" s="14">
        <f t="shared" si="154"/>
        <v>2299</v>
      </c>
      <c r="AH543" s="14">
        <f t="shared" si="155"/>
        <v>20685</v>
      </c>
      <c r="AJ543" s="14">
        <f t="shared" si="156"/>
        <v>19284</v>
      </c>
      <c r="AK543" s="14">
        <f t="shared" si="157"/>
        <v>9639</v>
      </c>
      <c r="AL543" s="14">
        <f t="shared" si="158"/>
        <v>86730</v>
      </c>
    </row>
    <row r="544" spans="11:38" ht="16.5" x14ac:dyDescent="0.2">
      <c r="K544" s="13">
        <v>541</v>
      </c>
      <c r="L544" s="13">
        <f t="shared" si="147"/>
        <v>26</v>
      </c>
      <c r="M544" s="13">
        <f t="shared" si="148"/>
        <v>5</v>
      </c>
      <c r="N544" s="14">
        <f t="shared" si="149"/>
        <v>1102010</v>
      </c>
      <c r="O544" s="14" t="str">
        <f t="shared" si="150"/>
        <v>张郃16突</v>
      </c>
      <c r="P544" s="29" t="s">
        <v>341</v>
      </c>
      <c r="Q544" s="14">
        <f t="shared" si="151"/>
        <v>2</v>
      </c>
      <c r="R544" s="14">
        <f t="shared" si="152"/>
        <v>16</v>
      </c>
      <c r="S544" s="14" t="s">
        <v>39</v>
      </c>
      <c r="T544" s="14">
        <f>ROUND(((IF(Q544=1,INDEX(新属性投放!$J$14:$J$34,卡牌属性!R544),INDEX(新属性投放!$J$42:$J$62,卡牌属性!R544)))*INDEX($G$5:$G$42,L544)+IF(Q544=1,INDEX(新属性投放!R$20:R$23,卡牌属性!M544-1),INDEX(新属性投放!R$25:R$28,卡牌属性!M544-1)))/SQRT(INDEX($I$5:$I$42,L544)),2)</f>
        <v>24995.7</v>
      </c>
      <c r="U544" s="29" t="s">
        <v>178</v>
      </c>
      <c r="V544" s="14">
        <f>ROUND((IF(Q544=1,INDEX(新属性投放!$K$14:$K$34,卡牌属性!R544),INDEX(新属性投放!$K$42:$K$62,卡牌属性!R544))+IF(Q544=1,INDEX(新属性投放!S$20:S$23,卡牌属性!M544-1),INDEX(新属性投放!S$25:S$28,卡牌属性!M544-1)))*INDEX($G$5:$G$42,L544),2)</f>
        <v>12194.85</v>
      </c>
      <c r="W544" s="29" t="s">
        <v>179</v>
      </c>
      <c r="X544" s="14">
        <f>ROUND((IF(Q544=1,INDEX(新属性投放!$L$14:$L$34,卡牌属性!R544),INDEX(新属性投放!$L$42:$L$62,卡牌属性!R544))*INDEX($G$5:$G$42,L544)+IF(Q544=1,INDEX(新属性投放!T$20:T$23,卡牌属性!M544-1),INDEX(新属性投放!T$25:T$28,卡牌属性!M544-1)))*SQRT(INDEX($I$5:$I$42,L544)),2)</f>
        <v>133553.5</v>
      </c>
      <c r="Y544" s="29" t="s">
        <v>177</v>
      </c>
      <c r="Z544" s="14">
        <f>ROUND(IF(Q544=1,INDEX(新属性投放!$D$14:$D$34,卡牌属性!R544),INDEX(新属性投放!$D$42:$D$62,卡牌属性!R544))*INDEX($G$5:$G$42,L544)/SQRT(INDEX($I$5:$I$42,L544)),2)</f>
        <v>603.71</v>
      </c>
      <c r="AA544" s="29" t="s">
        <v>178</v>
      </c>
      <c r="AB544" s="14">
        <f>ROUND(IF(Q544=1,INDEX(新属性投放!$E$14:$E$34,卡牌属性!R544),INDEX(新属性投放!$E$42:$E$62,卡牌属性!R544))*INDEX($G$5:$G$42,L544),2)</f>
        <v>301.85000000000002</v>
      </c>
      <c r="AC544" s="29" t="s">
        <v>179</v>
      </c>
      <c r="AD544" s="14">
        <f>ROUND(IF(Q544=1,INDEX(新属性投放!$F$14:$F$34,卡牌属性!R544),INDEX(新属性投放!$F$42:$F$62,卡牌属性!R544))*INDEX($G$5:$G$42,L544)*SQRT(INDEX($I$5:$I$42,L544)),2)</f>
        <v>2716.5</v>
      </c>
      <c r="AF544" s="14">
        <f t="shared" si="153"/>
        <v>6037</v>
      </c>
      <c r="AG544" s="14">
        <f t="shared" si="154"/>
        <v>3018</v>
      </c>
      <c r="AH544" s="14">
        <f t="shared" si="155"/>
        <v>27165</v>
      </c>
      <c r="AJ544" s="14">
        <f t="shared" si="156"/>
        <v>25321</v>
      </c>
      <c r="AK544" s="14">
        <f t="shared" si="157"/>
        <v>12657</v>
      </c>
      <c r="AL544" s="14">
        <f t="shared" si="158"/>
        <v>113895</v>
      </c>
    </row>
    <row r="545" spans="11:38" ht="16.5" x14ac:dyDescent="0.2">
      <c r="K545" s="13">
        <v>542</v>
      </c>
      <c r="L545" s="13">
        <f t="shared" si="147"/>
        <v>26</v>
      </c>
      <c r="M545" s="13">
        <f t="shared" si="148"/>
        <v>5</v>
      </c>
      <c r="N545" s="14">
        <f t="shared" si="149"/>
        <v>1102010</v>
      </c>
      <c r="O545" s="14" t="str">
        <f t="shared" si="150"/>
        <v>张郃17突</v>
      </c>
      <c r="P545" s="29" t="s">
        <v>341</v>
      </c>
      <c r="Q545" s="14">
        <f t="shared" si="151"/>
        <v>2</v>
      </c>
      <c r="R545" s="14">
        <f t="shared" si="152"/>
        <v>17</v>
      </c>
      <c r="S545" s="14" t="s">
        <v>39</v>
      </c>
      <c r="T545" s="14">
        <f>ROUND(((IF(Q545=1,INDEX(新属性投放!$J$14:$J$34,卡牌属性!R545),INDEX(新属性投放!$J$42:$J$62,卡牌属性!R545)))*INDEX($G$5:$G$42,L545)+IF(Q545=1,INDEX(新属性投放!R$20:R$23,卡牌属性!M545-1),INDEX(新属性投放!R$25:R$28,卡牌属性!M545-1)))/SQRT(INDEX($I$5:$I$42,L545)),2)</f>
        <v>32541.75</v>
      </c>
      <c r="U545" s="29" t="s">
        <v>178</v>
      </c>
      <c r="V545" s="14">
        <f>ROUND((IF(Q545=1,INDEX(新属性投放!$K$14:$K$34,卡牌属性!R545),INDEX(新属性投放!$K$42:$K$62,卡牌属性!R545))+IF(Q545=1,INDEX(新属性投放!S$20:S$23,卡牌属性!M545-1),INDEX(新属性投放!S$25:S$28,卡牌属性!M545-1)))*INDEX($G$5:$G$42,L545),2)</f>
        <v>15967.88</v>
      </c>
      <c r="W545" s="29" t="s">
        <v>179</v>
      </c>
      <c r="X545" s="14">
        <f>ROUND((IF(Q545=1,INDEX(新属性投放!$L$14:$L$34,卡牌属性!R545),INDEX(新属性投放!$L$42:$L$62,卡牌属性!R545))*INDEX($G$5:$G$42,L545)+IF(Q545=1,INDEX(新属性投放!T$20:T$23,卡牌属性!M545-1),INDEX(新属性投放!T$25:T$28,卡牌属性!M545-1)))*SQRT(INDEX($I$5:$I$42,L545)),2)</f>
        <v>174299.5</v>
      </c>
      <c r="Y545" s="29" t="s">
        <v>177</v>
      </c>
      <c r="Z545" s="14">
        <f>ROUND(IF(Q545=1,INDEX(新属性投放!$D$14:$D$34,卡牌属性!R545),INDEX(新属性投放!$D$42:$D$62,卡牌属性!R545))*INDEX($G$5:$G$42,L545)/SQRT(INDEX($I$5:$I$42,L545)),2)</f>
        <v>792.36</v>
      </c>
      <c r="AA545" s="29" t="s">
        <v>178</v>
      </c>
      <c r="AB545" s="14">
        <f>ROUND(IF(Q545=1,INDEX(新属性投放!$E$14:$E$34,卡牌属性!R545),INDEX(新属性投放!$E$42:$E$62,卡牌属性!R545))*INDEX($G$5:$G$42,L545),2)</f>
        <v>396.18</v>
      </c>
      <c r="AC545" s="29" t="s">
        <v>179</v>
      </c>
      <c r="AD545" s="14">
        <f>ROUND(IF(Q545=1,INDEX(新属性投放!$F$14:$F$34,卡牌属性!R545),INDEX(新属性投放!$F$42:$F$62,卡牌属性!R545))*INDEX($G$5:$G$42,L545)*SQRT(INDEX($I$5:$I$42,L545)),2)</f>
        <v>3565.5</v>
      </c>
      <c r="AF545" s="14">
        <f t="shared" si="153"/>
        <v>7923</v>
      </c>
      <c r="AG545" s="14">
        <f t="shared" si="154"/>
        <v>3961</v>
      </c>
      <c r="AH545" s="14">
        <f t="shared" si="155"/>
        <v>35655</v>
      </c>
      <c r="AJ545" s="14">
        <f t="shared" si="156"/>
        <v>33244</v>
      </c>
      <c r="AK545" s="14">
        <f t="shared" si="157"/>
        <v>16618</v>
      </c>
      <c r="AL545" s="14">
        <f t="shared" si="158"/>
        <v>149550</v>
      </c>
    </row>
    <row r="546" spans="11:38" ht="16.5" x14ac:dyDescent="0.2">
      <c r="K546" s="13">
        <v>543</v>
      </c>
      <c r="L546" s="13">
        <f t="shared" si="147"/>
        <v>26</v>
      </c>
      <c r="M546" s="13">
        <f t="shared" si="148"/>
        <v>5</v>
      </c>
      <c r="N546" s="14">
        <f t="shared" si="149"/>
        <v>1102010</v>
      </c>
      <c r="O546" s="14" t="str">
        <f t="shared" si="150"/>
        <v>张郃18突</v>
      </c>
      <c r="P546" s="29" t="s">
        <v>341</v>
      </c>
      <c r="Q546" s="14">
        <f t="shared" si="151"/>
        <v>2</v>
      </c>
      <c r="R546" s="14">
        <f t="shared" si="152"/>
        <v>18</v>
      </c>
      <c r="S546" s="14" t="s">
        <v>39</v>
      </c>
      <c r="T546" s="14">
        <f>ROUND(((IF(Q546=1,INDEX(新属性投放!$J$14:$J$34,卡牌属性!R546),INDEX(新属性投放!$J$42:$J$62,卡牌属性!R546)))*INDEX($G$5:$G$42,L546)+IF(Q546=1,INDEX(新属性投放!R$20:R$23,卡牌属性!M546-1),INDEX(新属性投放!R$25:R$28,卡牌属性!M546-1)))/SQRT(INDEX($I$5:$I$42,L546)),2)</f>
        <v>42446.85</v>
      </c>
      <c r="U546" s="29" t="s">
        <v>178</v>
      </c>
      <c r="V546" s="14">
        <f>ROUND((IF(Q546=1,INDEX(新属性投放!$K$14:$K$34,卡牌属性!R546),INDEX(新属性投放!$K$42:$K$62,卡牌属性!R546))+IF(Q546=1,INDEX(新属性投放!S$20:S$23,卡牌属性!M546-1),INDEX(新属性投放!S$25:S$28,卡牌属性!M546-1)))*INDEX($G$5:$G$42,L546),2)</f>
        <v>20919.68</v>
      </c>
      <c r="W546" s="29" t="s">
        <v>179</v>
      </c>
      <c r="X546" s="14">
        <f>ROUND((IF(Q546=1,INDEX(新属性投放!$L$14:$L$34,卡牌属性!R546),INDEX(新属性投放!$L$42:$L$62,卡牌属性!R546))*INDEX($G$5:$G$42,L546)+IF(Q546=1,INDEX(新属性投放!T$20:T$23,卡牌属性!M546-1),INDEX(新属性投放!T$25:T$28,卡牌属性!M546-1)))*SQRT(INDEX($I$5:$I$42,L546)),2)</f>
        <v>227788</v>
      </c>
      <c r="Y546" s="29" t="s">
        <v>177</v>
      </c>
      <c r="Z546" s="14">
        <f>ROUND(IF(Q546=1,INDEX(新属性投放!$D$14:$D$34,卡牌属性!R546),INDEX(新属性投放!$D$42:$D$62,卡牌属性!R546))*INDEX($G$5:$G$42,L546)/SQRT(INDEX($I$5:$I$42,L546)),2)</f>
        <v>1039.98</v>
      </c>
      <c r="AA546" s="29" t="s">
        <v>178</v>
      </c>
      <c r="AB546" s="14">
        <f>ROUND(IF(Q546=1,INDEX(新属性投放!$E$14:$E$34,卡牌属性!R546),INDEX(新属性投放!$E$42:$E$62,卡牌属性!R546))*INDEX($G$5:$G$42,L546),2)</f>
        <v>519.99</v>
      </c>
      <c r="AC546" s="29" t="s">
        <v>179</v>
      </c>
      <c r="AD546" s="14">
        <f>ROUND(IF(Q546=1,INDEX(新属性投放!$F$14:$F$34,卡牌属性!R546),INDEX(新属性投放!$F$42:$F$62,卡牌属性!R546))*INDEX($G$5:$G$42,L546)*SQRT(INDEX($I$5:$I$42,L546)),2)</f>
        <v>4678.5</v>
      </c>
      <c r="AF546" s="14">
        <f t="shared" si="153"/>
        <v>10399</v>
      </c>
      <c r="AG546" s="14">
        <f t="shared" si="154"/>
        <v>5199</v>
      </c>
      <c r="AH546" s="14">
        <f t="shared" si="155"/>
        <v>46785</v>
      </c>
      <c r="AJ546" s="14">
        <f t="shared" si="156"/>
        <v>43643</v>
      </c>
      <c r="AK546" s="14">
        <f t="shared" si="157"/>
        <v>21817</v>
      </c>
      <c r="AL546" s="14">
        <f t="shared" si="158"/>
        <v>196335</v>
      </c>
    </row>
    <row r="547" spans="11:38" ht="16.5" x14ac:dyDescent="0.2">
      <c r="K547" s="13">
        <v>544</v>
      </c>
      <c r="L547" s="13">
        <f t="shared" si="147"/>
        <v>26</v>
      </c>
      <c r="M547" s="13">
        <f t="shared" si="148"/>
        <v>5</v>
      </c>
      <c r="N547" s="14">
        <f t="shared" si="149"/>
        <v>1102010</v>
      </c>
      <c r="O547" s="14" t="str">
        <f t="shared" si="150"/>
        <v>张郃19突</v>
      </c>
      <c r="P547" s="29" t="s">
        <v>341</v>
      </c>
      <c r="Q547" s="14">
        <f t="shared" si="151"/>
        <v>2</v>
      </c>
      <c r="R547" s="14">
        <f t="shared" si="152"/>
        <v>19</v>
      </c>
      <c r="S547" s="14" t="s">
        <v>39</v>
      </c>
      <c r="T547" s="14">
        <f>ROUND(((IF(Q547=1,INDEX(新属性投放!$J$14:$J$34,卡牌属性!R547),INDEX(新属性投放!$J$42:$J$62,卡牌属性!R547)))*INDEX($G$5:$G$42,L547)+IF(Q547=1,INDEX(新属性投放!R$20:R$23,卡牌属性!M547-1),INDEX(新属性投放!R$25:R$28,卡牌属性!M547-1)))/SQRT(INDEX($I$5:$I$42,L547)),2)</f>
        <v>55446.15</v>
      </c>
      <c r="U547" s="29" t="s">
        <v>178</v>
      </c>
      <c r="V547" s="14">
        <f>ROUND((IF(Q547=1,INDEX(新属性投放!$K$14:$K$34,卡牌属性!R547),INDEX(新属性投放!$K$42:$K$62,卡牌属性!R547))+IF(Q547=1,INDEX(新属性投放!S$20:S$23,卡牌属性!M547-1),INDEX(新属性投放!S$25:S$28,卡牌属性!M547-1)))*INDEX($G$5:$G$42,L547),2)</f>
        <v>27420.080000000002</v>
      </c>
      <c r="W547" s="29" t="s">
        <v>179</v>
      </c>
      <c r="X547" s="14">
        <f>ROUND((IF(Q547=1,INDEX(新属性投放!$L$14:$L$34,卡牌属性!R547),INDEX(新属性投放!$L$42:$L$62,卡牌属性!R547))*INDEX($G$5:$G$42,L547)+IF(Q547=1,INDEX(新属性投放!T$20:T$23,卡牌属性!M547-1),INDEX(新属性投放!T$25:T$28,卡牌属性!M547-1)))*SQRT(INDEX($I$5:$I$42,L547)),2)</f>
        <v>297968.5</v>
      </c>
      <c r="Y547" s="29" t="s">
        <v>177</v>
      </c>
      <c r="Z547" s="14">
        <f>ROUND(IF(Q547=1,INDEX(新属性投放!$D$14:$D$34,卡牌属性!R547),INDEX(新属性投放!$D$42:$D$62,卡牌属性!R547))*INDEX($G$5:$G$42,L547)/SQRT(INDEX($I$5:$I$42,L547)),2)</f>
        <v>1364.97</v>
      </c>
      <c r="AA547" s="29" t="s">
        <v>178</v>
      </c>
      <c r="AB547" s="14">
        <f>ROUND(IF(Q547=1,INDEX(新属性投放!$E$14:$E$34,卡牌属性!R547),INDEX(新属性投放!$E$42:$E$62,卡牌属性!R547))*INDEX($G$5:$G$42,L547),2)</f>
        <v>682.49</v>
      </c>
      <c r="AC547" s="29" t="s">
        <v>179</v>
      </c>
      <c r="AD547" s="14">
        <f>ROUND(IF(Q547=1,INDEX(新属性投放!$F$14:$F$34,卡牌属性!R547),INDEX(新属性投放!$F$42:$F$62,卡牌属性!R547))*INDEX($G$5:$G$42,L547)*SQRT(INDEX($I$5:$I$42,L547)),2)</f>
        <v>6141</v>
      </c>
      <c r="AF547" s="14">
        <f t="shared" si="153"/>
        <v>13649</v>
      </c>
      <c r="AG547" s="14">
        <f t="shared" si="154"/>
        <v>6824</v>
      </c>
      <c r="AH547" s="14">
        <f t="shared" si="155"/>
        <v>61410</v>
      </c>
      <c r="AJ547" s="14">
        <f t="shared" si="156"/>
        <v>57292</v>
      </c>
      <c r="AK547" s="14">
        <f t="shared" si="157"/>
        <v>28641</v>
      </c>
      <c r="AL547" s="14">
        <f t="shared" si="158"/>
        <v>257745</v>
      </c>
    </row>
    <row r="548" spans="11:38" ht="16.5" x14ac:dyDescent="0.2">
      <c r="K548" s="13">
        <v>545</v>
      </c>
      <c r="L548" s="13">
        <f t="shared" si="147"/>
        <v>26</v>
      </c>
      <c r="M548" s="13">
        <f t="shared" si="148"/>
        <v>5</v>
      </c>
      <c r="N548" s="14">
        <f t="shared" si="149"/>
        <v>1102010</v>
      </c>
      <c r="O548" s="14" t="str">
        <f t="shared" si="150"/>
        <v>张郃20突</v>
      </c>
      <c r="P548" s="29" t="s">
        <v>341</v>
      </c>
      <c r="Q548" s="14">
        <f t="shared" si="151"/>
        <v>2</v>
      </c>
      <c r="R548" s="14">
        <f t="shared" si="152"/>
        <v>20</v>
      </c>
      <c r="S548" s="14" t="s">
        <v>39</v>
      </c>
      <c r="T548" s="14">
        <f>ROUND(((IF(Q548=1,INDEX(新属性投放!$J$14:$J$34,卡牌属性!R548),INDEX(新属性投放!$J$42:$J$62,卡牌属性!R548)))*INDEX($G$5:$G$42,L548)+IF(Q548=1,INDEX(新属性投放!R$20:R$23,卡牌属性!M548-1),INDEX(新属性投放!R$25:R$28,卡牌属性!M548-1)))/SQRT(INDEX($I$5:$I$42,L548)),2)</f>
        <v>72508.350000000006</v>
      </c>
      <c r="U548" s="29" t="s">
        <v>178</v>
      </c>
      <c r="V548" s="14">
        <f>ROUND((IF(Q548=1,INDEX(新属性投放!$K$14:$K$34,卡牌属性!R548),INDEX(新属性投放!$K$42:$K$62,卡牌属性!R548))+IF(Q548=1,INDEX(新属性投放!S$20:S$23,卡牌属性!M548-1),INDEX(新属性投放!S$25:S$28,卡牌属性!M548-1)))*INDEX($G$5:$G$42,L548),2)</f>
        <v>35950.43</v>
      </c>
      <c r="W548" s="29" t="s">
        <v>179</v>
      </c>
      <c r="X548" s="14">
        <f>ROUND((IF(Q548=1,INDEX(新属性投放!$L$14:$L$34,卡牌属性!R548),INDEX(新属性投放!$L$42:$L$62,卡牌属性!R548))*INDEX($G$5:$G$42,L548)+IF(Q548=1,INDEX(新属性投放!T$20:T$23,卡牌属性!M548-1),INDEX(新属性投放!T$25:T$28,卡牌属性!M548-1)))*SQRT(INDEX($I$5:$I$42,L548)),2)</f>
        <v>390091</v>
      </c>
      <c r="Y548" s="29" t="s">
        <v>177</v>
      </c>
      <c r="Z548" s="14">
        <f>ROUND(IF(Q548=1,INDEX(新属性投放!$D$14:$D$34,卡牌属性!R548),INDEX(新属性投放!$D$42:$D$62,卡牌属性!R548))*INDEX($G$5:$G$42,L548)/SQRT(INDEX($I$5:$I$42,L548)),2)</f>
        <v>1791.53</v>
      </c>
      <c r="AA548" s="29" t="s">
        <v>178</v>
      </c>
      <c r="AB548" s="14">
        <f>ROUND(IF(Q548=1,INDEX(新属性投放!$E$14:$E$34,卡牌属性!R548),INDEX(新属性投放!$E$42:$E$62,卡牌属性!R548))*INDEX($G$5:$G$42,L548),2)</f>
        <v>895.76</v>
      </c>
      <c r="AC548" s="29" t="s">
        <v>179</v>
      </c>
      <c r="AD548" s="14">
        <f>ROUND(IF(Q548=1,INDEX(新属性投放!$F$14:$F$34,卡牌属性!R548),INDEX(新属性投放!$F$42:$F$62,卡牌属性!R548))*INDEX($G$5:$G$42,L548)*SQRT(INDEX($I$5:$I$42,L548)),2)</f>
        <v>8061</v>
      </c>
      <c r="AF548" s="14">
        <f t="shared" si="153"/>
        <v>17915</v>
      </c>
      <c r="AG548" s="14">
        <f t="shared" si="154"/>
        <v>8957</v>
      </c>
      <c r="AH548" s="14">
        <f t="shared" si="155"/>
        <v>80610</v>
      </c>
      <c r="AJ548" s="14">
        <f t="shared" si="156"/>
        <v>75207</v>
      </c>
      <c r="AK548" s="14">
        <f t="shared" si="157"/>
        <v>37598</v>
      </c>
      <c r="AL548" s="14">
        <f t="shared" si="158"/>
        <v>338355</v>
      </c>
    </row>
    <row r="549" spans="11:38" ht="16.5" x14ac:dyDescent="0.2">
      <c r="K549" s="13">
        <v>546</v>
      </c>
      <c r="L549" s="13">
        <f t="shared" si="147"/>
        <v>26</v>
      </c>
      <c r="M549" s="13">
        <f t="shared" si="148"/>
        <v>5</v>
      </c>
      <c r="N549" s="14">
        <f t="shared" si="149"/>
        <v>1102010</v>
      </c>
      <c r="O549" s="14" t="str">
        <f t="shared" si="150"/>
        <v>张郃21突</v>
      </c>
      <c r="P549" s="29" t="s">
        <v>341</v>
      </c>
      <c r="Q549" s="14">
        <f t="shared" si="151"/>
        <v>2</v>
      </c>
      <c r="R549" s="14">
        <f t="shared" si="152"/>
        <v>21</v>
      </c>
      <c r="S549" s="14" t="s">
        <v>39</v>
      </c>
      <c r="T549" s="14">
        <f>ROUND(((IF(Q549=1,INDEX(新属性投放!$J$14:$J$34,卡牌属性!R549),INDEX(新属性投放!$J$42:$J$62,卡牌属性!R549)))*INDEX($G$5:$G$42,L549)+IF(Q549=1,INDEX(新属性投放!R$20:R$23,卡牌属性!M549-1),INDEX(新属性投放!R$25:R$28,卡牌属性!M549-1)))/SQRT(INDEX($I$5:$I$42,L549)),2)</f>
        <v>94902.6</v>
      </c>
      <c r="U549" s="29" t="s">
        <v>178</v>
      </c>
      <c r="V549" s="14">
        <f>ROUND((IF(Q549=1,INDEX(新属性投放!$K$14:$K$34,卡牌属性!R549),INDEX(新属性投放!$K$42:$K$62,卡牌属性!R549))+IF(Q549=1,INDEX(新属性投放!S$20:S$23,卡牌属性!M549-1),INDEX(新属性投放!S$25:S$28,卡牌属性!M549-1)))*INDEX($G$5:$G$42,L549),2)</f>
        <v>47147.55</v>
      </c>
      <c r="W549" s="29" t="s">
        <v>179</v>
      </c>
      <c r="X549" s="14">
        <f>ROUND((IF(Q549=1,INDEX(新属性投放!$L$14:$L$34,卡牌属性!R549),INDEX(新属性投放!$L$42:$L$62,卡牌属性!R549))*INDEX($G$5:$G$42,L549)+IF(Q549=1,INDEX(新属性投放!T$20:T$23,卡牌属性!M549-1),INDEX(新属性投放!T$25:T$28,卡牌属性!M549-1)))*SQRT(INDEX($I$5:$I$42,L549)),2)</f>
        <v>511012</v>
      </c>
      <c r="Y549" s="29" t="s">
        <v>177</v>
      </c>
      <c r="Z549" s="14">
        <f>ROUND(IF(Q549=1,INDEX(新属性投放!$D$14:$D$34,卡牌属性!R549),INDEX(新属性投放!$D$42:$D$62,卡牌属性!R549))*INDEX($G$5:$G$42,L549)/SQRT(INDEX($I$5:$I$42,L549)),2)</f>
        <v>2351.39</v>
      </c>
      <c r="AA549" s="29" t="s">
        <v>178</v>
      </c>
      <c r="AB549" s="14">
        <f>ROUND(IF(Q549=1,INDEX(新属性投放!$E$14:$E$34,卡牌属性!R549),INDEX(新属性投放!$E$42:$E$62,卡牌属性!R549))*INDEX($G$5:$G$42,L549),2)</f>
        <v>1175.69</v>
      </c>
      <c r="AC549" s="29" t="s">
        <v>179</v>
      </c>
      <c r="AD549" s="14">
        <f>ROUND(IF(Q549=1,INDEX(新属性投放!$F$14:$F$34,卡牌属性!R549),INDEX(新属性投放!$F$42:$F$62,卡牌属性!R549))*INDEX($G$5:$G$42,L549)*SQRT(INDEX($I$5:$I$42,L549)),2)</f>
        <v>10581</v>
      </c>
      <c r="AF549" s="14">
        <f t="shared" si="153"/>
        <v>23513</v>
      </c>
      <c r="AG549" s="14">
        <f t="shared" si="154"/>
        <v>11756</v>
      </c>
      <c r="AH549" s="14">
        <f t="shared" si="155"/>
        <v>105810</v>
      </c>
      <c r="AJ549" s="14">
        <f t="shared" si="156"/>
        <v>98720</v>
      </c>
      <c r="AK549" s="14">
        <f t="shared" si="157"/>
        <v>49354</v>
      </c>
      <c r="AL549" s="14">
        <f t="shared" si="158"/>
        <v>444165</v>
      </c>
    </row>
    <row r="550" spans="11:38" ht="16.5" x14ac:dyDescent="0.2">
      <c r="K550" s="13">
        <v>547</v>
      </c>
      <c r="L550" s="13">
        <f t="shared" si="147"/>
        <v>27</v>
      </c>
      <c r="M550" s="13">
        <f t="shared" si="148"/>
        <v>5</v>
      </c>
      <c r="N550" s="14">
        <f t="shared" si="149"/>
        <v>1102011</v>
      </c>
      <c r="O550" s="14" t="str">
        <f t="shared" si="150"/>
        <v>张飞1突</v>
      </c>
      <c r="P550" s="29" t="s">
        <v>341</v>
      </c>
      <c r="Q550" s="14">
        <f t="shared" si="151"/>
        <v>2</v>
      </c>
      <c r="R550" s="14">
        <f t="shared" si="152"/>
        <v>1</v>
      </c>
      <c r="S550" s="14" t="s">
        <v>39</v>
      </c>
      <c r="T550" s="14">
        <f>ROUND(((IF(Q550=1,INDEX(新属性投放!$J$14:$J$34,卡牌属性!R550),INDEX(新属性投放!$J$42:$J$62,卡牌属性!R550)))*INDEX($G$5:$G$42,L550)+IF(Q550=1,INDEX(新属性投放!R$20:R$23,卡牌属性!M550-1),INDEX(新属性投放!R$25:R$28,卡牌属性!M550-1)))/SQRT(INDEX($I$5:$I$42,L550)),2)</f>
        <v>900</v>
      </c>
      <c r="U550" s="29" t="s">
        <v>178</v>
      </c>
      <c r="V550" s="14">
        <f>ROUND((IF(Q550=1,INDEX(新属性投放!$K$14:$K$34,卡牌属性!R550),INDEX(新属性投放!$K$42:$K$62,卡牌属性!R550))+IF(Q550=1,INDEX(新属性投放!S$20:S$23,卡牌属性!M550-1),INDEX(新属性投放!S$25:S$28,卡牌属性!M550-1)))*INDEX($G$5:$G$42,L550),2)</f>
        <v>150</v>
      </c>
      <c r="W550" s="29" t="s">
        <v>179</v>
      </c>
      <c r="X550" s="14">
        <f>ROUND((IF(Q550=1,INDEX(新属性投放!$L$14:$L$34,卡牌属性!R550),INDEX(新属性投放!$L$42:$L$62,卡牌属性!R550))*INDEX($G$5:$G$42,L550)+IF(Q550=1,INDEX(新属性投放!T$20:T$23,卡牌属性!M550-1),INDEX(新属性投放!T$25:T$28,卡牌属性!M550-1)))*SQRT(INDEX($I$5:$I$42,L550)),2)</f>
        <v>3475</v>
      </c>
      <c r="Y550" s="29" t="s">
        <v>177</v>
      </c>
      <c r="Z550" s="14">
        <f>ROUND(IF(Q550=1,INDEX(新属性投放!$D$14:$D$34,卡牌属性!R550),INDEX(新属性投放!$D$42:$D$62,卡牌属性!R550))*INDEX($G$5:$G$42,L550)/SQRT(INDEX($I$5:$I$42,L550)),2)</f>
        <v>15</v>
      </c>
      <c r="AA550" s="29" t="s">
        <v>178</v>
      </c>
      <c r="AB550" s="14">
        <f>ROUND(IF(Q550=1,INDEX(新属性投放!$E$14:$E$34,卡牌属性!R550),INDEX(新属性投放!$E$42:$E$62,卡牌属性!R550))*INDEX($G$5:$G$42,L550),2)</f>
        <v>7.5</v>
      </c>
      <c r="AC550" s="29" t="s">
        <v>179</v>
      </c>
      <c r="AD550" s="14">
        <f>ROUND(IF(Q550=1,INDEX(新属性投放!$F$14:$F$34,卡牌属性!R550),INDEX(新属性投放!$F$42:$F$62,卡牌属性!R550))*INDEX($G$5:$G$42,L550)*SQRT(INDEX($I$5:$I$42,L550)),2)</f>
        <v>67.5</v>
      </c>
      <c r="AF550" s="14">
        <f t="shared" si="153"/>
        <v>150</v>
      </c>
      <c r="AG550" s="14">
        <f t="shared" si="154"/>
        <v>75</v>
      </c>
      <c r="AH550" s="14">
        <f t="shared" si="155"/>
        <v>675</v>
      </c>
      <c r="AJ550" s="14">
        <f>AF550</f>
        <v>150</v>
      </c>
      <c r="AK550" s="14">
        <f>AG550</f>
        <v>75</v>
      </c>
      <c r="AL550" s="14">
        <f>AH550</f>
        <v>675</v>
      </c>
    </row>
    <row r="551" spans="11:38" ht="16.5" x14ac:dyDescent="0.2">
      <c r="K551" s="13">
        <v>548</v>
      </c>
      <c r="L551" s="13">
        <f t="shared" si="147"/>
        <v>27</v>
      </c>
      <c r="M551" s="13">
        <f t="shared" si="148"/>
        <v>5</v>
      </c>
      <c r="N551" s="14">
        <f t="shared" si="149"/>
        <v>1102011</v>
      </c>
      <c r="O551" s="14" t="str">
        <f t="shared" si="150"/>
        <v>张飞2突</v>
      </c>
      <c r="P551" s="29" t="s">
        <v>341</v>
      </c>
      <c r="Q551" s="14">
        <f t="shared" si="151"/>
        <v>2</v>
      </c>
      <c r="R551" s="14">
        <f t="shared" si="152"/>
        <v>2</v>
      </c>
      <c r="S551" s="14" t="s">
        <v>39</v>
      </c>
      <c r="T551" s="14">
        <f>ROUND(((IF(Q551=1,INDEX(新属性投放!$J$14:$J$34,卡牌属性!R551),INDEX(新属性投放!$J$42:$J$62,卡牌属性!R551)))*INDEX($G$5:$G$42,L551)+IF(Q551=1,INDEX(新属性投放!R$20:R$23,卡牌属性!M551-1),INDEX(新属性投放!R$25:R$28,卡牌属性!M551-1)))/SQRT(INDEX($I$5:$I$42,L551)),2)</f>
        <v>1072.5</v>
      </c>
      <c r="U551" s="29" t="s">
        <v>178</v>
      </c>
      <c r="V551" s="14">
        <f>ROUND((IF(Q551=1,INDEX(新属性投放!$K$14:$K$34,卡牌属性!R551),INDEX(新属性投放!$K$42:$K$62,卡牌属性!R551))+IF(Q551=1,INDEX(新属性投放!S$20:S$23,卡牌属性!M551-1),INDEX(新属性投放!S$25:S$28,卡牌属性!M551-1)))*INDEX($G$5:$G$42,L551),2)</f>
        <v>232.5</v>
      </c>
      <c r="W551" s="29" t="s">
        <v>179</v>
      </c>
      <c r="X551" s="14">
        <f>ROUND((IF(Q551=1,INDEX(新属性投放!$L$14:$L$34,卡牌属性!R551),INDEX(新属性投放!$L$42:$L$62,卡牌属性!R551))*INDEX($G$5:$G$42,L551)+IF(Q551=1,INDEX(新属性投放!T$20:T$23,卡牌属性!M551-1),INDEX(新属性投放!T$25:T$28,卡牌属性!M551-1)))*SQRT(INDEX($I$5:$I$42,L551)),2)</f>
        <v>4420</v>
      </c>
      <c r="Y551" s="29" t="s">
        <v>177</v>
      </c>
      <c r="Z551" s="14">
        <f>ROUND(IF(Q551=1,INDEX(新属性投放!$D$14:$D$34,卡牌属性!R551),INDEX(新属性投放!$D$42:$D$62,卡牌属性!R551))*INDEX($G$5:$G$42,L551)/SQRT(INDEX($I$5:$I$42,L551)),2)</f>
        <v>15</v>
      </c>
      <c r="AA551" s="29" t="s">
        <v>178</v>
      </c>
      <c r="AB551" s="14">
        <f>ROUND(IF(Q551=1,INDEX(新属性投放!$E$14:$E$34,卡牌属性!R551),INDEX(新属性投放!$E$42:$E$62,卡牌属性!R551))*INDEX($G$5:$G$42,L551),2)</f>
        <v>7.5</v>
      </c>
      <c r="AC551" s="29" t="s">
        <v>179</v>
      </c>
      <c r="AD551" s="14">
        <f>ROUND(IF(Q551=1,INDEX(新属性投放!$F$14:$F$34,卡牌属性!R551),INDEX(新属性投放!$F$42:$F$62,卡牌属性!R551))*INDEX($G$5:$G$42,L551)*SQRT(INDEX($I$5:$I$42,L551)),2)</f>
        <v>67.5</v>
      </c>
      <c r="AF551" s="14">
        <f t="shared" si="153"/>
        <v>150</v>
      </c>
      <c r="AG551" s="14">
        <f t="shared" si="154"/>
        <v>75</v>
      </c>
      <c r="AH551" s="14">
        <f t="shared" si="155"/>
        <v>675</v>
      </c>
      <c r="AJ551" s="14">
        <f t="shared" ref="AJ551:AJ570" si="159">AJ550+AF551</f>
        <v>300</v>
      </c>
      <c r="AK551" s="14">
        <f t="shared" ref="AK551:AK570" si="160">AK550+AG551</f>
        <v>150</v>
      </c>
      <c r="AL551" s="14">
        <f t="shared" ref="AL551:AL570" si="161">AL550+AH551</f>
        <v>1350</v>
      </c>
    </row>
    <row r="552" spans="11:38" ht="16.5" x14ac:dyDescent="0.2">
      <c r="K552" s="13">
        <v>549</v>
      </c>
      <c r="L552" s="13">
        <f t="shared" si="147"/>
        <v>27</v>
      </c>
      <c r="M552" s="13">
        <f t="shared" si="148"/>
        <v>5</v>
      </c>
      <c r="N552" s="14">
        <f t="shared" si="149"/>
        <v>1102011</v>
      </c>
      <c r="O552" s="14" t="str">
        <f t="shared" si="150"/>
        <v>张飞3突</v>
      </c>
      <c r="P552" s="29" t="s">
        <v>341</v>
      </c>
      <c r="Q552" s="14">
        <f t="shared" si="151"/>
        <v>2</v>
      </c>
      <c r="R552" s="14">
        <f t="shared" si="152"/>
        <v>3</v>
      </c>
      <c r="S552" s="14" t="s">
        <v>39</v>
      </c>
      <c r="T552" s="14">
        <f>ROUND(((IF(Q552=1,INDEX(新属性投放!$J$14:$J$34,卡牌属性!R552),INDEX(新属性投放!$J$42:$J$62,卡牌属性!R552)))*INDEX($G$5:$G$42,L552)+IF(Q552=1,INDEX(新属性投放!R$20:R$23,卡牌属性!M552-1),INDEX(新属性投放!R$25:R$28,卡牌属性!M552-1)))/SQRT(INDEX($I$5:$I$42,L552)),2)</f>
        <v>1260</v>
      </c>
      <c r="U552" s="29" t="s">
        <v>178</v>
      </c>
      <c r="V552" s="14">
        <f>ROUND((IF(Q552=1,INDEX(新属性投放!$K$14:$K$34,卡牌属性!R552),INDEX(新属性投放!$K$42:$K$62,卡牌属性!R552))+IF(Q552=1,INDEX(新属性投放!S$20:S$23,卡牌属性!M552-1),INDEX(新属性投放!S$25:S$28,卡牌属性!M552-1)))*INDEX($G$5:$G$42,L552),2)</f>
        <v>327</v>
      </c>
      <c r="W552" s="29" t="s">
        <v>179</v>
      </c>
      <c r="X552" s="14">
        <f>ROUND((IF(Q552=1,INDEX(新属性投放!$L$14:$L$34,卡牌属性!R552),INDEX(新属性投放!$L$42:$L$62,卡牌属性!R552))*INDEX($G$5:$G$42,L552)+IF(Q552=1,INDEX(新属性投放!T$20:T$23,卡牌属性!M552-1),INDEX(新属性投放!T$25:T$28,卡牌属性!M552-1)))*SQRT(INDEX($I$5:$I$42,L552)),2)</f>
        <v>5432.5</v>
      </c>
      <c r="Y552" s="29" t="s">
        <v>177</v>
      </c>
      <c r="Z552" s="14">
        <f>ROUND(IF(Q552=1,INDEX(新属性投放!$D$14:$D$34,卡牌属性!R552),INDEX(新属性投放!$D$42:$D$62,卡牌属性!R552))*INDEX($G$5:$G$42,L552)/SQRT(INDEX($I$5:$I$42,L552)),2)</f>
        <v>22.5</v>
      </c>
      <c r="AA552" s="29" t="s">
        <v>178</v>
      </c>
      <c r="AB552" s="14">
        <f>ROUND(IF(Q552=1,INDEX(新属性投放!$E$14:$E$34,卡牌属性!R552),INDEX(新属性投放!$E$42:$E$62,卡牌属性!R552))*INDEX($G$5:$G$42,L552),2)</f>
        <v>11.25</v>
      </c>
      <c r="AC552" s="29" t="s">
        <v>179</v>
      </c>
      <c r="AD552" s="14">
        <f>ROUND(IF(Q552=1,INDEX(新属性投放!$F$14:$F$34,卡牌属性!R552),INDEX(新属性投放!$F$42:$F$62,卡牌属性!R552))*INDEX($G$5:$G$42,L552)*SQRT(INDEX($I$5:$I$42,L552)),2)</f>
        <v>100.5</v>
      </c>
      <c r="AF552" s="14">
        <f t="shared" si="153"/>
        <v>225</v>
      </c>
      <c r="AG552" s="14">
        <f t="shared" si="154"/>
        <v>112</v>
      </c>
      <c r="AH552" s="14">
        <f t="shared" si="155"/>
        <v>1005</v>
      </c>
      <c r="AJ552" s="14">
        <f t="shared" si="159"/>
        <v>525</v>
      </c>
      <c r="AK552" s="14">
        <f t="shared" si="160"/>
        <v>262</v>
      </c>
      <c r="AL552" s="14">
        <f t="shared" si="161"/>
        <v>2355</v>
      </c>
    </row>
    <row r="553" spans="11:38" ht="16.5" x14ac:dyDescent="0.2">
      <c r="K553" s="13">
        <v>550</v>
      </c>
      <c r="L553" s="13">
        <f t="shared" si="147"/>
        <v>27</v>
      </c>
      <c r="M553" s="13">
        <f t="shared" si="148"/>
        <v>5</v>
      </c>
      <c r="N553" s="14">
        <f t="shared" si="149"/>
        <v>1102011</v>
      </c>
      <c r="O553" s="14" t="str">
        <f t="shared" si="150"/>
        <v>张飞4突</v>
      </c>
      <c r="P553" s="29" t="s">
        <v>341</v>
      </c>
      <c r="Q553" s="14">
        <f t="shared" si="151"/>
        <v>2</v>
      </c>
      <c r="R553" s="14">
        <f t="shared" si="152"/>
        <v>4</v>
      </c>
      <c r="S553" s="14" t="s">
        <v>39</v>
      </c>
      <c r="T553" s="14">
        <f>ROUND(((IF(Q553=1,INDEX(新属性投放!$J$14:$J$34,卡牌属性!R553),INDEX(新属性投放!$J$42:$J$62,卡牌属性!R553)))*INDEX($G$5:$G$42,L553)+IF(Q553=1,INDEX(新属性投放!R$20:R$23,卡牌属性!M553-1),INDEX(新属性投放!R$25:R$28,卡牌属性!M553-1)))/SQRT(INDEX($I$5:$I$42,L553)),2)</f>
        <v>1542</v>
      </c>
      <c r="U553" s="29" t="s">
        <v>178</v>
      </c>
      <c r="V553" s="14">
        <f>ROUND((IF(Q553=1,INDEX(新属性投放!$K$14:$K$34,卡牌属性!R553),INDEX(新属性投放!$K$42:$K$62,卡牌属性!R553))+IF(Q553=1,INDEX(新属性投放!S$20:S$23,卡牌属性!M553-1),INDEX(新属性投放!S$25:S$28,卡牌属性!M553-1)))*INDEX($G$5:$G$42,L553),2)</f>
        <v>468</v>
      </c>
      <c r="W553" s="29" t="s">
        <v>179</v>
      </c>
      <c r="X553" s="14">
        <f>ROUND((IF(Q553=1,INDEX(新属性投放!$L$14:$L$34,卡牌属性!R553),INDEX(新属性投放!$L$42:$L$62,卡牌属性!R553))*INDEX($G$5:$G$42,L553)+IF(Q553=1,INDEX(新属性投放!T$20:T$23,卡牌属性!M553-1),INDEX(新属性投放!T$25:T$28,卡牌属性!M553-1)))*SQRT(INDEX($I$5:$I$42,L553)),2)</f>
        <v>6950.5</v>
      </c>
      <c r="Y553" s="29" t="s">
        <v>177</v>
      </c>
      <c r="Z553" s="14">
        <f>ROUND(IF(Q553=1,INDEX(新属性投放!$D$14:$D$34,卡牌属性!R553),INDEX(新属性投放!$D$42:$D$62,卡牌属性!R553))*INDEX($G$5:$G$42,L553)/SQRT(INDEX($I$5:$I$42,L553)),2)</f>
        <v>30</v>
      </c>
      <c r="AA553" s="29" t="s">
        <v>178</v>
      </c>
      <c r="AB553" s="14">
        <f>ROUND(IF(Q553=1,INDEX(新属性投放!$E$14:$E$34,卡牌属性!R553),INDEX(新属性投放!$E$42:$E$62,卡牌属性!R553))*INDEX($G$5:$G$42,L553),2)</f>
        <v>15</v>
      </c>
      <c r="AC553" s="29" t="s">
        <v>179</v>
      </c>
      <c r="AD553" s="14">
        <f>ROUND(IF(Q553=1,INDEX(新属性投放!$F$14:$F$34,卡牌属性!R553),INDEX(新属性投放!$F$42:$F$62,卡牌属性!R553))*INDEX($G$5:$G$42,L553)*SQRT(INDEX($I$5:$I$42,L553)),2)</f>
        <v>135</v>
      </c>
      <c r="AF553" s="14">
        <f t="shared" si="153"/>
        <v>300</v>
      </c>
      <c r="AG553" s="14">
        <f t="shared" si="154"/>
        <v>150</v>
      </c>
      <c r="AH553" s="14">
        <f t="shared" si="155"/>
        <v>1350</v>
      </c>
      <c r="AJ553" s="14">
        <f t="shared" si="159"/>
        <v>825</v>
      </c>
      <c r="AK553" s="14">
        <f t="shared" si="160"/>
        <v>412</v>
      </c>
      <c r="AL553" s="14">
        <f t="shared" si="161"/>
        <v>3705</v>
      </c>
    </row>
    <row r="554" spans="11:38" ht="16.5" x14ac:dyDescent="0.2">
      <c r="K554" s="13">
        <v>551</v>
      </c>
      <c r="L554" s="13">
        <f t="shared" si="147"/>
        <v>27</v>
      </c>
      <c r="M554" s="13">
        <f t="shared" si="148"/>
        <v>5</v>
      </c>
      <c r="N554" s="14">
        <f t="shared" si="149"/>
        <v>1102011</v>
      </c>
      <c r="O554" s="14" t="str">
        <f t="shared" si="150"/>
        <v>张飞5突</v>
      </c>
      <c r="P554" s="29" t="s">
        <v>341</v>
      </c>
      <c r="Q554" s="14">
        <f t="shared" si="151"/>
        <v>2</v>
      </c>
      <c r="R554" s="14">
        <f t="shared" si="152"/>
        <v>5</v>
      </c>
      <c r="S554" s="14" t="s">
        <v>39</v>
      </c>
      <c r="T554" s="14">
        <f>ROUND(((IF(Q554=1,INDEX(新属性投放!$J$14:$J$34,卡牌属性!R554),INDEX(新属性投放!$J$42:$J$62,卡牌属性!R554)))*INDEX($G$5:$G$42,L554)+IF(Q554=1,INDEX(新属性投放!R$20:R$23,卡牌属性!M554-1),INDEX(新属性投放!R$25:R$28,卡牌属性!M554-1)))/SQRT(INDEX($I$5:$I$42,L554)),2)</f>
        <v>1917</v>
      </c>
      <c r="U554" s="29" t="s">
        <v>178</v>
      </c>
      <c r="V554" s="14">
        <f>ROUND((IF(Q554=1,INDEX(新属性投放!$K$14:$K$34,卡牌属性!R554),INDEX(新属性投放!$K$42:$K$62,卡牌属性!R554))+IF(Q554=1,INDEX(新属性投放!S$20:S$23,卡牌属性!M554-1),INDEX(新属性投放!S$25:S$28,卡牌属性!M554-1)))*INDEX($G$5:$G$42,L554),2)</f>
        <v>655.5</v>
      </c>
      <c r="W554" s="29" t="s">
        <v>179</v>
      </c>
      <c r="X554" s="14">
        <f>ROUND((IF(Q554=1,INDEX(新属性投放!$L$14:$L$34,卡牌属性!R554),INDEX(新属性投放!$L$42:$L$62,卡牌属性!R554))*INDEX($G$5:$G$42,L554)+IF(Q554=1,INDEX(新属性投放!T$20:T$23,卡牌属性!M554-1),INDEX(新属性投放!T$25:T$28,卡牌属性!M554-1)))*SQRT(INDEX($I$5:$I$42,L554)),2)</f>
        <v>8975.5</v>
      </c>
      <c r="Y554" s="29" t="s">
        <v>177</v>
      </c>
      <c r="Z554" s="14">
        <f>ROUND(IF(Q554=1,INDEX(新属性投放!$D$14:$D$34,卡牌属性!R554),INDEX(新属性投放!$D$42:$D$62,卡牌属性!R554))*INDEX($G$5:$G$42,L554)/SQRT(INDEX($I$5:$I$42,L554)),2)</f>
        <v>37.5</v>
      </c>
      <c r="AA554" s="29" t="s">
        <v>178</v>
      </c>
      <c r="AB554" s="14">
        <f>ROUND(IF(Q554=1,INDEX(新属性投放!$E$14:$E$34,卡牌属性!R554),INDEX(新属性投放!$E$42:$E$62,卡牌属性!R554))*INDEX($G$5:$G$42,L554),2)</f>
        <v>18.75</v>
      </c>
      <c r="AC554" s="29" t="s">
        <v>179</v>
      </c>
      <c r="AD554" s="14">
        <f>ROUND(IF(Q554=1,INDEX(新属性投放!$F$14:$F$34,卡牌属性!R554),INDEX(新属性投放!$F$42:$F$62,卡牌属性!R554))*INDEX($G$5:$G$42,L554)*SQRT(INDEX($I$5:$I$42,L554)),2)</f>
        <v>168</v>
      </c>
      <c r="AF554" s="14">
        <f t="shared" si="153"/>
        <v>375</v>
      </c>
      <c r="AG554" s="14">
        <f t="shared" si="154"/>
        <v>187</v>
      </c>
      <c r="AH554" s="14">
        <f t="shared" si="155"/>
        <v>1680</v>
      </c>
      <c r="AJ554" s="14">
        <f t="shared" si="159"/>
        <v>1200</v>
      </c>
      <c r="AK554" s="14">
        <f t="shared" si="160"/>
        <v>599</v>
      </c>
      <c r="AL554" s="14">
        <f t="shared" si="161"/>
        <v>5385</v>
      </c>
    </row>
    <row r="555" spans="11:38" ht="16.5" x14ac:dyDescent="0.2">
      <c r="K555" s="13">
        <v>552</v>
      </c>
      <c r="L555" s="13">
        <f t="shared" si="147"/>
        <v>27</v>
      </c>
      <c r="M555" s="13">
        <f t="shared" si="148"/>
        <v>5</v>
      </c>
      <c r="N555" s="14">
        <f t="shared" si="149"/>
        <v>1102011</v>
      </c>
      <c r="O555" s="14" t="str">
        <f t="shared" si="150"/>
        <v>张飞6突</v>
      </c>
      <c r="P555" s="29" t="s">
        <v>341</v>
      </c>
      <c r="Q555" s="14">
        <f t="shared" si="151"/>
        <v>2</v>
      </c>
      <c r="R555" s="14">
        <f t="shared" si="152"/>
        <v>6</v>
      </c>
      <c r="S555" s="14" t="s">
        <v>39</v>
      </c>
      <c r="T555" s="14">
        <f>ROUND(((IF(Q555=1,INDEX(新属性投放!$J$14:$J$34,卡牌属性!R555),INDEX(新属性投放!$J$42:$J$62,卡牌属性!R555)))*INDEX($G$5:$G$42,L555)+IF(Q555=1,INDEX(新属性投放!R$20:R$23,卡牌属性!M555-1),INDEX(新属性投放!R$25:R$28,卡牌属性!M555-1)))/SQRT(INDEX($I$5:$I$42,L555)),2)</f>
        <v>2386.5</v>
      </c>
      <c r="U555" s="29" t="s">
        <v>178</v>
      </c>
      <c r="V555" s="14">
        <f>ROUND((IF(Q555=1,INDEX(新属性投放!$K$14:$K$34,卡牌属性!R555),INDEX(新属性投放!$K$42:$K$62,卡牌属性!R555))+IF(Q555=1,INDEX(新属性投放!S$20:S$23,卡牌属性!M555-1),INDEX(新属性投放!S$25:S$28,卡牌属性!M555-1)))*INDEX($G$5:$G$42,L555),2)</f>
        <v>889.5</v>
      </c>
      <c r="W555" s="29" t="s">
        <v>179</v>
      </c>
      <c r="X555" s="14">
        <f>ROUND((IF(Q555=1,INDEX(新属性投放!$L$14:$L$34,卡牌属性!R555),INDEX(新属性投放!$L$42:$L$62,卡牌属性!R555))*INDEX($G$5:$G$42,L555)+IF(Q555=1,INDEX(新属性投放!T$20:T$23,卡牌属性!M555-1),INDEX(新属性投放!T$25:T$28,卡牌属性!M555-1)))*SQRT(INDEX($I$5:$I$42,L555)),2)</f>
        <v>11506</v>
      </c>
      <c r="Y555" s="29" t="s">
        <v>177</v>
      </c>
      <c r="Z555" s="14">
        <f>ROUND(IF(Q555=1,INDEX(新属性投放!$D$14:$D$34,卡牌属性!R555),INDEX(新属性投放!$D$42:$D$62,卡牌属性!R555))*INDEX($G$5:$G$42,L555)/SQRT(INDEX($I$5:$I$42,L555)),2)</f>
        <v>45</v>
      </c>
      <c r="AA555" s="29" t="s">
        <v>178</v>
      </c>
      <c r="AB555" s="14">
        <f>ROUND(IF(Q555=1,INDEX(新属性投放!$E$14:$E$34,卡牌属性!R555),INDEX(新属性投放!$E$42:$E$62,卡牌属性!R555))*INDEX($G$5:$G$42,L555),2)</f>
        <v>22.5</v>
      </c>
      <c r="AC555" s="29" t="s">
        <v>179</v>
      </c>
      <c r="AD555" s="14">
        <f>ROUND(IF(Q555=1,INDEX(新属性投放!$F$14:$F$34,卡牌属性!R555),INDEX(新属性投放!$F$42:$F$62,卡牌属性!R555))*INDEX($G$5:$G$42,L555)*SQRT(INDEX($I$5:$I$42,L555)),2)</f>
        <v>202.5</v>
      </c>
      <c r="AF555" s="14">
        <f t="shared" si="153"/>
        <v>450</v>
      </c>
      <c r="AG555" s="14">
        <f t="shared" si="154"/>
        <v>225</v>
      </c>
      <c r="AH555" s="14">
        <f t="shared" si="155"/>
        <v>2025</v>
      </c>
      <c r="AJ555" s="14">
        <f t="shared" si="159"/>
        <v>1650</v>
      </c>
      <c r="AK555" s="14">
        <f t="shared" si="160"/>
        <v>824</v>
      </c>
      <c r="AL555" s="14">
        <f t="shared" si="161"/>
        <v>7410</v>
      </c>
    </row>
    <row r="556" spans="11:38" ht="16.5" x14ac:dyDescent="0.2">
      <c r="K556" s="13">
        <v>553</v>
      </c>
      <c r="L556" s="13">
        <f t="shared" si="147"/>
        <v>27</v>
      </c>
      <c r="M556" s="13">
        <f t="shared" si="148"/>
        <v>5</v>
      </c>
      <c r="N556" s="14">
        <f t="shared" si="149"/>
        <v>1102011</v>
      </c>
      <c r="O556" s="14" t="str">
        <f t="shared" si="150"/>
        <v>张飞7突</v>
      </c>
      <c r="P556" s="29" t="s">
        <v>341</v>
      </c>
      <c r="Q556" s="14">
        <f t="shared" si="151"/>
        <v>2</v>
      </c>
      <c r="R556" s="14">
        <f t="shared" si="152"/>
        <v>7</v>
      </c>
      <c r="S556" s="14" t="s">
        <v>39</v>
      </c>
      <c r="T556" s="14">
        <f>ROUND(((IF(Q556=1,INDEX(新属性投放!$J$14:$J$34,卡牌属性!R556),INDEX(新属性投放!$J$42:$J$62,卡牌属性!R556)))*INDEX($G$5:$G$42,L556)+IF(Q556=1,INDEX(新属性投放!R$20:R$23,卡牌属性!M556-1),INDEX(新属性投放!R$25:R$28,卡牌属性!M556-1)))/SQRT(INDEX($I$5:$I$42,L556)),2)</f>
        <v>2949</v>
      </c>
      <c r="U556" s="29" t="s">
        <v>178</v>
      </c>
      <c r="V556" s="14">
        <f>ROUND((IF(Q556=1,INDEX(新属性投放!$K$14:$K$34,卡牌属性!R556),INDEX(新属性投放!$K$42:$K$62,卡牌属性!R556))+IF(Q556=1,INDEX(新属性投放!S$20:S$23,卡牌属性!M556-1),INDEX(新属性投放!S$25:S$28,卡牌属性!M556-1)))*INDEX($G$5:$G$42,L556),2)</f>
        <v>1171.5</v>
      </c>
      <c r="W556" s="29" t="s">
        <v>179</v>
      </c>
      <c r="X556" s="14">
        <f>ROUND((IF(Q556=1,INDEX(新属性投放!$L$14:$L$34,卡牌属性!R556),INDEX(新属性投放!$L$42:$L$62,卡牌属性!R556))*INDEX($G$5:$G$42,L556)+IF(Q556=1,INDEX(新属性投放!T$20:T$23,卡牌属性!M556-1),INDEX(新属性投放!T$25:T$28,卡牌属性!M556-1)))*SQRT(INDEX($I$5:$I$42,L556)),2)</f>
        <v>14543.5</v>
      </c>
      <c r="Y556" s="29" t="s">
        <v>177</v>
      </c>
      <c r="Z556" s="14">
        <f>ROUND(IF(Q556=1,INDEX(新属性投放!$D$14:$D$34,卡牌属性!R556),INDEX(新属性投放!$D$42:$D$62,卡牌属性!R556))*INDEX($G$5:$G$42,L556)/SQRT(INDEX($I$5:$I$42,L556)),2)</f>
        <v>52.5</v>
      </c>
      <c r="AA556" s="29" t="s">
        <v>178</v>
      </c>
      <c r="AB556" s="14">
        <f>ROUND(IF(Q556=1,INDEX(新属性投放!$E$14:$E$34,卡牌属性!R556),INDEX(新属性投放!$E$42:$E$62,卡牌属性!R556))*INDEX($G$5:$G$42,L556),2)</f>
        <v>26.25</v>
      </c>
      <c r="AC556" s="29" t="s">
        <v>179</v>
      </c>
      <c r="AD556" s="14">
        <f>ROUND(IF(Q556=1,INDEX(新属性投放!$F$14:$F$34,卡牌属性!R556),INDEX(新属性投放!$F$42:$F$62,卡牌属性!R556))*INDEX($G$5:$G$42,L556)*SQRT(INDEX($I$5:$I$42,L556)),2)</f>
        <v>235.5</v>
      </c>
      <c r="AF556" s="14">
        <f t="shared" si="153"/>
        <v>525</v>
      </c>
      <c r="AG556" s="14">
        <f t="shared" si="154"/>
        <v>262</v>
      </c>
      <c r="AH556" s="14">
        <f t="shared" si="155"/>
        <v>2355</v>
      </c>
      <c r="AJ556" s="14">
        <f t="shared" si="159"/>
        <v>2175</v>
      </c>
      <c r="AK556" s="14">
        <f t="shared" si="160"/>
        <v>1086</v>
      </c>
      <c r="AL556" s="14">
        <f t="shared" si="161"/>
        <v>9765</v>
      </c>
    </row>
    <row r="557" spans="11:38" ht="16.5" x14ac:dyDescent="0.2">
      <c r="K557" s="13">
        <v>554</v>
      </c>
      <c r="L557" s="13">
        <f t="shared" si="147"/>
        <v>27</v>
      </c>
      <c r="M557" s="13">
        <f t="shared" si="148"/>
        <v>5</v>
      </c>
      <c r="N557" s="14">
        <f t="shared" si="149"/>
        <v>1102011</v>
      </c>
      <c r="O557" s="14" t="str">
        <f t="shared" si="150"/>
        <v>张飞8突</v>
      </c>
      <c r="P557" s="29" t="s">
        <v>341</v>
      </c>
      <c r="Q557" s="14">
        <f t="shared" si="151"/>
        <v>2</v>
      </c>
      <c r="R557" s="14">
        <f t="shared" si="152"/>
        <v>8</v>
      </c>
      <c r="S557" s="14" t="s">
        <v>39</v>
      </c>
      <c r="T557" s="14">
        <f>ROUND(((IF(Q557=1,INDEX(新属性投放!$J$14:$J$34,卡牌属性!R557),INDEX(新属性投放!$J$42:$J$62,卡牌属性!R557)))*INDEX($G$5:$G$42,L557)+IF(Q557=1,INDEX(新属性投放!R$20:R$23,卡牌属性!M557-1),INDEX(新属性投放!R$25:R$28,卡牌属性!M557-1)))/SQRT(INDEX($I$5:$I$42,L557)),2)</f>
        <v>3606</v>
      </c>
      <c r="U557" s="29" t="s">
        <v>178</v>
      </c>
      <c r="V557" s="14">
        <f>ROUND((IF(Q557=1,INDEX(新属性投放!$K$14:$K$34,卡牌属性!R557),INDEX(新属性投放!$K$42:$K$62,卡牌属性!R557))+IF(Q557=1,INDEX(新属性投放!S$20:S$23,卡牌属性!M557-1),INDEX(新属性投放!S$25:S$28,卡牌属性!M557-1)))*INDEX($G$5:$G$42,L557),2)</f>
        <v>1500</v>
      </c>
      <c r="W557" s="29" t="s">
        <v>179</v>
      </c>
      <c r="X557" s="14">
        <f>ROUND((IF(Q557=1,INDEX(新属性投放!$L$14:$L$34,卡牌属性!R557),INDEX(新属性投放!$L$42:$L$62,卡牌属性!R557))*INDEX($G$5:$G$42,L557)+IF(Q557=1,INDEX(新属性投放!T$20:T$23,卡牌属性!M557-1),INDEX(新属性投放!T$25:T$28,卡牌属性!M557-1)))*SQRT(INDEX($I$5:$I$42,L557)),2)</f>
        <v>18086.5</v>
      </c>
      <c r="Y557" s="29" t="s">
        <v>177</v>
      </c>
      <c r="Z557" s="14">
        <f>ROUND(IF(Q557=1,INDEX(新属性投放!$D$14:$D$34,卡牌属性!R557),INDEX(新属性投放!$D$42:$D$62,卡牌属性!R557))*INDEX($G$5:$G$42,L557)/SQRT(INDEX($I$5:$I$42,L557)),2)</f>
        <v>67.5</v>
      </c>
      <c r="AA557" s="29" t="s">
        <v>178</v>
      </c>
      <c r="AB557" s="14">
        <f>ROUND(IF(Q557=1,INDEX(新属性投放!$E$14:$E$34,卡牌属性!R557),INDEX(新属性投放!$E$42:$E$62,卡牌属性!R557))*INDEX($G$5:$G$42,L557),2)</f>
        <v>33.75</v>
      </c>
      <c r="AC557" s="29" t="s">
        <v>179</v>
      </c>
      <c r="AD557" s="14">
        <f>ROUND(IF(Q557=1,INDEX(新属性投放!$F$14:$F$34,卡牌属性!R557),INDEX(新属性投放!$F$42:$F$62,卡牌属性!R557))*INDEX($G$5:$G$42,L557)*SQRT(INDEX($I$5:$I$42,L557)),2)</f>
        <v>303</v>
      </c>
      <c r="AF557" s="14">
        <f t="shared" si="153"/>
        <v>675</v>
      </c>
      <c r="AG557" s="14">
        <f t="shared" si="154"/>
        <v>337</v>
      </c>
      <c r="AH557" s="14">
        <f t="shared" si="155"/>
        <v>3030</v>
      </c>
      <c r="AJ557" s="14">
        <f t="shared" si="159"/>
        <v>2850</v>
      </c>
      <c r="AK557" s="14">
        <f t="shared" si="160"/>
        <v>1423</v>
      </c>
      <c r="AL557" s="14">
        <f t="shared" si="161"/>
        <v>12795</v>
      </c>
    </row>
    <row r="558" spans="11:38" ht="16.5" x14ac:dyDescent="0.2">
      <c r="K558" s="13">
        <v>555</v>
      </c>
      <c r="L558" s="13">
        <f t="shared" si="147"/>
        <v>27</v>
      </c>
      <c r="M558" s="13">
        <f t="shared" si="148"/>
        <v>5</v>
      </c>
      <c r="N558" s="14">
        <f t="shared" si="149"/>
        <v>1102011</v>
      </c>
      <c r="O558" s="14" t="str">
        <f t="shared" si="150"/>
        <v>张飞9突</v>
      </c>
      <c r="P558" s="29" t="s">
        <v>341</v>
      </c>
      <c r="Q558" s="14">
        <f t="shared" si="151"/>
        <v>2</v>
      </c>
      <c r="R558" s="14">
        <f t="shared" si="152"/>
        <v>9</v>
      </c>
      <c r="S558" s="14" t="s">
        <v>39</v>
      </c>
      <c r="T558" s="14">
        <f>ROUND(((IF(Q558=1,INDEX(新属性投放!$J$14:$J$34,卡牌属性!R558),INDEX(新属性投放!$J$42:$J$62,卡牌属性!R558)))*INDEX($G$5:$G$42,L558)+IF(Q558=1,INDEX(新属性投放!R$20:R$23,卡牌属性!M558-1),INDEX(新属性投放!R$25:R$28,卡牌属性!M558-1)))/SQRT(INDEX($I$5:$I$42,L558)),2)</f>
        <v>4450.5</v>
      </c>
      <c r="U558" s="29" t="s">
        <v>178</v>
      </c>
      <c r="V558" s="14">
        <f>ROUND((IF(Q558=1,INDEX(新属性投放!$K$14:$K$34,卡牌属性!R558),INDEX(新属性投放!$K$42:$K$62,卡牌属性!R558))+IF(Q558=1,INDEX(新属性投放!S$20:S$23,卡牌属性!M558-1),INDEX(新属性投放!S$25:S$28,卡牌属性!M558-1)))*INDEX($G$5:$G$42,L558),2)</f>
        <v>1921.5</v>
      </c>
      <c r="W558" s="29" t="s">
        <v>179</v>
      </c>
      <c r="X558" s="14">
        <f>ROUND((IF(Q558=1,INDEX(新属性投放!$L$14:$L$34,卡牌属性!R558),INDEX(新属性投放!$L$42:$L$62,卡牌属性!R558))*INDEX($G$5:$G$42,L558)+IF(Q558=1,INDEX(新属性投放!T$20:T$23,卡牌属性!M558-1),INDEX(新属性投放!T$25:T$28,卡牌属性!M558-1)))*SQRT(INDEX($I$5:$I$42,L558)),2)</f>
        <v>22642</v>
      </c>
      <c r="Y558" s="29" t="s">
        <v>177</v>
      </c>
      <c r="Z558" s="14">
        <f>ROUND(IF(Q558=1,INDEX(新属性投放!$D$14:$D$34,卡牌属性!R558),INDEX(新属性投放!$D$42:$D$62,卡牌属性!R558))*INDEX($G$5:$G$42,L558)/SQRT(INDEX($I$5:$I$42,L558)),2)</f>
        <v>90.08</v>
      </c>
      <c r="AA558" s="29" t="s">
        <v>178</v>
      </c>
      <c r="AB558" s="14">
        <f>ROUND(IF(Q558=1,INDEX(新属性投放!$E$14:$E$34,卡牌属性!R558),INDEX(新属性投放!$E$42:$E$62,卡牌属性!R558))*INDEX($G$5:$G$42,L558),2)</f>
        <v>45.04</v>
      </c>
      <c r="AC558" s="29" t="s">
        <v>179</v>
      </c>
      <c r="AD558" s="14">
        <f>ROUND(IF(Q558=1,INDEX(新属性投放!$F$14:$F$34,卡牌属性!R558),INDEX(新属性投放!$F$42:$F$62,卡牌属性!R558))*INDEX($G$5:$G$42,L558)*SQRT(INDEX($I$5:$I$42,L558)),2)</f>
        <v>405</v>
      </c>
      <c r="AF558" s="14">
        <f t="shared" si="153"/>
        <v>900</v>
      </c>
      <c r="AG558" s="14">
        <f t="shared" si="154"/>
        <v>450</v>
      </c>
      <c r="AH558" s="14">
        <f t="shared" si="155"/>
        <v>4050</v>
      </c>
      <c r="AJ558" s="14">
        <f t="shared" si="159"/>
        <v>3750</v>
      </c>
      <c r="AK558" s="14">
        <f t="shared" si="160"/>
        <v>1873</v>
      </c>
      <c r="AL558" s="14">
        <f t="shared" si="161"/>
        <v>16845</v>
      </c>
    </row>
    <row r="559" spans="11:38" ht="16.5" x14ac:dyDescent="0.2">
      <c r="K559" s="13">
        <v>556</v>
      </c>
      <c r="L559" s="13">
        <f t="shared" si="147"/>
        <v>27</v>
      </c>
      <c r="M559" s="13">
        <f t="shared" si="148"/>
        <v>5</v>
      </c>
      <c r="N559" s="14">
        <f t="shared" si="149"/>
        <v>1102011</v>
      </c>
      <c r="O559" s="14" t="str">
        <f t="shared" si="150"/>
        <v>张飞10突</v>
      </c>
      <c r="P559" s="29" t="s">
        <v>341</v>
      </c>
      <c r="Q559" s="14">
        <f t="shared" si="151"/>
        <v>2</v>
      </c>
      <c r="R559" s="14">
        <f t="shared" si="152"/>
        <v>10</v>
      </c>
      <c r="S559" s="14" t="s">
        <v>39</v>
      </c>
      <c r="T559" s="14">
        <f>ROUND(((IF(Q559=1,INDEX(新属性投放!$J$14:$J$34,卡牌属性!R559),INDEX(新属性投放!$J$42:$J$62,卡牌属性!R559)))*INDEX($G$5:$G$42,L559)+IF(Q559=1,INDEX(新属性投放!R$20:R$23,卡牌属性!M559-1),INDEX(新属性投放!R$25:R$28,卡牌属性!M559-1)))/SQRT(INDEX($I$5:$I$42,L559)),2)</f>
        <v>5576.25</v>
      </c>
      <c r="U559" s="29" t="s">
        <v>178</v>
      </c>
      <c r="V559" s="14">
        <f>ROUND((IF(Q559=1,INDEX(新属性投放!$K$14:$K$34,卡牌属性!R559),INDEX(新属性投放!$K$42:$K$62,卡牌属性!R559))+IF(Q559=1,INDEX(新属性投放!S$20:S$23,卡牌属性!M559-1),INDEX(新属性投放!S$25:S$28,卡牌属性!M559-1)))*INDEX($G$5:$G$42,L559),2)</f>
        <v>2484.38</v>
      </c>
      <c r="W559" s="29" t="s">
        <v>179</v>
      </c>
      <c r="X559" s="14">
        <f>ROUND((IF(Q559=1,INDEX(新属性投放!$L$14:$L$34,卡牌属性!R559),INDEX(新属性投放!$L$42:$L$62,卡牌属性!R559))*INDEX($G$5:$G$42,L559)+IF(Q559=1,INDEX(新属性投放!T$20:T$23,卡牌属性!M559-1),INDEX(新属性投放!T$25:T$28,卡牌属性!M559-1)))*SQRT(INDEX($I$5:$I$42,L559)),2)</f>
        <v>28717</v>
      </c>
      <c r="Y559" s="29" t="s">
        <v>177</v>
      </c>
      <c r="Z559" s="14">
        <f>ROUND(IF(Q559=1,INDEX(新属性投放!$D$14:$D$34,卡牌属性!R559),INDEX(新属性投放!$D$42:$D$62,卡牌属性!R559))*INDEX($G$5:$G$42,L559)/SQRT(INDEX($I$5:$I$42,L559)),2)</f>
        <v>117.75</v>
      </c>
      <c r="AA559" s="29" t="s">
        <v>178</v>
      </c>
      <c r="AB559" s="14">
        <f>ROUND(IF(Q559=1,INDEX(新属性投放!$E$14:$E$34,卡牌属性!R559),INDEX(新属性投放!$E$42:$E$62,卡牌属性!R559))*INDEX($G$5:$G$42,L559),2)</f>
        <v>58.88</v>
      </c>
      <c r="AC559" s="29" t="s">
        <v>179</v>
      </c>
      <c r="AD559" s="14">
        <f>ROUND(IF(Q559=1,INDEX(新属性投放!$F$14:$F$34,卡牌属性!R559),INDEX(新属性投放!$F$42:$F$62,卡牌属性!R559))*INDEX($G$5:$G$42,L559)*SQRT(INDEX($I$5:$I$42,L559)),2)</f>
        <v>529.5</v>
      </c>
      <c r="AF559" s="14">
        <f t="shared" si="153"/>
        <v>1177</v>
      </c>
      <c r="AG559" s="14">
        <f t="shared" si="154"/>
        <v>588</v>
      </c>
      <c r="AH559" s="14">
        <f t="shared" si="155"/>
        <v>5295</v>
      </c>
      <c r="AJ559" s="14">
        <f t="shared" si="159"/>
        <v>4927</v>
      </c>
      <c r="AK559" s="14">
        <f t="shared" si="160"/>
        <v>2461</v>
      </c>
      <c r="AL559" s="14">
        <f t="shared" si="161"/>
        <v>22140</v>
      </c>
    </row>
    <row r="560" spans="11:38" ht="16.5" x14ac:dyDescent="0.2">
      <c r="K560" s="13">
        <v>557</v>
      </c>
      <c r="L560" s="13">
        <f t="shared" si="147"/>
        <v>27</v>
      </c>
      <c r="M560" s="13">
        <f t="shared" si="148"/>
        <v>5</v>
      </c>
      <c r="N560" s="14">
        <f t="shared" si="149"/>
        <v>1102011</v>
      </c>
      <c r="O560" s="14" t="str">
        <f t="shared" si="150"/>
        <v>张飞11突</v>
      </c>
      <c r="P560" s="29" t="s">
        <v>341</v>
      </c>
      <c r="Q560" s="14">
        <f t="shared" si="151"/>
        <v>2</v>
      </c>
      <c r="R560" s="14">
        <f t="shared" si="152"/>
        <v>11</v>
      </c>
      <c r="S560" s="14" t="s">
        <v>39</v>
      </c>
      <c r="T560" s="14">
        <f>ROUND(((IF(Q560=1,INDEX(新属性投放!$J$14:$J$34,卡牌属性!R560),INDEX(新属性投放!$J$42:$J$62,卡牌属性!R560)))*INDEX($G$5:$G$42,L560)+IF(Q560=1,INDEX(新属性投放!R$20:R$23,卡牌属性!M560-1),INDEX(新属性投放!R$25:R$28,卡牌属性!M560-1)))/SQRT(INDEX($I$5:$I$42,L560)),2)</f>
        <v>7047.75</v>
      </c>
      <c r="U560" s="29" t="s">
        <v>178</v>
      </c>
      <c r="V560" s="14">
        <f>ROUND((IF(Q560=1,INDEX(新属性投放!$K$14:$K$34,卡牌属性!R560),INDEX(新属性投放!$K$42:$K$62,卡牌属性!R560))+IF(Q560=1,INDEX(新属性投放!S$20:S$23,卡牌属性!M560-1),INDEX(新属性投放!S$25:S$28,卡牌属性!M560-1)))*INDEX($G$5:$G$42,L560),2)</f>
        <v>3220.13</v>
      </c>
      <c r="W560" s="29" t="s">
        <v>179</v>
      </c>
      <c r="X560" s="14">
        <f>ROUND((IF(Q560=1,INDEX(新属性投放!$L$14:$L$34,卡牌属性!R560),INDEX(新属性投放!$L$42:$L$62,卡牌属性!R560))*INDEX($G$5:$G$42,L560)+IF(Q560=1,INDEX(新属性投放!T$20:T$23,卡牌属性!M560-1),INDEX(新属性投放!T$25:T$28,卡牌属性!M560-1)))*SQRT(INDEX($I$5:$I$42,L560)),2)</f>
        <v>36658</v>
      </c>
      <c r="Y560" s="29" t="s">
        <v>177</v>
      </c>
      <c r="Z560" s="14">
        <f>ROUND(IF(Q560=1,INDEX(新属性投放!$D$14:$D$34,卡牌属性!R560),INDEX(新属性投放!$D$42:$D$62,卡牌属性!R560))*INDEX($G$5:$G$42,L560)/SQRT(INDEX($I$5:$I$42,L560)),2)</f>
        <v>155.01</v>
      </c>
      <c r="AA560" s="29" t="s">
        <v>178</v>
      </c>
      <c r="AB560" s="14">
        <f>ROUND(IF(Q560=1,INDEX(新属性投放!$E$14:$E$34,卡牌属性!R560),INDEX(新属性投放!$E$42:$E$62,卡牌属性!R560))*INDEX($G$5:$G$42,L560),2)</f>
        <v>77.510000000000005</v>
      </c>
      <c r="AC560" s="29" t="s">
        <v>179</v>
      </c>
      <c r="AD560" s="14">
        <f>ROUND(IF(Q560=1,INDEX(新属性投放!$F$14:$F$34,卡牌属性!R560),INDEX(新属性投放!$F$42:$F$62,卡牌属性!R560))*INDEX($G$5:$G$42,L560)*SQRT(INDEX($I$5:$I$42,L560)),2)</f>
        <v>697.5</v>
      </c>
      <c r="AF560" s="14">
        <f t="shared" si="153"/>
        <v>1550</v>
      </c>
      <c r="AG560" s="14">
        <f t="shared" si="154"/>
        <v>775</v>
      </c>
      <c r="AH560" s="14">
        <f t="shared" si="155"/>
        <v>6975</v>
      </c>
      <c r="AJ560" s="14">
        <f t="shared" si="159"/>
        <v>6477</v>
      </c>
      <c r="AK560" s="14">
        <f t="shared" si="160"/>
        <v>3236</v>
      </c>
      <c r="AL560" s="14">
        <f t="shared" si="161"/>
        <v>29115</v>
      </c>
    </row>
    <row r="561" spans="11:38" ht="16.5" x14ac:dyDescent="0.2">
      <c r="K561" s="13">
        <v>558</v>
      </c>
      <c r="L561" s="13">
        <f t="shared" si="147"/>
        <v>27</v>
      </c>
      <c r="M561" s="13">
        <f t="shared" si="148"/>
        <v>5</v>
      </c>
      <c r="N561" s="14">
        <f t="shared" si="149"/>
        <v>1102011</v>
      </c>
      <c r="O561" s="14" t="str">
        <f t="shared" si="150"/>
        <v>张飞12突</v>
      </c>
      <c r="P561" s="29" t="s">
        <v>341</v>
      </c>
      <c r="Q561" s="14">
        <f t="shared" si="151"/>
        <v>2</v>
      </c>
      <c r="R561" s="14">
        <f t="shared" si="152"/>
        <v>12</v>
      </c>
      <c r="S561" s="14" t="s">
        <v>39</v>
      </c>
      <c r="T561" s="14">
        <f>ROUND(((IF(Q561=1,INDEX(新属性投放!$J$14:$J$34,卡牌属性!R561),INDEX(新属性投放!$J$42:$J$62,卡牌属性!R561)))*INDEX($G$5:$G$42,L561)+IF(Q561=1,INDEX(新属性投放!R$20:R$23,卡牌属性!M561-1),INDEX(新属性投放!R$25:R$28,卡牌属性!M561-1)))/SQRT(INDEX($I$5:$I$42,L561)),2)</f>
        <v>8984.85</v>
      </c>
      <c r="U561" s="29" t="s">
        <v>178</v>
      </c>
      <c r="V561" s="14">
        <f>ROUND((IF(Q561=1,INDEX(新属性投放!$K$14:$K$34,卡牌属性!R561),INDEX(新属性投放!$K$42:$K$62,卡牌属性!R561))+IF(Q561=1,INDEX(新属性投放!S$20:S$23,卡牌属性!M561-1),INDEX(新属性投放!S$25:S$28,卡牌属性!M561-1)))*INDEX($G$5:$G$42,L561),2)</f>
        <v>4188.68</v>
      </c>
      <c r="W561" s="29" t="s">
        <v>179</v>
      </c>
      <c r="X561" s="14">
        <f>ROUND((IF(Q561=1,INDEX(新属性投放!$L$14:$L$34,卡牌属性!R561),INDEX(新属性投放!$L$42:$L$62,卡牌属性!R561))*INDEX($G$5:$G$42,L561)+IF(Q561=1,INDEX(新属性投放!T$20:T$23,卡牌属性!M561-1),INDEX(新属性投放!T$25:T$28,卡牌属性!M561-1)))*SQRT(INDEX($I$5:$I$42,L561)),2)</f>
        <v>47116</v>
      </c>
      <c r="Y561" s="29" t="s">
        <v>177</v>
      </c>
      <c r="Z561" s="14">
        <f>ROUND(IF(Q561=1,INDEX(新属性投放!$D$14:$D$34,卡牌属性!R561),INDEX(新属性投放!$D$42:$D$62,卡牌属性!R561))*INDEX($G$5:$G$42,L561)/SQRT(INDEX($I$5:$I$42,L561)),2)</f>
        <v>203.43</v>
      </c>
      <c r="AA561" s="29" t="s">
        <v>178</v>
      </c>
      <c r="AB561" s="14">
        <f>ROUND(IF(Q561=1,INDEX(新属性投放!$E$14:$E$34,卡牌属性!R561),INDEX(新属性投放!$E$42:$E$62,卡牌属性!R561))*INDEX($G$5:$G$42,L561),2)</f>
        <v>101.72</v>
      </c>
      <c r="AC561" s="29" t="s">
        <v>179</v>
      </c>
      <c r="AD561" s="14">
        <f>ROUND(IF(Q561=1,INDEX(新属性投放!$F$14:$F$34,卡牌属性!R561),INDEX(新属性投放!$F$42:$F$62,卡牌属性!R561))*INDEX($G$5:$G$42,L561)*SQRT(INDEX($I$5:$I$42,L561)),2)</f>
        <v>915</v>
      </c>
      <c r="AF561" s="14">
        <f t="shared" si="153"/>
        <v>2034</v>
      </c>
      <c r="AG561" s="14">
        <f t="shared" si="154"/>
        <v>1017</v>
      </c>
      <c r="AH561" s="14">
        <f t="shared" si="155"/>
        <v>9150</v>
      </c>
      <c r="AJ561" s="14">
        <f t="shared" si="159"/>
        <v>8511</v>
      </c>
      <c r="AK561" s="14">
        <f t="shared" si="160"/>
        <v>4253</v>
      </c>
      <c r="AL561" s="14">
        <f t="shared" si="161"/>
        <v>38265</v>
      </c>
    </row>
    <row r="562" spans="11:38" ht="16.5" x14ac:dyDescent="0.2">
      <c r="K562" s="13">
        <v>559</v>
      </c>
      <c r="L562" s="13">
        <f t="shared" si="147"/>
        <v>27</v>
      </c>
      <c r="M562" s="13">
        <f t="shared" si="148"/>
        <v>5</v>
      </c>
      <c r="N562" s="14">
        <f t="shared" si="149"/>
        <v>1102011</v>
      </c>
      <c r="O562" s="14" t="str">
        <f t="shared" si="150"/>
        <v>张飞13突</v>
      </c>
      <c r="P562" s="29" t="s">
        <v>341</v>
      </c>
      <c r="Q562" s="14">
        <f t="shared" si="151"/>
        <v>2</v>
      </c>
      <c r="R562" s="14">
        <f t="shared" si="152"/>
        <v>13</v>
      </c>
      <c r="S562" s="14" t="s">
        <v>39</v>
      </c>
      <c r="T562" s="14">
        <f>ROUND(((IF(Q562=1,INDEX(新属性投放!$J$14:$J$34,卡牌属性!R562),INDEX(新属性投放!$J$42:$J$62,卡牌属性!R562)))*INDEX($G$5:$G$42,L562)+IF(Q562=1,INDEX(新属性投放!R$20:R$23,卡牌属性!M562-1),INDEX(新属性投放!R$25:R$28,卡牌属性!M562-1)))/SQRT(INDEX($I$5:$I$42,L562)),2)</f>
        <v>11527.65</v>
      </c>
      <c r="U562" s="29" t="s">
        <v>178</v>
      </c>
      <c r="V562" s="14">
        <f>ROUND((IF(Q562=1,INDEX(新属性投放!$K$14:$K$34,卡牌属性!R562),INDEX(新属性投放!$K$42:$K$62,卡牌属性!R562))+IF(Q562=1,INDEX(新属性投放!S$20:S$23,卡牌属性!M562-1),INDEX(新属性投放!S$25:S$28,卡牌属性!M562-1)))*INDEX($G$5:$G$42,L562),2)</f>
        <v>5460.83</v>
      </c>
      <c r="W562" s="29" t="s">
        <v>179</v>
      </c>
      <c r="X562" s="14">
        <f>ROUND((IF(Q562=1,INDEX(新属性投放!$L$14:$L$34,卡牌属性!R562),INDEX(新属性投放!$L$42:$L$62,卡牌属性!R562))*INDEX($G$5:$G$42,L562)+IF(Q562=1,INDEX(新属性投放!T$20:T$23,卡牌属性!M562-1),INDEX(新属性投放!T$25:T$28,卡牌属性!M562-1)))*SQRT(INDEX($I$5:$I$42,L562)),2)</f>
        <v>60842.5</v>
      </c>
      <c r="Y562" s="29" t="s">
        <v>177</v>
      </c>
      <c r="Z562" s="14">
        <f>ROUND(IF(Q562=1,INDEX(新属性投放!$D$14:$D$34,卡牌属性!R562),INDEX(新属性投放!$D$42:$D$62,卡牌属性!R562))*INDEX($G$5:$G$42,L562)/SQRT(INDEX($I$5:$I$42,L562)),2)</f>
        <v>267</v>
      </c>
      <c r="AA562" s="29" t="s">
        <v>178</v>
      </c>
      <c r="AB562" s="14">
        <f>ROUND(IF(Q562=1,INDEX(新属性投放!$E$14:$E$34,卡牌属性!R562),INDEX(新属性投放!$E$42:$E$62,卡牌属性!R562))*INDEX($G$5:$G$42,L562),2)</f>
        <v>133.5</v>
      </c>
      <c r="AC562" s="29" t="s">
        <v>179</v>
      </c>
      <c r="AD562" s="14">
        <f>ROUND(IF(Q562=1,INDEX(新属性投放!$F$14:$F$34,卡牌属性!R562),INDEX(新属性投放!$F$42:$F$62,卡牌属性!R562))*INDEX($G$5:$G$42,L562)*SQRT(INDEX($I$5:$I$42,L562)),2)</f>
        <v>1201.5</v>
      </c>
      <c r="AF562" s="14">
        <f t="shared" si="153"/>
        <v>2670</v>
      </c>
      <c r="AG562" s="14">
        <f t="shared" si="154"/>
        <v>1335</v>
      </c>
      <c r="AH562" s="14">
        <f t="shared" si="155"/>
        <v>12015</v>
      </c>
      <c r="AJ562" s="14">
        <f t="shared" si="159"/>
        <v>11181</v>
      </c>
      <c r="AK562" s="14">
        <f t="shared" si="160"/>
        <v>5588</v>
      </c>
      <c r="AL562" s="14">
        <f t="shared" si="161"/>
        <v>50280</v>
      </c>
    </row>
    <row r="563" spans="11:38" ht="16.5" x14ac:dyDescent="0.2">
      <c r="K563" s="13">
        <v>560</v>
      </c>
      <c r="L563" s="13">
        <f t="shared" si="147"/>
        <v>27</v>
      </c>
      <c r="M563" s="13">
        <f t="shared" si="148"/>
        <v>5</v>
      </c>
      <c r="N563" s="14">
        <f t="shared" si="149"/>
        <v>1102011</v>
      </c>
      <c r="O563" s="14" t="str">
        <f t="shared" si="150"/>
        <v>张飞14突</v>
      </c>
      <c r="P563" s="29" t="s">
        <v>341</v>
      </c>
      <c r="Q563" s="14">
        <f t="shared" si="151"/>
        <v>2</v>
      </c>
      <c r="R563" s="14">
        <f t="shared" si="152"/>
        <v>14</v>
      </c>
      <c r="S563" s="14" t="s">
        <v>39</v>
      </c>
      <c r="T563" s="14">
        <f>ROUND(((IF(Q563=1,INDEX(新属性投放!$J$14:$J$34,卡牌属性!R563),INDEX(新属性投放!$J$42:$J$62,卡牌属性!R563)))*INDEX($G$5:$G$42,L563)+IF(Q563=1,INDEX(新属性投放!R$20:R$23,卡牌属性!M563-1),INDEX(新属性投放!R$25:R$28,卡牌属性!M563-1)))/SQRT(INDEX($I$5:$I$42,L563)),2)</f>
        <v>14865.15</v>
      </c>
      <c r="U563" s="29" t="s">
        <v>178</v>
      </c>
      <c r="V563" s="14">
        <f>ROUND((IF(Q563=1,INDEX(新属性投放!$K$14:$K$34,卡牌属性!R563),INDEX(新属性投放!$K$42:$K$62,卡牌属性!R563))+IF(Q563=1,INDEX(新属性投放!S$20:S$23,卡牌属性!M563-1),INDEX(新属性投放!S$25:S$28,卡牌属性!M563-1)))*INDEX($G$5:$G$42,L563),2)</f>
        <v>7130.33</v>
      </c>
      <c r="W563" s="29" t="s">
        <v>179</v>
      </c>
      <c r="X563" s="14">
        <f>ROUND((IF(Q563=1,INDEX(新属性投放!$L$14:$L$34,卡牌属性!R563),INDEX(新属性投放!$L$42:$L$62,卡牌属性!R563))*INDEX($G$5:$G$42,L563)+IF(Q563=1,INDEX(新属性投放!T$20:T$23,卡牌属性!M563-1),INDEX(新属性投放!T$25:T$28,卡牌属性!M563-1)))*SQRT(INDEX($I$5:$I$42,L563)),2)</f>
        <v>78865</v>
      </c>
      <c r="Y563" s="29" t="s">
        <v>177</v>
      </c>
      <c r="Z563" s="14">
        <f>ROUND(IF(Q563=1,INDEX(新属性投放!$D$14:$D$34,卡牌属性!R563),INDEX(新属性投放!$D$42:$D$62,卡牌属性!R563))*INDEX($G$5:$G$42,L563)/SQRT(INDEX($I$5:$I$42,L563)),2)</f>
        <v>350.45</v>
      </c>
      <c r="AA563" s="29" t="s">
        <v>178</v>
      </c>
      <c r="AB563" s="14">
        <f>ROUND(IF(Q563=1,INDEX(新属性投放!$E$14:$E$34,卡牌属性!R563),INDEX(新属性投放!$E$42:$E$62,卡牌属性!R563))*INDEX($G$5:$G$42,L563),2)</f>
        <v>175.22</v>
      </c>
      <c r="AC563" s="29" t="s">
        <v>179</v>
      </c>
      <c r="AD563" s="14">
        <f>ROUND(IF(Q563=1,INDEX(新属性投放!$F$14:$F$34,卡牌属性!R563),INDEX(新属性投放!$F$42:$F$62,卡牌属性!R563))*INDEX($G$5:$G$42,L563)*SQRT(INDEX($I$5:$I$42,L563)),2)</f>
        <v>1576.5</v>
      </c>
      <c r="AF563" s="14">
        <f t="shared" si="153"/>
        <v>3504</v>
      </c>
      <c r="AG563" s="14">
        <f t="shared" si="154"/>
        <v>1752</v>
      </c>
      <c r="AH563" s="14">
        <f t="shared" si="155"/>
        <v>15765</v>
      </c>
      <c r="AJ563" s="14">
        <f t="shared" si="159"/>
        <v>14685</v>
      </c>
      <c r="AK563" s="14">
        <f t="shared" si="160"/>
        <v>7340</v>
      </c>
      <c r="AL563" s="14">
        <f t="shared" si="161"/>
        <v>66045</v>
      </c>
    </row>
    <row r="564" spans="11:38" ht="16.5" x14ac:dyDescent="0.2">
      <c r="K564" s="13">
        <v>561</v>
      </c>
      <c r="L564" s="13">
        <f t="shared" si="147"/>
        <v>27</v>
      </c>
      <c r="M564" s="13">
        <f t="shared" si="148"/>
        <v>5</v>
      </c>
      <c r="N564" s="14">
        <f t="shared" si="149"/>
        <v>1102011</v>
      </c>
      <c r="O564" s="14" t="str">
        <f t="shared" si="150"/>
        <v>张飞15突</v>
      </c>
      <c r="P564" s="29" t="s">
        <v>341</v>
      </c>
      <c r="Q564" s="14">
        <f t="shared" si="151"/>
        <v>2</v>
      </c>
      <c r="R564" s="14">
        <f t="shared" si="152"/>
        <v>15</v>
      </c>
      <c r="S564" s="14" t="s">
        <v>39</v>
      </c>
      <c r="T564" s="14">
        <f>ROUND(((IF(Q564=1,INDEX(新属性投放!$J$14:$J$34,卡牌属性!R564),INDEX(新属性投放!$J$42:$J$62,卡牌属性!R564)))*INDEX($G$5:$G$42,L564)+IF(Q564=1,INDEX(新属性投放!R$20:R$23,卡牌属性!M564-1),INDEX(新属性投放!R$25:R$28,卡牌属性!M564-1)))/SQRT(INDEX($I$5:$I$42,L564)),2)</f>
        <v>19245.599999999999</v>
      </c>
      <c r="U564" s="29" t="s">
        <v>178</v>
      </c>
      <c r="V564" s="14">
        <f>ROUND((IF(Q564=1,INDEX(新属性投放!$K$14:$K$34,卡牌属性!R564),INDEX(新属性投放!$K$42:$K$62,卡牌属性!R564))+IF(Q564=1,INDEX(新属性投放!S$20:S$23,卡牌属性!M564-1),INDEX(新属性投放!S$25:S$28,卡牌属性!M564-1)))*INDEX($G$5:$G$42,L564),2)</f>
        <v>9320.5499999999993</v>
      </c>
      <c r="W564" s="29" t="s">
        <v>179</v>
      </c>
      <c r="X564" s="14">
        <f>ROUND((IF(Q564=1,INDEX(新属性投放!$L$14:$L$34,卡牌属性!R564),INDEX(新属性投放!$L$42:$L$62,卡牌属性!R564))*INDEX($G$5:$G$42,L564)+IF(Q564=1,INDEX(新属性投放!T$20:T$23,卡牌属性!M564-1),INDEX(新属性投放!T$25:T$28,卡牌属性!M564-1)))*SQRT(INDEX($I$5:$I$42,L564)),2)</f>
        <v>102514</v>
      </c>
      <c r="Y564" s="29" t="s">
        <v>177</v>
      </c>
      <c r="Z564" s="14">
        <f>ROUND(IF(Q564=1,INDEX(新属性投放!$D$14:$D$34,卡牌属性!R564),INDEX(新属性投放!$D$42:$D$62,卡牌属性!R564))*INDEX($G$5:$G$42,L564)/SQRT(INDEX($I$5:$I$42,L564)),2)</f>
        <v>459.96</v>
      </c>
      <c r="AA564" s="29" t="s">
        <v>178</v>
      </c>
      <c r="AB564" s="14">
        <f>ROUND(IF(Q564=1,INDEX(新属性投放!$E$14:$E$34,卡牌属性!R564),INDEX(新属性投放!$E$42:$E$62,卡牌属性!R564))*INDEX($G$5:$G$42,L564),2)</f>
        <v>229.98</v>
      </c>
      <c r="AC564" s="29" t="s">
        <v>179</v>
      </c>
      <c r="AD564" s="14">
        <f>ROUND(IF(Q564=1,INDEX(新属性投放!$F$14:$F$34,卡牌属性!R564),INDEX(新属性投放!$F$42:$F$62,卡牌属性!R564))*INDEX($G$5:$G$42,L564)*SQRT(INDEX($I$5:$I$42,L564)),2)</f>
        <v>2068.5</v>
      </c>
      <c r="AF564" s="14">
        <f t="shared" si="153"/>
        <v>4599</v>
      </c>
      <c r="AG564" s="14">
        <f t="shared" si="154"/>
        <v>2299</v>
      </c>
      <c r="AH564" s="14">
        <f t="shared" si="155"/>
        <v>20685</v>
      </c>
      <c r="AJ564" s="14">
        <f t="shared" si="159"/>
        <v>19284</v>
      </c>
      <c r="AK564" s="14">
        <f t="shared" si="160"/>
        <v>9639</v>
      </c>
      <c r="AL564" s="14">
        <f t="shared" si="161"/>
        <v>86730</v>
      </c>
    </row>
    <row r="565" spans="11:38" ht="16.5" x14ac:dyDescent="0.2">
      <c r="K565" s="13">
        <v>562</v>
      </c>
      <c r="L565" s="13">
        <f t="shared" si="147"/>
        <v>27</v>
      </c>
      <c r="M565" s="13">
        <f t="shared" si="148"/>
        <v>5</v>
      </c>
      <c r="N565" s="14">
        <f t="shared" si="149"/>
        <v>1102011</v>
      </c>
      <c r="O565" s="14" t="str">
        <f t="shared" si="150"/>
        <v>张飞16突</v>
      </c>
      <c r="P565" s="29" t="s">
        <v>341</v>
      </c>
      <c r="Q565" s="14">
        <f t="shared" si="151"/>
        <v>2</v>
      </c>
      <c r="R565" s="14">
        <f t="shared" si="152"/>
        <v>16</v>
      </c>
      <c r="S565" s="14" t="s">
        <v>39</v>
      </c>
      <c r="T565" s="14">
        <f>ROUND(((IF(Q565=1,INDEX(新属性投放!$J$14:$J$34,卡牌属性!R565),INDEX(新属性投放!$J$42:$J$62,卡牌属性!R565)))*INDEX($G$5:$G$42,L565)+IF(Q565=1,INDEX(新属性投放!R$20:R$23,卡牌属性!M565-1),INDEX(新属性投放!R$25:R$28,卡牌属性!M565-1)))/SQRT(INDEX($I$5:$I$42,L565)),2)</f>
        <v>24995.7</v>
      </c>
      <c r="U565" s="29" t="s">
        <v>178</v>
      </c>
      <c r="V565" s="14">
        <f>ROUND((IF(Q565=1,INDEX(新属性投放!$K$14:$K$34,卡牌属性!R565),INDEX(新属性投放!$K$42:$K$62,卡牌属性!R565))+IF(Q565=1,INDEX(新属性投放!S$20:S$23,卡牌属性!M565-1),INDEX(新属性投放!S$25:S$28,卡牌属性!M565-1)))*INDEX($G$5:$G$42,L565),2)</f>
        <v>12194.85</v>
      </c>
      <c r="W565" s="29" t="s">
        <v>179</v>
      </c>
      <c r="X565" s="14">
        <f>ROUND((IF(Q565=1,INDEX(新属性投放!$L$14:$L$34,卡牌属性!R565),INDEX(新属性投放!$L$42:$L$62,卡牌属性!R565))*INDEX($G$5:$G$42,L565)+IF(Q565=1,INDEX(新属性投放!T$20:T$23,卡牌属性!M565-1),INDEX(新属性投放!T$25:T$28,卡牌属性!M565-1)))*SQRT(INDEX($I$5:$I$42,L565)),2)</f>
        <v>133553.5</v>
      </c>
      <c r="Y565" s="29" t="s">
        <v>177</v>
      </c>
      <c r="Z565" s="14">
        <f>ROUND(IF(Q565=1,INDEX(新属性投放!$D$14:$D$34,卡牌属性!R565),INDEX(新属性投放!$D$42:$D$62,卡牌属性!R565))*INDEX($G$5:$G$42,L565)/SQRT(INDEX($I$5:$I$42,L565)),2)</f>
        <v>603.71</v>
      </c>
      <c r="AA565" s="29" t="s">
        <v>178</v>
      </c>
      <c r="AB565" s="14">
        <f>ROUND(IF(Q565=1,INDEX(新属性投放!$E$14:$E$34,卡牌属性!R565),INDEX(新属性投放!$E$42:$E$62,卡牌属性!R565))*INDEX($G$5:$G$42,L565),2)</f>
        <v>301.85000000000002</v>
      </c>
      <c r="AC565" s="29" t="s">
        <v>179</v>
      </c>
      <c r="AD565" s="14">
        <f>ROUND(IF(Q565=1,INDEX(新属性投放!$F$14:$F$34,卡牌属性!R565),INDEX(新属性投放!$F$42:$F$62,卡牌属性!R565))*INDEX($G$5:$G$42,L565)*SQRT(INDEX($I$5:$I$42,L565)),2)</f>
        <v>2716.5</v>
      </c>
      <c r="AF565" s="14">
        <f t="shared" si="153"/>
        <v>6037</v>
      </c>
      <c r="AG565" s="14">
        <f t="shared" si="154"/>
        <v>3018</v>
      </c>
      <c r="AH565" s="14">
        <f t="shared" si="155"/>
        <v>27165</v>
      </c>
      <c r="AJ565" s="14">
        <f t="shared" si="159"/>
        <v>25321</v>
      </c>
      <c r="AK565" s="14">
        <f t="shared" si="160"/>
        <v>12657</v>
      </c>
      <c r="AL565" s="14">
        <f t="shared" si="161"/>
        <v>113895</v>
      </c>
    </row>
    <row r="566" spans="11:38" ht="16.5" x14ac:dyDescent="0.2">
      <c r="K566" s="13">
        <v>563</v>
      </c>
      <c r="L566" s="13">
        <f t="shared" si="147"/>
        <v>27</v>
      </c>
      <c r="M566" s="13">
        <f t="shared" si="148"/>
        <v>5</v>
      </c>
      <c r="N566" s="14">
        <f t="shared" si="149"/>
        <v>1102011</v>
      </c>
      <c r="O566" s="14" t="str">
        <f t="shared" si="150"/>
        <v>张飞17突</v>
      </c>
      <c r="P566" s="29" t="s">
        <v>341</v>
      </c>
      <c r="Q566" s="14">
        <f t="shared" si="151"/>
        <v>2</v>
      </c>
      <c r="R566" s="14">
        <f t="shared" si="152"/>
        <v>17</v>
      </c>
      <c r="S566" s="14" t="s">
        <v>39</v>
      </c>
      <c r="T566" s="14">
        <f>ROUND(((IF(Q566=1,INDEX(新属性投放!$J$14:$J$34,卡牌属性!R566),INDEX(新属性投放!$J$42:$J$62,卡牌属性!R566)))*INDEX($G$5:$G$42,L566)+IF(Q566=1,INDEX(新属性投放!R$20:R$23,卡牌属性!M566-1),INDEX(新属性投放!R$25:R$28,卡牌属性!M566-1)))/SQRT(INDEX($I$5:$I$42,L566)),2)</f>
        <v>32541.75</v>
      </c>
      <c r="U566" s="29" t="s">
        <v>178</v>
      </c>
      <c r="V566" s="14">
        <f>ROUND((IF(Q566=1,INDEX(新属性投放!$K$14:$K$34,卡牌属性!R566),INDEX(新属性投放!$K$42:$K$62,卡牌属性!R566))+IF(Q566=1,INDEX(新属性投放!S$20:S$23,卡牌属性!M566-1),INDEX(新属性投放!S$25:S$28,卡牌属性!M566-1)))*INDEX($G$5:$G$42,L566),2)</f>
        <v>15967.88</v>
      </c>
      <c r="W566" s="29" t="s">
        <v>179</v>
      </c>
      <c r="X566" s="14">
        <f>ROUND((IF(Q566=1,INDEX(新属性投放!$L$14:$L$34,卡牌属性!R566),INDEX(新属性投放!$L$42:$L$62,卡牌属性!R566))*INDEX($G$5:$G$42,L566)+IF(Q566=1,INDEX(新属性投放!T$20:T$23,卡牌属性!M566-1),INDEX(新属性投放!T$25:T$28,卡牌属性!M566-1)))*SQRT(INDEX($I$5:$I$42,L566)),2)</f>
        <v>174299.5</v>
      </c>
      <c r="Y566" s="29" t="s">
        <v>177</v>
      </c>
      <c r="Z566" s="14">
        <f>ROUND(IF(Q566=1,INDEX(新属性投放!$D$14:$D$34,卡牌属性!R566),INDEX(新属性投放!$D$42:$D$62,卡牌属性!R566))*INDEX($G$5:$G$42,L566)/SQRT(INDEX($I$5:$I$42,L566)),2)</f>
        <v>792.36</v>
      </c>
      <c r="AA566" s="29" t="s">
        <v>178</v>
      </c>
      <c r="AB566" s="14">
        <f>ROUND(IF(Q566=1,INDEX(新属性投放!$E$14:$E$34,卡牌属性!R566),INDEX(新属性投放!$E$42:$E$62,卡牌属性!R566))*INDEX($G$5:$G$42,L566),2)</f>
        <v>396.18</v>
      </c>
      <c r="AC566" s="29" t="s">
        <v>179</v>
      </c>
      <c r="AD566" s="14">
        <f>ROUND(IF(Q566=1,INDEX(新属性投放!$F$14:$F$34,卡牌属性!R566),INDEX(新属性投放!$F$42:$F$62,卡牌属性!R566))*INDEX($G$5:$G$42,L566)*SQRT(INDEX($I$5:$I$42,L566)),2)</f>
        <v>3565.5</v>
      </c>
      <c r="AF566" s="14">
        <f t="shared" si="153"/>
        <v>7923</v>
      </c>
      <c r="AG566" s="14">
        <f t="shared" si="154"/>
        <v>3961</v>
      </c>
      <c r="AH566" s="14">
        <f t="shared" si="155"/>
        <v>35655</v>
      </c>
      <c r="AJ566" s="14">
        <f t="shared" si="159"/>
        <v>33244</v>
      </c>
      <c r="AK566" s="14">
        <f t="shared" si="160"/>
        <v>16618</v>
      </c>
      <c r="AL566" s="14">
        <f t="shared" si="161"/>
        <v>149550</v>
      </c>
    </row>
    <row r="567" spans="11:38" ht="16.5" x14ac:dyDescent="0.2">
      <c r="K567" s="13">
        <v>564</v>
      </c>
      <c r="L567" s="13">
        <f t="shared" si="147"/>
        <v>27</v>
      </c>
      <c r="M567" s="13">
        <f t="shared" si="148"/>
        <v>5</v>
      </c>
      <c r="N567" s="14">
        <f t="shared" si="149"/>
        <v>1102011</v>
      </c>
      <c r="O567" s="14" t="str">
        <f t="shared" si="150"/>
        <v>张飞18突</v>
      </c>
      <c r="P567" s="29" t="s">
        <v>341</v>
      </c>
      <c r="Q567" s="14">
        <f t="shared" si="151"/>
        <v>2</v>
      </c>
      <c r="R567" s="14">
        <f t="shared" si="152"/>
        <v>18</v>
      </c>
      <c r="S567" s="14" t="s">
        <v>39</v>
      </c>
      <c r="T567" s="14">
        <f>ROUND(((IF(Q567=1,INDEX(新属性投放!$J$14:$J$34,卡牌属性!R567),INDEX(新属性投放!$J$42:$J$62,卡牌属性!R567)))*INDEX($G$5:$G$42,L567)+IF(Q567=1,INDEX(新属性投放!R$20:R$23,卡牌属性!M567-1),INDEX(新属性投放!R$25:R$28,卡牌属性!M567-1)))/SQRT(INDEX($I$5:$I$42,L567)),2)</f>
        <v>42446.85</v>
      </c>
      <c r="U567" s="29" t="s">
        <v>178</v>
      </c>
      <c r="V567" s="14">
        <f>ROUND((IF(Q567=1,INDEX(新属性投放!$K$14:$K$34,卡牌属性!R567),INDEX(新属性投放!$K$42:$K$62,卡牌属性!R567))+IF(Q567=1,INDEX(新属性投放!S$20:S$23,卡牌属性!M567-1),INDEX(新属性投放!S$25:S$28,卡牌属性!M567-1)))*INDEX($G$5:$G$42,L567),2)</f>
        <v>20919.68</v>
      </c>
      <c r="W567" s="29" t="s">
        <v>179</v>
      </c>
      <c r="X567" s="14">
        <f>ROUND((IF(Q567=1,INDEX(新属性投放!$L$14:$L$34,卡牌属性!R567),INDEX(新属性投放!$L$42:$L$62,卡牌属性!R567))*INDEX($G$5:$G$42,L567)+IF(Q567=1,INDEX(新属性投放!T$20:T$23,卡牌属性!M567-1),INDEX(新属性投放!T$25:T$28,卡牌属性!M567-1)))*SQRT(INDEX($I$5:$I$42,L567)),2)</f>
        <v>227788</v>
      </c>
      <c r="Y567" s="29" t="s">
        <v>177</v>
      </c>
      <c r="Z567" s="14">
        <f>ROUND(IF(Q567=1,INDEX(新属性投放!$D$14:$D$34,卡牌属性!R567),INDEX(新属性投放!$D$42:$D$62,卡牌属性!R567))*INDEX($G$5:$G$42,L567)/SQRT(INDEX($I$5:$I$42,L567)),2)</f>
        <v>1039.98</v>
      </c>
      <c r="AA567" s="29" t="s">
        <v>178</v>
      </c>
      <c r="AB567" s="14">
        <f>ROUND(IF(Q567=1,INDEX(新属性投放!$E$14:$E$34,卡牌属性!R567),INDEX(新属性投放!$E$42:$E$62,卡牌属性!R567))*INDEX($G$5:$G$42,L567),2)</f>
        <v>519.99</v>
      </c>
      <c r="AC567" s="29" t="s">
        <v>179</v>
      </c>
      <c r="AD567" s="14">
        <f>ROUND(IF(Q567=1,INDEX(新属性投放!$F$14:$F$34,卡牌属性!R567),INDEX(新属性投放!$F$42:$F$62,卡牌属性!R567))*INDEX($G$5:$G$42,L567)*SQRT(INDEX($I$5:$I$42,L567)),2)</f>
        <v>4678.5</v>
      </c>
      <c r="AF567" s="14">
        <f t="shared" si="153"/>
        <v>10399</v>
      </c>
      <c r="AG567" s="14">
        <f t="shared" si="154"/>
        <v>5199</v>
      </c>
      <c r="AH567" s="14">
        <f t="shared" si="155"/>
        <v>46785</v>
      </c>
      <c r="AJ567" s="14">
        <f t="shared" si="159"/>
        <v>43643</v>
      </c>
      <c r="AK567" s="14">
        <f t="shared" si="160"/>
        <v>21817</v>
      </c>
      <c r="AL567" s="14">
        <f t="shared" si="161"/>
        <v>196335</v>
      </c>
    </row>
    <row r="568" spans="11:38" ht="16.5" x14ac:dyDescent="0.2">
      <c r="K568" s="13">
        <v>565</v>
      </c>
      <c r="L568" s="13">
        <f t="shared" si="147"/>
        <v>27</v>
      </c>
      <c r="M568" s="13">
        <f t="shared" si="148"/>
        <v>5</v>
      </c>
      <c r="N568" s="14">
        <f t="shared" si="149"/>
        <v>1102011</v>
      </c>
      <c r="O568" s="14" t="str">
        <f t="shared" si="150"/>
        <v>张飞19突</v>
      </c>
      <c r="P568" s="29" t="s">
        <v>341</v>
      </c>
      <c r="Q568" s="14">
        <f t="shared" si="151"/>
        <v>2</v>
      </c>
      <c r="R568" s="14">
        <f t="shared" si="152"/>
        <v>19</v>
      </c>
      <c r="S568" s="14" t="s">
        <v>39</v>
      </c>
      <c r="T568" s="14">
        <f>ROUND(((IF(Q568=1,INDEX(新属性投放!$J$14:$J$34,卡牌属性!R568),INDEX(新属性投放!$J$42:$J$62,卡牌属性!R568)))*INDEX($G$5:$G$42,L568)+IF(Q568=1,INDEX(新属性投放!R$20:R$23,卡牌属性!M568-1),INDEX(新属性投放!R$25:R$28,卡牌属性!M568-1)))/SQRT(INDEX($I$5:$I$42,L568)),2)</f>
        <v>55446.15</v>
      </c>
      <c r="U568" s="29" t="s">
        <v>178</v>
      </c>
      <c r="V568" s="14">
        <f>ROUND((IF(Q568=1,INDEX(新属性投放!$K$14:$K$34,卡牌属性!R568),INDEX(新属性投放!$K$42:$K$62,卡牌属性!R568))+IF(Q568=1,INDEX(新属性投放!S$20:S$23,卡牌属性!M568-1),INDEX(新属性投放!S$25:S$28,卡牌属性!M568-1)))*INDEX($G$5:$G$42,L568),2)</f>
        <v>27420.080000000002</v>
      </c>
      <c r="W568" s="29" t="s">
        <v>179</v>
      </c>
      <c r="X568" s="14">
        <f>ROUND((IF(Q568=1,INDEX(新属性投放!$L$14:$L$34,卡牌属性!R568),INDEX(新属性投放!$L$42:$L$62,卡牌属性!R568))*INDEX($G$5:$G$42,L568)+IF(Q568=1,INDEX(新属性投放!T$20:T$23,卡牌属性!M568-1),INDEX(新属性投放!T$25:T$28,卡牌属性!M568-1)))*SQRT(INDEX($I$5:$I$42,L568)),2)</f>
        <v>297968.5</v>
      </c>
      <c r="Y568" s="29" t="s">
        <v>177</v>
      </c>
      <c r="Z568" s="14">
        <f>ROUND(IF(Q568=1,INDEX(新属性投放!$D$14:$D$34,卡牌属性!R568),INDEX(新属性投放!$D$42:$D$62,卡牌属性!R568))*INDEX($G$5:$G$42,L568)/SQRT(INDEX($I$5:$I$42,L568)),2)</f>
        <v>1364.97</v>
      </c>
      <c r="AA568" s="29" t="s">
        <v>178</v>
      </c>
      <c r="AB568" s="14">
        <f>ROUND(IF(Q568=1,INDEX(新属性投放!$E$14:$E$34,卡牌属性!R568),INDEX(新属性投放!$E$42:$E$62,卡牌属性!R568))*INDEX($G$5:$G$42,L568),2)</f>
        <v>682.49</v>
      </c>
      <c r="AC568" s="29" t="s">
        <v>179</v>
      </c>
      <c r="AD568" s="14">
        <f>ROUND(IF(Q568=1,INDEX(新属性投放!$F$14:$F$34,卡牌属性!R568),INDEX(新属性投放!$F$42:$F$62,卡牌属性!R568))*INDEX($G$5:$G$42,L568)*SQRT(INDEX($I$5:$I$42,L568)),2)</f>
        <v>6141</v>
      </c>
      <c r="AF568" s="14">
        <f t="shared" si="153"/>
        <v>13649</v>
      </c>
      <c r="AG568" s="14">
        <f t="shared" si="154"/>
        <v>6824</v>
      </c>
      <c r="AH568" s="14">
        <f t="shared" si="155"/>
        <v>61410</v>
      </c>
      <c r="AJ568" s="14">
        <f t="shared" si="159"/>
        <v>57292</v>
      </c>
      <c r="AK568" s="14">
        <f t="shared" si="160"/>
        <v>28641</v>
      </c>
      <c r="AL568" s="14">
        <f t="shared" si="161"/>
        <v>257745</v>
      </c>
    </row>
    <row r="569" spans="11:38" ht="16.5" x14ac:dyDescent="0.2">
      <c r="K569" s="13">
        <v>566</v>
      </c>
      <c r="L569" s="13">
        <f t="shared" si="147"/>
        <v>27</v>
      </c>
      <c r="M569" s="13">
        <f t="shared" si="148"/>
        <v>5</v>
      </c>
      <c r="N569" s="14">
        <f t="shared" si="149"/>
        <v>1102011</v>
      </c>
      <c r="O569" s="14" t="str">
        <f t="shared" si="150"/>
        <v>张飞20突</v>
      </c>
      <c r="P569" s="29" t="s">
        <v>341</v>
      </c>
      <c r="Q569" s="14">
        <f t="shared" si="151"/>
        <v>2</v>
      </c>
      <c r="R569" s="14">
        <f t="shared" si="152"/>
        <v>20</v>
      </c>
      <c r="S569" s="14" t="s">
        <v>39</v>
      </c>
      <c r="T569" s="14">
        <f>ROUND(((IF(Q569=1,INDEX(新属性投放!$J$14:$J$34,卡牌属性!R569),INDEX(新属性投放!$J$42:$J$62,卡牌属性!R569)))*INDEX($G$5:$G$42,L569)+IF(Q569=1,INDEX(新属性投放!R$20:R$23,卡牌属性!M569-1),INDEX(新属性投放!R$25:R$28,卡牌属性!M569-1)))/SQRT(INDEX($I$5:$I$42,L569)),2)</f>
        <v>72508.350000000006</v>
      </c>
      <c r="U569" s="29" t="s">
        <v>178</v>
      </c>
      <c r="V569" s="14">
        <f>ROUND((IF(Q569=1,INDEX(新属性投放!$K$14:$K$34,卡牌属性!R569),INDEX(新属性投放!$K$42:$K$62,卡牌属性!R569))+IF(Q569=1,INDEX(新属性投放!S$20:S$23,卡牌属性!M569-1),INDEX(新属性投放!S$25:S$28,卡牌属性!M569-1)))*INDEX($G$5:$G$42,L569),2)</f>
        <v>35950.43</v>
      </c>
      <c r="W569" s="29" t="s">
        <v>179</v>
      </c>
      <c r="X569" s="14">
        <f>ROUND((IF(Q569=1,INDEX(新属性投放!$L$14:$L$34,卡牌属性!R569),INDEX(新属性投放!$L$42:$L$62,卡牌属性!R569))*INDEX($G$5:$G$42,L569)+IF(Q569=1,INDEX(新属性投放!T$20:T$23,卡牌属性!M569-1),INDEX(新属性投放!T$25:T$28,卡牌属性!M569-1)))*SQRT(INDEX($I$5:$I$42,L569)),2)</f>
        <v>390091</v>
      </c>
      <c r="Y569" s="29" t="s">
        <v>177</v>
      </c>
      <c r="Z569" s="14">
        <f>ROUND(IF(Q569=1,INDEX(新属性投放!$D$14:$D$34,卡牌属性!R569),INDEX(新属性投放!$D$42:$D$62,卡牌属性!R569))*INDEX($G$5:$G$42,L569)/SQRT(INDEX($I$5:$I$42,L569)),2)</f>
        <v>1791.53</v>
      </c>
      <c r="AA569" s="29" t="s">
        <v>178</v>
      </c>
      <c r="AB569" s="14">
        <f>ROUND(IF(Q569=1,INDEX(新属性投放!$E$14:$E$34,卡牌属性!R569),INDEX(新属性投放!$E$42:$E$62,卡牌属性!R569))*INDEX($G$5:$G$42,L569),2)</f>
        <v>895.76</v>
      </c>
      <c r="AC569" s="29" t="s">
        <v>179</v>
      </c>
      <c r="AD569" s="14">
        <f>ROUND(IF(Q569=1,INDEX(新属性投放!$F$14:$F$34,卡牌属性!R569),INDEX(新属性投放!$F$42:$F$62,卡牌属性!R569))*INDEX($G$5:$G$42,L569)*SQRT(INDEX($I$5:$I$42,L569)),2)</f>
        <v>8061</v>
      </c>
      <c r="AF569" s="14">
        <f t="shared" si="153"/>
        <v>17915</v>
      </c>
      <c r="AG569" s="14">
        <f t="shared" si="154"/>
        <v>8957</v>
      </c>
      <c r="AH569" s="14">
        <f t="shared" si="155"/>
        <v>80610</v>
      </c>
      <c r="AJ569" s="14">
        <f t="shared" si="159"/>
        <v>75207</v>
      </c>
      <c r="AK569" s="14">
        <f t="shared" si="160"/>
        <v>37598</v>
      </c>
      <c r="AL569" s="14">
        <f t="shared" si="161"/>
        <v>338355</v>
      </c>
    </row>
    <row r="570" spans="11:38" ht="16.5" x14ac:dyDescent="0.2">
      <c r="K570" s="13">
        <v>567</v>
      </c>
      <c r="L570" s="13">
        <f t="shared" si="147"/>
        <v>27</v>
      </c>
      <c r="M570" s="13">
        <f t="shared" si="148"/>
        <v>5</v>
      </c>
      <c r="N570" s="14">
        <f t="shared" si="149"/>
        <v>1102011</v>
      </c>
      <c r="O570" s="14" t="str">
        <f t="shared" si="150"/>
        <v>张飞21突</v>
      </c>
      <c r="P570" s="29" t="s">
        <v>341</v>
      </c>
      <c r="Q570" s="14">
        <f t="shared" si="151"/>
        <v>2</v>
      </c>
      <c r="R570" s="14">
        <f t="shared" si="152"/>
        <v>21</v>
      </c>
      <c r="S570" s="14" t="s">
        <v>39</v>
      </c>
      <c r="T570" s="14">
        <f>ROUND(((IF(Q570=1,INDEX(新属性投放!$J$14:$J$34,卡牌属性!R570),INDEX(新属性投放!$J$42:$J$62,卡牌属性!R570)))*INDEX($G$5:$G$42,L570)+IF(Q570=1,INDEX(新属性投放!R$20:R$23,卡牌属性!M570-1),INDEX(新属性投放!R$25:R$28,卡牌属性!M570-1)))/SQRT(INDEX($I$5:$I$42,L570)),2)</f>
        <v>94902.6</v>
      </c>
      <c r="U570" s="29" t="s">
        <v>178</v>
      </c>
      <c r="V570" s="14">
        <f>ROUND((IF(Q570=1,INDEX(新属性投放!$K$14:$K$34,卡牌属性!R570),INDEX(新属性投放!$K$42:$K$62,卡牌属性!R570))+IF(Q570=1,INDEX(新属性投放!S$20:S$23,卡牌属性!M570-1),INDEX(新属性投放!S$25:S$28,卡牌属性!M570-1)))*INDEX($G$5:$G$42,L570),2)</f>
        <v>47147.55</v>
      </c>
      <c r="W570" s="29" t="s">
        <v>179</v>
      </c>
      <c r="X570" s="14">
        <f>ROUND((IF(Q570=1,INDEX(新属性投放!$L$14:$L$34,卡牌属性!R570),INDEX(新属性投放!$L$42:$L$62,卡牌属性!R570))*INDEX($G$5:$G$42,L570)+IF(Q570=1,INDEX(新属性投放!T$20:T$23,卡牌属性!M570-1),INDEX(新属性投放!T$25:T$28,卡牌属性!M570-1)))*SQRT(INDEX($I$5:$I$42,L570)),2)</f>
        <v>511012</v>
      </c>
      <c r="Y570" s="29" t="s">
        <v>177</v>
      </c>
      <c r="Z570" s="14">
        <f>ROUND(IF(Q570=1,INDEX(新属性投放!$D$14:$D$34,卡牌属性!R570),INDEX(新属性投放!$D$42:$D$62,卡牌属性!R570))*INDEX($G$5:$G$42,L570)/SQRT(INDEX($I$5:$I$42,L570)),2)</f>
        <v>2351.39</v>
      </c>
      <c r="AA570" s="29" t="s">
        <v>178</v>
      </c>
      <c r="AB570" s="14">
        <f>ROUND(IF(Q570=1,INDEX(新属性投放!$E$14:$E$34,卡牌属性!R570),INDEX(新属性投放!$E$42:$E$62,卡牌属性!R570))*INDEX($G$5:$G$42,L570),2)</f>
        <v>1175.69</v>
      </c>
      <c r="AC570" s="29" t="s">
        <v>179</v>
      </c>
      <c r="AD570" s="14">
        <f>ROUND(IF(Q570=1,INDEX(新属性投放!$F$14:$F$34,卡牌属性!R570),INDEX(新属性投放!$F$42:$F$62,卡牌属性!R570))*INDEX($G$5:$G$42,L570)*SQRT(INDEX($I$5:$I$42,L570)),2)</f>
        <v>10581</v>
      </c>
      <c r="AF570" s="14">
        <f t="shared" si="153"/>
        <v>23513</v>
      </c>
      <c r="AG570" s="14">
        <f t="shared" si="154"/>
        <v>11756</v>
      </c>
      <c r="AH570" s="14">
        <f t="shared" si="155"/>
        <v>105810</v>
      </c>
      <c r="AJ570" s="14">
        <f t="shared" si="159"/>
        <v>98720</v>
      </c>
      <c r="AK570" s="14">
        <f t="shared" si="160"/>
        <v>49354</v>
      </c>
      <c r="AL570" s="14">
        <f t="shared" si="161"/>
        <v>444165</v>
      </c>
    </row>
    <row r="571" spans="11:38" ht="16.5" x14ac:dyDescent="0.2">
      <c r="K571" s="13">
        <v>568</v>
      </c>
      <c r="L571" s="13">
        <f t="shared" si="147"/>
        <v>28</v>
      </c>
      <c r="M571" s="13">
        <f t="shared" si="148"/>
        <v>5</v>
      </c>
      <c r="N571" s="14">
        <f t="shared" si="149"/>
        <v>1102012</v>
      </c>
      <c r="O571" s="14" t="str">
        <f t="shared" si="150"/>
        <v>夏侯惇1突</v>
      </c>
      <c r="P571" s="29" t="s">
        <v>341</v>
      </c>
      <c r="Q571" s="14">
        <f t="shared" si="151"/>
        <v>2</v>
      </c>
      <c r="R571" s="14">
        <f t="shared" si="152"/>
        <v>1</v>
      </c>
      <c r="S571" s="14" t="s">
        <v>39</v>
      </c>
      <c r="T571" s="14">
        <f>ROUND(((IF(Q571=1,INDEX(新属性投放!$J$14:$J$34,卡牌属性!R571),INDEX(新属性投放!$J$42:$J$62,卡牌属性!R571)))*INDEX($G$5:$G$42,L571)+IF(Q571=1,INDEX(新属性投放!R$20:R$23,卡牌属性!M571-1),INDEX(新属性投放!R$25:R$28,卡牌属性!M571-1)))/SQRT(INDEX($I$5:$I$42,L571)),2)</f>
        <v>900</v>
      </c>
      <c r="U571" s="29" t="s">
        <v>178</v>
      </c>
      <c r="V571" s="14">
        <f>ROUND((IF(Q571=1,INDEX(新属性投放!$K$14:$K$34,卡牌属性!R571),INDEX(新属性投放!$K$42:$K$62,卡牌属性!R571))+IF(Q571=1,INDEX(新属性投放!S$20:S$23,卡牌属性!M571-1),INDEX(新属性投放!S$25:S$28,卡牌属性!M571-1)))*INDEX($G$5:$G$42,L571),2)</f>
        <v>150</v>
      </c>
      <c r="W571" s="29" t="s">
        <v>179</v>
      </c>
      <c r="X571" s="14">
        <f>ROUND((IF(Q571=1,INDEX(新属性投放!$L$14:$L$34,卡牌属性!R571),INDEX(新属性投放!$L$42:$L$62,卡牌属性!R571))*INDEX($G$5:$G$42,L571)+IF(Q571=1,INDEX(新属性投放!T$20:T$23,卡牌属性!M571-1),INDEX(新属性投放!T$25:T$28,卡牌属性!M571-1)))*SQRT(INDEX($I$5:$I$42,L571)),2)</f>
        <v>3475</v>
      </c>
      <c r="Y571" s="29" t="s">
        <v>177</v>
      </c>
      <c r="Z571" s="14">
        <f>ROUND(IF(Q571=1,INDEX(新属性投放!$D$14:$D$34,卡牌属性!R571),INDEX(新属性投放!$D$42:$D$62,卡牌属性!R571))*INDEX($G$5:$G$42,L571)/SQRT(INDEX($I$5:$I$42,L571)),2)</f>
        <v>15</v>
      </c>
      <c r="AA571" s="29" t="s">
        <v>178</v>
      </c>
      <c r="AB571" s="14">
        <f>ROUND(IF(Q571=1,INDEX(新属性投放!$E$14:$E$34,卡牌属性!R571),INDEX(新属性投放!$E$42:$E$62,卡牌属性!R571))*INDEX($G$5:$G$42,L571),2)</f>
        <v>7.5</v>
      </c>
      <c r="AC571" s="29" t="s">
        <v>179</v>
      </c>
      <c r="AD571" s="14">
        <f>ROUND(IF(Q571=1,INDEX(新属性投放!$F$14:$F$34,卡牌属性!R571),INDEX(新属性投放!$F$42:$F$62,卡牌属性!R571))*INDEX($G$5:$G$42,L571)*SQRT(INDEX($I$5:$I$42,L571)),2)</f>
        <v>67.5</v>
      </c>
      <c r="AF571" s="14">
        <f t="shared" si="153"/>
        <v>150</v>
      </c>
      <c r="AG571" s="14">
        <f t="shared" si="154"/>
        <v>75</v>
      </c>
      <c r="AH571" s="14">
        <f t="shared" si="155"/>
        <v>675</v>
      </c>
      <c r="AJ571" s="14">
        <f>AF571</f>
        <v>150</v>
      </c>
      <c r="AK571" s="14">
        <f>AG571</f>
        <v>75</v>
      </c>
      <c r="AL571" s="14">
        <f>AH571</f>
        <v>675</v>
      </c>
    </row>
    <row r="572" spans="11:38" ht="16.5" x14ac:dyDescent="0.2">
      <c r="K572" s="13">
        <v>569</v>
      </c>
      <c r="L572" s="13">
        <f t="shared" si="147"/>
        <v>28</v>
      </c>
      <c r="M572" s="13">
        <f t="shared" si="148"/>
        <v>5</v>
      </c>
      <c r="N572" s="14">
        <f t="shared" si="149"/>
        <v>1102012</v>
      </c>
      <c r="O572" s="14" t="str">
        <f t="shared" si="150"/>
        <v>夏侯惇2突</v>
      </c>
      <c r="P572" s="29" t="s">
        <v>341</v>
      </c>
      <c r="Q572" s="14">
        <f t="shared" si="151"/>
        <v>2</v>
      </c>
      <c r="R572" s="14">
        <f t="shared" si="152"/>
        <v>2</v>
      </c>
      <c r="S572" s="14" t="s">
        <v>39</v>
      </c>
      <c r="T572" s="14">
        <f>ROUND(((IF(Q572=1,INDEX(新属性投放!$J$14:$J$34,卡牌属性!R572),INDEX(新属性投放!$J$42:$J$62,卡牌属性!R572)))*INDEX($G$5:$G$42,L572)+IF(Q572=1,INDEX(新属性投放!R$20:R$23,卡牌属性!M572-1),INDEX(新属性投放!R$25:R$28,卡牌属性!M572-1)))/SQRT(INDEX($I$5:$I$42,L572)),2)</f>
        <v>1072.5</v>
      </c>
      <c r="U572" s="29" t="s">
        <v>178</v>
      </c>
      <c r="V572" s="14">
        <f>ROUND((IF(Q572=1,INDEX(新属性投放!$K$14:$K$34,卡牌属性!R572),INDEX(新属性投放!$K$42:$K$62,卡牌属性!R572))+IF(Q572=1,INDEX(新属性投放!S$20:S$23,卡牌属性!M572-1),INDEX(新属性投放!S$25:S$28,卡牌属性!M572-1)))*INDEX($G$5:$G$42,L572),2)</f>
        <v>232.5</v>
      </c>
      <c r="W572" s="29" t="s">
        <v>179</v>
      </c>
      <c r="X572" s="14">
        <f>ROUND((IF(Q572=1,INDEX(新属性投放!$L$14:$L$34,卡牌属性!R572),INDEX(新属性投放!$L$42:$L$62,卡牌属性!R572))*INDEX($G$5:$G$42,L572)+IF(Q572=1,INDEX(新属性投放!T$20:T$23,卡牌属性!M572-1),INDEX(新属性投放!T$25:T$28,卡牌属性!M572-1)))*SQRT(INDEX($I$5:$I$42,L572)),2)</f>
        <v>4420</v>
      </c>
      <c r="Y572" s="29" t="s">
        <v>177</v>
      </c>
      <c r="Z572" s="14">
        <f>ROUND(IF(Q572=1,INDEX(新属性投放!$D$14:$D$34,卡牌属性!R572),INDEX(新属性投放!$D$42:$D$62,卡牌属性!R572))*INDEX($G$5:$G$42,L572)/SQRT(INDEX($I$5:$I$42,L572)),2)</f>
        <v>15</v>
      </c>
      <c r="AA572" s="29" t="s">
        <v>178</v>
      </c>
      <c r="AB572" s="14">
        <f>ROUND(IF(Q572=1,INDEX(新属性投放!$E$14:$E$34,卡牌属性!R572),INDEX(新属性投放!$E$42:$E$62,卡牌属性!R572))*INDEX($G$5:$G$42,L572),2)</f>
        <v>7.5</v>
      </c>
      <c r="AC572" s="29" t="s">
        <v>179</v>
      </c>
      <c r="AD572" s="14">
        <f>ROUND(IF(Q572=1,INDEX(新属性投放!$F$14:$F$34,卡牌属性!R572),INDEX(新属性投放!$F$42:$F$62,卡牌属性!R572))*INDEX($G$5:$G$42,L572)*SQRT(INDEX($I$5:$I$42,L572)),2)</f>
        <v>67.5</v>
      </c>
      <c r="AF572" s="14">
        <f t="shared" si="153"/>
        <v>150</v>
      </c>
      <c r="AG572" s="14">
        <f t="shared" si="154"/>
        <v>75</v>
      </c>
      <c r="AH572" s="14">
        <f t="shared" si="155"/>
        <v>675</v>
      </c>
      <c r="AJ572" s="14">
        <f t="shared" ref="AJ572:AJ591" si="162">AJ571+AF572</f>
        <v>300</v>
      </c>
      <c r="AK572" s="14">
        <f t="shared" ref="AK572:AK591" si="163">AK571+AG572</f>
        <v>150</v>
      </c>
      <c r="AL572" s="14">
        <f t="shared" ref="AL572:AL591" si="164">AL571+AH572</f>
        <v>1350</v>
      </c>
    </row>
    <row r="573" spans="11:38" ht="16.5" x14ac:dyDescent="0.2">
      <c r="K573" s="13">
        <v>570</v>
      </c>
      <c r="L573" s="13">
        <f t="shared" si="147"/>
        <v>28</v>
      </c>
      <c r="M573" s="13">
        <f t="shared" si="148"/>
        <v>5</v>
      </c>
      <c r="N573" s="14">
        <f t="shared" si="149"/>
        <v>1102012</v>
      </c>
      <c r="O573" s="14" t="str">
        <f t="shared" si="150"/>
        <v>夏侯惇3突</v>
      </c>
      <c r="P573" s="29" t="s">
        <v>341</v>
      </c>
      <c r="Q573" s="14">
        <f t="shared" si="151"/>
        <v>2</v>
      </c>
      <c r="R573" s="14">
        <f t="shared" si="152"/>
        <v>3</v>
      </c>
      <c r="S573" s="14" t="s">
        <v>39</v>
      </c>
      <c r="T573" s="14">
        <f>ROUND(((IF(Q573=1,INDEX(新属性投放!$J$14:$J$34,卡牌属性!R573),INDEX(新属性投放!$J$42:$J$62,卡牌属性!R573)))*INDEX($G$5:$G$42,L573)+IF(Q573=1,INDEX(新属性投放!R$20:R$23,卡牌属性!M573-1),INDEX(新属性投放!R$25:R$28,卡牌属性!M573-1)))/SQRT(INDEX($I$5:$I$42,L573)),2)</f>
        <v>1260</v>
      </c>
      <c r="U573" s="29" t="s">
        <v>178</v>
      </c>
      <c r="V573" s="14">
        <f>ROUND((IF(Q573=1,INDEX(新属性投放!$K$14:$K$34,卡牌属性!R573),INDEX(新属性投放!$K$42:$K$62,卡牌属性!R573))+IF(Q573=1,INDEX(新属性投放!S$20:S$23,卡牌属性!M573-1),INDEX(新属性投放!S$25:S$28,卡牌属性!M573-1)))*INDEX($G$5:$G$42,L573),2)</f>
        <v>327</v>
      </c>
      <c r="W573" s="29" t="s">
        <v>179</v>
      </c>
      <c r="X573" s="14">
        <f>ROUND((IF(Q573=1,INDEX(新属性投放!$L$14:$L$34,卡牌属性!R573),INDEX(新属性投放!$L$42:$L$62,卡牌属性!R573))*INDEX($G$5:$G$42,L573)+IF(Q573=1,INDEX(新属性投放!T$20:T$23,卡牌属性!M573-1),INDEX(新属性投放!T$25:T$28,卡牌属性!M573-1)))*SQRT(INDEX($I$5:$I$42,L573)),2)</f>
        <v>5432.5</v>
      </c>
      <c r="Y573" s="29" t="s">
        <v>177</v>
      </c>
      <c r="Z573" s="14">
        <f>ROUND(IF(Q573=1,INDEX(新属性投放!$D$14:$D$34,卡牌属性!R573),INDEX(新属性投放!$D$42:$D$62,卡牌属性!R573))*INDEX($G$5:$G$42,L573)/SQRT(INDEX($I$5:$I$42,L573)),2)</f>
        <v>22.5</v>
      </c>
      <c r="AA573" s="29" t="s">
        <v>178</v>
      </c>
      <c r="AB573" s="14">
        <f>ROUND(IF(Q573=1,INDEX(新属性投放!$E$14:$E$34,卡牌属性!R573),INDEX(新属性投放!$E$42:$E$62,卡牌属性!R573))*INDEX($G$5:$G$42,L573),2)</f>
        <v>11.25</v>
      </c>
      <c r="AC573" s="29" t="s">
        <v>179</v>
      </c>
      <c r="AD573" s="14">
        <f>ROUND(IF(Q573=1,INDEX(新属性投放!$F$14:$F$34,卡牌属性!R573),INDEX(新属性投放!$F$42:$F$62,卡牌属性!R573))*INDEX($G$5:$G$42,L573)*SQRT(INDEX($I$5:$I$42,L573)),2)</f>
        <v>100.5</v>
      </c>
      <c r="AF573" s="14">
        <f t="shared" si="153"/>
        <v>225</v>
      </c>
      <c r="AG573" s="14">
        <f t="shared" si="154"/>
        <v>112</v>
      </c>
      <c r="AH573" s="14">
        <f t="shared" si="155"/>
        <v>1005</v>
      </c>
      <c r="AJ573" s="14">
        <f t="shared" si="162"/>
        <v>525</v>
      </c>
      <c r="AK573" s="14">
        <f t="shared" si="163"/>
        <v>262</v>
      </c>
      <c r="AL573" s="14">
        <f t="shared" si="164"/>
        <v>2355</v>
      </c>
    </row>
    <row r="574" spans="11:38" ht="16.5" x14ac:dyDescent="0.2">
      <c r="K574" s="13">
        <v>571</v>
      </c>
      <c r="L574" s="13">
        <f t="shared" si="147"/>
        <v>28</v>
      </c>
      <c r="M574" s="13">
        <f t="shared" si="148"/>
        <v>5</v>
      </c>
      <c r="N574" s="14">
        <f t="shared" si="149"/>
        <v>1102012</v>
      </c>
      <c r="O574" s="14" t="str">
        <f t="shared" si="150"/>
        <v>夏侯惇4突</v>
      </c>
      <c r="P574" s="29" t="s">
        <v>341</v>
      </c>
      <c r="Q574" s="14">
        <f t="shared" si="151"/>
        <v>2</v>
      </c>
      <c r="R574" s="14">
        <f t="shared" si="152"/>
        <v>4</v>
      </c>
      <c r="S574" s="14" t="s">
        <v>39</v>
      </c>
      <c r="T574" s="14">
        <f>ROUND(((IF(Q574=1,INDEX(新属性投放!$J$14:$J$34,卡牌属性!R574),INDEX(新属性投放!$J$42:$J$62,卡牌属性!R574)))*INDEX($G$5:$G$42,L574)+IF(Q574=1,INDEX(新属性投放!R$20:R$23,卡牌属性!M574-1),INDEX(新属性投放!R$25:R$28,卡牌属性!M574-1)))/SQRT(INDEX($I$5:$I$42,L574)),2)</f>
        <v>1542</v>
      </c>
      <c r="U574" s="29" t="s">
        <v>178</v>
      </c>
      <c r="V574" s="14">
        <f>ROUND((IF(Q574=1,INDEX(新属性投放!$K$14:$K$34,卡牌属性!R574),INDEX(新属性投放!$K$42:$K$62,卡牌属性!R574))+IF(Q574=1,INDEX(新属性投放!S$20:S$23,卡牌属性!M574-1),INDEX(新属性投放!S$25:S$28,卡牌属性!M574-1)))*INDEX($G$5:$G$42,L574),2)</f>
        <v>468</v>
      </c>
      <c r="W574" s="29" t="s">
        <v>179</v>
      </c>
      <c r="X574" s="14">
        <f>ROUND((IF(Q574=1,INDEX(新属性投放!$L$14:$L$34,卡牌属性!R574),INDEX(新属性投放!$L$42:$L$62,卡牌属性!R574))*INDEX($G$5:$G$42,L574)+IF(Q574=1,INDEX(新属性投放!T$20:T$23,卡牌属性!M574-1),INDEX(新属性投放!T$25:T$28,卡牌属性!M574-1)))*SQRT(INDEX($I$5:$I$42,L574)),2)</f>
        <v>6950.5</v>
      </c>
      <c r="Y574" s="29" t="s">
        <v>177</v>
      </c>
      <c r="Z574" s="14">
        <f>ROUND(IF(Q574=1,INDEX(新属性投放!$D$14:$D$34,卡牌属性!R574),INDEX(新属性投放!$D$42:$D$62,卡牌属性!R574))*INDEX($G$5:$G$42,L574)/SQRT(INDEX($I$5:$I$42,L574)),2)</f>
        <v>30</v>
      </c>
      <c r="AA574" s="29" t="s">
        <v>178</v>
      </c>
      <c r="AB574" s="14">
        <f>ROUND(IF(Q574=1,INDEX(新属性投放!$E$14:$E$34,卡牌属性!R574),INDEX(新属性投放!$E$42:$E$62,卡牌属性!R574))*INDEX($G$5:$G$42,L574),2)</f>
        <v>15</v>
      </c>
      <c r="AC574" s="29" t="s">
        <v>179</v>
      </c>
      <c r="AD574" s="14">
        <f>ROUND(IF(Q574=1,INDEX(新属性投放!$F$14:$F$34,卡牌属性!R574),INDEX(新属性投放!$F$42:$F$62,卡牌属性!R574))*INDEX($G$5:$G$42,L574)*SQRT(INDEX($I$5:$I$42,L574)),2)</f>
        <v>135</v>
      </c>
      <c r="AF574" s="14">
        <f t="shared" si="153"/>
        <v>300</v>
      </c>
      <c r="AG574" s="14">
        <f t="shared" si="154"/>
        <v>150</v>
      </c>
      <c r="AH574" s="14">
        <f t="shared" si="155"/>
        <v>1350</v>
      </c>
      <c r="AJ574" s="14">
        <f t="shared" si="162"/>
        <v>825</v>
      </c>
      <c r="AK574" s="14">
        <f t="shared" si="163"/>
        <v>412</v>
      </c>
      <c r="AL574" s="14">
        <f t="shared" si="164"/>
        <v>3705</v>
      </c>
    </row>
    <row r="575" spans="11:38" ht="16.5" x14ac:dyDescent="0.2">
      <c r="K575" s="13">
        <v>572</v>
      </c>
      <c r="L575" s="13">
        <f t="shared" si="147"/>
        <v>28</v>
      </c>
      <c r="M575" s="13">
        <f t="shared" si="148"/>
        <v>5</v>
      </c>
      <c r="N575" s="14">
        <f t="shared" si="149"/>
        <v>1102012</v>
      </c>
      <c r="O575" s="14" t="str">
        <f t="shared" si="150"/>
        <v>夏侯惇5突</v>
      </c>
      <c r="P575" s="29" t="s">
        <v>341</v>
      </c>
      <c r="Q575" s="14">
        <f t="shared" si="151"/>
        <v>2</v>
      </c>
      <c r="R575" s="14">
        <f t="shared" si="152"/>
        <v>5</v>
      </c>
      <c r="S575" s="14" t="s">
        <v>39</v>
      </c>
      <c r="T575" s="14">
        <f>ROUND(((IF(Q575=1,INDEX(新属性投放!$J$14:$J$34,卡牌属性!R575),INDEX(新属性投放!$J$42:$J$62,卡牌属性!R575)))*INDEX($G$5:$G$42,L575)+IF(Q575=1,INDEX(新属性投放!R$20:R$23,卡牌属性!M575-1),INDEX(新属性投放!R$25:R$28,卡牌属性!M575-1)))/SQRT(INDEX($I$5:$I$42,L575)),2)</f>
        <v>1917</v>
      </c>
      <c r="U575" s="29" t="s">
        <v>178</v>
      </c>
      <c r="V575" s="14">
        <f>ROUND((IF(Q575=1,INDEX(新属性投放!$K$14:$K$34,卡牌属性!R575),INDEX(新属性投放!$K$42:$K$62,卡牌属性!R575))+IF(Q575=1,INDEX(新属性投放!S$20:S$23,卡牌属性!M575-1),INDEX(新属性投放!S$25:S$28,卡牌属性!M575-1)))*INDEX($G$5:$G$42,L575),2)</f>
        <v>655.5</v>
      </c>
      <c r="W575" s="29" t="s">
        <v>179</v>
      </c>
      <c r="X575" s="14">
        <f>ROUND((IF(Q575=1,INDEX(新属性投放!$L$14:$L$34,卡牌属性!R575),INDEX(新属性投放!$L$42:$L$62,卡牌属性!R575))*INDEX($G$5:$G$42,L575)+IF(Q575=1,INDEX(新属性投放!T$20:T$23,卡牌属性!M575-1),INDEX(新属性投放!T$25:T$28,卡牌属性!M575-1)))*SQRT(INDEX($I$5:$I$42,L575)),2)</f>
        <v>8975.5</v>
      </c>
      <c r="Y575" s="29" t="s">
        <v>177</v>
      </c>
      <c r="Z575" s="14">
        <f>ROUND(IF(Q575=1,INDEX(新属性投放!$D$14:$D$34,卡牌属性!R575),INDEX(新属性投放!$D$42:$D$62,卡牌属性!R575))*INDEX($G$5:$G$42,L575)/SQRT(INDEX($I$5:$I$42,L575)),2)</f>
        <v>37.5</v>
      </c>
      <c r="AA575" s="29" t="s">
        <v>178</v>
      </c>
      <c r="AB575" s="14">
        <f>ROUND(IF(Q575=1,INDEX(新属性投放!$E$14:$E$34,卡牌属性!R575),INDEX(新属性投放!$E$42:$E$62,卡牌属性!R575))*INDEX($G$5:$G$42,L575),2)</f>
        <v>18.75</v>
      </c>
      <c r="AC575" s="29" t="s">
        <v>179</v>
      </c>
      <c r="AD575" s="14">
        <f>ROUND(IF(Q575=1,INDEX(新属性投放!$F$14:$F$34,卡牌属性!R575),INDEX(新属性投放!$F$42:$F$62,卡牌属性!R575))*INDEX($G$5:$G$42,L575)*SQRT(INDEX($I$5:$I$42,L575)),2)</f>
        <v>168</v>
      </c>
      <c r="AF575" s="14">
        <f t="shared" si="153"/>
        <v>375</v>
      </c>
      <c r="AG575" s="14">
        <f t="shared" si="154"/>
        <v>187</v>
      </c>
      <c r="AH575" s="14">
        <f t="shared" si="155"/>
        <v>1680</v>
      </c>
      <c r="AJ575" s="14">
        <f t="shared" si="162"/>
        <v>1200</v>
      </c>
      <c r="AK575" s="14">
        <f t="shared" si="163"/>
        <v>599</v>
      </c>
      <c r="AL575" s="14">
        <f t="shared" si="164"/>
        <v>5385</v>
      </c>
    </row>
    <row r="576" spans="11:38" ht="16.5" x14ac:dyDescent="0.2">
      <c r="K576" s="13">
        <v>573</v>
      </c>
      <c r="L576" s="13">
        <f t="shared" si="147"/>
        <v>28</v>
      </c>
      <c r="M576" s="13">
        <f t="shared" si="148"/>
        <v>5</v>
      </c>
      <c r="N576" s="14">
        <f t="shared" si="149"/>
        <v>1102012</v>
      </c>
      <c r="O576" s="14" t="str">
        <f t="shared" si="150"/>
        <v>夏侯惇6突</v>
      </c>
      <c r="P576" s="29" t="s">
        <v>341</v>
      </c>
      <c r="Q576" s="14">
        <f t="shared" si="151"/>
        <v>2</v>
      </c>
      <c r="R576" s="14">
        <f t="shared" si="152"/>
        <v>6</v>
      </c>
      <c r="S576" s="14" t="s">
        <v>39</v>
      </c>
      <c r="T576" s="14">
        <f>ROUND(((IF(Q576=1,INDEX(新属性投放!$J$14:$J$34,卡牌属性!R576),INDEX(新属性投放!$J$42:$J$62,卡牌属性!R576)))*INDEX($G$5:$G$42,L576)+IF(Q576=1,INDEX(新属性投放!R$20:R$23,卡牌属性!M576-1),INDEX(新属性投放!R$25:R$28,卡牌属性!M576-1)))/SQRT(INDEX($I$5:$I$42,L576)),2)</f>
        <v>2386.5</v>
      </c>
      <c r="U576" s="29" t="s">
        <v>178</v>
      </c>
      <c r="V576" s="14">
        <f>ROUND((IF(Q576=1,INDEX(新属性投放!$K$14:$K$34,卡牌属性!R576),INDEX(新属性投放!$K$42:$K$62,卡牌属性!R576))+IF(Q576=1,INDEX(新属性投放!S$20:S$23,卡牌属性!M576-1),INDEX(新属性投放!S$25:S$28,卡牌属性!M576-1)))*INDEX($G$5:$G$42,L576),2)</f>
        <v>889.5</v>
      </c>
      <c r="W576" s="29" t="s">
        <v>179</v>
      </c>
      <c r="X576" s="14">
        <f>ROUND((IF(Q576=1,INDEX(新属性投放!$L$14:$L$34,卡牌属性!R576),INDEX(新属性投放!$L$42:$L$62,卡牌属性!R576))*INDEX($G$5:$G$42,L576)+IF(Q576=1,INDEX(新属性投放!T$20:T$23,卡牌属性!M576-1),INDEX(新属性投放!T$25:T$28,卡牌属性!M576-1)))*SQRT(INDEX($I$5:$I$42,L576)),2)</f>
        <v>11506</v>
      </c>
      <c r="Y576" s="29" t="s">
        <v>177</v>
      </c>
      <c r="Z576" s="14">
        <f>ROUND(IF(Q576=1,INDEX(新属性投放!$D$14:$D$34,卡牌属性!R576),INDEX(新属性投放!$D$42:$D$62,卡牌属性!R576))*INDEX($G$5:$G$42,L576)/SQRT(INDEX($I$5:$I$42,L576)),2)</f>
        <v>45</v>
      </c>
      <c r="AA576" s="29" t="s">
        <v>178</v>
      </c>
      <c r="AB576" s="14">
        <f>ROUND(IF(Q576=1,INDEX(新属性投放!$E$14:$E$34,卡牌属性!R576),INDEX(新属性投放!$E$42:$E$62,卡牌属性!R576))*INDEX($G$5:$G$42,L576),2)</f>
        <v>22.5</v>
      </c>
      <c r="AC576" s="29" t="s">
        <v>179</v>
      </c>
      <c r="AD576" s="14">
        <f>ROUND(IF(Q576=1,INDEX(新属性投放!$F$14:$F$34,卡牌属性!R576),INDEX(新属性投放!$F$42:$F$62,卡牌属性!R576))*INDEX($G$5:$G$42,L576)*SQRT(INDEX($I$5:$I$42,L576)),2)</f>
        <v>202.5</v>
      </c>
      <c r="AF576" s="14">
        <f t="shared" si="153"/>
        <v>450</v>
      </c>
      <c r="AG576" s="14">
        <f t="shared" si="154"/>
        <v>225</v>
      </c>
      <c r="AH576" s="14">
        <f t="shared" si="155"/>
        <v>2025</v>
      </c>
      <c r="AJ576" s="14">
        <f t="shared" si="162"/>
        <v>1650</v>
      </c>
      <c r="AK576" s="14">
        <f t="shared" si="163"/>
        <v>824</v>
      </c>
      <c r="AL576" s="14">
        <f t="shared" si="164"/>
        <v>7410</v>
      </c>
    </row>
    <row r="577" spans="11:38" ht="16.5" x14ac:dyDescent="0.2">
      <c r="K577" s="13">
        <v>574</v>
      </c>
      <c r="L577" s="13">
        <f t="shared" si="147"/>
        <v>28</v>
      </c>
      <c r="M577" s="13">
        <f t="shared" si="148"/>
        <v>5</v>
      </c>
      <c r="N577" s="14">
        <f t="shared" si="149"/>
        <v>1102012</v>
      </c>
      <c r="O577" s="14" t="str">
        <f t="shared" si="150"/>
        <v>夏侯惇7突</v>
      </c>
      <c r="P577" s="29" t="s">
        <v>341</v>
      </c>
      <c r="Q577" s="14">
        <f t="shared" si="151"/>
        <v>2</v>
      </c>
      <c r="R577" s="14">
        <f t="shared" si="152"/>
        <v>7</v>
      </c>
      <c r="S577" s="14" t="s">
        <v>39</v>
      </c>
      <c r="T577" s="14">
        <f>ROUND(((IF(Q577=1,INDEX(新属性投放!$J$14:$J$34,卡牌属性!R577),INDEX(新属性投放!$J$42:$J$62,卡牌属性!R577)))*INDEX($G$5:$G$42,L577)+IF(Q577=1,INDEX(新属性投放!R$20:R$23,卡牌属性!M577-1),INDEX(新属性投放!R$25:R$28,卡牌属性!M577-1)))/SQRT(INDEX($I$5:$I$42,L577)),2)</f>
        <v>2949</v>
      </c>
      <c r="U577" s="29" t="s">
        <v>178</v>
      </c>
      <c r="V577" s="14">
        <f>ROUND((IF(Q577=1,INDEX(新属性投放!$K$14:$K$34,卡牌属性!R577),INDEX(新属性投放!$K$42:$K$62,卡牌属性!R577))+IF(Q577=1,INDEX(新属性投放!S$20:S$23,卡牌属性!M577-1),INDEX(新属性投放!S$25:S$28,卡牌属性!M577-1)))*INDEX($G$5:$G$42,L577),2)</f>
        <v>1171.5</v>
      </c>
      <c r="W577" s="29" t="s">
        <v>179</v>
      </c>
      <c r="X577" s="14">
        <f>ROUND((IF(Q577=1,INDEX(新属性投放!$L$14:$L$34,卡牌属性!R577),INDEX(新属性投放!$L$42:$L$62,卡牌属性!R577))*INDEX($G$5:$G$42,L577)+IF(Q577=1,INDEX(新属性投放!T$20:T$23,卡牌属性!M577-1),INDEX(新属性投放!T$25:T$28,卡牌属性!M577-1)))*SQRT(INDEX($I$5:$I$42,L577)),2)</f>
        <v>14543.5</v>
      </c>
      <c r="Y577" s="29" t="s">
        <v>177</v>
      </c>
      <c r="Z577" s="14">
        <f>ROUND(IF(Q577=1,INDEX(新属性投放!$D$14:$D$34,卡牌属性!R577),INDEX(新属性投放!$D$42:$D$62,卡牌属性!R577))*INDEX($G$5:$G$42,L577)/SQRT(INDEX($I$5:$I$42,L577)),2)</f>
        <v>52.5</v>
      </c>
      <c r="AA577" s="29" t="s">
        <v>178</v>
      </c>
      <c r="AB577" s="14">
        <f>ROUND(IF(Q577=1,INDEX(新属性投放!$E$14:$E$34,卡牌属性!R577),INDEX(新属性投放!$E$42:$E$62,卡牌属性!R577))*INDEX($G$5:$G$42,L577),2)</f>
        <v>26.25</v>
      </c>
      <c r="AC577" s="29" t="s">
        <v>179</v>
      </c>
      <c r="AD577" s="14">
        <f>ROUND(IF(Q577=1,INDEX(新属性投放!$F$14:$F$34,卡牌属性!R577),INDEX(新属性投放!$F$42:$F$62,卡牌属性!R577))*INDEX($G$5:$G$42,L577)*SQRT(INDEX($I$5:$I$42,L577)),2)</f>
        <v>235.5</v>
      </c>
      <c r="AF577" s="14">
        <f t="shared" si="153"/>
        <v>525</v>
      </c>
      <c r="AG577" s="14">
        <f t="shared" si="154"/>
        <v>262</v>
      </c>
      <c r="AH577" s="14">
        <f t="shared" si="155"/>
        <v>2355</v>
      </c>
      <c r="AJ577" s="14">
        <f t="shared" si="162"/>
        <v>2175</v>
      </c>
      <c r="AK577" s="14">
        <f t="shared" si="163"/>
        <v>1086</v>
      </c>
      <c r="AL577" s="14">
        <f t="shared" si="164"/>
        <v>9765</v>
      </c>
    </row>
    <row r="578" spans="11:38" ht="16.5" x14ac:dyDescent="0.2">
      <c r="K578" s="13">
        <v>575</v>
      </c>
      <c r="L578" s="13">
        <f t="shared" si="147"/>
        <v>28</v>
      </c>
      <c r="M578" s="13">
        <f t="shared" si="148"/>
        <v>5</v>
      </c>
      <c r="N578" s="14">
        <f t="shared" si="149"/>
        <v>1102012</v>
      </c>
      <c r="O578" s="14" t="str">
        <f t="shared" si="150"/>
        <v>夏侯惇8突</v>
      </c>
      <c r="P578" s="29" t="s">
        <v>341</v>
      </c>
      <c r="Q578" s="14">
        <f t="shared" si="151"/>
        <v>2</v>
      </c>
      <c r="R578" s="14">
        <f t="shared" si="152"/>
        <v>8</v>
      </c>
      <c r="S578" s="14" t="s">
        <v>39</v>
      </c>
      <c r="T578" s="14">
        <f>ROUND(((IF(Q578=1,INDEX(新属性投放!$J$14:$J$34,卡牌属性!R578),INDEX(新属性投放!$J$42:$J$62,卡牌属性!R578)))*INDEX($G$5:$G$42,L578)+IF(Q578=1,INDEX(新属性投放!R$20:R$23,卡牌属性!M578-1),INDEX(新属性投放!R$25:R$28,卡牌属性!M578-1)))/SQRT(INDEX($I$5:$I$42,L578)),2)</f>
        <v>3606</v>
      </c>
      <c r="U578" s="29" t="s">
        <v>178</v>
      </c>
      <c r="V578" s="14">
        <f>ROUND((IF(Q578=1,INDEX(新属性投放!$K$14:$K$34,卡牌属性!R578),INDEX(新属性投放!$K$42:$K$62,卡牌属性!R578))+IF(Q578=1,INDEX(新属性投放!S$20:S$23,卡牌属性!M578-1),INDEX(新属性投放!S$25:S$28,卡牌属性!M578-1)))*INDEX($G$5:$G$42,L578),2)</f>
        <v>1500</v>
      </c>
      <c r="W578" s="29" t="s">
        <v>179</v>
      </c>
      <c r="X578" s="14">
        <f>ROUND((IF(Q578=1,INDEX(新属性投放!$L$14:$L$34,卡牌属性!R578),INDEX(新属性投放!$L$42:$L$62,卡牌属性!R578))*INDEX($G$5:$G$42,L578)+IF(Q578=1,INDEX(新属性投放!T$20:T$23,卡牌属性!M578-1),INDEX(新属性投放!T$25:T$28,卡牌属性!M578-1)))*SQRT(INDEX($I$5:$I$42,L578)),2)</f>
        <v>18086.5</v>
      </c>
      <c r="Y578" s="29" t="s">
        <v>177</v>
      </c>
      <c r="Z578" s="14">
        <f>ROUND(IF(Q578=1,INDEX(新属性投放!$D$14:$D$34,卡牌属性!R578),INDEX(新属性投放!$D$42:$D$62,卡牌属性!R578))*INDEX($G$5:$G$42,L578)/SQRT(INDEX($I$5:$I$42,L578)),2)</f>
        <v>67.5</v>
      </c>
      <c r="AA578" s="29" t="s">
        <v>178</v>
      </c>
      <c r="AB578" s="14">
        <f>ROUND(IF(Q578=1,INDEX(新属性投放!$E$14:$E$34,卡牌属性!R578),INDEX(新属性投放!$E$42:$E$62,卡牌属性!R578))*INDEX($G$5:$G$42,L578),2)</f>
        <v>33.75</v>
      </c>
      <c r="AC578" s="29" t="s">
        <v>179</v>
      </c>
      <c r="AD578" s="14">
        <f>ROUND(IF(Q578=1,INDEX(新属性投放!$F$14:$F$34,卡牌属性!R578),INDEX(新属性投放!$F$42:$F$62,卡牌属性!R578))*INDEX($G$5:$G$42,L578)*SQRT(INDEX($I$5:$I$42,L578)),2)</f>
        <v>303</v>
      </c>
      <c r="AF578" s="14">
        <f t="shared" si="153"/>
        <v>675</v>
      </c>
      <c r="AG578" s="14">
        <f t="shared" si="154"/>
        <v>337</v>
      </c>
      <c r="AH578" s="14">
        <f t="shared" si="155"/>
        <v>3030</v>
      </c>
      <c r="AJ578" s="14">
        <f t="shared" si="162"/>
        <v>2850</v>
      </c>
      <c r="AK578" s="14">
        <f t="shared" si="163"/>
        <v>1423</v>
      </c>
      <c r="AL578" s="14">
        <f t="shared" si="164"/>
        <v>12795</v>
      </c>
    </row>
    <row r="579" spans="11:38" ht="16.5" x14ac:dyDescent="0.2">
      <c r="K579" s="13">
        <v>576</v>
      </c>
      <c r="L579" s="13">
        <f t="shared" si="147"/>
        <v>28</v>
      </c>
      <c r="M579" s="13">
        <f t="shared" si="148"/>
        <v>5</v>
      </c>
      <c r="N579" s="14">
        <f t="shared" si="149"/>
        <v>1102012</v>
      </c>
      <c r="O579" s="14" t="str">
        <f t="shared" si="150"/>
        <v>夏侯惇9突</v>
      </c>
      <c r="P579" s="29" t="s">
        <v>341</v>
      </c>
      <c r="Q579" s="14">
        <f t="shared" si="151"/>
        <v>2</v>
      </c>
      <c r="R579" s="14">
        <f t="shared" si="152"/>
        <v>9</v>
      </c>
      <c r="S579" s="14" t="s">
        <v>39</v>
      </c>
      <c r="T579" s="14">
        <f>ROUND(((IF(Q579=1,INDEX(新属性投放!$J$14:$J$34,卡牌属性!R579),INDEX(新属性投放!$J$42:$J$62,卡牌属性!R579)))*INDEX($G$5:$G$42,L579)+IF(Q579=1,INDEX(新属性投放!R$20:R$23,卡牌属性!M579-1),INDEX(新属性投放!R$25:R$28,卡牌属性!M579-1)))/SQRT(INDEX($I$5:$I$42,L579)),2)</f>
        <v>4450.5</v>
      </c>
      <c r="U579" s="29" t="s">
        <v>178</v>
      </c>
      <c r="V579" s="14">
        <f>ROUND((IF(Q579=1,INDEX(新属性投放!$K$14:$K$34,卡牌属性!R579),INDEX(新属性投放!$K$42:$K$62,卡牌属性!R579))+IF(Q579=1,INDEX(新属性投放!S$20:S$23,卡牌属性!M579-1),INDEX(新属性投放!S$25:S$28,卡牌属性!M579-1)))*INDEX($G$5:$G$42,L579),2)</f>
        <v>1921.5</v>
      </c>
      <c r="W579" s="29" t="s">
        <v>179</v>
      </c>
      <c r="X579" s="14">
        <f>ROUND((IF(Q579=1,INDEX(新属性投放!$L$14:$L$34,卡牌属性!R579),INDEX(新属性投放!$L$42:$L$62,卡牌属性!R579))*INDEX($G$5:$G$42,L579)+IF(Q579=1,INDEX(新属性投放!T$20:T$23,卡牌属性!M579-1),INDEX(新属性投放!T$25:T$28,卡牌属性!M579-1)))*SQRT(INDEX($I$5:$I$42,L579)),2)</f>
        <v>22642</v>
      </c>
      <c r="Y579" s="29" t="s">
        <v>177</v>
      </c>
      <c r="Z579" s="14">
        <f>ROUND(IF(Q579=1,INDEX(新属性投放!$D$14:$D$34,卡牌属性!R579),INDEX(新属性投放!$D$42:$D$62,卡牌属性!R579))*INDEX($G$5:$G$42,L579)/SQRT(INDEX($I$5:$I$42,L579)),2)</f>
        <v>90.08</v>
      </c>
      <c r="AA579" s="29" t="s">
        <v>178</v>
      </c>
      <c r="AB579" s="14">
        <f>ROUND(IF(Q579=1,INDEX(新属性投放!$E$14:$E$34,卡牌属性!R579),INDEX(新属性投放!$E$42:$E$62,卡牌属性!R579))*INDEX($G$5:$G$42,L579),2)</f>
        <v>45.04</v>
      </c>
      <c r="AC579" s="29" t="s">
        <v>179</v>
      </c>
      <c r="AD579" s="14">
        <f>ROUND(IF(Q579=1,INDEX(新属性投放!$F$14:$F$34,卡牌属性!R579),INDEX(新属性投放!$F$42:$F$62,卡牌属性!R579))*INDEX($G$5:$G$42,L579)*SQRT(INDEX($I$5:$I$42,L579)),2)</f>
        <v>405</v>
      </c>
      <c r="AF579" s="14">
        <f t="shared" si="153"/>
        <v>900</v>
      </c>
      <c r="AG579" s="14">
        <f t="shared" si="154"/>
        <v>450</v>
      </c>
      <c r="AH579" s="14">
        <f t="shared" si="155"/>
        <v>4050</v>
      </c>
      <c r="AJ579" s="14">
        <f t="shared" si="162"/>
        <v>3750</v>
      </c>
      <c r="AK579" s="14">
        <f t="shared" si="163"/>
        <v>1873</v>
      </c>
      <c r="AL579" s="14">
        <f t="shared" si="164"/>
        <v>16845</v>
      </c>
    </row>
    <row r="580" spans="11:38" ht="16.5" x14ac:dyDescent="0.2">
      <c r="K580" s="13">
        <v>577</v>
      </c>
      <c r="L580" s="13">
        <f t="shared" si="147"/>
        <v>28</v>
      </c>
      <c r="M580" s="13">
        <f t="shared" si="148"/>
        <v>5</v>
      </c>
      <c r="N580" s="14">
        <f t="shared" si="149"/>
        <v>1102012</v>
      </c>
      <c r="O580" s="14" t="str">
        <f t="shared" si="150"/>
        <v>夏侯惇10突</v>
      </c>
      <c r="P580" s="29" t="s">
        <v>341</v>
      </c>
      <c r="Q580" s="14">
        <f t="shared" si="151"/>
        <v>2</v>
      </c>
      <c r="R580" s="14">
        <f t="shared" si="152"/>
        <v>10</v>
      </c>
      <c r="S580" s="14" t="s">
        <v>39</v>
      </c>
      <c r="T580" s="14">
        <f>ROUND(((IF(Q580=1,INDEX(新属性投放!$J$14:$J$34,卡牌属性!R580),INDEX(新属性投放!$J$42:$J$62,卡牌属性!R580)))*INDEX($G$5:$G$42,L580)+IF(Q580=1,INDEX(新属性投放!R$20:R$23,卡牌属性!M580-1),INDEX(新属性投放!R$25:R$28,卡牌属性!M580-1)))/SQRT(INDEX($I$5:$I$42,L580)),2)</f>
        <v>5576.25</v>
      </c>
      <c r="U580" s="29" t="s">
        <v>178</v>
      </c>
      <c r="V580" s="14">
        <f>ROUND((IF(Q580=1,INDEX(新属性投放!$K$14:$K$34,卡牌属性!R580),INDEX(新属性投放!$K$42:$K$62,卡牌属性!R580))+IF(Q580=1,INDEX(新属性投放!S$20:S$23,卡牌属性!M580-1),INDEX(新属性投放!S$25:S$28,卡牌属性!M580-1)))*INDEX($G$5:$G$42,L580),2)</f>
        <v>2484.38</v>
      </c>
      <c r="W580" s="29" t="s">
        <v>179</v>
      </c>
      <c r="X580" s="14">
        <f>ROUND((IF(Q580=1,INDEX(新属性投放!$L$14:$L$34,卡牌属性!R580),INDEX(新属性投放!$L$42:$L$62,卡牌属性!R580))*INDEX($G$5:$G$42,L580)+IF(Q580=1,INDEX(新属性投放!T$20:T$23,卡牌属性!M580-1),INDEX(新属性投放!T$25:T$28,卡牌属性!M580-1)))*SQRT(INDEX($I$5:$I$42,L580)),2)</f>
        <v>28717</v>
      </c>
      <c r="Y580" s="29" t="s">
        <v>177</v>
      </c>
      <c r="Z580" s="14">
        <f>ROUND(IF(Q580=1,INDEX(新属性投放!$D$14:$D$34,卡牌属性!R580),INDEX(新属性投放!$D$42:$D$62,卡牌属性!R580))*INDEX($G$5:$G$42,L580)/SQRT(INDEX($I$5:$I$42,L580)),2)</f>
        <v>117.75</v>
      </c>
      <c r="AA580" s="29" t="s">
        <v>178</v>
      </c>
      <c r="AB580" s="14">
        <f>ROUND(IF(Q580=1,INDEX(新属性投放!$E$14:$E$34,卡牌属性!R580),INDEX(新属性投放!$E$42:$E$62,卡牌属性!R580))*INDEX($G$5:$G$42,L580),2)</f>
        <v>58.88</v>
      </c>
      <c r="AC580" s="29" t="s">
        <v>179</v>
      </c>
      <c r="AD580" s="14">
        <f>ROUND(IF(Q580=1,INDEX(新属性投放!$F$14:$F$34,卡牌属性!R580),INDEX(新属性投放!$F$42:$F$62,卡牌属性!R580))*INDEX($G$5:$G$42,L580)*SQRT(INDEX($I$5:$I$42,L580)),2)</f>
        <v>529.5</v>
      </c>
      <c r="AF580" s="14">
        <f t="shared" si="153"/>
        <v>1177</v>
      </c>
      <c r="AG580" s="14">
        <f t="shared" si="154"/>
        <v>588</v>
      </c>
      <c r="AH580" s="14">
        <f t="shared" si="155"/>
        <v>5295</v>
      </c>
      <c r="AJ580" s="14">
        <f t="shared" si="162"/>
        <v>4927</v>
      </c>
      <c r="AK580" s="14">
        <f t="shared" si="163"/>
        <v>2461</v>
      </c>
      <c r="AL580" s="14">
        <f t="shared" si="164"/>
        <v>22140</v>
      </c>
    </row>
    <row r="581" spans="11:38" ht="16.5" x14ac:dyDescent="0.2">
      <c r="K581" s="13">
        <v>578</v>
      </c>
      <c r="L581" s="13">
        <f t="shared" ref="L581:L644" si="165">MATCH(K581-1,$F$4:$F$41,1)</f>
        <v>28</v>
      </c>
      <c r="M581" s="13">
        <f t="shared" ref="M581:M644" si="166">INDEX($D$5:$D$42,L581)</f>
        <v>5</v>
      </c>
      <c r="N581" s="14">
        <f t="shared" ref="N581:N644" si="167">INDEX($A$4:$A$42,L581+1)</f>
        <v>1102012</v>
      </c>
      <c r="O581" s="14" t="str">
        <f t="shared" ref="O581:O644" si="168">INDEX($B$4:$B$42,MATCH(N581,$A$4:$A$42,0))&amp;R581&amp;"突"</f>
        <v>夏侯惇11突</v>
      </c>
      <c r="P581" s="29" t="s">
        <v>341</v>
      </c>
      <c r="Q581" s="14">
        <f t="shared" ref="Q581:Q644" si="169">INDEX($C$4:$C$42,L581+1)</f>
        <v>2</v>
      </c>
      <c r="R581" s="14">
        <f t="shared" ref="R581:R644" si="170">K581-INDEX($F$4:$F$42,L581)</f>
        <v>11</v>
      </c>
      <c r="S581" s="14" t="s">
        <v>39</v>
      </c>
      <c r="T581" s="14">
        <f>ROUND(((IF(Q581=1,INDEX(新属性投放!$J$14:$J$34,卡牌属性!R581),INDEX(新属性投放!$J$42:$J$62,卡牌属性!R581)))*INDEX($G$5:$G$42,L581)+IF(Q581=1,INDEX(新属性投放!R$20:R$23,卡牌属性!M581-1),INDEX(新属性投放!R$25:R$28,卡牌属性!M581-1)))/SQRT(INDEX($I$5:$I$42,L581)),2)</f>
        <v>7047.75</v>
      </c>
      <c r="U581" s="29" t="s">
        <v>178</v>
      </c>
      <c r="V581" s="14">
        <f>ROUND((IF(Q581=1,INDEX(新属性投放!$K$14:$K$34,卡牌属性!R581),INDEX(新属性投放!$K$42:$K$62,卡牌属性!R581))+IF(Q581=1,INDEX(新属性投放!S$20:S$23,卡牌属性!M581-1),INDEX(新属性投放!S$25:S$28,卡牌属性!M581-1)))*INDEX($G$5:$G$42,L581),2)</f>
        <v>3220.13</v>
      </c>
      <c r="W581" s="29" t="s">
        <v>179</v>
      </c>
      <c r="X581" s="14">
        <f>ROUND((IF(Q581=1,INDEX(新属性投放!$L$14:$L$34,卡牌属性!R581),INDEX(新属性投放!$L$42:$L$62,卡牌属性!R581))*INDEX($G$5:$G$42,L581)+IF(Q581=1,INDEX(新属性投放!T$20:T$23,卡牌属性!M581-1),INDEX(新属性投放!T$25:T$28,卡牌属性!M581-1)))*SQRT(INDEX($I$5:$I$42,L581)),2)</f>
        <v>36658</v>
      </c>
      <c r="Y581" s="29" t="s">
        <v>177</v>
      </c>
      <c r="Z581" s="14">
        <f>ROUND(IF(Q581=1,INDEX(新属性投放!$D$14:$D$34,卡牌属性!R581),INDEX(新属性投放!$D$42:$D$62,卡牌属性!R581))*INDEX($G$5:$G$42,L581)/SQRT(INDEX($I$5:$I$42,L581)),2)</f>
        <v>155.01</v>
      </c>
      <c r="AA581" s="29" t="s">
        <v>178</v>
      </c>
      <c r="AB581" s="14">
        <f>ROUND(IF(Q581=1,INDEX(新属性投放!$E$14:$E$34,卡牌属性!R581),INDEX(新属性投放!$E$42:$E$62,卡牌属性!R581))*INDEX($G$5:$G$42,L581),2)</f>
        <v>77.510000000000005</v>
      </c>
      <c r="AC581" s="29" t="s">
        <v>179</v>
      </c>
      <c r="AD581" s="14">
        <f>ROUND(IF(Q581=1,INDEX(新属性投放!$F$14:$F$34,卡牌属性!R581),INDEX(新属性投放!$F$42:$F$62,卡牌属性!R581))*INDEX($G$5:$G$42,L581)*SQRT(INDEX($I$5:$I$42,L581)),2)</f>
        <v>697.5</v>
      </c>
      <c r="AF581" s="14">
        <f t="shared" ref="AF581:AF644" si="171">INT(Z581*AF$2*10)</f>
        <v>1550</v>
      </c>
      <c r="AG581" s="14">
        <f t="shared" ref="AG581:AG644" si="172">INT(AB581*AF$2*10)</f>
        <v>775</v>
      </c>
      <c r="AH581" s="14">
        <f t="shared" ref="AH581:AH644" si="173">INT(AD581*AF$2*10)</f>
        <v>6975</v>
      </c>
      <c r="AJ581" s="14">
        <f t="shared" si="162"/>
        <v>6477</v>
      </c>
      <c r="AK581" s="14">
        <f t="shared" si="163"/>
        <v>3236</v>
      </c>
      <c r="AL581" s="14">
        <f t="shared" si="164"/>
        <v>29115</v>
      </c>
    </row>
    <row r="582" spans="11:38" ht="16.5" x14ac:dyDescent="0.2">
      <c r="K582" s="13">
        <v>579</v>
      </c>
      <c r="L582" s="13">
        <f t="shared" si="165"/>
        <v>28</v>
      </c>
      <c r="M582" s="13">
        <f t="shared" si="166"/>
        <v>5</v>
      </c>
      <c r="N582" s="14">
        <f t="shared" si="167"/>
        <v>1102012</v>
      </c>
      <c r="O582" s="14" t="str">
        <f t="shared" si="168"/>
        <v>夏侯惇12突</v>
      </c>
      <c r="P582" s="29" t="s">
        <v>341</v>
      </c>
      <c r="Q582" s="14">
        <f t="shared" si="169"/>
        <v>2</v>
      </c>
      <c r="R582" s="14">
        <f t="shared" si="170"/>
        <v>12</v>
      </c>
      <c r="S582" s="14" t="s">
        <v>39</v>
      </c>
      <c r="T582" s="14">
        <f>ROUND(((IF(Q582=1,INDEX(新属性投放!$J$14:$J$34,卡牌属性!R582),INDEX(新属性投放!$J$42:$J$62,卡牌属性!R582)))*INDEX($G$5:$G$42,L582)+IF(Q582=1,INDEX(新属性投放!R$20:R$23,卡牌属性!M582-1),INDEX(新属性投放!R$25:R$28,卡牌属性!M582-1)))/SQRT(INDEX($I$5:$I$42,L582)),2)</f>
        <v>8984.85</v>
      </c>
      <c r="U582" s="29" t="s">
        <v>178</v>
      </c>
      <c r="V582" s="14">
        <f>ROUND((IF(Q582=1,INDEX(新属性投放!$K$14:$K$34,卡牌属性!R582),INDEX(新属性投放!$K$42:$K$62,卡牌属性!R582))+IF(Q582=1,INDEX(新属性投放!S$20:S$23,卡牌属性!M582-1),INDEX(新属性投放!S$25:S$28,卡牌属性!M582-1)))*INDEX($G$5:$G$42,L582),2)</f>
        <v>4188.68</v>
      </c>
      <c r="W582" s="29" t="s">
        <v>179</v>
      </c>
      <c r="X582" s="14">
        <f>ROUND((IF(Q582=1,INDEX(新属性投放!$L$14:$L$34,卡牌属性!R582),INDEX(新属性投放!$L$42:$L$62,卡牌属性!R582))*INDEX($G$5:$G$42,L582)+IF(Q582=1,INDEX(新属性投放!T$20:T$23,卡牌属性!M582-1),INDEX(新属性投放!T$25:T$28,卡牌属性!M582-1)))*SQRT(INDEX($I$5:$I$42,L582)),2)</f>
        <v>47116</v>
      </c>
      <c r="Y582" s="29" t="s">
        <v>177</v>
      </c>
      <c r="Z582" s="14">
        <f>ROUND(IF(Q582=1,INDEX(新属性投放!$D$14:$D$34,卡牌属性!R582),INDEX(新属性投放!$D$42:$D$62,卡牌属性!R582))*INDEX($G$5:$G$42,L582)/SQRT(INDEX($I$5:$I$42,L582)),2)</f>
        <v>203.43</v>
      </c>
      <c r="AA582" s="29" t="s">
        <v>178</v>
      </c>
      <c r="AB582" s="14">
        <f>ROUND(IF(Q582=1,INDEX(新属性投放!$E$14:$E$34,卡牌属性!R582),INDEX(新属性投放!$E$42:$E$62,卡牌属性!R582))*INDEX($G$5:$G$42,L582),2)</f>
        <v>101.72</v>
      </c>
      <c r="AC582" s="29" t="s">
        <v>179</v>
      </c>
      <c r="AD582" s="14">
        <f>ROUND(IF(Q582=1,INDEX(新属性投放!$F$14:$F$34,卡牌属性!R582),INDEX(新属性投放!$F$42:$F$62,卡牌属性!R582))*INDEX($G$5:$G$42,L582)*SQRT(INDEX($I$5:$I$42,L582)),2)</f>
        <v>915</v>
      </c>
      <c r="AF582" s="14">
        <f t="shared" si="171"/>
        <v>2034</v>
      </c>
      <c r="AG582" s="14">
        <f t="shared" si="172"/>
        <v>1017</v>
      </c>
      <c r="AH582" s="14">
        <f t="shared" si="173"/>
        <v>9150</v>
      </c>
      <c r="AJ582" s="14">
        <f t="shared" si="162"/>
        <v>8511</v>
      </c>
      <c r="AK582" s="14">
        <f t="shared" si="163"/>
        <v>4253</v>
      </c>
      <c r="AL582" s="14">
        <f t="shared" si="164"/>
        <v>38265</v>
      </c>
    </row>
    <row r="583" spans="11:38" ht="16.5" x14ac:dyDescent="0.2">
      <c r="K583" s="13">
        <v>580</v>
      </c>
      <c r="L583" s="13">
        <f t="shared" si="165"/>
        <v>28</v>
      </c>
      <c r="M583" s="13">
        <f t="shared" si="166"/>
        <v>5</v>
      </c>
      <c r="N583" s="14">
        <f t="shared" si="167"/>
        <v>1102012</v>
      </c>
      <c r="O583" s="14" t="str">
        <f t="shared" si="168"/>
        <v>夏侯惇13突</v>
      </c>
      <c r="P583" s="29" t="s">
        <v>341</v>
      </c>
      <c r="Q583" s="14">
        <f t="shared" si="169"/>
        <v>2</v>
      </c>
      <c r="R583" s="14">
        <f t="shared" si="170"/>
        <v>13</v>
      </c>
      <c r="S583" s="14" t="s">
        <v>39</v>
      </c>
      <c r="T583" s="14">
        <f>ROUND(((IF(Q583=1,INDEX(新属性投放!$J$14:$J$34,卡牌属性!R583),INDEX(新属性投放!$J$42:$J$62,卡牌属性!R583)))*INDEX($G$5:$G$42,L583)+IF(Q583=1,INDEX(新属性投放!R$20:R$23,卡牌属性!M583-1),INDEX(新属性投放!R$25:R$28,卡牌属性!M583-1)))/SQRT(INDEX($I$5:$I$42,L583)),2)</f>
        <v>11527.65</v>
      </c>
      <c r="U583" s="29" t="s">
        <v>178</v>
      </c>
      <c r="V583" s="14">
        <f>ROUND((IF(Q583=1,INDEX(新属性投放!$K$14:$K$34,卡牌属性!R583),INDEX(新属性投放!$K$42:$K$62,卡牌属性!R583))+IF(Q583=1,INDEX(新属性投放!S$20:S$23,卡牌属性!M583-1),INDEX(新属性投放!S$25:S$28,卡牌属性!M583-1)))*INDEX($G$5:$G$42,L583),2)</f>
        <v>5460.83</v>
      </c>
      <c r="W583" s="29" t="s">
        <v>179</v>
      </c>
      <c r="X583" s="14">
        <f>ROUND((IF(Q583=1,INDEX(新属性投放!$L$14:$L$34,卡牌属性!R583),INDEX(新属性投放!$L$42:$L$62,卡牌属性!R583))*INDEX($G$5:$G$42,L583)+IF(Q583=1,INDEX(新属性投放!T$20:T$23,卡牌属性!M583-1),INDEX(新属性投放!T$25:T$28,卡牌属性!M583-1)))*SQRT(INDEX($I$5:$I$42,L583)),2)</f>
        <v>60842.5</v>
      </c>
      <c r="Y583" s="29" t="s">
        <v>177</v>
      </c>
      <c r="Z583" s="14">
        <f>ROUND(IF(Q583=1,INDEX(新属性投放!$D$14:$D$34,卡牌属性!R583),INDEX(新属性投放!$D$42:$D$62,卡牌属性!R583))*INDEX($G$5:$G$42,L583)/SQRT(INDEX($I$5:$I$42,L583)),2)</f>
        <v>267</v>
      </c>
      <c r="AA583" s="29" t="s">
        <v>178</v>
      </c>
      <c r="AB583" s="14">
        <f>ROUND(IF(Q583=1,INDEX(新属性投放!$E$14:$E$34,卡牌属性!R583),INDEX(新属性投放!$E$42:$E$62,卡牌属性!R583))*INDEX($G$5:$G$42,L583),2)</f>
        <v>133.5</v>
      </c>
      <c r="AC583" s="29" t="s">
        <v>179</v>
      </c>
      <c r="AD583" s="14">
        <f>ROUND(IF(Q583=1,INDEX(新属性投放!$F$14:$F$34,卡牌属性!R583),INDEX(新属性投放!$F$42:$F$62,卡牌属性!R583))*INDEX($G$5:$G$42,L583)*SQRT(INDEX($I$5:$I$42,L583)),2)</f>
        <v>1201.5</v>
      </c>
      <c r="AF583" s="14">
        <f t="shared" si="171"/>
        <v>2670</v>
      </c>
      <c r="AG583" s="14">
        <f t="shared" si="172"/>
        <v>1335</v>
      </c>
      <c r="AH583" s="14">
        <f t="shared" si="173"/>
        <v>12015</v>
      </c>
      <c r="AJ583" s="14">
        <f t="shared" si="162"/>
        <v>11181</v>
      </c>
      <c r="AK583" s="14">
        <f t="shared" si="163"/>
        <v>5588</v>
      </c>
      <c r="AL583" s="14">
        <f t="shared" si="164"/>
        <v>50280</v>
      </c>
    </row>
    <row r="584" spans="11:38" ht="16.5" x14ac:dyDescent="0.2">
      <c r="K584" s="13">
        <v>581</v>
      </c>
      <c r="L584" s="13">
        <f t="shared" si="165"/>
        <v>28</v>
      </c>
      <c r="M584" s="13">
        <f t="shared" si="166"/>
        <v>5</v>
      </c>
      <c r="N584" s="14">
        <f t="shared" si="167"/>
        <v>1102012</v>
      </c>
      <c r="O584" s="14" t="str">
        <f t="shared" si="168"/>
        <v>夏侯惇14突</v>
      </c>
      <c r="P584" s="29" t="s">
        <v>341</v>
      </c>
      <c r="Q584" s="14">
        <f t="shared" si="169"/>
        <v>2</v>
      </c>
      <c r="R584" s="14">
        <f t="shared" si="170"/>
        <v>14</v>
      </c>
      <c r="S584" s="14" t="s">
        <v>39</v>
      </c>
      <c r="T584" s="14">
        <f>ROUND(((IF(Q584=1,INDEX(新属性投放!$J$14:$J$34,卡牌属性!R584),INDEX(新属性投放!$J$42:$J$62,卡牌属性!R584)))*INDEX($G$5:$G$42,L584)+IF(Q584=1,INDEX(新属性投放!R$20:R$23,卡牌属性!M584-1),INDEX(新属性投放!R$25:R$28,卡牌属性!M584-1)))/SQRT(INDEX($I$5:$I$42,L584)),2)</f>
        <v>14865.15</v>
      </c>
      <c r="U584" s="29" t="s">
        <v>178</v>
      </c>
      <c r="V584" s="14">
        <f>ROUND((IF(Q584=1,INDEX(新属性投放!$K$14:$K$34,卡牌属性!R584),INDEX(新属性投放!$K$42:$K$62,卡牌属性!R584))+IF(Q584=1,INDEX(新属性投放!S$20:S$23,卡牌属性!M584-1),INDEX(新属性投放!S$25:S$28,卡牌属性!M584-1)))*INDEX($G$5:$G$42,L584),2)</f>
        <v>7130.33</v>
      </c>
      <c r="W584" s="29" t="s">
        <v>179</v>
      </c>
      <c r="X584" s="14">
        <f>ROUND((IF(Q584=1,INDEX(新属性投放!$L$14:$L$34,卡牌属性!R584),INDEX(新属性投放!$L$42:$L$62,卡牌属性!R584))*INDEX($G$5:$G$42,L584)+IF(Q584=1,INDEX(新属性投放!T$20:T$23,卡牌属性!M584-1),INDEX(新属性投放!T$25:T$28,卡牌属性!M584-1)))*SQRT(INDEX($I$5:$I$42,L584)),2)</f>
        <v>78865</v>
      </c>
      <c r="Y584" s="29" t="s">
        <v>177</v>
      </c>
      <c r="Z584" s="14">
        <f>ROUND(IF(Q584=1,INDEX(新属性投放!$D$14:$D$34,卡牌属性!R584),INDEX(新属性投放!$D$42:$D$62,卡牌属性!R584))*INDEX($G$5:$G$42,L584)/SQRT(INDEX($I$5:$I$42,L584)),2)</f>
        <v>350.45</v>
      </c>
      <c r="AA584" s="29" t="s">
        <v>178</v>
      </c>
      <c r="AB584" s="14">
        <f>ROUND(IF(Q584=1,INDEX(新属性投放!$E$14:$E$34,卡牌属性!R584),INDEX(新属性投放!$E$42:$E$62,卡牌属性!R584))*INDEX($G$5:$G$42,L584),2)</f>
        <v>175.22</v>
      </c>
      <c r="AC584" s="29" t="s">
        <v>179</v>
      </c>
      <c r="AD584" s="14">
        <f>ROUND(IF(Q584=1,INDEX(新属性投放!$F$14:$F$34,卡牌属性!R584),INDEX(新属性投放!$F$42:$F$62,卡牌属性!R584))*INDEX($G$5:$G$42,L584)*SQRT(INDEX($I$5:$I$42,L584)),2)</f>
        <v>1576.5</v>
      </c>
      <c r="AF584" s="14">
        <f t="shared" si="171"/>
        <v>3504</v>
      </c>
      <c r="AG584" s="14">
        <f t="shared" si="172"/>
        <v>1752</v>
      </c>
      <c r="AH584" s="14">
        <f t="shared" si="173"/>
        <v>15765</v>
      </c>
      <c r="AJ584" s="14">
        <f t="shared" si="162"/>
        <v>14685</v>
      </c>
      <c r="AK584" s="14">
        <f t="shared" si="163"/>
        <v>7340</v>
      </c>
      <c r="AL584" s="14">
        <f t="shared" si="164"/>
        <v>66045</v>
      </c>
    </row>
    <row r="585" spans="11:38" ht="16.5" x14ac:dyDescent="0.2">
      <c r="K585" s="13">
        <v>582</v>
      </c>
      <c r="L585" s="13">
        <f t="shared" si="165"/>
        <v>28</v>
      </c>
      <c r="M585" s="13">
        <f t="shared" si="166"/>
        <v>5</v>
      </c>
      <c r="N585" s="14">
        <f t="shared" si="167"/>
        <v>1102012</v>
      </c>
      <c r="O585" s="14" t="str">
        <f t="shared" si="168"/>
        <v>夏侯惇15突</v>
      </c>
      <c r="P585" s="29" t="s">
        <v>341</v>
      </c>
      <c r="Q585" s="14">
        <f t="shared" si="169"/>
        <v>2</v>
      </c>
      <c r="R585" s="14">
        <f t="shared" si="170"/>
        <v>15</v>
      </c>
      <c r="S585" s="14" t="s">
        <v>39</v>
      </c>
      <c r="T585" s="14">
        <f>ROUND(((IF(Q585=1,INDEX(新属性投放!$J$14:$J$34,卡牌属性!R585),INDEX(新属性投放!$J$42:$J$62,卡牌属性!R585)))*INDEX($G$5:$G$42,L585)+IF(Q585=1,INDEX(新属性投放!R$20:R$23,卡牌属性!M585-1),INDEX(新属性投放!R$25:R$28,卡牌属性!M585-1)))/SQRT(INDEX($I$5:$I$42,L585)),2)</f>
        <v>19245.599999999999</v>
      </c>
      <c r="U585" s="29" t="s">
        <v>178</v>
      </c>
      <c r="V585" s="14">
        <f>ROUND((IF(Q585=1,INDEX(新属性投放!$K$14:$K$34,卡牌属性!R585),INDEX(新属性投放!$K$42:$K$62,卡牌属性!R585))+IF(Q585=1,INDEX(新属性投放!S$20:S$23,卡牌属性!M585-1),INDEX(新属性投放!S$25:S$28,卡牌属性!M585-1)))*INDEX($G$5:$G$42,L585),2)</f>
        <v>9320.5499999999993</v>
      </c>
      <c r="W585" s="29" t="s">
        <v>179</v>
      </c>
      <c r="X585" s="14">
        <f>ROUND((IF(Q585=1,INDEX(新属性投放!$L$14:$L$34,卡牌属性!R585),INDEX(新属性投放!$L$42:$L$62,卡牌属性!R585))*INDEX($G$5:$G$42,L585)+IF(Q585=1,INDEX(新属性投放!T$20:T$23,卡牌属性!M585-1),INDEX(新属性投放!T$25:T$28,卡牌属性!M585-1)))*SQRT(INDEX($I$5:$I$42,L585)),2)</f>
        <v>102514</v>
      </c>
      <c r="Y585" s="29" t="s">
        <v>177</v>
      </c>
      <c r="Z585" s="14">
        <f>ROUND(IF(Q585=1,INDEX(新属性投放!$D$14:$D$34,卡牌属性!R585),INDEX(新属性投放!$D$42:$D$62,卡牌属性!R585))*INDEX($G$5:$G$42,L585)/SQRT(INDEX($I$5:$I$42,L585)),2)</f>
        <v>459.96</v>
      </c>
      <c r="AA585" s="29" t="s">
        <v>178</v>
      </c>
      <c r="AB585" s="14">
        <f>ROUND(IF(Q585=1,INDEX(新属性投放!$E$14:$E$34,卡牌属性!R585),INDEX(新属性投放!$E$42:$E$62,卡牌属性!R585))*INDEX($G$5:$G$42,L585),2)</f>
        <v>229.98</v>
      </c>
      <c r="AC585" s="29" t="s">
        <v>179</v>
      </c>
      <c r="AD585" s="14">
        <f>ROUND(IF(Q585=1,INDEX(新属性投放!$F$14:$F$34,卡牌属性!R585),INDEX(新属性投放!$F$42:$F$62,卡牌属性!R585))*INDEX($G$5:$G$42,L585)*SQRT(INDEX($I$5:$I$42,L585)),2)</f>
        <v>2068.5</v>
      </c>
      <c r="AF585" s="14">
        <f t="shared" si="171"/>
        <v>4599</v>
      </c>
      <c r="AG585" s="14">
        <f t="shared" si="172"/>
        <v>2299</v>
      </c>
      <c r="AH585" s="14">
        <f t="shared" si="173"/>
        <v>20685</v>
      </c>
      <c r="AJ585" s="14">
        <f t="shared" si="162"/>
        <v>19284</v>
      </c>
      <c r="AK585" s="14">
        <f t="shared" si="163"/>
        <v>9639</v>
      </c>
      <c r="AL585" s="14">
        <f t="shared" si="164"/>
        <v>86730</v>
      </c>
    </row>
    <row r="586" spans="11:38" ht="16.5" x14ac:dyDescent="0.2">
      <c r="K586" s="13">
        <v>583</v>
      </c>
      <c r="L586" s="13">
        <f t="shared" si="165"/>
        <v>28</v>
      </c>
      <c r="M586" s="13">
        <f t="shared" si="166"/>
        <v>5</v>
      </c>
      <c r="N586" s="14">
        <f t="shared" si="167"/>
        <v>1102012</v>
      </c>
      <c r="O586" s="14" t="str">
        <f t="shared" si="168"/>
        <v>夏侯惇16突</v>
      </c>
      <c r="P586" s="29" t="s">
        <v>341</v>
      </c>
      <c r="Q586" s="14">
        <f t="shared" si="169"/>
        <v>2</v>
      </c>
      <c r="R586" s="14">
        <f t="shared" si="170"/>
        <v>16</v>
      </c>
      <c r="S586" s="14" t="s">
        <v>39</v>
      </c>
      <c r="T586" s="14">
        <f>ROUND(((IF(Q586=1,INDEX(新属性投放!$J$14:$J$34,卡牌属性!R586),INDEX(新属性投放!$J$42:$J$62,卡牌属性!R586)))*INDEX($G$5:$G$42,L586)+IF(Q586=1,INDEX(新属性投放!R$20:R$23,卡牌属性!M586-1),INDEX(新属性投放!R$25:R$28,卡牌属性!M586-1)))/SQRT(INDEX($I$5:$I$42,L586)),2)</f>
        <v>24995.7</v>
      </c>
      <c r="U586" s="29" t="s">
        <v>178</v>
      </c>
      <c r="V586" s="14">
        <f>ROUND((IF(Q586=1,INDEX(新属性投放!$K$14:$K$34,卡牌属性!R586),INDEX(新属性投放!$K$42:$K$62,卡牌属性!R586))+IF(Q586=1,INDEX(新属性投放!S$20:S$23,卡牌属性!M586-1),INDEX(新属性投放!S$25:S$28,卡牌属性!M586-1)))*INDEX($G$5:$G$42,L586),2)</f>
        <v>12194.85</v>
      </c>
      <c r="W586" s="29" t="s">
        <v>179</v>
      </c>
      <c r="X586" s="14">
        <f>ROUND((IF(Q586=1,INDEX(新属性投放!$L$14:$L$34,卡牌属性!R586),INDEX(新属性投放!$L$42:$L$62,卡牌属性!R586))*INDEX($G$5:$G$42,L586)+IF(Q586=1,INDEX(新属性投放!T$20:T$23,卡牌属性!M586-1),INDEX(新属性投放!T$25:T$28,卡牌属性!M586-1)))*SQRT(INDEX($I$5:$I$42,L586)),2)</f>
        <v>133553.5</v>
      </c>
      <c r="Y586" s="29" t="s">
        <v>177</v>
      </c>
      <c r="Z586" s="14">
        <f>ROUND(IF(Q586=1,INDEX(新属性投放!$D$14:$D$34,卡牌属性!R586),INDEX(新属性投放!$D$42:$D$62,卡牌属性!R586))*INDEX($G$5:$G$42,L586)/SQRT(INDEX($I$5:$I$42,L586)),2)</f>
        <v>603.71</v>
      </c>
      <c r="AA586" s="29" t="s">
        <v>178</v>
      </c>
      <c r="AB586" s="14">
        <f>ROUND(IF(Q586=1,INDEX(新属性投放!$E$14:$E$34,卡牌属性!R586),INDEX(新属性投放!$E$42:$E$62,卡牌属性!R586))*INDEX($G$5:$G$42,L586),2)</f>
        <v>301.85000000000002</v>
      </c>
      <c r="AC586" s="29" t="s">
        <v>179</v>
      </c>
      <c r="AD586" s="14">
        <f>ROUND(IF(Q586=1,INDEX(新属性投放!$F$14:$F$34,卡牌属性!R586),INDEX(新属性投放!$F$42:$F$62,卡牌属性!R586))*INDEX($G$5:$G$42,L586)*SQRT(INDEX($I$5:$I$42,L586)),2)</f>
        <v>2716.5</v>
      </c>
      <c r="AF586" s="14">
        <f t="shared" si="171"/>
        <v>6037</v>
      </c>
      <c r="AG586" s="14">
        <f t="shared" si="172"/>
        <v>3018</v>
      </c>
      <c r="AH586" s="14">
        <f t="shared" si="173"/>
        <v>27165</v>
      </c>
      <c r="AJ586" s="14">
        <f t="shared" si="162"/>
        <v>25321</v>
      </c>
      <c r="AK586" s="14">
        <f t="shared" si="163"/>
        <v>12657</v>
      </c>
      <c r="AL586" s="14">
        <f t="shared" si="164"/>
        <v>113895</v>
      </c>
    </row>
    <row r="587" spans="11:38" ht="16.5" x14ac:dyDescent="0.2">
      <c r="K587" s="13">
        <v>584</v>
      </c>
      <c r="L587" s="13">
        <f t="shared" si="165"/>
        <v>28</v>
      </c>
      <c r="M587" s="13">
        <f t="shared" si="166"/>
        <v>5</v>
      </c>
      <c r="N587" s="14">
        <f t="shared" si="167"/>
        <v>1102012</v>
      </c>
      <c r="O587" s="14" t="str">
        <f t="shared" si="168"/>
        <v>夏侯惇17突</v>
      </c>
      <c r="P587" s="29" t="s">
        <v>341</v>
      </c>
      <c r="Q587" s="14">
        <f t="shared" si="169"/>
        <v>2</v>
      </c>
      <c r="R587" s="14">
        <f t="shared" si="170"/>
        <v>17</v>
      </c>
      <c r="S587" s="14" t="s">
        <v>39</v>
      </c>
      <c r="T587" s="14">
        <f>ROUND(((IF(Q587=1,INDEX(新属性投放!$J$14:$J$34,卡牌属性!R587),INDEX(新属性投放!$J$42:$J$62,卡牌属性!R587)))*INDEX($G$5:$G$42,L587)+IF(Q587=1,INDEX(新属性投放!R$20:R$23,卡牌属性!M587-1),INDEX(新属性投放!R$25:R$28,卡牌属性!M587-1)))/SQRT(INDEX($I$5:$I$42,L587)),2)</f>
        <v>32541.75</v>
      </c>
      <c r="U587" s="29" t="s">
        <v>178</v>
      </c>
      <c r="V587" s="14">
        <f>ROUND((IF(Q587=1,INDEX(新属性投放!$K$14:$K$34,卡牌属性!R587),INDEX(新属性投放!$K$42:$K$62,卡牌属性!R587))+IF(Q587=1,INDEX(新属性投放!S$20:S$23,卡牌属性!M587-1),INDEX(新属性投放!S$25:S$28,卡牌属性!M587-1)))*INDEX($G$5:$G$42,L587),2)</f>
        <v>15967.88</v>
      </c>
      <c r="W587" s="29" t="s">
        <v>179</v>
      </c>
      <c r="X587" s="14">
        <f>ROUND((IF(Q587=1,INDEX(新属性投放!$L$14:$L$34,卡牌属性!R587),INDEX(新属性投放!$L$42:$L$62,卡牌属性!R587))*INDEX($G$5:$G$42,L587)+IF(Q587=1,INDEX(新属性投放!T$20:T$23,卡牌属性!M587-1),INDEX(新属性投放!T$25:T$28,卡牌属性!M587-1)))*SQRT(INDEX($I$5:$I$42,L587)),2)</f>
        <v>174299.5</v>
      </c>
      <c r="Y587" s="29" t="s">
        <v>177</v>
      </c>
      <c r="Z587" s="14">
        <f>ROUND(IF(Q587=1,INDEX(新属性投放!$D$14:$D$34,卡牌属性!R587),INDEX(新属性投放!$D$42:$D$62,卡牌属性!R587))*INDEX($G$5:$G$42,L587)/SQRT(INDEX($I$5:$I$42,L587)),2)</f>
        <v>792.36</v>
      </c>
      <c r="AA587" s="29" t="s">
        <v>178</v>
      </c>
      <c r="AB587" s="14">
        <f>ROUND(IF(Q587=1,INDEX(新属性投放!$E$14:$E$34,卡牌属性!R587),INDEX(新属性投放!$E$42:$E$62,卡牌属性!R587))*INDEX($G$5:$G$42,L587),2)</f>
        <v>396.18</v>
      </c>
      <c r="AC587" s="29" t="s">
        <v>179</v>
      </c>
      <c r="AD587" s="14">
        <f>ROUND(IF(Q587=1,INDEX(新属性投放!$F$14:$F$34,卡牌属性!R587),INDEX(新属性投放!$F$42:$F$62,卡牌属性!R587))*INDEX($G$5:$G$42,L587)*SQRT(INDEX($I$5:$I$42,L587)),2)</f>
        <v>3565.5</v>
      </c>
      <c r="AF587" s="14">
        <f t="shared" si="171"/>
        <v>7923</v>
      </c>
      <c r="AG587" s="14">
        <f t="shared" si="172"/>
        <v>3961</v>
      </c>
      <c r="AH587" s="14">
        <f t="shared" si="173"/>
        <v>35655</v>
      </c>
      <c r="AJ587" s="14">
        <f t="shared" si="162"/>
        <v>33244</v>
      </c>
      <c r="AK587" s="14">
        <f t="shared" si="163"/>
        <v>16618</v>
      </c>
      <c r="AL587" s="14">
        <f t="shared" si="164"/>
        <v>149550</v>
      </c>
    </row>
    <row r="588" spans="11:38" ht="16.5" x14ac:dyDescent="0.2">
      <c r="K588" s="13">
        <v>585</v>
      </c>
      <c r="L588" s="13">
        <f t="shared" si="165"/>
        <v>28</v>
      </c>
      <c r="M588" s="13">
        <f t="shared" si="166"/>
        <v>5</v>
      </c>
      <c r="N588" s="14">
        <f t="shared" si="167"/>
        <v>1102012</v>
      </c>
      <c r="O588" s="14" t="str">
        <f t="shared" si="168"/>
        <v>夏侯惇18突</v>
      </c>
      <c r="P588" s="29" t="s">
        <v>341</v>
      </c>
      <c r="Q588" s="14">
        <f t="shared" si="169"/>
        <v>2</v>
      </c>
      <c r="R588" s="14">
        <f t="shared" si="170"/>
        <v>18</v>
      </c>
      <c r="S588" s="14" t="s">
        <v>39</v>
      </c>
      <c r="T588" s="14">
        <f>ROUND(((IF(Q588=1,INDEX(新属性投放!$J$14:$J$34,卡牌属性!R588),INDEX(新属性投放!$J$42:$J$62,卡牌属性!R588)))*INDEX($G$5:$G$42,L588)+IF(Q588=1,INDEX(新属性投放!R$20:R$23,卡牌属性!M588-1),INDEX(新属性投放!R$25:R$28,卡牌属性!M588-1)))/SQRT(INDEX($I$5:$I$42,L588)),2)</f>
        <v>42446.85</v>
      </c>
      <c r="U588" s="29" t="s">
        <v>178</v>
      </c>
      <c r="V588" s="14">
        <f>ROUND((IF(Q588=1,INDEX(新属性投放!$K$14:$K$34,卡牌属性!R588),INDEX(新属性投放!$K$42:$K$62,卡牌属性!R588))+IF(Q588=1,INDEX(新属性投放!S$20:S$23,卡牌属性!M588-1),INDEX(新属性投放!S$25:S$28,卡牌属性!M588-1)))*INDEX($G$5:$G$42,L588),2)</f>
        <v>20919.68</v>
      </c>
      <c r="W588" s="29" t="s">
        <v>179</v>
      </c>
      <c r="X588" s="14">
        <f>ROUND((IF(Q588=1,INDEX(新属性投放!$L$14:$L$34,卡牌属性!R588),INDEX(新属性投放!$L$42:$L$62,卡牌属性!R588))*INDEX($G$5:$G$42,L588)+IF(Q588=1,INDEX(新属性投放!T$20:T$23,卡牌属性!M588-1),INDEX(新属性投放!T$25:T$28,卡牌属性!M588-1)))*SQRT(INDEX($I$5:$I$42,L588)),2)</f>
        <v>227788</v>
      </c>
      <c r="Y588" s="29" t="s">
        <v>177</v>
      </c>
      <c r="Z588" s="14">
        <f>ROUND(IF(Q588=1,INDEX(新属性投放!$D$14:$D$34,卡牌属性!R588),INDEX(新属性投放!$D$42:$D$62,卡牌属性!R588))*INDEX($G$5:$G$42,L588)/SQRT(INDEX($I$5:$I$42,L588)),2)</f>
        <v>1039.98</v>
      </c>
      <c r="AA588" s="29" t="s">
        <v>178</v>
      </c>
      <c r="AB588" s="14">
        <f>ROUND(IF(Q588=1,INDEX(新属性投放!$E$14:$E$34,卡牌属性!R588),INDEX(新属性投放!$E$42:$E$62,卡牌属性!R588))*INDEX($G$5:$G$42,L588),2)</f>
        <v>519.99</v>
      </c>
      <c r="AC588" s="29" t="s">
        <v>179</v>
      </c>
      <c r="AD588" s="14">
        <f>ROUND(IF(Q588=1,INDEX(新属性投放!$F$14:$F$34,卡牌属性!R588),INDEX(新属性投放!$F$42:$F$62,卡牌属性!R588))*INDEX($G$5:$G$42,L588)*SQRT(INDEX($I$5:$I$42,L588)),2)</f>
        <v>4678.5</v>
      </c>
      <c r="AF588" s="14">
        <f t="shared" si="171"/>
        <v>10399</v>
      </c>
      <c r="AG588" s="14">
        <f t="shared" si="172"/>
        <v>5199</v>
      </c>
      <c r="AH588" s="14">
        <f t="shared" si="173"/>
        <v>46785</v>
      </c>
      <c r="AJ588" s="14">
        <f t="shared" si="162"/>
        <v>43643</v>
      </c>
      <c r="AK588" s="14">
        <f t="shared" si="163"/>
        <v>21817</v>
      </c>
      <c r="AL588" s="14">
        <f t="shared" si="164"/>
        <v>196335</v>
      </c>
    </row>
    <row r="589" spans="11:38" ht="16.5" x14ac:dyDescent="0.2">
      <c r="K589" s="13">
        <v>586</v>
      </c>
      <c r="L589" s="13">
        <f t="shared" si="165"/>
        <v>28</v>
      </c>
      <c r="M589" s="13">
        <f t="shared" si="166"/>
        <v>5</v>
      </c>
      <c r="N589" s="14">
        <f t="shared" si="167"/>
        <v>1102012</v>
      </c>
      <c r="O589" s="14" t="str">
        <f t="shared" si="168"/>
        <v>夏侯惇19突</v>
      </c>
      <c r="P589" s="29" t="s">
        <v>341</v>
      </c>
      <c r="Q589" s="14">
        <f t="shared" si="169"/>
        <v>2</v>
      </c>
      <c r="R589" s="14">
        <f t="shared" si="170"/>
        <v>19</v>
      </c>
      <c r="S589" s="14" t="s">
        <v>39</v>
      </c>
      <c r="T589" s="14">
        <f>ROUND(((IF(Q589=1,INDEX(新属性投放!$J$14:$J$34,卡牌属性!R589),INDEX(新属性投放!$J$42:$J$62,卡牌属性!R589)))*INDEX($G$5:$G$42,L589)+IF(Q589=1,INDEX(新属性投放!R$20:R$23,卡牌属性!M589-1),INDEX(新属性投放!R$25:R$28,卡牌属性!M589-1)))/SQRT(INDEX($I$5:$I$42,L589)),2)</f>
        <v>55446.15</v>
      </c>
      <c r="U589" s="29" t="s">
        <v>178</v>
      </c>
      <c r="V589" s="14">
        <f>ROUND((IF(Q589=1,INDEX(新属性投放!$K$14:$K$34,卡牌属性!R589),INDEX(新属性投放!$K$42:$K$62,卡牌属性!R589))+IF(Q589=1,INDEX(新属性投放!S$20:S$23,卡牌属性!M589-1),INDEX(新属性投放!S$25:S$28,卡牌属性!M589-1)))*INDEX($G$5:$G$42,L589),2)</f>
        <v>27420.080000000002</v>
      </c>
      <c r="W589" s="29" t="s">
        <v>179</v>
      </c>
      <c r="X589" s="14">
        <f>ROUND((IF(Q589=1,INDEX(新属性投放!$L$14:$L$34,卡牌属性!R589),INDEX(新属性投放!$L$42:$L$62,卡牌属性!R589))*INDEX($G$5:$G$42,L589)+IF(Q589=1,INDEX(新属性投放!T$20:T$23,卡牌属性!M589-1),INDEX(新属性投放!T$25:T$28,卡牌属性!M589-1)))*SQRT(INDEX($I$5:$I$42,L589)),2)</f>
        <v>297968.5</v>
      </c>
      <c r="Y589" s="29" t="s">
        <v>177</v>
      </c>
      <c r="Z589" s="14">
        <f>ROUND(IF(Q589=1,INDEX(新属性投放!$D$14:$D$34,卡牌属性!R589),INDEX(新属性投放!$D$42:$D$62,卡牌属性!R589))*INDEX($G$5:$G$42,L589)/SQRT(INDEX($I$5:$I$42,L589)),2)</f>
        <v>1364.97</v>
      </c>
      <c r="AA589" s="29" t="s">
        <v>178</v>
      </c>
      <c r="AB589" s="14">
        <f>ROUND(IF(Q589=1,INDEX(新属性投放!$E$14:$E$34,卡牌属性!R589),INDEX(新属性投放!$E$42:$E$62,卡牌属性!R589))*INDEX($G$5:$G$42,L589),2)</f>
        <v>682.49</v>
      </c>
      <c r="AC589" s="29" t="s">
        <v>179</v>
      </c>
      <c r="AD589" s="14">
        <f>ROUND(IF(Q589=1,INDEX(新属性投放!$F$14:$F$34,卡牌属性!R589),INDEX(新属性投放!$F$42:$F$62,卡牌属性!R589))*INDEX($G$5:$G$42,L589)*SQRT(INDEX($I$5:$I$42,L589)),2)</f>
        <v>6141</v>
      </c>
      <c r="AF589" s="14">
        <f t="shared" si="171"/>
        <v>13649</v>
      </c>
      <c r="AG589" s="14">
        <f t="shared" si="172"/>
        <v>6824</v>
      </c>
      <c r="AH589" s="14">
        <f t="shared" si="173"/>
        <v>61410</v>
      </c>
      <c r="AJ589" s="14">
        <f t="shared" si="162"/>
        <v>57292</v>
      </c>
      <c r="AK589" s="14">
        <f t="shared" si="163"/>
        <v>28641</v>
      </c>
      <c r="AL589" s="14">
        <f t="shared" si="164"/>
        <v>257745</v>
      </c>
    </row>
    <row r="590" spans="11:38" ht="16.5" x14ac:dyDescent="0.2">
      <c r="K590" s="13">
        <v>587</v>
      </c>
      <c r="L590" s="13">
        <f t="shared" si="165"/>
        <v>28</v>
      </c>
      <c r="M590" s="13">
        <f t="shared" si="166"/>
        <v>5</v>
      </c>
      <c r="N590" s="14">
        <f t="shared" si="167"/>
        <v>1102012</v>
      </c>
      <c r="O590" s="14" t="str">
        <f t="shared" si="168"/>
        <v>夏侯惇20突</v>
      </c>
      <c r="P590" s="29" t="s">
        <v>341</v>
      </c>
      <c r="Q590" s="14">
        <f t="shared" si="169"/>
        <v>2</v>
      </c>
      <c r="R590" s="14">
        <f t="shared" si="170"/>
        <v>20</v>
      </c>
      <c r="S590" s="14" t="s">
        <v>39</v>
      </c>
      <c r="T590" s="14">
        <f>ROUND(((IF(Q590=1,INDEX(新属性投放!$J$14:$J$34,卡牌属性!R590),INDEX(新属性投放!$J$42:$J$62,卡牌属性!R590)))*INDEX($G$5:$G$42,L590)+IF(Q590=1,INDEX(新属性投放!R$20:R$23,卡牌属性!M590-1),INDEX(新属性投放!R$25:R$28,卡牌属性!M590-1)))/SQRT(INDEX($I$5:$I$42,L590)),2)</f>
        <v>72508.350000000006</v>
      </c>
      <c r="U590" s="29" t="s">
        <v>178</v>
      </c>
      <c r="V590" s="14">
        <f>ROUND((IF(Q590=1,INDEX(新属性投放!$K$14:$K$34,卡牌属性!R590),INDEX(新属性投放!$K$42:$K$62,卡牌属性!R590))+IF(Q590=1,INDEX(新属性投放!S$20:S$23,卡牌属性!M590-1),INDEX(新属性投放!S$25:S$28,卡牌属性!M590-1)))*INDEX($G$5:$G$42,L590),2)</f>
        <v>35950.43</v>
      </c>
      <c r="W590" s="29" t="s">
        <v>179</v>
      </c>
      <c r="X590" s="14">
        <f>ROUND((IF(Q590=1,INDEX(新属性投放!$L$14:$L$34,卡牌属性!R590),INDEX(新属性投放!$L$42:$L$62,卡牌属性!R590))*INDEX($G$5:$G$42,L590)+IF(Q590=1,INDEX(新属性投放!T$20:T$23,卡牌属性!M590-1),INDEX(新属性投放!T$25:T$28,卡牌属性!M590-1)))*SQRT(INDEX($I$5:$I$42,L590)),2)</f>
        <v>390091</v>
      </c>
      <c r="Y590" s="29" t="s">
        <v>177</v>
      </c>
      <c r="Z590" s="14">
        <f>ROUND(IF(Q590=1,INDEX(新属性投放!$D$14:$D$34,卡牌属性!R590),INDEX(新属性投放!$D$42:$D$62,卡牌属性!R590))*INDEX($G$5:$G$42,L590)/SQRT(INDEX($I$5:$I$42,L590)),2)</f>
        <v>1791.53</v>
      </c>
      <c r="AA590" s="29" t="s">
        <v>178</v>
      </c>
      <c r="AB590" s="14">
        <f>ROUND(IF(Q590=1,INDEX(新属性投放!$E$14:$E$34,卡牌属性!R590),INDEX(新属性投放!$E$42:$E$62,卡牌属性!R590))*INDEX($G$5:$G$42,L590),2)</f>
        <v>895.76</v>
      </c>
      <c r="AC590" s="29" t="s">
        <v>179</v>
      </c>
      <c r="AD590" s="14">
        <f>ROUND(IF(Q590=1,INDEX(新属性投放!$F$14:$F$34,卡牌属性!R590),INDEX(新属性投放!$F$42:$F$62,卡牌属性!R590))*INDEX($G$5:$G$42,L590)*SQRT(INDEX($I$5:$I$42,L590)),2)</f>
        <v>8061</v>
      </c>
      <c r="AF590" s="14">
        <f t="shared" si="171"/>
        <v>17915</v>
      </c>
      <c r="AG590" s="14">
        <f t="shared" si="172"/>
        <v>8957</v>
      </c>
      <c r="AH590" s="14">
        <f t="shared" si="173"/>
        <v>80610</v>
      </c>
      <c r="AJ590" s="14">
        <f t="shared" si="162"/>
        <v>75207</v>
      </c>
      <c r="AK590" s="14">
        <f t="shared" si="163"/>
        <v>37598</v>
      </c>
      <c r="AL590" s="14">
        <f t="shared" si="164"/>
        <v>338355</v>
      </c>
    </row>
    <row r="591" spans="11:38" ht="16.5" x14ac:dyDescent="0.2">
      <c r="K591" s="13">
        <v>588</v>
      </c>
      <c r="L591" s="13">
        <f t="shared" si="165"/>
        <v>28</v>
      </c>
      <c r="M591" s="13">
        <f t="shared" si="166"/>
        <v>5</v>
      </c>
      <c r="N591" s="14">
        <f t="shared" si="167"/>
        <v>1102012</v>
      </c>
      <c r="O591" s="14" t="str">
        <f t="shared" si="168"/>
        <v>夏侯惇21突</v>
      </c>
      <c r="P591" s="29" t="s">
        <v>341</v>
      </c>
      <c r="Q591" s="14">
        <f t="shared" si="169"/>
        <v>2</v>
      </c>
      <c r="R591" s="14">
        <f t="shared" si="170"/>
        <v>21</v>
      </c>
      <c r="S591" s="14" t="s">
        <v>39</v>
      </c>
      <c r="T591" s="14">
        <f>ROUND(((IF(Q591=1,INDEX(新属性投放!$J$14:$J$34,卡牌属性!R591),INDEX(新属性投放!$J$42:$J$62,卡牌属性!R591)))*INDEX($G$5:$G$42,L591)+IF(Q591=1,INDEX(新属性投放!R$20:R$23,卡牌属性!M591-1),INDEX(新属性投放!R$25:R$28,卡牌属性!M591-1)))/SQRT(INDEX($I$5:$I$42,L591)),2)</f>
        <v>94902.6</v>
      </c>
      <c r="U591" s="29" t="s">
        <v>178</v>
      </c>
      <c r="V591" s="14">
        <f>ROUND((IF(Q591=1,INDEX(新属性投放!$K$14:$K$34,卡牌属性!R591),INDEX(新属性投放!$K$42:$K$62,卡牌属性!R591))+IF(Q591=1,INDEX(新属性投放!S$20:S$23,卡牌属性!M591-1),INDEX(新属性投放!S$25:S$28,卡牌属性!M591-1)))*INDEX($G$5:$G$42,L591),2)</f>
        <v>47147.55</v>
      </c>
      <c r="W591" s="29" t="s">
        <v>179</v>
      </c>
      <c r="X591" s="14">
        <f>ROUND((IF(Q591=1,INDEX(新属性投放!$L$14:$L$34,卡牌属性!R591),INDEX(新属性投放!$L$42:$L$62,卡牌属性!R591))*INDEX($G$5:$G$42,L591)+IF(Q591=1,INDEX(新属性投放!T$20:T$23,卡牌属性!M591-1),INDEX(新属性投放!T$25:T$28,卡牌属性!M591-1)))*SQRT(INDEX($I$5:$I$42,L591)),2)</f>
        <v>511012</v>
      </c>
      <c r="Y591" s="29" t="s">
        <v>177</v>
      </c>
      <c r="Z591" s="14">
        <f>ROUND(IF(Q591=1,INDEX(新属性投放!$D$14:$D$34,卡牌属性!R591),INDEX(新属性投放!$D$42:$D$62,卡牌属性!R591))*INDEX($G$5:$G$42,L591)/SQRT(INDEX($I$5:$I$42,L591)),2)</f>
        <v>2351.39</v>
      </c>
      <c r="AA591" s="29" t="s">
        <v>178</v>
      </c>
      <c r="AB591" s="14">
        <f>ROUND(IF(Q591=1,INDEX(新属性投放!$E$14:$E$34,卡牌属性!R591),INDEX(新属性投放!$E$42:$E$62,卡牌属性!R591))*INDEX($G$5:$G$42,L591),2)</f>
        <v>1175.69</v>
      </c>
      <c r="AC591" s="29" t="s">
        <v>179</v>
      </c>
      <c r="AD591" s="14">
        <f>ROUND(IF(Q591=1,INDEX(新属性投放!$F$14:$F$34,卡牌属性!R591),INDEX(新属性投放!$F$42:$F$62,卡牌属性!R591))*INDEX($G$5:$G$42,L591)*SQRT(INDEX($I$5:$I$42,L591)),2)</f>
        <v>10581</v>
      </c>
      <c r="AF591" s="14">
        <f t="shared" si="171"/>
        <v>23513</v>
      </c>
      <c r="AG591" s="14">
        <f t="shared" si="172"/>
        <v>11756</v>
      </c>
      <c r="AH591" s="14">
        <f t="shared" si="173"/>
        <v>105810</v>
      </c>
      <c r="AJ591" s="14">
        <f t="shared" si="162"/>
        <v>98720</v>
      </c>
      <c r="AK591" s="14">
        <f t="shared" si="163"/>
        <v>49354</v>
      </c>
      <c r="AL591" s="14">
        <f t="shared" si="164"/>
        <v>444165</v>
      </c>
    </row>
    <row r="592" spans="11:38" ht="16.5" x14ac:dyDescent="0.2">
      <c r="K592" s="13">
        <v>589</v>
      </c>
      <c r="L592" s="13">
        <f t="shared" si="165"/>
        <v>29</v>
      </c>
      <c r="M592" s="13">
        <f t="shared" si="166"/>
        <v>2</v>
      </c>
      <c r="N592" s="14">
        <f t="shared" si="167"/>
        <v>1102013</v>
      </c>
      <c r="O592" s="14" t="str">
        <f t="shared" si="168"/>
        <v>塞伯罗斯1突</v>
      </c>
      <c r="P592" s="29" t="s">
        <v>341</v>
      </c>
      <c r="Q592" s="14">
        <f t="shared" si="169"/>
        <v>2</v>
      </c>
      <c r="R592" s="14">
        <f t="shared" si="170"/>
        <v>1</v>
      </c>
      <c r="S592" s="14" t="s">
        <v>39</v>
      </c>
      <c r="T592" s="14">
        <f>ROUND(((IF(Q592=1,INDEX(新属性投放!$J$14:$J$34,卡牌属性!R592),INDEX(新属性投放!$J$42:$J$62,卡牌属性!R592)))*INDEX($G$5:$G$42,L592)+IF(Q592=1,INDEX(新属性投放!R$20:R$23,卡牌属性!M592-1),INDEX(新属性投放!R$25:R$28,卡牌属性!M592-1)))/SQRT(INDEX($I$5:$I$42,L592)),2)</f>
        <v>350</v>
      </c>
      <c r="U592" s="29" t="s">
        <v>178</v>
      </c>
      <c r="V592" s="14">
        <f>ROUND((IF(Q592=1,INDEX(新属性投放!$K$14:$K$34,卡牌属性!R592),INDEX(新属性投放!$K$42:$K$62,卡牌属性!R592))+IF(Q592=1,INDEX(新属性投放!S$20:S$23,卡牌属性!M592-1),INDEX(新属性投放!S$25:S$28,卡牌属性!M592-1)))*INDEX($G$5:$G$42,L592),2)</f>
        <v>100</v>
      </c>
      <c r="W592" s="29" t="s">
        <v>179</v>
      </c>
      <c r="X592" s="14">
        <f>ROUND((IF(Q592=1,INDEX(新属性投放!$L$14:$L$34,卡牌属性!R592),INDEX(新属性投放!$L$42:$L$62,卡牌属性!R592))*INDEX($G$5:$G$42,L592)+IF(Q592=1,INDEX(新属性投放!T$20:T$23,卡牌属性!M592-1),INDEX(新属性投放!T$25:T$28,卡牌属性!M592-1)))*SQRT(INDEX($I$5:$I$42,L592)),2)</f>
        <v>750</v>
      </c>
      <c r="Y592" s="29" t="s">
        <v>177</v>
      </c>
      <c r="Z592" s="14">
        <f>ROUND(IF(Q592=1,INDEX(新属性投放!$D$14:$D$34,卡牌属性!R592),INDEX(新属性投放!$D$42:$D$62,卡牌属性!R592))*INDEX($G$5:$G$42,L592)/SQRT(INDEX($I$5:$I$42,L592)),2)</f>
        <v>10</v>
      </c>
      <c r="AA592" s="29" t="s">
        <v>178</v>
      </c>
      <c r="AB592" s="14">
        <f>ROUND(IF(Q592=1,INDEX(新属性投放!$E$14:$E$34,卡牌属性!R592),INDEX(新属性投放!$E$42:$E$62,卡牌属性!R592))*INDEX($G$5:$G$42,L592),2)</f>
        <v>5</v>
      </c>
      <c r="AC592" s="29" t="s">
        <v>179</v>
      </c>
      <c r="AD592" s="14">
        <f>ROUND(IF(Q592=1,INDEX(新属性投放!$F$14:$F$34,卡牌属性!R592),INDEX(新属性投放!$F$42:$F$62,卡牌属性!R592))*INDEX($G$5:$G$42,L592)*SQRT(INDEX($I$5:$I$42,L592)),2)</f>
        <v>45</v>
      </c>
      <c r="AF592" s="14">
        <f t="shared" si="171"/>
        <v>100</v>
      </c>
      <c r="AG592" s="14">
        <f t="shared" si="172"/>
        <v>50</v>
      </c>
      <c r="AH592" s="14">
        <f t="shared" si="173"/>
        <v>450</v>
      </c>
      <c r="AJ592" s="14">
        <f>AF592</f>
        <v>100</v>
      </c>
      <c r="AK592" s="14">
        <f>AG592</f>
        <v>50</v>
      </c>
      <c r="AL592" s="14">
        <f>AH592</f>
        <v>450</v>
      </c>
    </row>
    <row r="593" spans="11:38" ht="16.5" x14ac:dyDescent="0.2">
      <c r="K593" s="13">
        <v>590</v>
      </c>
      <c r="L593" s="13">
        <f t="shared" si="165"/>
        <v>29</v>
      </c>
      <c r="M593" s="13">
        <f t="shared" si="166"/>
        <v>2</v>
      </c>
      <c r="N593" s="14">
        <f t="shared" si="167"/>
        <v>1102013</v>
      </c>
      <c r="O593" s="14" t="str">
        <f t="shared" si="168"/>
        <v>塞伯罗斯2突</v>
      </c>
      <c r="P593" s="29" t="s">
        <v>341</v>
      </c>
      <c r="Q593" s="14">
        <f t="shared" si="169"/>
        <v>2</v>
      </c>
      <c r="R593" s="14">
        <f t="shared" si="170"/>
        <v>2</v>
      </c>
      <c r="S593" s="14" t="s">
        <v>39</v>
      </c>
      <c r="T593" s="14">
        <f>ROUND(((IF(Q593=1,INDEX(新属性投放!$J$14:$J$34,卡牌属性!R593),INDEX(新属性投放!$J$42:$J$62,卡牌属性!R593)))*INDEX($G$5:$G$42,L593)+IF(Q593=1,INDEX(新属性投放!R$20:R$23,卡牌属性!M593-1),INDEX(新属性投放!R$25:R$28,卡牌属性!M593-1)))/SQRT(INDEX($I$5:$I$42,L593)),2)</f>
        <v>465</v>
      </c>
      <c r="U593" s="29" t="s">
        <v>178</v>
      </c>
      <c r="V593" s="14">
        <f>ROUND((IF(Q593=1,INDEX(新属性投放!$K$14:$K$34,卡牌属性!R593),INDEX(新属性投放!$K$42:$K$62,卡牌属性!R593))+IF(Q593=1,INDEX(新属性投放!S$20:S$23,卡牌属性!M593-1),INDEX(新属性投放!S$25:S$28,卡牌属性!M593-1)))*INDEX($G$5:$G$42,L593),2)</f>
        <v>155</v>
      </c>
      <c r="W593" s="29" t="s">
        <v>179</v>
      </c>
      <c r="X593" s="14">
        <f>ROUND((IF(Q593=1,INDEX(新属性投放!$L$14:$L$34,卡牌属性!R593),INDEX(新属性投放!$L$42:$L$62,卡牌属性!R593))*INDEX($G$5:$G$42,L593)+IF(Q593=1,INDEX(新属性投放!T$20:T$23,卡牌属性!M593-1),INDEX(新属性投放!T$25:T$28,卡牌属性!M593-1)))*SQRT(INDEX($I$5:$I$42,L593)),2)</f>
        <v>1380</v>
      </c>
      <c r="Y593" s="29" t="s">
        <v>177</v>
      </c>
      <c r="Z593" s="14">
        <f>ROUND(IF(Q593=1,INDEX(新属性投放!$D$14:$D$34,卡牌属性!R593),INDEX(新属性投放!$D$42:$D$62,卡牌属性!R593))*INDEX($G$5:$G$42,L593)/SQRT(INDEX($I$5:$I$42,L593)),2)</f>
        <v>10</v>
      </c>
      <c r="AA593" s="29" t="s">
        <v>178</v>
      </c>
      <c r="AB593" s="14">
        <f>ROUND(IF(Q593=1,INDEX(新属性投放!$E$14:$E$34,卡牌属性!R593),INDEX(新属性投放!$E$42:$E$62,卡牌属性!R593))*INDEX($G$5:$G$42,L593),2)</f>
        <v>5</v>
      </c>
      <c r="AC593" s="29" t="s">
        <v>179</v>
      </c>
      <c r="AD593" s="14">
        <f>ROUND(IF(Q593=1,INDEX(新属性投放!$F$14:$F$34,卡牌属性!R593),INDEX(新属性投放!$F$42:$F$62,卡牌属性!R593))*INDEX($G$5:$G$42,L593)*SQRT(INDEX($I$5:$I$42,L593)),2)</f>
        <v>45</v>
      </c>
      <c r="AF593" s="14">
        <f t="shared" si="171"/>
        <v>100</v>
      </c>
      <c r="AG593" s="14">
        <f t="shared" si="172"/>
        <v>50</v>
      </c>
      <c r="AH593" s="14">
        <f t="shared" si="173"/>
        <v>450</v>
      </c>
      <c r="AJ593" s="14">
        <f t="shared" ref="AJ593:AJ612" si="174">AJ592+AF593</f>
        <v>200</v>
      </c>
      <c r="AK593" s="14">
        <f t="shared" ref="AK593:AK612" si="175">AK592+AG593</f>
        <v>100</v>
      </c>
      <c r="AL593" s="14">
        <f t="shared" ref="AL593:AL612" si="176">AL592+AH593</f>
        <v>900</v>
      </c>
    </row>
    <row r="594" spans="11:38" ht="16.5" x14ac:dyDescent="0.2">
      <c r="K594" s="13">
        <v>591</v>
      </c>
      <c r="L594" s="13">
        <f t="shared" si="165"/>
        <v>29</v>
      </c>
      <c r="M594" s="13">
        <f t="shared" si="166"/>
        <v>2</v>
      </c>
      <c r="N594" s="14">
        <f t="shared" si="167"/>
        <v>1102013</v>
      </c>
      <c r="O594" s="14" t="str">
        <f t="shared" si="168"/>
        <v>塞伯罗斯3突</v>
      </c>
      <c r="P594" s="29" t="s">
        <v>341</v>
      </c>
      <c r="Q594" s="14">
        <f t="shared" si="169"/>
        <v>2</v>
      </c>
      <c r="R594" s="14">
        <f t="shared" si="170"/>
        <v>3</v>
      </c>
      <c r="S594" s="14" t="s">
        <v>39</v>
      </c>
      <c r="T594" s="14">
        <f>ROUND(((IF(Q594=1,INDEX(新属性投放!$J$14:$J$34,卡牌属性!R594),INDEX(新属性投放!$J$42:$J$62,卡牌属性!R594)))*INDEX($G$5:$G$42,L594)+IF(Q594=1,INDEX(新属性投放!R$20:R$23,卡牌属性!M594-1),INDEX(新属性投放!R$25:R$28,卡牌属性!M594-1)))/SQRT(INDEX($I$5:$I$42,L594)),2)</f>
        <v>590</v>
      </c>
      <c r="U594" s="29" t="s">
        <v>178</v>
      </c>
      <c r="V594" s="14">
        <f>ROUND((IF(Q594=1,INDEX(新属性投放!$K$14:$K$34,卡牌属性!R594),INDEX(新属性投放!$K$42:$K$62,卡牌属性!R594))+IF(Q594=1,INDEX(新属性投放!S$20:S$23,卡牌属性!M594-1),INDEX(新属性投放!S$25:S$28,卡牌属性!M594-1)))*INDEX($G$5:$G$42,L594),2)</f>
        <v>218</v>
      </c>
      <c r="W594" s="29" t="s">
        <v>179</v>
      </c>
      <c r="X594" s="14">
        <f>ROUND((IF(Q594=1,INDEX(新属性投放!$L$14:$L$34,卡牌属性!R594),INDEX(新属性投放!$L$42:$L$62,卡牌属性!R594))*INDEX($G$5:$G$42,L594)+IF(Q594=1,INDEX(新属性投放!T$20:T$23,卡牌属性!M594-1),INDEX(新属性投放!T$25:T$28,卡牌属性!M594-1)))*SQRT(INDEX($I$5:$I$42,L594)),2)</f>
        <v>2055</v>
      </c>
      <c r="Y594" s="29" t="s">
        <v>177</v>
      </c>
      <c r="Z594" s="14">
        <f>ROUND(IF(Q594=1,INDEX(新属性投放!$D$14:$D$34,卡牌属性!R594),INDEX(新属性投放!$D$42:$D$62,卡牌属性!R594))*INDEX($G$5:$G$42,L594)/SQRT(INDEX($I$5:$I$42,L594)),2)</f>
        <v>15</v>
      </c>
      <c r="AA594" s="29" t="s">
        <v>178</v>
      </c>
      <c r="AB594" s="14">
        <f>ROUND(IF(Q594=1,INDEX(新属性投放!$E$14:$E$34,卡牌属性!R594),INDEX(新属性投放!$E$42:$E$62,卡牌属性!R594))*INDEX($G$5:$G$42,L594),2)</f>
        <v>7.5</v>
      </c>
      <c r="AC594" s="29" t="s">
        <v>179</v>
      </c>
      <c r="AD594" s="14">
        <f>ROUND(IF(Q594=1,INDEX(新属性投放!$F$14:$F$34,卡牌属性!R594),INDEX(新属性投放!$F$42:$F$62,卡牌属性!R594))*INDEX($G$5:$G$42,L594)*SQRT(INDEX($I$5:$I$42,L594)),2)</f>
        <v>67</v>
      </c>
      <c r="AF594" s="14">
        <f t="shared" si="171"/>
        <v>150</v>
      </c>
      <c r="AG594" s="14">
        <f t="shared" si="172"/>
        <v>75</v>
      </c>
      <c r="AH594" s="14">
        <f t="shared" si="173"/>
        <v>670</v>
      </c>
      <c r="AJ594" s="14">
        <f t="shared" si="174"/>
        <v>350</v>
      </c>
      <c r="AK594" s="14">
        <f t="shared" si="175"/>
        <v>175</v>
      </c>
      <c r="AL594" s="14">
        <f t="shared" si="176"/>
        <v>1570</v>
      </c>
    </row>
    <row r="595" spans="11:38" ht="16.5" x14ac:dyDescent="0.2">
      <c r="K595" s="13">
        <v>592</v>
      </c>
      <c r="L595" s="13">
        <f t="shared" si="165"/>
        <v>29</v>
      </c>
      <c r="M595" s="13">
        <f t="shared" si="166"/>
        <v>2</v>
      </c>
      <c r="N595" s="14">
        <f t="shared" si="167"/>
        <v>1102013</v>
      </c>
      <c r="O595" s="14" t="str">
        <f t="shared" si="168"/>
        <v>塞伯罗斯4突</v>
      </c>
      <c r="P595" s="29" t="s">
        <v>341</v>
      </c>
      <c r="Q595" s="14">
        <f t="shared" si="169"/>
        <v>2</v>
      </c>
      <c r="R595" s="14">
        <f t="shared" si="170"/>
        <v>4</v>
      </c>
      <c r="S595" s="14" t="s">
        <v>39</v>
      </c>
      <c r="T595" s="14">
        <f>ROUND(((IF(Q595=1,INDEX(新属性投放!$J$14:$J$34,卡牌属性!R595),INDEX(新属性投放!$J$42:$J$62,卡牌属性!R595)))*INDEX($G$5:$G$42,L595)+IF(Q595=1,INDEX(新属性投放!R$20:R$23,卡牌属性!M595-1),INDEX(新属性投放!R$25:R$28,卡牌属性!M595-1)))/SQRT(INDEX($I$5:$I$42,L595)),2)</f>
        <v>778</v>
      </c>
      <c r="U595" s="29" t="s">
        <v>178</v>
      </c>
      <c r="V595" s="14">
        <f>ROUND((IF(Q595=1,INDEX(新属性投放!$K$14:$K$34,卡牌属性!R595),INDEX(新属性投放!$K$42:$K$62,卡牌属性!R595))+IF(Q595=1,INDEX(新属性投放!S$20:S$23,卡牌属性!M595-1),INDEX(新属性投放!S$25:S$28,卡牌属性!M595-1)))*INDEX($G$5:$G$42,L595),2)</f>
        <v>312</v>
      </c>
      <c r="W595" s="29" t="s">
        <v>179</v>
      </c>
      <c r="X595" s="14">
        <f>ROUND((IF(Q595=1,INDEX(新属性投放!$L$14:$L$34,卡牌属性!R595),INDEX(新属性投放!$L$42:$L$62,卡牌属性!R595))*INDEX($G$5:$G$42,L595)+IF(Q595=1,INDEX(新属性投放!T$20:T$23,卡牌属性!M595-1),INDEX(新属性投放!T$25:T$28,卡牌属性!M595-1)))*SQRT(INDEX($I$5:$I$42,L595)),2)</f>
        <v>3067</v>
      </c>
      <c r="Y595" s="29" t="s">
        <v>177</v>
      </c>
      <c r="Z595" s="14">
        <f>ROUND(IF(Q595=1,INDEX(新属性投放!$D$14:$D$34,卡牌属性!R595),INDEX(新属性投放!$D$42:$D$62,卡牌属性!R595))*INDEX($G$5:$G$42,L595)/SQRT(INDEX($I$5:$I$42,L595)),2)</f>
        <v>20</v>
      </c>
      <c r="AA595" s="29" t="s">
        <v>178</v>
      </c>
      <c r="AB595" s="14">
        <f>ROUND(IF(Q595=1,INDEX(新属性投放!$E$14:$E$34,卡牌属性!R595),INDEX(新属性投放!$E$42:$E$62,卡牌属性!R595))*INDEX($G$5:$G$42,L595),2)</f>
        <v>10</v>
      </c>
      <c r="AC595" s="29" t="s">
        <v>179</v>
      </c>
      <c r="AD595" s="14">
        <f>ROUND(IF(Q595=1,INDEX(新属性投放!$F$14:$F$34,卡牌属性!R595),INDEX(新属性投放!$F$42:$F$62,卡牌属性!R595))*INDEX($G$5:$G$42,L595)*SQRT(INDEX($I$5:$I$42,L595)),2)</f>
        <v>90</v>
      </c>
      <c r="AF595" s="14">
        <f t="shared" si="171"/>
        <v>200</v>
      </c>
      <c r="AG595" s="14">
        <f t="shared" si="172"/>
        <v>100</v>
      </c>
      <c r="AH595" s="14">
        <f t="shared" si="173"/>
        <v>900</v>
      </c>
      <c r="AJ595" s="14">
        <f t="shared" si="174"/>
        <v>550</v>
      </c>
      <c r="AK595" s="14">
        <f t="shared" si="175"/>
        <v>275</v>
      </c>
      <c r="AL595" s="14">
        <f t="shared" si="176"/>
        <v>2470</v>
      </c>
    </row>
    <row r="596" spans="11:38" ht="16.5" x14ac:dyDescent="0.2">
      <c r="K596" s="13">
        <v>593</v>
      </c>
      <c r="L596" s="13">
        <f t="shared" si="165"/>
        <v>29</v>
      </c>
      <c r="M596" s="13">
        <f t="shared" si="166"/>
        <v>2</v>
      </c>
      <c r="N596" s="14">
        <f t="shared" si="167"/>
        <v>1102013</v>
      </c>
      <c r="O596" s="14" t="str">
        <f t="shared" si="168"/>
        <v>塞伯罗斯5突</v>
      </c>
      <c r="P596" s="29" t="s">
        <v>341</v>
      </c>
      <c r="Q596" s="14">
        <f t="shared" si="169"/>
        <v>2</v>
      </c>
      <c r="R596" s="14">
        <f t="shared" si="170"/>
        <v>5</v>
      </c>
      <c r="S596" s="14" t="s">
        <v>39</v>
      </c>
      <c r="T596" s="14">
        <f>ROUND(((IF(Q596=1,INDEX(新属性投放!$J$14:$J$34,卡牌属性!R596),INDEX(新属性投放!$J$42:$J$62,卡牌属性!R596)))*INDEX($G$5:$G$42,L596)+IF(Q596=1,INDEX(新属性投放!R$20:R$23,卡牌属性!M596-1),INDEX(新属性投放!R$25:R$28,卡牌属性!M596-1)))/SQRT(INDEX($I$5:$I$42,L596)),2)</f>
        <v>1028</v>
      </c>
      <c r="U596" s="29" t="s">
        <v>178</v>
      </c>
      <c r="V596" s="14">
        <f>ROUND((IF(Q596=1,INDEX(新属性投放!$K$14:$K$34,卡牌属性!R596),INDEX(新属性投放!$K$42:$K$62,卡牌属性!R596))+IF(Q596=1,INDEX(新属性投放!S$20:S$23,卡牌属性!M596-1),INDEX(新属性投放!S$25:S$28,卡牌属性!M596-1)))*INDEX($G$5:$G$42,L596),2)</f>
        <v>437</v>
      </c>
      <c r="W596" s="29" t="s">
        <v>179</v>
      </c>
      <c r="X596" s="14">
        <f>ROUND((IF(Q596=1,INDEX(新属性投放!$L$14:$L$34,卡牌属性!R596),INDEX(新属性投放!$L$42:$L$62,卡牌属性!R596))*INDEX($G$5:$G$42,L596)+IF(Q596=1,INDEX(新属性投放!T$20:T$23,卡牌属性!M596-1),INDEX(新属性投放!T$25:T$28,卡牌属性!M596-1)))*SQRT(INDEX($I$5:$I$42,L596)),2)</f>
        <v>4417</v>
      </c>
      <c r="Y596" s="29" t="s">
        <v>177</v>
      </c>
      <c r="Z596" s="14">
        <f>ROUND(IF(Q596=1,INDEX(新属性投放!$D$14:$D$34,卡牌属性!R596),INDEX(新属性投放!$D$42:$D$62,卡牌属性!R596))*INDEX($G$5:$G$42,L596)/SQRT(INDEX($I$5:$I$42,L596)),2)</f>
        <v>25</v>
      </c>
      <c r="AA596" s="29" t="s">
        <v>178</v>
      </c>
      <c r="AB596" s="14">
        <f>ROUND(IF(Q596=1,INDEX(新属性投放!$E$14:$E$34,卡牌属性!R596),INDEX(新属性投放!$E$42:$E$62,卡牌属性!R596))*INDEX($G$5:$G$42,L596),2)</f>
        <v>12.5</v>
      </c>
      <c r="AC596" s="29" t="s">
        <v>179</v>
      </c>
      <c r="AD596" s="14">
        <f>ROUND(IF(Q596=1,INDEX(新属性投放!$F$14:$F$34,卡牌属性!R596),INDEX(新属性投放!$F$42:$F$62,卡牌属性!R596))*INDEX($G$5:$G$42,L596)*SQRT(INDEX($I$5:$I$42,L596)),2)</f>
        <v>112</v>
      </c>
      <c r="AF596" s="14">
        <f t="shared" si="171"/>
        <v>250</v>
      </c>
      <c r="AG596" s="14">
        <f t="shared" si="172"/>
        <v>125</v>
      </c>
      <c r="AH596" s="14">
        <f t="shared" si="173"/>
        <v>1120</v>
      </c>
      <c r="AJ596" s="14">
        <f t="shared" si="174"/>
        <v>800</v>
      </c>
      <c r="AK596" s="14">
        <f t="shared" si="175"/>
        <v>400</v>
      </c>
      <c r="AL596" s="14">
        <f t="shared" si="176"/>
        <v>3590</v>
      </c>
    </row>
    <row r="597" spans="11:38" ht="16.5" x14ac:dyDescent="0.2">
      <c r="K597" s="13">
        <v>594</v>
      </c>
      <c r="L597" s="13">
        <f t="shared" si="165"/>
        <v>29</v>
      </c>
      <c r="M597" s="13">
        <f t="shared" si="166"/>
        <v>2</v>
      </c>
      <c r="N597" s="14">
        <f t="shared" si="167"/>
        <v>1102013</v>
      </c>
      <c r="O597" s="14" t="str">
        <f t="shared" si="168"/>
        <v>塞伯罗斯6突</v>
      </c>
      <c r="P597" s="29" t="s">
        <v>341</v>
      </c>
      <c r="Q597" s="14">
        <f t="shared" si="169"/>
        <v>2</v>
      </c>
      <c r="R597" s="14">
        <f t="shared" si="170"/>
        <v>6</v>
      </c>
      <c r="S597" s="14" t="s">
        <v>39</v>
      </c>
      <c r="T597" s="14">
        <f>ROUND(((IF(Q597=1,INDEX(新属性投放!$J$14:$J$34,卡牌属性!R597),INDEX(新属性投放!$J$42:$J$62,卡牌属性!R597)))*INDEX($G$5:$G$42,L597)+IF(Q597=1,INDEX(新属性投放!R$20:R$23,卡牌属性!M597-1),INDEX(新属性投放!R$25:R$28,卡牌属性!M597-1)))/SQRT(INDEX($I$5:$I$42,L597)),2)</f>
        <v>1341</v>
      </c>
      <c r="U597" s="29" t="s">
        <v>178</v>
      </c>
      <c r="V597" s="14">
        <f>ROUND((IF(Q597=1,INDEX(新属性投放!$K$14:$K$34,卡牌属性!R597),INDEX(新属性投放!$K$42:$K$62,卡牌属性!R597))+IF(Q597=1,INDEX(新属性投放!S$20:S$23,卡牌属性!M597-1),INDEX(新属性投放!S$25:S$28,卡牌属性!M597-1)))*INDEX($G$5:$G$42,L597),2)</f>
        <v>593</v>
      </c>
      <c r="W597" s="29" t="s">
        <v>179</v>
      </c>
      <c r="X597" s="14">
        <f>ROUND((IF(Q597=1,INDEX(新属性投放!$L$14:$L$34,卡牌属性!R597),INDEX(新属性投放!$L$42:$L$62,卡牌属性!R597))*INDEX($G$5:$G$42,L597)+IF(Q597=1,INDEX(新属性投放!T$20:T$23,卡牌属性!M597-1),INDEX(新属性投放!T$25:T$28,卡牌属性!M597-1)))*SQRT(INDEX($I$5:$I$42,L597)),2)</f>
        <v>6104</v>
      </c>
      <c r="Y597" s="29" t="s">
        <v>177</v>
      </c>
      <c r="Z597" s="14">
        <f>ROUND(IF(Q597=1,INDEX(新属性投放!$D$14:$D$34,卡牌属性!R597),INDEX(新属性投放!$D$42:$D$62,卡牌属性!R597))*INDEX($G$5:$G$42,L597)/SQRT(INDEX($I$5:$I$42,L597)),2)</f>
        <v>30</v>
      </c>
      <c r="AA597" s="29" t="s">
        <v>178</v>
      </c>
      <c r="AB597" s="14">
        <f>ROUND(IF(Q597=1,INDEX(新属性投放!$E$14:$E$34,卡牌属性!R597),INDEX(新属性投放!$E$42:$E$62,卡牌属性!R597))*INDEX($G$5:$G$42,L597),2)</f>
        <v>15</v>
      </c>
      <c r="AC597" s="29" t="s">
        <v>179</v>
      </c>
      <c r="AD597" s="14">
        <f>ROUND(IF(Q597=1,INDEX(新属性投放!$F$14:$F$34,卡牌属性!R597),INDEX(新属性投放!$F$42:$F$62,卡牌属性!R597))*INDEX($G$5:$G$42,L597)*SQRT(INDEX($I$5:$I$42,L597)),2)</f>
        <v>135</v>
      </c>
      <c r="AF597" s="14">
        <f t="shared" si="171"/>
        <v>300</v>
      </c>
      <c r="AG597" s="14">
        <f t="shared" si="172"/>
        <v>150</v>
      </c>
      <c r="AH597" s="14">
        <f t="shared" si="173"/>
        <v>1350</v>
      </c>
      <c r="AJ597" s="14">
        <f t="shared" si="174"/>
        <v>1100</v>
      </c>
      <c r="AK597" s="14">
        <f t="shared" si="175"/>
        <v>550</v>
      </c>
      <c r="AL597" s="14">
        <f t="shared" si="176"/>
        <v>4940</v>
      </c>
    </row>
    <row r="598" spans="11:38" ht="16.5" x14ac:dyDescent="0.2">
      <c r="K598" s="13">
        <v>595</v>
      </c>
      <c r="L598" s="13">
        <f t="shared" si="165"/>
        <v>29</v>
      </c>
      <c r="M598" s="13">
        <f t="shared" si="166"/>
        <v>2</v>
      </c>
      <c r="N598" s="14">
        <f t="shared" si="167"/>
        <v>1102013</v>
      </c>
      <c r="O598" s="14" t="str">
        <f t="shared" si="168"/>
        <v>塞伯罗斯7突</v>
      </c>
      <c r="P598" s="29" t="s">
        <v>341</v>
      </c>
      <c r="Q598" s="14">
        <f t="shared" si="169"/>
        <v>2</v>
      </c>
      <c r="R598" s="14">
        <f t="shared" si="170"/>
        <v>7</v>
      </c>
      <c r="S598" s="14" t="s">
        <v>39</v>
      </c>
      <c r="T598" s="14">
        <f>ROUND(((IF(Q598=1,INDEX(新属性投放!$J$14:$J$34,卡牌属性!R598),INDEX(新属性投放!$J$42:$J$62,卡牌属性!R598)))*INDEX($G$5:$G$42,L598)+IF(Q598=1,INDEX(新属性投放!R$20:R$23,卡牌属性!M598-1),INDEX(新属性投放!R$25:R$28,卡牌属性!M598-1)))/SQRT(INDEX($I$5:$I$42,L598)),2)</f>
        <v>1716</v>
      </c>
      <c r="U598" s="29" t="s">
        <v>178</v>
      </c>
      <c r="V598" s="14">
        <f>ROUND((IF(Q598=1,INDEX(新属性投放!$K$14:$K$34,卡牌属性!R598),INDEX(新属性投放!$K$42:$K$62,卡牌属性!R598))+IF(Q598=1,INDEX(新属性投放!S$20:S$23,卡牌属性!M598-1),INDEX(新属性投放!S$25:S$28,卡牌属性!M598-1)))*INDEX($G$5:$G$42,L598),2)</f>
        <v>781</v>
      </c>
      <c r="W598" s="29" t="s">
        <v>179</v>
      </c>
      <c r="X598" s="14">
        <f>ROUND((IF(Q598=1,INDEX(新属性投放!$L$14:$L$34,卡牌属性!R598),INDEX(新属性投放!$L$42:$L$62,卡牌属性!R598))*INDEX($G$5:$G$42,L598)+IF(Q598=1,INDEX(新属性投放!T$20:T$23,卡牌属性!M598-1),INDEX(新属性投放!T$25:T$28,卡牌属性!M598-1)))*SQRT(INDEX($I$5:$I$42,L598)),2)</f>
        <v>8129</v>
      </c>
      <c r="Y598" s="29" t="s">
        <v>177</v>
      </c>
      <c r="Z598" s="14">
        <f>ROUND(IF(Q598=1,INDEX(新属性投放!$D$14:$D$34,卡牌属性!R598),INDEX(新属性投放!$D$42:$D$62,卡牌属性!R598))*INDEX($G$5:$G$42,L598)/SQRT(INDEX($I$5:$I$42,L598)),2)</f>
        <v>35</v>
      </c>
      <c r="AA598" s="29" t="s">
        <v>178</v>
      </c>
      <c r="AB598" s="14">
        <f>ROUND(IF(Q598=1,INDEX(新属性投放!$E$14:$E$34,卡牌属性!R598),INDEX(新属性投放!$E$42:$E$62,卡牌属性!R598))*INDEX($G$5:$G$42,L598),2)</f>
        <v>17.5</v>
      </c>
      <c r="AC598" s="29" t="s">
        <v>179</v>
      </c>
      <c r="AD598" s="14">
        <f>ROUND(IF(Q598=1,INDEX(新属性投放!$F$14:$F$34,卡牌属性!R598),INDEX(新属性投放!$F$42:$F$62,卡牌属性!R598))*INDEX($G$5:$G$42,L598)*SQRT(INDEX($I$5:$I$42,L598)),2)</f>
        <v>157</v>
      </c>
      <c r="AF598" s="14">
        <f t="shared" si="171"/>
        <v>350</v>
      </c>
      <c r="AG598" s="14">
        <f t="shared" si="172"/>
        <v>175</v>
      </c>
      <c r="AH598" s="14">
        <f t="shared" si="173"/>
        <v>1570</v>
      </c>
      <c r="AJ598" s="14">
        <f t="shared" si="174"/>
        <v>1450</v>
      </c>
      <c r="AK598" s="14">
        <f t="shared" si="175"/>
        <v>725</v>
      </c>
      <c r="AL598" s="14">
        <f t="shared" si="176"/>
        <v>6510</v>
      </c>
    </row>
    <row r="599" spans="11:38" ht="16.5" x14ac:dyDescent="0.2">
      <c r="K599" s="13">
        <v>596</v>
      </c>
      <c r="L599" s="13">
        <f t="shared" si="165"/>
        <v>29</v>
      </c>
      <c r="M599" s="13">
        <f t="shared" si="166"/>
        <v>2</v>
      </c>
      <c r="N599" s="14">
        <f t="shared" si="167"/>
        <v>1102013</v>
      </c>
      <c r="O599" s="14" t="str">
        <f t="shared" si="168"/>
        <v>塞伯罗斯8突</v>
      </c>
      <c r="P599" s="29" t="s">
        <v>341</v>
      </c>
      <c r="Q599" s="14">
        <f t="shared" si="169"/>
        <v>2</v>
      </c>
      <c r="R599" s="14">
        <f t="shared" si="170"/>
        <v>8</v>
      </c>
      <c r="S599" s="14" t="s">
        <v>39</v>
      </c>
      <c r="T599" s="14">
        <f>ROUND(((IF(Q599=1,INDEX(新属性投放!$J$14:$J$34,卡牌属性!R599),INDEX(新属性投放!$J$42:$J$62,卡牌属性!R599)))*INDEX($G$5:$G$42,L599)+IF(Q599=1,INDEX(新属性投放!R$20:R$23,卡牌属性!M599-1),INDEX(新属性投放!R$25:R$28,卡牌属性!M599-1)))/SQRT(INDEX($I$5:$I$42,L599)),2)</f>
        <v>2154</v>
      </c>
      <c r="U599" s="29" t="s">
        <v>178</v>
      </c>
      <c r="V599" s="14">
        <f>ROUND((IF(Q599=1,INDEX(新属性投放!$K$14:$K$34,卡牌属性!R599),INDEX(新属性投放!$K$42:$K$62,卡牌属性!R599))+IF(Q599=1,INDEX(新属性投放!S$20:S$23,卡牌属性!M599-1),INDEX(新属性投放!S$25:S$28,卡牌属性!M599-1)))*INDEX($G$5:$G$42,L599),2)</f>
        <v>1000</v>
      </c>
      <c r="W599" s="29" t="s">
        <v>179</v>
      </c>
      <c r="X599" s="14">
        <f>ROUND((IF(Q599=1,INDEX(新属性投放!$L$14:$L$34,卡牌属性!R599),INDEX(新属性投放!$L$42:$L$62,卡牌属性!R599))*INDEX($G$5:$G$42,L599)+IF(Q599=1,INDEX(新属性投放!T$20:T$23,卡牌属性!M599-1),INDEX(新属性投放!T$25:T$28,卡牌属性!M599-1)))*SQRT(INDEX($I$5:$I$42,L599)),2)</f>
        <v>10491</v>
      </c>
      <c r="Y599" s="29" t="s">
        <v>177</v>
      </c>
      <c r="Z599" s="14">
        <f>ROUND(IF(Q599=1,INDEX(新属性投放!$D$14:$D$34,卡牌属性!R599),INDEX(新属性投放!$D$42:$D$62,卡牌属性!R599))*INDEX($G$5:$G$42,L599)/SQRT(INDEX($I$5:$I$42,L599)),2)</f>
        <v>45</v>
      </c>
      <c r="AA599" s="29" t="s">
        <v>178</v>
      </c>
      <c r="AB599" s="14">
        <f>ROUND(IF(Q599=1,INDEX(新属性投放!$E$14:$E$34,卡牌属性!R599),INDEX(新属性投放!$E$42:$E$62,卡牌属性!R599))*INDEX($G$5:$G$42,L599),2)</f>
        <v>22.5</v>
      </c>
      <c r="AC599" s="29" t="s">
        <v>179</v>
      </c>
      <c r="AD599" s="14">
        <f>ROUND(IF(Q599=1,INDEX(新属性投放!$F$14:$F$34,卡牌属性!R599),INDEX(新属性投放!$F$42:$F$62,卡牌属性!R599))*INDEX($G$5:$G$42,L599)*SQRT(INDEX($I$5:$I$42,L599)),2)</f>
        <v>202</v>
      </c>
      <c r="AF599" s="14">
        <f t="shared" si="171"/>
        <v>450</v>
      </c>
      <c r="AG599" s="14">
        <f t="shared" si="172"/>
        <v>225</v>
      </c>
      <c r="AH599" s="14">
        <f t="shared" si="173"/>
        <v>2020</v>
      </c>
      <c r="AJ599" s="14">
        <f t="shared" si="174"/>
        <v>1900</v>
      </c>
      <c r="AK599" s="14">
        <f t="shared" si="175"/>
        <v>950</v>
      </c>
      <c r="AL599" s="14">
        <f t="shared" si="176"/>
        <v>8530</v>
      </c>
    </row>
    <row r="600" spans="11:38" ht="16.5" x14ac:dyDescent="0.2">
      <c r="K600" s="13">
        <v>597</v>
      </c>
      <c r="L600" s="13">
        <f t="shared" si="165"/>
        <v>29</v>
      </c>
      <c r="M600" s="13">
        <f t="shared" si="166"/>
        <v>2</v>
      </c>
      <c r="N600" s="14">
        <f t="shared" si="167"/>
        <v>1102013</v>
      </c>
      <c r="O600" s="14" t="str">
        <f t="shared" si="168"/>
        <v>塞伯罗斯9突</v>
      </c>
      <c r="P600" s="29" t="s">
        <v>341</v>
      </c>
      <c r="Q600" s="14">
        <f t="shared" si="169"/>
        <v>2</v>
      </c>
      <c r="R600" s="14">
        <f t="shared" si="170"/>
        <v>9</v>
      </c>
      <c r="S600" s="14" t="s">
        <v>39</v>
      </c>
      <c r="T600" s="14">
        <f>ROUND(((IF(Q600=1,INDEX(新属性投放!$J$14:$J$34,卡牌属性!R600),INDEX(新属性投放!$J$42:$J$62,卡牌属性!R600)))*INDEX($G$5:$G$42,L600)+IF(Q600=1,INDEX(新属性投放!R$20:R$23,卡牌属性!M600-1),INDEX(新属性投放!R$25:R$28,卡牌属性!M600-1)))/SQRT(INDEX($I$5:$I$42,L600)),2)</f>
        <v>2717</v>
      </c>
      <c r="U600" s="29" t="s">
        <v>178</v>
      </c>
      <c r="V600" s="14">
        <f>ROUND((IF(Q600=1,INDEX(新属性投放!$K$14:$K$34,卡牌属性!R600),INDEX(新属性投放!$K$42:$K$62,卡牌属性!R600))+IF(Q600=1,INDEX(新属性投放!S$20:S$23,卡牌属性!M600-1),INDEX(新属性投放!S$25:S$28,卡牌属性!M600-1)))*INDEX($G$5:$G$42,L600),2)</f>
        <v>1281</v>
      </c>
      <c r="W600" s="29" t="s">
        <v>179</v>
      </c>
      <c r="X600" s="14">
        <f>ROUND((IF(Q600=1,INDEX(新属性投放!$L$14:$L$34,卡牌属性!R600),INDEX(新属性投放!$L$42:$L$62,卡牌属性!R600))*INDEX($G$5:$G$42,L600)+IF(Q600=1,INDEX(新属性投放!T$20:T$23,卡牌属性!M600-1),INDEX(新属性投放!T$25:T$28,卡牌属性!M600-1)))*SQRT(INDEX($I$5:$I$42,L600)),2)</f>
        <v>13528</v>
      </c>
      <c r="Y600" s="29" t="s">
        <v>177</v>
      </c>
      <c r="Z600" s="14">
        <f>ROUND(IF(Q600=1,INDEX(新属性投放!$D$14:$D$34,卡牌属性!R600),INDEX(新属性投放!$D$42:$D$62,卡牌属性!R600))*INDEX($G$5:$G$42,L600)/SQRT(INDEX($I$5:$I$42,L600)),2)</f>
        <v>60.05</v>
      </c>
      <c r="AA600" s="29" t="s">
        <v>178</v>
      </c>
      <c r="AB600" s="14">
        <f>ROUND(IF(Q600=1,INDEX(新属性投放!$E$14:$E$34,卡牌属性!R600),INDEX(新属性投放!$E$42:$E$62,卡牌属性!R600))*INDEX($G$5:$G$42,L600),2)</f>
        <v>30.03</v>
      </c>
      <c r="AC600" s="29" t="s">
        <v>179</v>
      </c>
      <c r="AD600" s="14">
        <f>ROUND(IF(Q600=1,INDEX(新属性投放!$F$14:$F$34,卡牌属性!R600),INDEX(新属性投放!$F$42:$F$62,卡牌属性!R600))*INDEX($G$5:$G$42,L600)*SQRT(INDEX($I$5:$I$42,L600)),2)</f>
        <v>270</v>
      </c>
      <c r="AF600" s="14">
        <f t="shared" si="171"/>
        <v>600</v>
      </c>
      <c r="AG600" s="14">
        <f t="shared" si="172"/>
        <v>300</v>
      </c>
      <c r="AH600" s="14">
        <f t="shared" si="173"/>
        <v>2700</v>
      </c>
      <c r="AJ600" s="14">
        <f t="shared" si="174"/>
        <v>2500</v>
      </c>
      <c r="AK600" s="14">
        <f t="shared" si="175"/>
        <v>1250</v>
      </c>
      <c r="AL600" s="14">
        <f t="shared" si="176"/>
        <v>11230</v>
      </c>
    </row>
    <row r="601" spans="11:38" ht="16.5" x14ac:dyDescent="0.2">
      <c r="K601" s="13">
        <v>598</v>
      </c>
      <c r="L601" s="13">
        <f t="shared" si="165"/>
        <v>29</v>
      </c>
      <c r="M601" s="13">
        <f t="shared" si="166"/>
        <v>2</v>
      </c>
      <c r="N601" s="14">
        <f t="shared" si="167"/>
        <v>1102013</v>
      </c>
      <c r="O601" s="14" t="str">
        <f t="shared" si="168"/>
        <v>塞伯罗斯10突</v>
      </c>
      <c r="P601" s="29" t="s">
        <v>341</v>
      </c>
      <c r="Q601" s="14">
        <f t="shared" si="169"/>
        <v>2</v>
      </c>
      <c r="R601" s="14">
        <f t="shared" si="170"/>
        <v>10</v>
      </c>
      <c r="S601" s="14" t="s">
        <v>39</v>
      </c>
      <c r="T601" s="14">
        <f>ROUND(((IF(Q601=1,INDEX(新属性投放!$J$14:$J$34,卡牌属性!R601),INDEX(新属性投放!$J$42:$J$62,卡牌属性!R601)))*INDEX($G$5:$G$42,L601)+IF(Q601=1,INDEX(新属性投放!R$20:R$23,卡牌属性!M601-1),INDEX(新属性投放!R$25:R$28,卡牌属性!M601-1)))/SQRT(INDEX($I$5:$I$42,L601)),2)</f>
        <v>3467.5</v>
      </c>
      <c r="U601" s="29" t="s">
        <v>178</v>
      </c>
      <c r="V601" s="14">
        <f>ROUND((IF(Q601=1,INDEX(新属性投放!$K$14:$K$34,卡牌属性!R601),INDEX(新属性投放!$K$42:$K$62,卡牌属性!R601))+IF(Q601=1,INDEX(新属性投放!S$20:S$23,卡牌属性!M601-1),INDEX(新属性投放!S$25:S$28,卡牌属性!M601-1)))*INDEX($G$5:$G$42,L601),2)</f>
        <v>1656.25</v>
      </c>
      <c r="W601" s="29" t="s">
        <v>179</v>
      </c>
      <c r="X601" s="14">
        <f>ROUND((IF(Q601=1,INDEX(新属性投放!$L$14:$L$34,卡牌属性!R601),INDEX(新属性投放!$L$42:$L$62,卡牌属性!R601))*INDEX($G$5:$G$42,L601)+IF(Q601=1,INDEX(新属性投放!T$20:T$23,卡牌属性!M601-1),INDEX(新属性投放!T$25:T$28,卡牌属性!M601-1)))*SQRT(INDEX($I$5:$I$42,L601)),2)</f>
        <v>17578</v>
      </c>
      <c r="Y601" s="29" t="s">
        <v>177</v>
      </c>
      <c r="Z601" s="14">
        <f>ROUND(IF(Q601=1,INDEX(新属性投放!$D$14:$D$34,卡牌属性!R601),INDEX(新属性投放!$D$42:$D$62,卡牌属性!R601))*INDEX($G$5:$G$42,L601)/SQRT(INDEX($I$5:$I$42,L601)),2)</f>
        <v>78.5</v>
      </c>
      <c r="AA601" s="29" t="s">
        <v>178</v>
      </c>
      <c r="AB601" s="14">
        <f>ROUND(IF(Q601=1,INDEX(新属性投放!$E$14:$E$34,卡牌属性!R601),INDEX(新属性投放!$E$42:$E$62,卡牌属性!R601))*INDEX($G$5:$G$42,L601),2)</f>
        <v>39.25</v>
      </c>
      <c r="AC601" s="29" t="s">
        <v>179</v>
      </c>
      <c r="AD601" s="14">
        <f>ROUND(IF(Q601=1,INDEX(新属性投放!$F$14:$F$34,卡牌属性!R601),INDEX(新属性投放!$F$42:$F$62,卡牌属性!R601))*INDEX($G$5:$G$42,L601)*SQRT(INDEX($I$5:$I$42,L601)),2)</f>
        <v>353</v>
      </c>
      <c r="AF601" s="14">
        <f t="shared" si="171"/>
        <v>785</v>
      </c>
      <c r="AG601" s="14">
        <f t="shared" si="172"/>
        <v>392</v>
      </c>
      <c r="AH601" s="14">
        <f t="shared" si="173"/>
        <v>3530</v>
      </c>
      <c r="AJ601" s="14">
        <f t="shared" si="174"/>
        <v>3285</v>
      </c>
      <c r="AK601" s="14">
        <f t="shared" si="175"/>
        <v>1642</v>
      </c>
      <c r="AL601" s="14">
        <f t="shared" si="176"/>
        <v>14760</v>
      </c>
    </row>
    <row r="602" spans="11:38" ht="16.5" x14ac:dyDescent="0.2">
      <c r="K602" s="13">
        <v>599</v>
      </c>
      <c r="L602" s="13">
        <f t="shared" si="165"/>
        <v>29</v>
      </c>
      <c r="M602" s="13">
        <f t="shared" si="166"/>
        <v>2</v>
      </c>
      <c r="N602" s="14">
        <f t="shared" si="167"/>
        <v>1102013</v>
      </c>
      <c r="O602" s="14" t="str">
        <f t="shared" si="168"/>
        <v>塞伯罗斯11突</v>
      </c>
      <c r="P602" s="29" t="s">
        <v>341</v>
      </c>
      <c r="Q602" s="14">
        <f t="shared" si="169"/>
        <v>2</v>
      </c>
      <c r="R602" s="14">
        <f t="shared" si="170"/>
        <v>11</v>
      </c>
      <c r="S602" s="14" t="s">
        <v>39</v>
      </c>
      <c r="T602" s="14">
        <f>ROUND(((IF(Q602=1,INDEX(新属性投放!$J$14:$J$34,卡牌属性!R602),INDEX(新属性投放!$J$42:$J$62,卡牌属性!R602)))*INDEX($G$5:$G$42,L602)+IF(Q602=1,INDEX(新属性投放!R$20:R$23,卡牌属性!M602-1),INDEX(新属性投放!R$25:R$28,卡牌属性!M602-1)))/SQRT(INDEX($I$5:$I$42,L602)),2)</f>
        <v>4448.5</v>
      </c>
      <c r="U602" s="29" t="s">
        <v>178</v>
      </c>
      <c r="V602" s="14">
        <f>ROUND((IF(Q602=1,INDEX(新属性投放!$K$14:$K$34,卡牌属性!R602),INDEX(新属性投放!$K$42:$K$62,卡牌属性!R602))+IF(Q602=1,INDEX(新属性投放!S$20:S$23,卡牌属性!M602-1),INDEX(新属性投放!S$25:S$28,卡牌属性!M602-1)))*INDEX($G$5:$G$42,L602),2)</f>
        <v>2146.75</v>
      </c>
      <c r="W602" s="29" t="s">
        <v>179</v>
      </c>
      <c r="X602" s="14">
        <f>ROUND((IF(Q602=1,INDEX(新属性投放!$L$14:$L$34,卡牌属性!R602),INDEX(新属性投放!$L$42:$L$62,卡牌属性!R602))*INDEX($G$5:$G$42,L602)+IF(Q602=1,INDEX(新属性投放!T$20:T$23,卡牌属性!M602-1),INDEX(新属性投放!T$25:T$28,卡牌属性!M602-1)))*SQRT(INDEX($I$5:$I$42,L602)),2)</f>
        <v>22872</v>
      </c>
      <c r="Y602" s="29" t="s">
        <v>177</v>
      </c>
      <c r="Z602" s="14">
        <f>ROUND(IF(Q602=1,INDEX(新属性投放!$D$14:$D$34,卡牌属性!R602),INDEX(新属性投放!$D$42:$D$62,卡牌属性!R602))*INDEX($G$5:$G$42,L602)/SQRT(INDEX($I$5:$I$42,L602)),2)</f>
        <v>103.34</v>
      </c>
      <c r="AA602" s="29" t="s">
        <v>178</v>
      </c>
      <c r="AB602" s="14">
        <f>ROUND(IF(Q602=1,INDEX(新属性投放!$E$14:$E$34,卡牌属性!R602),INDEX(新属性投放!$E$42:$E$62,卡牌属性!R602))*INDEX($G$5:$G$42,L602),2)</f>
        <v>51.67</v>
      </c>
      <c r="AC602" s="29" t="s">
        <v>179</v>
      </c>
      <c r="AD602" s="14">
        <f>ROUND(IF(Q602=1,INDEX(新属性投放!$F$14:$F$34,卡牌属性!R602),INDEX(新属性投放!$F$42:$F$62,卡牌属性!R602))*INDEX($G$5:$G$42,L602)*SQRT(INDEX($I$5:$I$42,L602)),2)</f>
        <v>465</v>
      </c>
      <c r="AF602" s="14">
        <f t="shared" si="171"/>
        <v>1033</v>
      </c>
      <c r="AG602" s="14">
        <f t="shared" si="172"/>
        <v>516</v>
      </c>
      <c r="AH602" s="14">
        <f t="shared" si="173"/>
        <v>4650</v>
      </c>
      <c r="AJ602" s="14">
        <f t="shared" si="174"/>
        <v>4318</v>
      </c>
      <c r="AK602" s="14">
        <f t="shared" si="175"/>
        <v>2158</v>
      </c>
      <c r="AL602" s="14">
        <f t="shared" si="176"/>
        <v>19410</v>
      </c>
    </row>
    <row r="603" spans="11:38" ht="16.5" x14ac:dyDescent="0.2">
      <c r="K603" s="13">
        <v>600</v>
      </c>
      <c r="L603" s="13">
        <f t="shared" si="165"/>
        <v>29</v>
      </c>
      <c r="M603" s="13">
        <f t="shared" si="166"/>
        <v>2</v>
      </c>
      <c r="N603" s="14">
        <f t="shared" si="167"/>
        <v>1102013</v>
      </c>
      <c r="O603" s="14" t="str">
        <f t="shared" si="168"/>
        <v>塞伯罗斯12突</v>
      </c>
      <c r="P603" s="29" t="s">
        <v>341</v>
      </c>
      <c r="Q603" s="14">
        <f t="shared" si="169"/>
        <v>2</v>
      </c>
      <c r="R603" s="14">
        <f t="shared" si="170"/>
        <v>12</v>
      </c>
      <c r="S603" s="14" t="s">
        <v>39</v>
      </c>
      <c r="T603" s="14">
        <f>ROUND(((IF(Q603=1,INDEX(新属性投放!$J$14:$J$34,卡牌属性!R603),INDEX(新属性投放!$J$42:$J$62,卡牌属性!R603)))*INDEX($G$5:$G$42,L603)+IF(Q603=1,INDEX(新属性投放!R$20:R$23,卡牌属性!M603-1),INDEX(新属性投放!R$25:R$28,卡牌属性!M603-1)))/SQRT(INDEX($I$5:$I$42,L603)),2)</f>
        <v>5739.9</v>
      </c>
      <c r="U603" s="29" t="s">
        <v>178</v>
      </c>
      <c r="V603" s="14">
        <f>ROUND((IF(Q603=1,INDEX(新属性投放!$K$14:$K$34,卡牌属性!R603),INDEX(新属性投放!$K$42:$K$62,卡牌属性!R603))+IF(Q603=1,INDEX(新属性投放!S$20:S$23,卡牌属性!M603-1),INDEX(新属性投放!S$25:S$28,卡牌属性!M603-1)))*INDEX($G$5:$G$42,L603),2)</f>
        <v>2792.45</v>
      </c>
      <c r="W603" s="29" t="s">
        <v>179</v>
      </c>
      <c r="X603" s="14">
        <f>ROUND((IF(Q603=1,INDEX(新属性投放!$L$14:$L$34,卡牌属性!R603),INDEX(新属性投放!$L$42:$L$62,卡牌属性!R603))*INDEX($G$5:$G$42,L603)+IF(Q603=1,INDEX(新属性投放!T$20:T$23,卡牌属性!M603-1),INDEX(新属性投放!T$25:T$28,卡牌属性!M603-1)))*SQRT(INDEX($I$5:$I$42,L603)),2)</f>
        <v>29844</v>
      </c>
      <c r="Y603" s="29" t="s">
        <v>177</v>
      </c>
      <c r="Z603" s="14">
        <f>ROUND(IF(Q603=1,INDEX(新属性投放!$D$14:$D$34,卡牌属性!R603),INDEX(新属性投放!$D$42:$D$62,卡牌属性!R603))*INDEX($G$5:$G$42,L603)/SQRT(INDEX($I$5:$I$42,L603)),2)</f>
        <v>135.62</v>
      </c>
      <c r="AA603" s="29" t="s">
        <v>178</v>
      </c>
      <c r="AB603" s="14">
        <f>ROUND(IF(Q603=1,INDEX(新属性投放!$E$14:$E$34,卡牌属性!R603),INDEX(新属性投放!$E$42:$E$62,卡牌属性!R603))*INDEX($G$5:$G$42,L603),2)</f>
        <v>67.81</v>
      </c>
      <c r="AC603" s="29" t="s">
        <v>179</v>
      </c>
      <c r="AD603" s="14">
        <f>ROUND(IF(Q603=1,INDEX(新属性投放!$F$14:$F$34,卡牌属性!R603),INDEX(新属性投放!$F$42:$F$62,卡牌属性!R603))*INDEX($G$5:$G$42,L603)*SQRT(INDEX($I$5:$I$42,L603)),2)</f>
        <v>610</v>
      </c>
      <c r="AF603" s="14">
        <f t="shared" si="171"/>
        <v>1356</v>
      </c>
      <c r="AG603" s="14">
        <f t="shared" si="172"/>
        <v>678</v>
      </c>
      <c r="AH603" s="14">
        <f t="shared" si="173"/>
        <v>6100</v>
      </c>
      <c r="AJ603" s="14">
        <f t="shared" si="174"/>
        <v>5674</v>
      </c>
      <c r="AK603" s="14">
        <f t="shared" si="175"/>
        <v>2836</v>
      </c>
      <c r="AL603" s="14">
        <f t="shared" si="176"/>
        <v>25510</v>
      </c>
    </row>
    <row r="604" spans="11:38" ht="16.5" x14ac:dyDescent="0.2">
      <c r="K604" s="13">
        <v>601</v>
      </c>
      <c r="L604" s="13">
        <f t="shared" si="165"/>
        <v>29</v>
      </c>
      <c r="M604" s="13">
        <f t="shared" si="166"/>
        <v>2</v>
      </c>
      <c r="N604" s="14">
        <f t="shared" si="167"/>
        <v>1102013</v>
      </c>
      <c r="O604" s="14" t="str">
        <f t="shared" si="168"/>
        <v>塞伯罗斯13突</v>
      </c>
      <c r="P604" s="29" t="s">
        <v>341</v>
      </c>
      <c r="Q604" s="14">
        <f t="shared" si="169"/>
        <v>2</v>
      </c>
      <c r="R604" s="14">
        <f t="shared" si="170"/>
        <v>13</v>
      </c>
      <c r="S604" s="14" t="s">
        <v>39</v>
      </c>
      <c r="T604" s="14">
        <f>ROUND(((IF(Q604=1,INDEX(新属性投放!$J$14:$J$34,卡牌属性!R604),INDEX(新属性投放!$J$42:$J$62,卡牌属性!R604)))*INDEX($G$5:$G$42,L604)+IF(Q604=1,INDEX(新属性投放!R$20:R$23,卡牌属性!M604-1),INDEX(新属性投放!R$25:R$28,卡牌属性!M604-1)))/SQRT(INDEX($I$5:$I$42,L604)),2)</f>
        <v>7435.1</v>
      </c>
      <c r="U604" s="29" t="s">
        <v>178</v>
      </c>
      <c r="V604" s="14">
        <f>ROUND((IF(Q604=1,INDEX(新属性投放!$K$14:$K$34,卡牌属性!R604),INDEX(新属性投放!$K$42:$K$62,卡牌属性!R604))+IF(Q604=1,INDEX(新属性投放!S$20:S$23,卡牌属性!M604-1),INDEX(新属性投放!S$25:S$28,卡牌属性!M604-1)))*INDEX($G$5:$G$42,L604),2)</f>
        <v>3640.55</v>
      </c>
      <c r="W604" s="29" t="s">
        <v>179</v>
      </c>
      <c r="X604" s="14">
        <f>ROUND((IF(Q604=1,INDEX(新属性投放!$L$14:$L$34,卡牌属性!R604),INDEX(新属性投放!$L$42:$L$62,卡牌属性!R604))*INDEX($G$5:$G$42,L604)+IF(Q604=1,INDEX(新属性投放!T$20:T$23,卡牌属性!M604-1),INDEX(新属性投放!T$25:T$28,卡牌属性!M604-1)))*SQRT(INDEX($I$5:$I$42,L604)),2)</f>
        <v>38995</v>
      </c>
      <c r="Y604" s="29" t="s">
        <v>177</v>
      </c>
      <c r="Z604" s="14">
        <f>ROUND(IF(Q604=1,INDEX(新属性投放!$D$14:$D$34,卡牌属性!R604),INDEX(新属性投放!$D$42:$D$62,卡牌属性!R604))*INDEX($G$5:$G$42,L604)/SQRT(INDEX($I$5:$I$42,L604)),2)</f>
        <v>178</v>
      </c>
      <c r="AA604" s="29" t="s">
        <v>178</v>
      </c>
      <c r="AB604" s="14">
        <f>ROUND(IF(Q604=1,INDEX(新属性投放!$E$14:$E$34,卡牌属性!R604),INDEX(新属性投放!$E$42:$E$62,卡牌属性!R604))*INDEX($G$5:$G$42,L604),2)</f>
        <v>89</v>
      </c>
      <c r="AC604" s="29" t="s">
        <v>179</v>
      </c>
      <c r="AD604" s="14">
        <f>ROUND(IF(Q604=1,INDEX(新属性投放!$F$14:$F$34,卡牌属性!R604),INDEX(新属性投放!$F$42:$F$62,卡牌属性!R604))*INDEX($G$5:$G$42,L604)*SQRT(INDEX($I$5:$I$42,L604)),2)</f>
        <v>801</v>
      </c>
      <c r="AF604" s="14">
        <f t="shared" si="171"/>
        <v>1780</v>
      </c>
      <c r="AG604" s="14">
        <f t="shared" si="172"/>
        <v>890</v>
      </c>
      <c r="AH604" s="14">
        <f t="shared" si="173"/>
        <v>8010</v>
      </c>
      <c r="AJ604" s="14">
        <f t="shared" si="174"/>
        <v>7454</v>
      </c>
      <c r="AK604" s="14">
        <f t="shared" si="175"/>
        <v>3726</v>
      </c>
      <c r="AL604" s="14">
        <f t="shared" si="176"/>
        <v>33520</v>
      </c>
    </row>
    <row r="605" spans="11:38" ht="16.5" x14ac:dyDescent="0.2">
      <c r="K605" s="13">
        <v>602</v>
      </c>
      <c r="L605" s="13">
        <f t="shared" si="165"/>
        <v>29</v>
      </c>
      <c r="M605" s="13">
        <f t="shared" si="166"/>
        <v>2</v>
      </c>
      <c r="N605" s="14">
        <f t="shared" si="167"/>
        <v>1102013</v>
      </c>
      <c r="O605" s="14" t="str">
        <f t="shared" si="168"/>
        <v>塞伯罗斯14突</v>
      </c>
      <c r="P605" s="29" t="s">
        <v>341</v>
      </c>
      <c r="Q605" s="14">
        <f t="shared" si="169"/>
        <v>2</v>
      </c>
      <c r="R605" s="14">
        <f t="shared" si="170"/>
        <v>14</v>
      </c>
      <c r="S605" s="14" t="s">
        <v>39</v>
      </c>
      <c r="T605" s="14">
        <f>ROUND(((IF(Q605=1,INDEX(新属性投放!$J$14:$J$34,卡牌属性!R605),INDEX(新属性投放!$J$42:$J$62,卡牌属性!R605)))*INDEX($G$5:$G$42,L605)+IF(Q605=1,INDEX(新属性投放!R$20:R$23,卡牌属性!M605-1),INDEX(新属性投放!R$25:R$28,卡牌属性!M605-1)))/SQRT(INDEX($I$5:$I$42,L605)),2)</f>
        <v>9660.1</v>
      </c>
      <c r="U605" s="29" t="s">
        <v>178</v>
      </c>
      <c r="V605" s="14">
        <f>ROUND((IF(Q605=1,INDEX(新属性投放!$K$14:$K$34,卡牌属性!R605),INDEX(新属性投放!$K$42:$K$62,卡牌属性!R605))+IF(Q605=1,INDEX(新属性投放!S$20:S$23,卡牌属性!M605-1),INDEX(新属性投放!S$25:S$28,卡牌属性!M605-1)))*INDEX($G$5:$G$42,L605),2)</f>
        <v>4753.55</v>
      </c>
      <c r="W605" s="29" t="s">
        <v>179</v>
      </c>
      <c r="X605" s="14">
        <f>ROUND((IF(Q605=1,INDEX(新属性投放!$L$14:$L$34,卡牌属性!R605),INDEX(新属性投放!$L$42:$L$62,卡牌属性!R605))*INDEX($G$5:$G$42,L605)+IF(Q605=1,INDEX(新属性投放!T$20:T$23,卡牌属性!M605-1),INDEX(新属性投放!T$25:T$28,卡牌属性!M605-1)))*SQRT(INDEX($I$5:$I$42,L605)),2)</f>
        <v>51010</v>
      </c>
      <c r="Y605" s="29" t="s">
        <v>177</v>
      </c>
      <c r="Z605" s="14">
        <f>ROUND(IF(Q605=1,INDEX(新属性投放!$D$14:$D$34,卡牌属性!R605),INDEX(新属性投放!$D$42:$D$62,卡牌属性!R605))*INDEX($G$5:$G$42,L605)/SQRT(INDEX($I$5:$I$42,L605)),2)</f>
        <v>233.63</v>
      </c>
      <c r="AA605" s="29" t="s">
        <v>178</v>
      </c>
      <c r="AB605" s="14">
        <f>ROUND(IF(Q605=1,INDEX(新属性投放!$E$14:$E$34,卡牌属性!R605),INDEX(新属性投放!$E$42:$E$62,卡牌属性!R605))*INDEX($G$5:$G$42,L605),2)</f>
        <v>116.82</v>
      </c>
      <c r="AC605" s="29" t="s">
        <v>179</v>
      </c>
      <c r="AD605" s="14">
        <f>ROUND(IF(Q605=1,INDEX(新属性投放!$F$14:$F$34,卡牌属性!R605),INDEX(新属性投放!$F$42:$F$62,卡牌属性!R605))*INDEX($G$5:$G$42,L605)*SQRT(INDEX($I$5:$I$42,L605)),2)</f>
        <v>1051</v>
      </c>
      <c r="AF605" s="14">
        <f t="shared" si="171"/>
        <v>2336</v>
      </c>
      <c r="AG605" s="14">
        <f t="shared" si="172"/>
        <v>1168</v>
      </c>
      <c r="AH605" s="14">
        <f t="shared" si="173"/>
        <v>10510</v>
      </c>
      <c r="AJ605" s="14">
        <f t="shared" si="174"/>
        <v>9790</v>
      </c>
      <c r="AK605" s="14">
        <f t="shared" si="175"/>
        <v>4894</v>
      </c>
      <c r="AL605" s="14">
        <f t="shared" si="176"/>
        <v>44030</v>
      </c>
    </row>
    <row r="606" spans="11:38" ht="16.5" x14ac:dyDescent="0.2">
      <c r="K606" s="13">
        <v>603</v>
      </c>
      <c r="L606" s="13">
        <f t="shared" si="165"/>
        <v>29</v>
      </c>
      <c r="M606" s="13">
        <f t="shared" si="166"/>
        <v>2</v>
      </c>
      <c r="N606" s="14">
        <f t="shared" si="167"/>
        <v>1102013</v>
      </c>
      <c r="O606" s="14" t="str">
        <f t="shared" si="168"/>
        <v>塞伯罗斯15突</v>
      </c>
      <c r="P606" s="29" t="s">
        <v>341</v>
      </c>
      <c r="Q606" s="14">
        <f t="shared" si="169"/>
        <v>2</v>
      </c>
      <c r="R606" s="14">
        <f t="shared" si="170"/>
        <v>15</v>
      </c>
      <c r="S606" s="14" t="s">
        <v>39</v>
      </c>
      <c r="T606" s="14">
        <f>ROUND(((IF(Q606=1,INDEX(新属性投放!$J$14:$J$34,卡牌属性!R606),INDEX(新属性投放!$J$42:$J$62,卡牌属性!R606)))*INDEX($G$5:$G$42,L606)+IF(Q606=1,INDEX(新属性投放!R$20:R$23,卡牌属性!M606-1),INDEX(新属性投放!R$25:R$28,卡牌属性!M606-1)))/SQRT(INDEX($I$5:$I$42,L606)),2)</f>
        <v>12580.4</v>
      </c>
      <c r="U606" s="29" t="s">
        <v>178</v>
      </c>
      <c r="V606" s="14">
        <f>ROUND((IF(Q606=1,INDEX(新属性投放!$K$14:$K$34,卡牌属性!R606),INDEX(新属性投放!$K$42:$K$62,卡牌属性!R606))+IF(Q606=1,INDEX(新属性投放!S$20:S$23,卡牌属性!M606-1),INDEX(新属性投放!S$25:S$28,卡牌属性!M606-1)))*INDEX($G$5:$G$42,L606),2)</f>
        <v>6213.7</v>
      </c>
      <c r="W606" s="29" t="s">
        <v>179</v>
      </c>
      <c r="X606" s="14">
        <f>ROUND((IF(Q606=1,INDEX(新属性投放!$L$14:$L$34,卡牌属性!R606),INDEX(新属性投放!$L$42:$L$62,卡牌属性!R606))*INDEX($G$5:$G$42,L606)+IF(Q606=1,INDEX(新属性投放!T$20:T$23,卡牌属性!M606-1),INDEX(新属性投放!T$25:T$28,卡牌属性!M606-1)))*SQRT(INDEX($I$5:$I$42,L606)),2)</f>
        <v>66776</v>
      </c>
      <c r="Y606" s="29" t="s">
        <v>177</v>
      </c>
      <c r="Z606" s="14">
        <f>ROUND(IF(Q606=1,INDEX(新属性投放!$D$14:$D$34,卡牌属性!R606),INDEX(新属性投放!$D$42:$D$62,卡牌属性!R606))*INDEX($G$5:$G$42,L606)/SQRT(INDEX($I$5:$I$42,L606)),2)</f>
        <v>306.64</v>
      </c>
      <c r="AA606" s="29" t="s">
        <v>178</v>
      </c>
      <c r="AB606" s="14">
        <f>ROUND(IF(Q606=1,INDEX(新属性投放!$E$14:$E$34,卡牌属性!R606),INDEX(新属性投放!$E$42:$E$62,卡牌属性!R606))*INDEX($G$5:$G$42,L606),2)</f>
        <v>153.32</v>
      </c>
      <c r="AC606" s="29" t="s">
        <v>179</v>
      </c>
      <c r="AD606" s="14">
        <f>ROUND(IF(Q606=1,INDEX(新属性投放!$F$14:$F$34,卡牌属性!R606),INDEX(新属性投放!$F$42:$F$62,卡牌属性!R606))*INDEX($G$5:$G$42,L606)*SQRT(INDEX($I$5:$I$42,L606)),2)</f>
        <v>1379</v>
      </c>
      <c r="AF606" s="14">
        <f t="shared" si="171"/>
        <v>3066</v>
      </c>
      <c r="AG606" s="14">
        <f t="shared" si="172"/>
        <v>1533</v>
      </c>
      <c r="AH606" s="14">
        <f t="shared" si="173"/>
        <v>13790</v>
      </c>
      <c r="AJ606" s="14">
        <f t="shared" si="174"/>
        <v>12856</v>
      </c>
      <c r="AK606" s="14">
        <f t="shared" si="175"/>
        <v>6427</v>
      </c>
      <c r="AL606" s="14">
        <f t="shared" si="176"/>
        <v>57820</v>
      </c>
    </row>
    <row r="607" spans="11:38" ht="16.5" x14ac:dyDescent="0.2">
      <c r="K607" s="13">
        <v>604</v>
      </c>
      <c r="L607" s="13">
        <f t="shared" si="165"/>
        <v>29</v>
      </c>
      <c r="M607" s="13">
        <f t="shared" si="166"/>
        <v>2</v>
      </c>
      <c r="N607" s="14">
        <f t="shared" si="167"/>
        <v>1102013</v>
      </c>
      <c r="O607" s="14" t="str">
        <f t="shared" si="168"/>
        <v>塞伯罗斯16突</v>
      </c>
      <c r="P607" s="29" t="s">
        <v>341</v>
      </c>
      <c r="Q607" s="14">
        <f t="shared" si="169"/>
        <v>2</v>
      </c>
      <c r="R607" s="14">
        <f t="shared" si="170"/>
        <v>16</v>
      </c>
      <c r="S607" s="14" t="s">
        <v>39</v>
      </c>
      <c r="T607" s="14">
        <f>ROUND(((IF(Q607=1,INDEX(新属性投放!$J$14:$J$34,卡牌属性!R607),INDEX(新属性投放!$J$42:$J$62,卡牌属性!R607)))*INDEX($G$5:$G$42,L607)+IF(Q607=1,INDEX(新属性投放!R$20:R$23,卡牌属性!M607-1),INDEX(新属性投放!R$25:R$28,卡牌属性!M607-1)))/SQRT(INDEX($I$5:$I$42,L607)),2)</f>
        <v>16413.8</v>
      </c>
      <c r="U607" s="29" t="s">
        <v>178</v>
      </c>
      <c r="V607" s="14">
        <f>ROUND((IF(Q607=1,INDEX(新属性投放!$K$14:$K$34,卡牌属性!R607),INDEX(新属性投放!$K$42:$K$62,卡牌属性!R607))+IF(Q607=1,INDEX(新属性投放!S$20:S$23,卡牌属性!M607-1),INDEX(新属性投放!S$25:S$28,卡牌属性!M607-1)))*INDEX($G$5:$G$42,L607),2)</f>
        <v>8129.9</v>
      </c>
      <c r="W607" s="29" t="s">
        <v>179</v>
      </c>
      <c r="X607" s="14">
        <f>ROUND((IF(Q607=1,INDEX(新属性投放!$L$14:$L$34,卡牌属性!R607),INDEX(新属性投放!$L$42:$L$62,卡牌属性!R607))*INDEX($G$5:$G$42,L607)+IF(Q607=1,INDEX(新属性投放!T$20:T$23,卡牌属性!M607-1),INDEX(新属性投放!T$25:T$28,卡牌属性!M607-1)))*SQRT(INDEX($I$5:$I$42,L607)),2)</f>
        <v>87469</v>
      </c>
      <c r="Y607" s="29" t="s">
        <v>177</v>
      </c>
      <c r="Z607" s="14">
        <f>ROUND(IF(Q607=1,INDEX(新属性投放!$D$14:$D$34,卡牌属性!R607),INDEX(新属性投放!$D$42:$D$62,卡牌属性!R607))*INDEX($G$5:$G$42,L607)/SQRT(INDEX($I$5:$I$42,L607)),2)</f>
        <v>402.47</v>
      </c>
      <c r="AA607" s="29" t="s">
        <v>178</v>
      </c>
      <c r="AB607" s="14">
        <f>ROUND(IF(Q607=1,INDEX(新属性投放!$E$14:$E$34,卡牌属性!R607),INDEX(新属性投放!$E$42:$E$62,卡牌属性!R607))*INDEX($G$5:$G$42,L607),2)</f>
        <v>201.24</v>
      </c>
      <c r="AC607" s="29" t="s">
        <v>179</v>
      </c>
      <c r="AD607" s="14">
        <f>ROUND(IF(Q607=1,INDEX(新属性投放!$F$14:$F$34,卡牌属性!R607),INDEX(新属性投放!$F$42:$F$62,卡牌属性!R607))*INDEX($G$5:$G$42,L607)*SQRT(INDEX($I$5:$I$42,L607)),2)</f>
        <v>1811</v>
      </c>
      <c r="AF607" s="14">
        <f t="shared" si="171"/>
        <v>4024</v>
      </c>
      <c r="AG607" s="14">
        <f t="shared" si="172"/>
        <v>2012</v>
      </c>
      <c r="AH607" s="14">
        <f t="shared" si="173"/>
        <v>18110</v>
      </c>
      <c r="AJ607" s="14">
        <f t="shared" si="174"/>
        <v>16880</v>
      </c>
      <c r="AK607" s="14">
        <f t="shared" si="175"/>
        <v>8439</v>
      </c>
      <c r="AL607" s="14">
        <f t="shared" si="176"/>
        <v>75930</v>
      </c>
    </row>
    <row r="608" spans="11:38" ht="16.5" x14ac:dyDescent="0.2">
      <c r="K608" s="13">
        <v>605</v>
      </c>
      <c r="L608" s="13">
        <f t="shared" si="165"/>
        <v>29</v>
      </c>
      <c r="M608" s="13">
        <f t="shared" si="166"/>
        <v>2</v>
      </c>
      <c r="N608" s="14">
        <f t="shared" si="167"/>
        <v>1102013</v>
      </c>
      <c r="O608" s="14" t="str">
        <f t="shared" si="168"/>
        <v>塞伯罗斯17突</v>
      </c>
      <c r="P608" s="29" t="s">
        <v>341</v>
      </c>
      <c r="Q608" s="14">
        <f t="shared" si="169"/>
        <v>2</v>
      </c>
      <c r="R608" s="14">
        <f t="shared" si="170"/>
        <v>17</v>
      </c>
      <c r="S608" s="14" t="s">
        <v>39</v>
      </c>
      <c r="T608" s="14">
        <f>ROUND(((IF(Q608=1,INDEX(新属性投放!$J$14:$J$34,卡牌属性!R608),INDEX(新属性投放!$J$42:$J$62,卡牌属性!R608)))*INDEX($G$5:$G$42,L608)+IF(Q608=1,INDEX(新属性投放!R$20:R$23,卡牌属性!M608-1),INDEX(新属性投放!R$25:R$28,卡牌属性!M608-1)))/SQRT(INDEX($I$5:$I$42,L608)),2)</f>
        <v>21444.5</v>
      </c>
      <c r="U608" s="29" t="s">
        <v>178</v>
      </c>
      <c r="V608" s="14">
        <f>ROUND((IF(Q608=1,INDEX(新属性投放!$K$14:$K$34,卡牌属性!R608),INDEX(新属性投放!$K$42:$K$62,卡牌属性!R608))+IF(Q608=1,INDEX(新属性投放!S$20:S$23,卡牌属性!M608-1),INDEX(新属性投放!S$25:S$28,卡牌属性!M608-1)))*INDEX($G$5:$G$42,L608),2)</f>
        <v>10645.25</v>
      </c>
      <c r="W608" s="29" t="s">
        <v>179</v>
      </c>
      <c r="X608" s="14">
        <f>ROUND((IF(Q608=1,INDEX(新属性投放!$L$14:$L$34,卡牌属性!R608),INDEX(新属性投放!$L$42:$L$62,卡牌属性!R608))*INDEX($G$5:$G$42,L608)+IF(Q608=1,INDEX(新属性投放!T$20:T$23,卡牌属性!M608-1),INDEX(新属性投放!T$25:T$28,卡牌属性!M608-1)))*SQRT(INDEX($I$5:$I$42,L608)),2)</f>
        <v>114633</v>
      </c>
      <c r="Y608" s="29" t="s">
        <v>177</v>
      </c>
      <c r="Z608" s="14">
        <f>ROUND(IF(Q608=1,INDEX(新属性投放!$D$14:$D$34,卡牌属性!R608),INDEX(新属性投放!$D$42:$D$62,卡牌属性!R608))*INDEX($G$5:$G$42,L608)/SQRT(INDEX($I$5:$I$42,L608)),2)</f>
        <v>528.24</v>
      </c>
      <c r="AA608" s="29" t="s">
        <v>178</v>
      </c>
      <c r="AB608" s="14">
        <f>ROUND(IF(Q608=1,INDEX(新属性投放!$E$14:$E$34,卡牌属性!R608),INDEX(新属性投放!$E$42:$E$62,卡牌属性!R608))*INDEX($G$5:$G$42,L608),2)</f>
        <v>264.12</v>
      </c>
      <c r="AC608" s="29" t="s">
        <v>179</v>
      </c>
      <c r="AD608" s="14">
        <f>ROUND(IF(Q608=1,INDEX(新属性投放!$F$14:$F$34,卡牌属性!R608),INDEX(新属性投放!$F$42:$F$62,卡牌属性!R608))*INDEX($G$5:$G$42,L608)*SQRT(INDEX($I$5:$I$42,L608)),2)</f>
        <v>2377</v>
      </c>
      <c r="AF608" s="14">
        <f t="shared" si="171"/>
        <v>5282</v>
      </c>
      <c r="AG608" s="14">
        <f t="shared" si="172"/>
        <v>2641</v>
      </c>
      <c r="AH608" s="14">
        <f t="shared" si="173"/>
        <v>23770</v>
      </c>
      <c r="AJ608" s="14">
        <f t="shared" si="174"/>
        <v>22162</v>
      </c>
      <c r="AK608" s="14">
        <f t="shared" si="175"/>
        <v>11080</v>
      </c>
      <c r="AL608" s="14">
        <f t="shared" si="176"/>
        <v>99700</v>
      </c>
    </row>
    <row r="609" spans="11:38" ht="16.5" x14ac:dyDescent="0.2">
      <c r="K609" s="13">
        <v>606</v>
      </c>
      <c r="L609" s="13">
        <f t="shared" si="165"/>
        <v>29</v>
      </c>
      <c r="M609" s="13">
        <f t="shared" si="166"/>
        <v>2</v>
      </c>
      <c r="N609" s="14">
        <f t="shared" si="167"/>
        <v>1102013</v>
      </c>
      <c r="O609" s="14" t="str">
        <f t="shared" si="168"/>
        <v>塞伯罗斯18突</v>
      </c>
      <c r="P609" s="29" t="s">
        <v>341</v>
      </c>
      <c r="Q609" s="14">
        <f t="shared" si="169"/>
        <v>2</v>
      </c>
      <c r="R609" s="14">
        <f t="shared" si="170"/>
        <v>18</v>
      </c>
      <c r="S609" s="14" t="s">
        <v>39</v>
      </c>
      <c r="T609" s="14">
        <f>ROUND(((IF(Q609=1,INDEX(新属性投放!$J$14:$J$34,卡牌属性!R609),INDEX(新属性投放!$J$42:$J$62,卡牌属性!R609)))*INDEX($G$5:$G$42,L609)+IF(Q609=1,INDEX(新属性投放!R$20:R$23,卡牌属性!M609-1),INDEX(新属性投放!R$25:R$28,卡牌属性!M609-1)))/SQRT(INDEX($I$5:$I$42,L609)),2)</f>
        <v>28047.9</v>
      </c>
      <c r="U609" s="29" t="s">
        <v>178</v>
      </c>
      <c r="V609" s="14">
        <f>ROUND((IF(Q609=1,INDEX(新属性投放!$K$14:$K$34,卡牌属性!R609),INDEX(新属性投放!$K$42:$K$62,卡牌属性!R609))+IF(Q609=1,INDEX(新属性投放!S$20:S$23,卡牌属性!M609-1),INDEX(新属性投放!S$25:S$28,卡牌属性!M609-1)))*INDEX($G$5:$G$42,L609),2)</f>
        <v>13946.45</v>
      </c>
      <c r="W609" s="29" t="s">
        <v>179</v>
      </c>
      <c r="X609" s="14">
        <f>ROUND((IF(Q609=1,INDEX(新属性投放!$L$14:$L$34,卡牌属性!R609),INDEX(新属性投放!$L$42:$L$62,卡牌属性!R609))*INDEX($G$5:$G$42,L609)+IF(Q609=1,INDEX(新属性投放!T$20:T$23,卡牌属性!M609-1),INDEX(新属性投放!T$25:T$28,卡牌属性!M609-1)))*SQRT(INDEX($I$5:$I$42,L609)),2)</f>
        <v>150292</v>
      </c>
      <c r="Y609" s="29" t="s">
        <v>177</v>
      </c>
      <c r="Z609" s="14">
        <f>ROUND(IF(Q609=1,INDEX(新属性投放!$D$14:$D$34,卡牌属性!R609),INDEX(新属性投放!$D$42:$D$62,卡牌属性!R609))*INDEX($G$5:$G$42,L609)/SQRT(INDEX($I$5:$I$42,L609)),2)</f>
        <v>693.32</v>
      </c>
      <c r="AA609" s="29" t="s">
        <v>178</v>
      </c>
      <c r="AB609" s="14">
        <f>ROUND(IF(Q609=1,INDEX(新属性投放!$E$14:$E$34,卡牌属性!R609),INDEX(新属性投放!$E$42:$E$62,卡牌属性!R609))*INDEX($G$5:$G$42,L609),2)</f>
        <v>346.66</v>
      </c>
      <c r="AC609" s="29" t="s">
        <v>179</v>
      </c>
      <c r="AD609" s="14">
        <f>ROUND(IF(Q609=1,INDEX(新属性投放!$F$14:$F$34,卡牌属性!R609),INDEX(新属性投放!$F$42:$F$62,卡牌属性!R609))*INDEX($G$5:$G$42,L609)*SQRT(INDEX($I$5:$I$42,L609)),2)</f>
        <v>3119</v>
      </c>
      <c r="AF609" s="14">
        <f t="shared" si="171"/>
        <v>6933</v>
      </c>
      <c r="AG609" s="14">
        <f t="shared" si="172"/>
        <v>3466</v>
      </c>
      <c r="AH609" s="14">
        <f t="shared" si="173"/>
        <v>31190</v>
      </c>
      <c r="AJ609" s="14">
        <f t="shared" si="174"/>
        <v>29095</v>
      </c>
      <c r="AK609" s="14">
        <f t="shared" si="175"/>
        <v>14546</v>
      </c>
      <c r="AL609" s="14">
        <f t="shared" si="176"/>
        <v>130890</v>
      </c>
    </row>
    <row r="610" spans="11:38" ht="16.5" x14ac:dyDescent="0.2">
      <c r="K610" s="13">
        <v>607</v>
      </c>
      <c r="L610" s="13">
        <f t="shared" si="165"/>
        <v>29</v>
      </c>
      <c r="M610" s="13">
        <f t="shared" si="166"/>
        <v>2</v>
      </c>
      <c r="N610" s="14">
        <f t="shared" si="167"/>
        <v>1102013</v>
      </c>
      <c r="O610" s="14" t="str">
        <f t="shared" si="168"/>
        <v>塞伯罗斯19突</v>
      </c>
      <c r="P610" s="29" t="s">
        <v>341</v>
      </c>
      <c r="Q610" s="14">
        <f t="shared" si="169"/>
        <v>2</v>
      </c>
      <c r="R610" s="14">
        <f t="shared" si="170"/>
        <v>19</v>
      </c>
      <c r="S610" s="14" t="s">
        <v>39</v>
      </c>
      <c r="T610" s="14">
        <f>ROUND(((IF(Q610=1,INDEX(新属性投放!$J$14:$J$34,卡牌属性!R610),INDEX(新属性投放!$J$42:$J$62,卡牌属性!R610)))*INDEX($G$5:$G$42,L610)+IF(Q610=1,INDEX(新属性投放!R$20:R$23,卡牌属性!M610-1),INDEX(新属性投放!R$25:R$28,卡牌属性!M610-1)))/SQRT(INDEX($I$5:$I$42,L610)),2)</f>
        <v>36714.1</v>
      </c>
      <c r="U610" s="29" t="s">
        <v>178</v>
      </c>
      <c r="V610" s="14">
        <f>ROUND((IF(Q610=1,INDEX(新属性投放!$K$14:$K$34,卡牌属性!R610),INDEX(新属性投放!$K$42:$K$62,卡牌属性!R610))+IF(Q610=1,INDEX(新属性投放!S$20:S$23,卡牌属性!M610-1),INDEX(新属性投放!S$25:S$28,卡牌属性!M610-1)))*INDEX($G$5:$G$42,L610),2)</f>
        <v>18280.05</v>
      </c>
      <c r="W610" s="29" t="s">
        <v>179</v>
      </c>
      <c r="X610" s="14">
        <f>ROUND((IF(Q610=1,INDEX(新属性投放!$L$14:$L$34,卡牌属性!R610),INDEX(新属性投放!$L$42:$L$62,卡牌属性!R610))*INDEX($G$5:$G$42,L610)+IF(Q610=1,INDEX(新属性投放!T$20:T$23,卡牌属性!M610-1),INDEX(新属性投放!T$25:T$28,卡牌属性!M610-1)))*SQRT(INDEX($I$5:$I$42,L610)),2)</f>
        <v>197079</v>
      </c>
      <c r="Y610" s="29" t="s">
        <v>177</v>
      </c>
      <c r="Z610" s="14">
        <f>ROUND(IF(Q610=1,INDEX(新属性投放!$D$14:$D$34,卡牌属性!R610),INDEX(新属性投放!$D$42:$D$62,卡牌属性!R610))*INDEX($G$5:$G$42,L610)/SQRT(INDEX($I$5:$I$42,L610)),2)</f>
        <v>909.98</v>
      </c>
      <c r="AA610" s="29" t="s">
        <v>178</v>
      </c>
      <c r="AB610" s="14">
        <f>ROUND(IF(Q610=1,INDEX(新属性投放!$E$14:$E$34,卡牌属性!R610),INDEX(新属性投放!$E$42:$E$62,卡牌属性!R610))*INDEX($G$5:$G$42,L610),2)</f>
        <v>454.99</v>
      </c>
      <c r="AC610" s="29" t="s">
        <v>179</v>
      </c>
      <c r="AD610" s="14">
        <f>ROUND(IF(Q610=1,INDEX(新属性投放!$F$14:$F$34,卡牌属性!R610),INDEX(新属性投放!$F$42:$F$62,卡牌属性!R610))*INDEX($G$5:$G$42,L610)*SQRT(INDEX($I$5:$I$42,L610)),2)</f>
        <v>4094</v>
      </c>
      <c r="AF610" s="14">
        <f t="shared" si="171"/>
        <v>9099</v>
      </c>
      <c r="AG610" s="14">
        <f t="shared" si="172"/>
        <v>4549</v>
      </c>
      <c r="AH610" s="14">
        <f t="shared" si="173"/>
        <v>40940</v>
      </c>
      <c r="AJ610" s="14">
        <f t="shared" si="174"/>
        <v>38194</v>
      </c>
      <c r="AK610" s="14">
        <f t="shared" si="175"/>
        <v>19095</v>
      </c>
      <c r="AL610" s="14">
        <f t="shared" si="176"/>
        <v>171830</v>
      </c>
    </row>
    <row r="611" spans="11:38" ht="16.5" x14ac:dyDescent="0.2">
      <c r="K611" s="13">
        <v>608</v>
      </c>
      <c r="L611" s="13">
        <f t="shared" si="165"/>
        <v>29</v>
      </c>
      <c r="M611" s="13">
        <f t="shared" si="166"/>
        <v>2</v>
      </c>
      <c r="N611" s="14">
        <f t="shared" si="167"/>
        <v>1102013</v>
      </c>
      <c r="O611" s="14" t="str">
        <f t="shared" si="168"/>
        <v>塞伯罗斯20突</v>
      </c>
      <c r="P611" s="29" t="s">
        <v>341</v>
      </c>
      <c r="Q611" s="14">
        <f t="shared" si="169"/>
        <v>2</v>
      </c>
      <c r="R611" s="14">
        <f t="shared" si="170"/>
        <v>20</v>
      </c>
      <c r="S611" s="14" t="s">
        <v>39</v>
      </c>
      <c r="T611" s="14">
        <f>ROUND(((IF(Q611=1,INDEX(新属性投放!$J$14:$J$34,卡牌属性!R611),INDEX(新属性投放!$J$42:$J$62,卡牌属性!R611)))*INDEX($G$5:$G$42,L611)+IF(Q611=1,INDEX(新属性投放!R$20:R$23,卡牌属性!M611-1),INDEX(新属性投放!R$25:R$28,卡牌属性!M611-1)))/SQRT(INDEX($I$5:$I$42,L611)),2)</f>
        <v>48088.9</v>
      </c>
      <c r="U611" s="29" t="s">
        <v>178</v>
      </c>
      <c r="V611" s="14">
        <f>ROUND((IF(Q611=1,INDEX(新属性投放!$K$14:$K$34,卡牌属性!R611),INDEX(新属性投放!$K$42:$K$62,卡牌属性!R611))+IF(Q611=1,INDEX(新属性投放!S$20:S$23,卡牌属性!M611-1),INDEX(新属性投放!S$25:S$28,卡牌属性!M611-1)))*INDEX($G$5:$G$42,L611),2)</f>
        <v>23966.95</v>
      </c>
      <c r="W611" s="29" t="s">
        <v>179</v>
      </c>
      <c r="X611" s="14">
        <f>ROUND((IF(Q611=1,INDEX(新属性投放!$L$14:$L$34,卡牌属性!R611),INDEX(新属性投放!$L$42:$L$62,卡牌属性!R611))*INDEX($G$5:$G$42,L611)+IF(Q611=1,INDEX(新属性投放!T$20:T$23,卡牌属性!M611-1),INDEX(新属性投放!T$25:T$28,卡牌属性!M611-1)))*SQRT(INDEX($I$5:$I$42,L611)),2)</f>
        <v>258494</v>
      </c>
      <c r="Y611" s="29" t="s">
        <v>177</v>
      </c>
      <c r="Z611" s="14">
        <f>ROUND(IF(Q611=1,INDEX(新属性投放!$D$14:$D$34,卡牌属性!R611),INDEX(新属性投放!$D$42:$D$62,卡牌属性!R611))*INDEX($G$5:$G$42,L611)/SQRT(INDEX($I$5:$I$42,L611)),2)</f>
        <v>1194.3499999999999</v>
      </c>
      <c r="AA611" s="29" t="s">
        <v>178</v>
      </c>
      <c r="AB611" s="14">
        <f>ROUND(IF(Q611=1,INDEX(新属性投放!$E$14:$E$34,卡牌属性!R611),INDEX(新属性投放!$E$42:$E$62,卡牌属性!R611))*INDEX($G$5:$G$42,L611),2)</f>
        <v>597.17999999999995</v>
      </c>
      <c r="AC611" s="29" t="s">
        <v>179</v>
      </c>
      <c r="AD611" s="14">
        <f>ROUND(IF(Q611=1,INDEX(新属性投放!$F$14:$F$34,卡牌属性!R611),INDEX(新属性投放!$F$42:$F$62,卡牌属性!R611))*INDEX($G$5:$G$42,L611)*SQRT(INDEX($I$5:$I$42,L611)),2)</f>
        <v>5374</v>
      </c>
      <c r="AF611" s="14">
        <f t="shared" si="171"/>
        <v>11943</v>
      </c>
      <c r="AG611" s="14">
        <f t="shared" si="172"/>
        <v>5971</v>
      </c>
      <c r="AH611" s="14">
        <f t="shared" si="173"/>
        <v>53740</v>
      </c>
      <c r="AJ611" s="14">
        <f t="shared" si="174"/>
        <v>50137</v>
      </c>
      <c r="AK611" s="14">
        <f t="shared" si="175"/>
        <v>25066</v>
      </c>
      <c r="AL611" s="14">
        <f t="shared" si="176"/>
        <v>225570</v>
      </c>
    </row>
    <row r="612" spans="11:38" ht="16.5" x14ac:dyDescent="0.2">
      <c r="K612" s="13">
        <v>609</v>
      </c>
      <c r="L612" s="13">
        <f t="shared" si="165"/>
        <v>29</v>
      </c>
      <c r="M612" s="13">
        <f t="shared" si="166"/>
        <v>2</v>
      </c>
      <c r="N612" s="14">
        <f t="shared" si="167"/>
        <v>1102013</v>
      </c>
      <c r="O612" s="14" t="str">
        <f t="shared" si="168"/>
        <v>塞伯罗斯21突</v>
      </c>
      <c r="P612" s="29" t="s">
        <v>341</v>
      </c>
      <c r="Q612" s="14">
        <f t="shared" si="169"/>
        <v>2</v>
      </c>
      <c r="R612" s="14">
        <f t="shared" si="170"/>
        <v>21</v>
      </c>
      <c r="S612" s="14" t="s">
        <v>39</v>
      </c>
      <c r="T612" s="14">
        <f>ROUND(((IF(Q612=1,INDEX(新属性投放!$J$14:$J$34,卡牌属性!R612),INDEX(新属性投放!$J$42:$J$62,卡牌属性!R612)))*INDEX($G$5:$G$42,L612)+IF(Q612=1,INDEX(新属性投放!R$20:R$23,卡牌属性!M612-1),INDEX(新属性投放!R$25:R$28,卡牌属性!M612-1)))/SQRT(INDEX($I$5:$I$42,L612)),2)</f>
        <v>63018.400000000001</v>
      </c>
      <c r="U612" s="29" t="s">
        <v>178</v>
      </c>
      <c r="V612" s="14">
        <f>ROUND((IF(Q612=1,INDEX(新属性投放!$K$14:$K$34,卡牌属性!R612),INDEX(新属性投放!$K$42:$K$62,卡牌属性!R612))+IF(Q612=1,INDEX(新属性投放!S$20:S$23,卡牌属性!M612-1),INDEX(新属性投放!S$25:S$28,卡牌属性!M612-1)))*INDEX($G$5:$G$42,L612),2)</f>
        <v>31431.7</v>
      </c>
      <c r="W612" s="29" t="s">
        <v>179</v>
      </c>
      <c r="X612" s="14">
        <f>ROUND((IF(Q612=1,INDEX(新属性投放!$L$14:$L$34,卡牌属性!R612),INDEX(新属性投放!$L$42:$L$62,卡牌属性!R612))*INDEX($G$5:$G$42,L612)+IF(Q612=1,INDEX(新属性投放!T$20:T$23,卡牌属性!M612-1),INDEX(新属性投放!T$25:T$28,卡牌属性!M612-1)))*SQRT(INDEX($I$5:$I$42,L612)),2)</f>
        <v>339108</v>
      </c>
      <c r="Y612" s="29" t="s">
        <v>177</v>
      </c>
      <c r="Z612" s="14">
        <f>ROUND(IF(Q612=1,INDEX(新属性投放!$D$14:$D$34,卡牌属性!R612),INDEX(新属性投放!$D$42:$D$62,卡牌属性!R612))*INDEX($G$5:$G$42,L612)/SQRT(INDEX($I$5:$I$42,L612)),2)</f>
        <v>1567.59</v>
      </c>
      <c r="AA612" s="29" t="s">
        <v>178</v>
      </c>
      <c r="AB612" s="14">
        <f>ROUND(IF(Q612=1,INDEX(新属性投放!$E$14:$E$34,卡牌属性!R612),INDEX(新属性投放!$E$42:$E$62,卡牌属性!R612))*INDEX($G$5:$G$42,L612),2)</f>
        <v>783.8</v>
      </c>
      <c r="AC612" s="29" t="s">
        <v>179</v>
      </c>
      <c r="AD612" s="14">
        <f>ROUND(IF(Q612=1,INDEX(新属性投放!$F$14:$F$34,卡牌属性!R612),INDEX(新属性投放!$F$42:$F$62,卡牌属性!R612))*INDEX($G$5:$G$42,L612)*SQRT(INDEX($I$5:$I$42,L612)),2)</f>
        <v>7054</v>
      </c>
      <c r="AF612" s="14">
        <f t="shared" si="171"/>
        <v>15675</v>
      </c>
      <c r="AG612" s="14">
        <f t="shared" si="172"/>
        <v>7838</v>
      </c>
      <c r="AH612" s="14">
        <f t="shared" si="173"/>
        <v>70540</v>
      </c>
      <c r="AJ612" s="14">
        <f t="shared" si="174"/>
        <v>65812</v>
      </c>
      <c r="AK612" s="14">
        <f t="shared" si="175"/>
        <v>32904</v>
      </c>
      <c r="AL612" s="14">
        <f t="shared" si="176"/>
        <v>296110</v>
      </c>
    </row>
    <row r="613" spans="11:38" ht="16.5" x14ac:dyDescent="0.2">
      <c r="K613" s="13">
        <v>610</v>
      </c>
      <c r="L613" s="13">
        <f t="shared" si="165"/>
        <v>30</v>
      </c>
      <c r="M613" s="13">
        <f t="shared" si="166"/>
        <v>4</v>
      </c>
      <c r="N613" s="14">
        <f t="shared" si="167"/>
        <v>1102014</v>
      </c>
      <c r="O613" s="14" t="str">
        <f t="shared" si="168"/>
        <v>石灵明1突</v>
      </c>
      <c r="P613" s="29" t="s">
        <v>341</v>
      </c>
      <c r="Q613" s="14">
        <f t="shared" si="169"/>
        <v>2</v>
      </c>
      <c r="R613" s="14">
        <f t="shared" si="170"/>
        <v>1</v>
      </c>
      <c r="S613" s="14" t="s">
        <v>39</v>
      </c>
      <c r="T613" s="14">
        <f>ROUND(((IF(Q613=1,INDEX(新属性投放!$J$14:$J$34,卡牌属性!R613),INDEX(新属性投放!$J$42:$J$62,卡牌属性!R613)))*INDEX($G$5:$G$42,L613)+IF(Q613=1,INDEX(新属性投放!R$20:R$23,卡牌属性!M613-1),INDEX(新属性投放!R$25:R$28,卡牌属性!M613-1)))/SQRT(INDEX($I$5:$I$42,L613)),2)</f>
        <v>610</v>
      </c>
      <c r="U613" s="29" t="s">
        <v>178</v>
      </c>
      <c r="V613" s="14">
        <f>ROUND((IF(Q613=1,INDEX(新属性投放!$K$14:$K$34,卡牌属性!R613),INDEX(新属性投放!$K$42:$K$62,卡牌属性!R613))+IF(Q613=1,INDEX(新属性投放!S$20:S$23,卡牌属性!M613-1),INDEX(新属性投放!S$25:S$28,卡牌属性!M613-1)))*INDEX($G$5:$G$42,L613),2)</f>
        <v>130</v>
      </c>
      <c r="W613" s="29" t="s">
        <v>179</v>
      </c>
      <c r="X613" s="14">
        <f>ROUND((IF(Q613=1,INDEX(新属性投放!$L$14:$L$34,卡牌属性!R613),INDEX(新属性投放!$L$42:$L$62,卡牌属性!R613))*INDEX($G$5:$G$42,L613)+IF(Q613=1,INDEX(新属性投放!T$20:T$23,卡牌属性!M613-1),INDEX(新属性投放!T$25:T$28,卡牌属性!M613-1)))*SQRT(INDEX($I$5:$I$42,L613)),2)</f>
        <v>1885</v>
      </c>
      <c r="Y613" s="29" t="s">
        <v>177</v>
      </c>
      <c r="Z613" s="14">
        <f>ROUND(IF(Q613=1,INDEX(新属性投放!$D$14:$D$34,卡牌属性!R613),INDEX(新属性投放!$D$42:$D$62,卡牌属性!R613))*INDEX($G$5:$G$42,L613)/SQRT(INDEX($I$5:$I$42,L613)),2)</f>
        <v>13</v>
      </c>
      <c r="AA613" s="29" t="s">
        <v>178</v>
      </c>
      <c r="AB613" s="14">
        <f>ROUND(IF(Q613=1,INDEX(新属性投放!$E$14:$E$34,卡牌属性!R613),INDEX(新属性投放!$E$42:$E$62,卡牌属性!R613))*INDEX($G$5:$G$42,L613),2)</f>
        <v>6.5</v>
      </c>
      <c r="AC613" s="29" t="s">
        <v>179</v>
      </c>
      <c r="AD613" s="14">
        <f>ROUND(IF(Q613=1,INDEX(新属性投放!$F$14:$F$34,卡牌属性!R613),INDEX(新属性投放!$F$42:$F$62,卡牌属性!R613))*INDEX($G$5:$G$42,L613)*SQRT(INDEX($I$5:$I$42,L613)),2)</f>
        <v>58.5</v>
      </c>
      <c r="AF613" s="14">
        <f t="shared" si="171"/>
        <v>130</v>
      </c>
      <c r="AG613" s="14">
        <f t="shared" si="172"/>
        <v>65</v>
      </c>
      <c r="AH613" s="14">
        <f t="shared" si="173"/>
        <v>585</v>
      </c>
      <c r="AJ613" s="14">
        <f>AF613</f>
        <v>130</v>
      </c>
      <c r="AK613" s="14">
        <f>AG613</f>
        <v>65</v>
      </c>
      <c r="AL613" s="14">
        <f>AH613</f>
        <v>585</v>
      </c>
    </row>
    <row r="614" spans="11:38" ht="16.5" x14ac:dyDescent="0.2">
      <c r="K614" s="13">
        <v>611</v>
      </c>
      <c r="L614" s="13">
        <f t="shared" si="165"/>
        <v>30</v>
      </c>
      <c r="M614" s="13">
        <f t="shared" si="166"/>
        <v>4</v>
      </c>
      <c r="N614" s="14">
        <f t="shared" si="167"/>
        <v>1102014</v>
      </c>
      <c r="O614" s="14" t="str">
        <f t="shared" si="168"/>
        <v>石灵明2突</v>
      </c>
      <c r="P614" s="29" t="s">
        <v>341</v>
      </c>
      <c r="Q614" s="14">
        <f t="shared" si="169"/>
        <v>2</v>
      </c>
      <c r="R614" s="14">
        <f t="shared" si="170"/>
        <v>2</v>
      </c>
      <c r="S614" s="14" t="s">
        <v>39</v>
      </c>
      <c r="T614" s="14">
        <f>ROUND(((IF(Q614=1,INDEX(新属性投放!$J$14:$J$34,卡牌属性!R614),INDEX(新属性投放!$J$42:$J$62,卡牌属性!R614)))*INDEX($G$5:$G$42,L614)+IF(Q614=1,INDEX(新属性投放!R$20:R$23,卡牌属性!M614-1),INDEX(新属性投放!R$25:R$28,卡牌属性!M614-1)))/SQRT(INDEX($I$5:$I$42,L614)),2)</f>
        <v>759.5</v>
      </c>
      <c r="U614" s="29" t="s">
        <v>178</v>
      </c>
      <c r="V614" s="14">
        <f>ROUND((IF(Q614=1,INDEX(新属性投放!$K$14:$K$34,卡牌属性!R614),INDEX(新属性投放!$K$42:$K$62,卡牌属性!R614))+IF(Q614=1,INDEX(新属性投放!S$20:S$23,卡牌属性!M614-1),INDEX(新属性投放!S$25:S$28,卡牌属性!M614-1)))*INDEX($G$5:$G$42,L614),2)</f>
        <v>201.5</v>
      </c>
      <c r="W614" s="29" t="s">
        <v>179</v>
      </c>
      <c r="X614" s="14">
        <f>ROUND((IF(Q614=1,INDEX(新属性投放!$L$14:$L$34,卡牌属性!R614),INDEX(新属性投放!$L$42:$L$62,卡牌属性!R614))*INDEX($G$5:$G$42,L614)+IF(Q614=1,INDEX(新属性投放!T$20:T$23,卡牌属性!M614-1),INDEX(新属性投放!T$25:T$28,卡牌属性!M614-1)))*SQRT(INDEX($I$5:$I$42,L614)),2)</f>
        <v>2704</v>
      </c>
      <c r="Y614" s="29" t="s">
        <v>177</v>
      </c>
      <c r="Z614" s="14">
        <f>ROUND(IF(Q614=1,INDEX(新属性投放!$D$14:$D$34,卡牌属性!R614),INDEX(新属性投放!$D$42:$D$62,卡牌属性!R614))*INDEX($G$5:$G$42,L614)/SQRT(INDEX($I$5:$I$42,L614)),2)</f>
        <v>13</v>
      </c>
      <c r="AA614" s="29" t="s">
        <v>178</v>
      </c>
      <c r="AB614" s="14">
        <f>ROUND(IF(Q614=1,INDEX(新属性投放!$E$14:$E$34,卡牌属性!R614),INDEX(新属性投放!$E$42:$E$62,卡牌属性!R614))*INDEX($G$5:$G$42,L614),2)</f>
        <v>6.5</v>
      </c>
      <c r="AC614" s="29" t="s">
        <v>179</v>
      </c>
      <c r="AD614" s="14">
        <f>ROUND(IF(Q614=1,INDEX(新属性投放!$F$14:$F$34,卡牌属性!R614),INDEX(新属性投放!$F$42:$F$62,卡牌属性!R614))*INDEX($G$5:$G$42,L614)*SQRT(INDEX($I$5:$I$42,L614)),2)</f>
        <v>58.5</v>
      </c>
      <c r="AF614" s="14">
        <f t="shared" si="171"/>
        <v>130</v>
      </c>
      <c r="AG614" s="14">
        <f t="shared" si="172"/>
        <v>65</v>
      </c>
      <c r="AH614" s="14">
        <f t="shared" si="173"/>
        <v>585</v>
      </c>
      <c r="AJ614" s="14">
        <f t="shared" ref="AJ614:AJ633" si="177">AJ613+AF614</f>
        <v>260</v>
      </c>
      <c r="AK614" s="14">
        <f t="shared" ref="AK614:AK633" si="178">AK613+AG614</f>
        <v>130</v>
      </c>
      <c r="AL614" s="14">
        <f t="shared" ref="AL614:AL633" si="179">AL613+AH614</f>
        <v>1170</v>
      </c>
    </row>
    <row r="615" spans="11:38" ht="16.5" x14ac:dyDescent="0.2">
      <c r="K615" s="13">
        <v>612</v>
      </c>
      <c r="L615" s="13">
        <f t="shared" si="165"/>
        <v>30</v>
      </c>
      <c r="M615" s="13">
        <f t="shared" si="166"/>
        <v>4</v>
      </c>
      <c r="N615" s="14">
        <f t="shared" si="167"/>
        <v>1102014</v>
      </c>
      <c r="O615" s="14" t="str">
        <f t="shared" si="168"/>
        <v>石灵明3突</v>
      </c>
      <c r="P615" s="29" t="s">
        <v>341</v>
      </c>
      <c r="Q615" s="14">
        <f t="shared" si="169"/>
        <v>2</v>
      </c>
      <c r="R615" s="14">
        <f t="shared" si="170"/>
        <v>3</v>
      </c>
      <c r="S615" s="14" t="s">
        <v>39</v>
      </c>
      <c r="T615" s="14">
        <f>ROUND(((IF(Q615=1,INDEX(新属性投放!$J$14:$J$34,卡牌属性!R615),INDEX(新属性投放!$J$42:$J$62,卡牌属性!R615)))*INDEX($G$5:$G$42,L615)+IF(Q615=1,INDEX(新属性投放!R$20:R$23,卡牌属性!M615-1),INDEX(新属性投放!R$25:R$28,卡牌属性!M615-1)))/SQRT(INDEX($I$5:$I$42,L615)),2)</f>
        <v>922</v>
      </c>
      <c r="U615" s="29" t="s">
        <v>178</v>
      </c>
      <c r="V615" s="14">
        <f>ROUND((IF(Q615=1,INDEX(新属性投放!$K$14:$K$34,卡牌属性!R615),INDEX(新属性投放!$K$42:$K$62,卡牌属性!R615))+IF(Q615=1,INDEX(新属性投放!S$20:S$23,卡牌属性!M615-1),INDEX(新属性投放!S$25:S$28,卡牌属性!M615-1)))*INDEX($G$5:$G$42,L615),2)</f>
        <v>283.39999999999998</v>
      </c>
      <c r="W615" s="29" t="s">
        <v>179</v>
      </c>
      <c r="X615" s="14">
        <f>ROUND((IF(Q615=1,INDEX(新属性投放!$L$14:$L$34,卡牌属性!R615),INDEX(新属性投放!$L$42:$L$62,卡牌属性!R615))*INDEX($G$5:$G$42,L615)+IF(Q615=1,INDEX(新属性投放!T$20:T$23,卡牌属性!M615-1),INDEX(新属性投放!T$25:T$28,卡牌属性!M615-1)))*SQRT(INDEX($I$5:$I$42,L615)),2)</f>
        <v>3581.5</v>
      </c>
      <c r="Y615" s="29" t="s">
        <v>177</v>
      </c>
      <c r="Z615" s="14">
        <f>ROUND(IF(Q615=1,INDEX(新属性投放!$D$14:$D$34,卡牌属性!R615),INDEX(新属性投放!$D$42:$D$62,卡牌属性!R615))*INDEX($G$5:$G$42,L615)/SQRT(INDEX($I$5:$I$42,L615)),2)</f>
        <v>19.5</v>
      </c>
      <c r="AA615" s="29" t="s">
        <v>178</v>
      </c>
      <c r="AB615" s="14">
        <f>ROUND(IF(Q615=1,INDEX(新属性投放!$E$14:$E$34,卡牌属性!R615),INDEX(新属性投放!$E$42:$E$62,卡牌属性!R615))*INDEX($G$5:$G$42,L615),2)</f>
        <v>9.75</v>
      </c>
      <c r="AC615" s="29" t="s">
        <v>179</v>
      </c>
      <c r="AD615" s="14">
        <f>ROUND(IF(Q615=1,INDEX(新属性投放!$F$14:$F$34,卡牌属性!R615),INDEX(新属性投放!$F$42:$F$62,卡牌属性!R615))*INDEX($G$5:$G$42,L615)*SQRT(INDEX($I$5:$I$42,L615)),2)</f>
        <v>87.1</v>
      </c>
      <c r="AF615" s="14">
        <f t="shared" si="171"/>
        <v>195</v>
      </c>
      <c r="AG615" s="14">
        <f t="shared" si="172"/>
        <v>97</v>
      </c>
      <c r="AH615" s="14">
        <f t="shared" si="173"/>
        <v>871</v>
      </c>
      <c r="AJ615" s="14">
        <f t="shared" si="177"/>
        <v>455</v>
      </c>
      <c r="AK615" s="14">
        <f t="shared" si="178"/>
        <v>227</v>
      </c>
      <c r="AL615" s="14">
        <f t="shared" si="179"/>
        <v>2041</v>
      </c>
    </row>
    <row r="616" spans="11:38" ht="16.5" x14ac:dyDescent="0.2">
      <c r="K616" s="13">
        <v>613</v>
      </c>
      <c r="L616" s="13">
        <f t="shared" si="165"/>
        <v>30</v>
      </c>
      <c r="M616" s="13">
        <f t="shared" si="166"/>
        <v>4</v>
      </c>
      <c r="N616" s="14">
        <f t="shared" si="167"/>
        <v>1102014</v>
      </c>
      <c r="O616" s="14" t="str">
        <f t="shared" si="168"/>
        <v>石灵明4突</v>
      </c>
      <c r="P616" s="29" t="s">
        <v>341</v>
      </c>
      <c r="Q616" s="14">
        <f t="shared" si="169"/>
        <v>2</v>
      </c>
      <c r="R616" s="14">
        <f t="shared" si="170"/>
        <v>4</v>
      </c>
      <c r="S616" s="14" t="s">
        <v>39</v>
      </c>
      <c r="T616" s="14">
        <f>ROUND(((IF(Q616=1,INDEX(新属性投放!$J$14:$J$34,卡牌属性!R616),INDEX(新属性投放!$J$42:$J$62,卡牌属性!R616)))*INDEX($G$5:$G$42,L616)+IF(Q616=1,INDEX(新属性投放!R$20:R$23,卡牌属性!M616-1),INDEX(新属性投放!R$25:R$28,卡牌属性!M616-1)))/SQRT(INDEX($I$5:$I$42,L616)),2)</f>
        <v>1166.4000000000001</v>
      </c>
      <c r="U616" s="29" t="s">
        <v>178</v>
      </c>
      <c r="V616" s="14">
        <f>ROUND((IF(Q616=1,INDEX(新属性投放!$K$14:$K$34,卡牌属性!R616),INDEX(新属性投放!$K$42:$K$62,卡牌属性!R616))+IF(Q616=1,INDEX(新属性投放!S$20:S$23,卡牌属性!M616-1),INDEX(新属性投放!S$25:S$28,卡牌属性!M616-1)))*INDEX($G$5:$G$42,L616),2)</f>
        <v>405.6</v>
      </c>
      <c r="W616" s="29" t="s">
        <v>179</v>
      </c>
      <c r="X616" s="14">
        <f>ROUND((IF(Q616=1,INDEX(新属性投放!$L$14:$L$34,卡牌属性!R616),INDEX(新属性投放!$L$42:$L$62,卡牌属性!R616))*INDEX($G$5:$G$42,L616)+IF(Q616=1,INDEX(新属性投放!T$20:T$23,卡牌属性!M616-1),INDEX(新属性投放!T$25:T$28,卡牌属性!M616-1)))*SQRT(INDEX($I$5:$I$42,L616)),2)</f>
        <v>4897.1000000000004</v>
      </c>
      <c r="Y616" s="29" t="s">
        <v>177</v>
      </c>
      <c r="Z616" s="14">
        <f>ROUND(IF(Q616=1,INDEX(新属性投放!$D$14:$D$34,卡牌属性!R616),INDEX(新属性投放!$D$42:$D$62,卡牌属性!R616))*INDEX($G$5:$G$42,L616)/SQRT(INDEX($I$5:$I$42,L616)),2)</f>
        <v>26</v>
      </c>
      <c r="AA616" s="29" t="s">
        <v>178</v>
      </c>
      <c r="AB616" s="14">
        <f>ROUND(IF(Q616=1,INDEX(新属性投放!$E$14:$E$34,卡牌属性!R616),INDEX(新属性投放!$E$42:$E$62,卡牌属性!R616))*INDEX($G$5:$G$42,L616),2)</f>
        <v>13</v>
      </c>
      <c r="AC616" s="29" t="s">
        <v>179</v>
      </c>
      <c r="AD616" s="14">
        <f>ROUND(IF(Q616=1,INDEX(新属性投放!$F$14:$F$34,卡牌属性!R616),INDEX(新属性投放!$F$42:$F$62,卡牌属性!R616))*INDEX($G$5:$G$42,L616)*SQRT(INDEX($I$5:$I$42,L616)),2)</f>
        <v>117</v>
      </c>
      <c r="AF616" s="14">
        <f t="shared" si="171"/>
        <v>260</v>
      </c>
      <c r="AG616" s="14">
        <f t="shared" si="172"/>
        <v>130</v>
      </c>
      <c r="AH616" s="14">
        <f t="shared" si="173"/>
        <v>1170</v>
      </c>
      <c r="AJ616" s="14">
        <f t="shared" si="177"/>
        <v>715</v>
      </c>
      <c r="AK616" s="14">
        <f t="shared" si="178"/>
        <v>357</v>
      </c>
      <c r="AL616" s="14">
        <f t="shared" si="179"/>
        <v>3211</v>
      </c>
    </row>
    <row r="617" spans="11:38" ht="16.5" x14ac:dyDescent="0.2">
      <c r="K617" s="13">
        <v>614</v>
      </c>
      <c r="L617" s="13">
        <f t="shared" si="165"/>
        <v>30</v>
      </c>
      <c r="M617" s="13">
        <f t="shared" si="166"/>
        <v>4</v>
      </c>
      <c r="N617" s="14">
        <f t="shared" si="167"/>
        <v>1102014</v>
      </c>
      <c r="O617" s="14" t="str">
        <f t="shared" si="168"/>
        <v>石灵明5突</v>
      </c>
      <c r="P617" s="29" t="s">
        <v>341</v>
      </c>
      <c r="Q617" s="14">
        <f t="shared" si="169"/>
        <v>2</v>
      </c>
      <c r="R617" s="14">
        <f t="shared" si="170"/>
        <v>5</v>
      </c>
      <c r="S617" s="14" t="s">
        <v>39</v>
      </c>
      <c r="T617" s="14">
        <f>ROUND(((IF(Q617=1,INDEX(新属性投放!$J$14:$J$34,卡牌属性!R617),INDEX(新属性投放!$J$42:$J$62,卡牌属性!R617)))*INDEX($G$5:$G$42,L617)+IF(Q617=1,INDEX(新属性投放!R$20:R$23,卡牌属性!M617-1),INDEX(新属性投放!R$25:R$28,卡牌属性!M617-1)))/SQRT(INDEX($I$5:$I$42,L617)),2)</f>
        <v>1491.4</v>
      </c>
      <c r="U617" s="29" t="s">
        <v>178</v>
      </c>
      <c r="V617" s="14">
        <f>ROUND((IF(Q617=1,INDEX(新属性投放!$K$14:$K$34,卡牌属性!R617),INDEX(新属性投放!$K$42:$K$62,卡牌属性!R617))+IF(Q617=1,INDEX(新属性投放!S$20:S$23,卡牌属性!M617-1),INDEX(新属性投放!S$25:S$28,卡牌属性!M617-1)))*INDEX($G$5:$G$42,L617),2)</f>
        <v>568.1</v>
      </c>
      <c r="W617" s="29" t="s">
        <v>179</v>
      </c>
      <c r="X617" s="14">
        <f>ROUND((IF(Q617=1,INDEX(新属性投放!$L$14:$L$34,卡牌属性!R617),INDEX(新属性投放!$L$42:$L$62,卡牌属性!R617))*INDEX($G$5:$G$42,L617)+IF(Q617=1,INDEX(新属性投放!T$20:T$23,卡牌属性!M617-1),INDEX(新属性投放!T$25:T$28,卡牌属性!M617-1)))*SQRT(INDEX($I$5:$I$42,L617)),2)</f>
        <v>6652.1</v>
      </c>
      <c r="Y617" s="29" t="s">
        <v>177</v>
      </c>
      <c r="Z617" s="14">
        <f>ROUND(IF(Q617=1,INDEX(新属性投放!$D$14:$D$34,卡牌属性!R617),INDEX(新属性投放!$D$42:$D$62,卡牌属性!R617))*INDEX($G$5:$G$42,L617)/SQRT(INDEX($I$5:$I$42,L617)),2)</f>
        <v>32.5</v>
      </c>
      <c r="AA617" s="29" t="s">
        <v>178</v>
      </c>
      <c r="AB617" s="14">
        <f>ROUND(IF(Q617=1,INDEX(新属性投放!$E$14:$E$34,卡牌属性!R617),INDEX(新属性投放!$E$42:$E$62,卡牌属性!R617))*INDEX($G$5:$G$42,L617),2)</f>
        <v>16.25</v>
      </c>
      <c r="AC617" s="29" t="s">
        <v>179</v>
      </c>
      <c r="AD617" s="14">
        <f>ROUND(IF(Q617=1,INDEX(新属性投放!$F$14:$F$34,卡牌属性!R617),INDEX(新属性投放!$F$42:$F$62,卡牌属性!R617))*INDEX($G$5:$G$42,L617)*SQRT(INDEX($I$5:$I$42,L617)),2)</f>
        <v>145.6</v>
      </c>
      <c r="AF617" s="14">
        <f t="shared" si="171"/>
        <v>325</v>
      </c>
      <c r="AG617" s="14">
        <f t="shared" si="172"/>
        <v>162</v>
      </c>
      <c r="AH617" s="14">
        <f t="shared" si="173"/>
        <v>1456</v>
      </c>
      <c r="AJ617" s="14">
        <f t="shared" si="177"/>
        <v>1040</v>
      </c>
      <c r="AK617" s="14">
        <f t="shared" si="178"/>
        <v>519</v>
      </c>
      <c r="AL617" s="14">
        <f t="shared" si="179"/>
        <v>4667</v>
      </c>
    </row>
    <row r="618" spans="11:38" ht="16.5" x14ac:dyDescent="0.2">
      <c r="K618" s="13">
        <v>615</v>
      </c>
      <c r="L618" s="13">
        <f t="shared" si="165"/>
        <v>30</v>
      </c>
      <c r="M618" s="13">
        <f t="shared" si="166"/>
        <v>4</v>
      </c>
      <c r="N618" s="14">
        <f t="shared" si="167"/>
        <v>1102014</v>
      </c>
      <c r="O618" s="14" t="str">
        <f t="shared" si="168"/>
        <v>石灵明6突</v>
      </c>
      <c r="P618" s="29" t="s">
        <v>341</v>
      </c>
      <c r="Q618" s="14">
        <f t="shared" si="169"/>
        <v>2</v>
      </c>
      <c r="R618" s="14">
        <f t="shared" si="170"/>
        <v>6</v>
      </c>
      <c r="S618" s="14" t="s">
        <v>39</v>
      </c>
      <c r="T618" s="14">
        <f>ROUND(((IF(Q618=1,INDEX(新属性投放!$J$14:$J$34,卡牌属性!R618),INDEX(新属性投放!$J$42:$J$62,卡牌属性!R618)))*INDEX($G$5:$G$42,L618)+IF(Q618=1,INDEX(新属性投放!R$20:R$23,卡牌属性!M618-1),INDEX(新属性投放!R$25:R$28,卡牌属性!M618-1)))/SQRT(INDEX($I$5:$I$42,L618)),2)</f>
        <v>1898.3</v>
      </c>
      <c r="U618" s="29" t="s">
        <v>178</v>
      </c>
      <c r="V618" s="14">
        <f>ROUND((IF(Q618=1,INDEX(新属性投放!$K$14:$K$34,卡牌属性!R618),INDEX(新属性投放!$K$42:$K$62,卡牌属性!R618))+IF(Q618=1,INDEX(新属性投放!S$20:S$23,卡牌属性!M618-1),INDEX(新属性投放!S$25:S$28,卡牌属性!M618-1)))*INDEX($G$5:$G$42,L618),2)</f>
        <v>770.9</v>
      </c>
      <c r="W618" s="29" t="s">
        <v>179</v>
      </c>
      <c r="X618" s="14">
        <f>ROUND((IF(Q618=1,INDEX(新属性投放!$L$14:$L$34,卡牌属性!R618),INDEX(新属性投放!$L$42:$L$62,卡牌属性!R618))*INDEX($G$5:$G$42,L618)+IF(Q618=1,INDEX(新属性投放!T$20:T$23,卡牌属性!M618-1),INDEX(新属性投放!T$25:T$28,卡牌属性!M618-1)))*SQRT(INDEX($I$5:$I$42,L618)),2)</f>
        <v>8845.2000000000007</v>
      </c>
      <c r="Y618" s="29" t="s">
        <v>177</v>
      </c>
      <c r="Z618" s="14">
        <f>ROUND(IF(Q618=1,INDEX(新属性投放!$D$14:$D$34,卡牌属性!R618),INDEX(新属性投放!$D$42:$D$62,卡牌属性!R618))*INDEX($G$5:$G$42,L618)/SQRT(INDEX($I$5:$I$42,L618)),2)</f>
        <v>39</v>
      </c>
      <c r="AA618" s="29" t="s">
        <v>178</v>
      </c>
      <c r="AB618" s="14">
        <f>ROUND(IF(Q618=1,INDEX(新属性投放!$E$14:$E$34,卡牌属性!R618),INDEX(新属性投放!$E$42:$E$62,卡牌属性!R618))*INDEX($G$5:$G$42,L618),2)</f>
        <v>19.5</v>
      </c>
      <c r="AC618" s="29" t="s">
        <v>179</v>
      </c>
      <c r="AD618" s="14">
        <f>ROUND(IF(Q618=1,INDEX(新属性投放!$F$14:$F$34,卡牌属性!R618),INDEX(新属性投放!$F$42:$F$62,卡牌属性!R618))*INDEX($G$5:$G$42,L618)*SQRT(INDEX($I$5:$I$42,L618)),2)</f>
        <v>175.5</v>
      </c>
      <c r="AF618" s="14">
        <f t="shared" si="171"/>
        <v>390</v>
      </c>
      <c r="AG618" s="14">
        <f t="shared" si="172"/>
        <v>195</v>
      </c>
      <c r="AH618" s="14">
        <f t="shared" si="173"/>
        <v>1755</v>
      </c>
      <c r="AJ618" s="14">
        <f t="shared" si="177"/>
        <v>1430</v>
      </c>
      <c r="AK618" s="14">
        <f t="shared" si="178"/>
        <v>714</v>
      </c>
      <c r="AL618" s="14">
        <f t="shared" si="179"/>
        <v>6422</v>
      </c>
    </row>
    <row r="619" spans="11:38" ht="16.5" x14ac:dyDescent="0.2">
      <c r="K619" s="13">
        <v>616</v>
      </c>
      <c r="L619" s="13">
        <f t="shared" si="165"/>
        <v>30</v>
      </c>
      <c r="M619" s="13">
        <f t="shared" si="166"/>
        <v>4</v>
      </c>
      <c r="N619" s="14">
        <f t="shared" si="167"/>
        <v>1102014</v>
      </c>
      <c r="O619" s="14" t="str">
        <f t="shared" si="168"/>
        <v>石灵明7突</v>
      </c>
      <c r="P619" s="29" t="s">
        <v>341</v>
      </c>
      <c r="Q619" s="14">
        <f t="shared" si="169"/>
        <v>2</v>
      </c>
      <c r="R619" s="14">
        <f t="shared" si="170"/>
        <v>7</v>
      </c>
      <c r="S619" s="14" t="s">
        <v>39</v>
      </c>
      <c r="T619" s="14">
        <f>ROUND(((IF(Q619=1,INDEX(新属性投放!$J$14:$J$34,卡牌属性!R619),INDEX(新属性投放!$J$42:$J$62,卡牌属性!R619)))*INDEX($G$5:$G$42,L619)+IF(Q619=1,INDEX(新属性投放!R$20:R$23,卡牌属性!M619-1),INDEX(新属性投放!R$25:R$28,卡牌属性!M619-1)))/SQRT(INDEX($I$5:$I$42,L619)),2)</f>
        <v>2385.8000000000002</v>
      </c>
      <c r="U619" s="29" t="s">
        <v>178</v>
      </c>
      <c r="V619" s="14">
        <f>ROUND((IF(Q619=1,INDEX(新属性投放!$K$14:$K$34,卡牌属性!R619),INDEX(新属性投放!$K$42:$K$62,卡牌属性!R619))+IF(Q619=1,INDEX(新属性投放!S$20:S$23,卡牌属性!M619-1),INDEX(新属性投放!S$25:S$28,卡牌属性!M619-1)))*INDEX($G$5:$G$42,L619),2)</f>
        <v>1015.3</v>
      </c>
      <c r="W619" s="29" t="s">
        <v>179</v>
      </c>
      <c r="X619" s="14">
        <f>ROUND((IF(Q619=1,INDEX(新属性投放!$L$14:$L$34,卡牌属性!R619),INDEX(新属性投放!$L$42:$L$62,卡牌属性!R619))*INDEX($G$5:$G$42,L619)+IF(Q619=1,INDEX(新属性投放!T$20:T$23,卡牌属性!M619-1),INDEX(新属性投放!T$25:T$28,卡牌属性!M619-1)))*SQRT(INDEX($I$5:$I$42,L619)),2)</f>
        <v>11477.7</v>
      </c>
      <c r="Y619" s="29" t="s">
        <v>177</v>
      </c>
      <c r="Z619" s="14">
        <f>ROUND(IF(Q619=1,INDEX(新属性投放!$D$14:$D$34,卡牌属性!R619),INDEX(新属性投放!$D$42:$D$62,卡牌属性!R619))*INDEX($G$5:$G$42,L619)/SQRT(INDEX($I$5:$I$42,L619)),2)</f>
        <v>45.5</v>
      </c>
      <c r="AA619" s="29" t="s">
        <v>178</v>
      </c>
      <c r="AB619" s="14">
        <f>ROUND(IF(Q619=1,INDEX(新属性投放!$E$14:$E$34,卡牌属性!R619),INDEX(新属性投放!$E$42:$E$62,卡牌属性!R619))*INDEX($G$5:$G$42,L619),2)</f>
        <v>22.75</v>
      </c>
      <c r="AC619" s="29" t="s">
        <v>179</v>
      </c>
      <c r="AD619" s="14">
        <f>ROUND(IF(Q619=1,INDEX(新属性投放!$F$14:$F$34,卡牌属性!R619),INDEX(新属性投放!$F$42:$F$62,卡牌属性!R619))*INDEX($G$5:$G$42,L619)*SQRT(INDEX($I$5:$I$42,L619)),2)</f>
        <v>204.1</v>
      </c>
      <c r="AF619" s="14">
        <f t="shared" si="171"/>
        <v>455</v>
      </c>
      <c r="AG619" s="14">
        <f t="shared" si="172"/>
        <v>227</v>
      </c>
      <c r="AH619" s="14">
        <f t="shared" si="173"/>
        <v>2041</v>
      </c>
      <c r="AJ619" s="14">
        <f t="shared" si="177"/>
        <v>1885</v>
      </c>
      <c r="AK619" s="14">
        <f t="shared" si="178"/>
        <v>941</v>
      </c>
      <c r="AL619" s="14">
        <f t="shared" si="179"/>
        <v>8463</v>
      </c>
    </row>
    <row r="620" spans="11:38" ht="16.5" x14ac:dyDescent="0.2">
      <c r="K620" s="13">
        <v>617</v>
      </c>
      <c r="L620" s="13">
        <f t="shared" si="165"/>
        <v>30</v>
      </c>
      <c r="M620" s="13">
        <f t="shared" si="166"/>
        <v>4</v>
      </c>
      <c r="N620" s="14">
        <f t="shared" si="167"/>
        <v>1102014</v>
      </c>
      <c r="O620" s="14" t="str">
        <f t="shared" si="168"/>
        <v>石灵明8突</v>
      </c>
      <c r="P620" s="29" t="s">
        <v>341</v>
      </c>
      <c r="Q620" s="14">
        <f t="shared" si="169"/>
        <v>2</v>
      </c>
      <c r="R620" s="14">
        <f t="shared" si="170"/>
        <v>8</v>
      </c>
      <c r="S620" s="14" t="s">
        <v>39</v>
      </c>
      <c r="T620" s="14">
        <f>ROUND(((IF(Q620=1,INDEX(新属性投放!$J$14:$J$34,卡牌属性!R620),INDEX(新属性投放!$J$42:$J$62,卡牌属性!R620)))*INDEX($G$5:$G$42,L620)+IF(Q620=1,INDEX(新属性投放!R$20:R$23,卡牌属性!M620-1),INDEX(新属性投放!R$25:R$28,卡牌属性!M620-1)))/SQRT(INDEX($I$5:$I$42,L620)),2)</f>
        <v>2955.2</v>
      </c>
      <c r="U620" s="29" t="s">
        <v>178</v>
      </c>
      <c r="V620" s="14">
        <f>ROUND((IF(Q620=1,INDEX(新属性投放!$K$14:$K$34,卡牌属性!R620),INDEX(新属性投放!$K$42:$K$62,卡牌属性!R620))+IF(Q620=1,INDEX(新属性投放!S$20:S$23,卡牌属性!M620-1),INDEX(新属性投放!S$25:S$28,卡牌属性!M620-1)))*INDEX($G$5:$G$42,L620),2)</f>
        <v>1300</v>
      </c>
      <c r="W620" s="29" t="s">
        <v>179</v>
      </c>
      <c r="X620" s="14">
        <f>ROUND((IF(Q620=1,INDEX(新属性投放!$L$14:$L$34,卡牌属性!R620),INDEX(新属性投放!$L$42:$L$62,卡牌属性!R620))*INDEX($G$5:$G$42,L620)+IF(Q620=1,INDEX(新属性投放!T$20:T$23,卡牌属性!M620-1),INDEX(新属性投放!T$25:T$28,卡牌属性!M620-1)))*SQRT(INDEX($I$5:$I$42,L620)),2)</f>
        <v>14548.3</v>
      </c>
      <c r="Y620" s="29" t="s">
        <v>177</v>
      </c>
      <c r="Z620" s="14">
        <f>ROUND(IF(Q620=1,INDEX(新属性投放!$D$14:$D$34,卡牌属性!R620),INDEX(新属性投放!$D$42:$D$62,卡牌属性!R620))*INDEX($G$5:$G$42,L620)/SQRT(INDEX($I$5:$I$42,L620)),2)</f>
        <v>58.5</v>
      </c>
      <c r="AA620" s="29" t="s">
        <v>178</v>
      </c>
      <c r="AB620" s="14">
        <f>ROUND(IF(Q620=1,INDEX(新属性投放!$E$14:$E$34,卡牌属性!R620),INDEX(新属性投放!$E$42:$E$62,卡牌属性!R620))*INDEX($G$5:$G$42,L620),2)</f>
        <v>29.25</v>
      </c>
      <c r="AC620" s="29" t="s">
        <v>179</v>
      </c>
      <c r="AD620" s="14">
        <f>ROUND(IF(Q620=1,INDEX(新属性投放!$F$14:$F$34,卡牌属性!R620),INDEX(新属性投放!$F$42:$F$62,卡牌属性!R620))*INDEX($G$5:$G$42,L620)*SQRT(INDEX($I$5:$I$42,L620)),2)</f>
        <v>262.60000000000002</v>
      </c>
      <c r="AF620" s="14">
        <f t="shared" si="171"/>
        <v>585</v>
      </c>
      <c r="AG620" s="14">
        <f t="shared" si="172"/>
        <v>292</v>
      </c>
      <c r="AH620" s="14">
        <f t="shared" si="173"/>
        <v>2626</v>
      </c>
      <c r="AJ620" s="14">
        <f t="shared" si="177"/>
        <v>2470</v>
      </c>
      <c r="AK620" s="14">
        <f t="shared" si="178"/>
        <v>1233</v>
      </c>
      <c r="AL620" s="14">
        <f t="shared" si="179"/>
        <v>11089</v>
      </c>
    </row>
    <row r="621" spans="11:38" ht="16.5" x14ac:dyDescent="0.2">
      <c r="K621" s="13">
        <v>618</v>
      </c>
      <c r="L621" s="13">
        <f t="shared" si="165"/>
        <v>30</v>
      </c>
      <c r="M621" s="13">
        <f t="shared" si="166"/>
        <v>4</v>
      </c>
      <c r="N621" s="14">
        <f t="shared" si="167"/>
        <v>1102014</v>
      </c>
      <c r="O621" s="14" t="str">
        <f t="shared" si="168"/>
        <v>石灵明9突</v>
      </c>
      <c r="P621" s="29" t="s">
        <v>341</v>
      </c>
      <c r="Q621" s="14">
        <f t="shared" si="169"/>
        <v>2</v>
      </c>
      <c r="R621" s="14">
        <f t="shared" si="170"/>
        <v>9</v>
      </c>
      <c r="S621" s="14" t="s">
        <v>39</v>
      </c>
      <c r="T621" s="14">
        <f>ROUND(((IF(Q621=1,INDEX(新属性投放!$J$14:$J$34,卡牌属性!R621),INDEX(新属性投放!$J$42:$J$62,卡牌属性!R621)))*INDEX($G$5:$G$42,L621)+IF(Q621=1,INDEX(新属性投放!R$20:R$23,卡牌属性!M621-1),INDEX(新属性投放!R$25:R$28,卡牌属性!M621-1)))/SQRT(INDEX($I$5:$I$42,L621)),2)</f>
        <v>3687.1</v>
      </c>
      <c r="U621" s="29" t="s">
        <v>178</v>
      </c>
      <c r="V621" s="14">
        <f>ROUND((IF(Q621=1,INDEX(新属性投放!$K$14:$K$34,卡牌属性!R621),INDEX(新属性投放!$K$42:$K$62,卡牌属性!R621))+IF(Q621=1,INDEX(新属性投放!S$20:S$23,卡牌属性!M621-1),INDEX(新属性投放!S$25:S$28,卡牌属性!M621-1)))*INDEX($G$5:$G$42,L621),2)</f>
        <v>1665.3</v>
      </c>
      <c r="W621" s="29" t="s">
        <v>179</v>
      </c>
      <c r="X621" s="14">
        <f>ROUND((IF(Q621=1,INDEX(新属性投放!$L$14:$L$34,卡牌属性!R621),INDEX(新属性投放!$L$42:$L$62,卡牌属性!R621))*INDEX($G$5:$G$42,L621)+IF(Q621=1,INDEX(新属性投放!T$20:T$23,卡牌属性!M621-1),INDEX(新属性投放!T$25:T$28,卡牌属性!M621-1)))*SQRT(INDEX($I$5:$I$42,L621)),2)</f>
        <v>18496.400000000001</v>
      </c>
      <c r="Y621" s="29" t="s">
        <v>177</v>
      </c>
      <c r="Z621" s="14">
        <f>ROUND(IF(Q621=1,INDEX(新属性投放!$D$14:$D$34,卡牌属性!R621),INDEX(新属性投放!$D$42:$D$62,卡牌属性!R621))*INDEX($G$5:$G$42,L621)/SQRT(INDEX($I$5:$I$42,L621)),2)</f>
        <v>78.069999999999993</v>
      </c>
      <c r="AA621" s="29" t="s">
        <v>178</v>
      </c>
      <c r="AB621" s="14">
        <f>ROUND(IF(Q621=1,INDEX(新属性投放!$E$14:$E$34,卡牌属性!R621),INDEX(新属性投放!$E$42:$E$62,卡牌属性!R621))*INDEX($G$5:$G$42,L621),2)</f>
        <v>39.03</v>
      </c>
      <c r="AC621" s="29" t="s">
        <v>179</v>
      </c>
      <c r="AD621" s="14">
        <f>ROUND(IF(Q621=1,INDEX(新属性投放!$F$14:$F$34,卡牌属性!R621),INDEX(新属性投放!$F$42:$F$62,卡牌属性!R621))*INDEX($G$5:$G$42,L621)*SQRT(INDEX($I$5:$I$42,L621)),2)</f>
        <v>351</v>
      </c>
      <c r="AF621" s="14">
        <f t="shared" si="171"/>
        <v>780</v>
      </c>
      <c r="AG621" s="14">
        <f t="shared" si="172"/>
        <v>390</v>
      </c>
      <c r="AH621" s="14">
        <f t="shared" si="173"/>
        <v>3510</v>
      </c>
      <c r="AJ621" s="14">
        <f t="shared" si="177"/>
        <v>3250</v>
      </c>
      <c r="AK621" s="14">
        <f t="shared" si="178"/>
        <v>1623</v>
      </c>
      <c r="AL621" s="14">
        <f t="shared" si="179"/>
        <v>14599</v>
      </c>
    </row>
    <row r="622" spans="11:38" ht="16.5" x14ac:dyDescent="0.2">
      <c r="K622" s="13">
        <v>619</v>
      </c>
      <c r="L622" s="13">
        <f t="shared" si="165"/>
        <v>30</v>
      </c>
      <c r="M622" s="13">
        <f t="shared" si="166"/>
        <v>4</v>
      </c>
      <c r="N622" s="14">
        <f t="shared" si="167"/>
        <v>1102014</v>
      </c>
      <c r="O622" s="14" t="str">
        <f t="shared" si="168"/>
        <v>石灵明10突</v>
      </c>
      <c r="P622" s="29" t="s">
        <v>341</v>
      </c>
      <c r="Q622" s="14">
        <f t="shared" si="169"/>
        <v>2</v>
      </c>
      <c r="R622" s="14">
        <f t="shared" si="170"/>
        <v>10</v>
      </c>
      <c r="S622" s="14" t="s">
        <v>39</v>
      </c>
      <c r="T622" s="14">
        <f>ROUND(((IF(Q622=1,INDEX(新属性投放!$J$14:$J$34,卡牌属性!R622),INDEX(新属性投放!$J$42:$J$62,卡牌属性!R622)))*INDEX($G$5:$G$42,L622)+IF(Q622=1,INDEX(新属性投放!R$20:R$23,卡牌属性!M622-1),INDEX(新属性投放!R$25:R$28,卡牌属性!M622-1)))/SQRT(INDEX($I$5:$I$42,L622)),2)</f>
        <v>4662.75</v>
      </c>
      <c r="U622" s="29" t="s">
        <v>178</v>
      </c>
      <c r="V622" s="14">
        <f>ROUND((IF(Q622=1,INDEX(新属性投放!$K$14:$K$34,卡牌属性!R622),INDEX(新属性投放!$K$42:$K$62,卡牌属性!R622))+IF(Q622=1,INDEX(新属性投放!S$20:S$23,卡牌属性!M622-1),INDEX(新属性投放!S$25:S$28,卡牌属性!M622-1)))*INDEX($G$5:$G$42,L622),2)</f>
        <v>2153.13</v>
      </c>
      <c r="W622" s="29" t="s">
        <v>179</v>
      </c>
      <c r="X622" s="14">
        <f>ROUND((IF(Q622=1,INDEX(新属性投放!$L$14:$L$34,卡牌属性!R622),INDEX(新属性投放!$L$42:$L$62,卡牌属性!R622))*INDEX($G$5:$G$42,L622)+IF(Q622=1,INDEX(新属性投放!T$20:T$23,卡牌属性!M622-1),INDEX(新属性投放!T$25:T$28,卡牌属性!M622-1)))*SQRT(INDEX($I$5:$I$42,L622)),2)</f>
        <v>23761.4</v>
      </c>
      <c r="Y622" s="29" t="s">
        <v>177</v>
      </c>
      <c r="Z622" s="14">
        <f>ROUND(IF(Q622=1,INDEX(新属性投放!$D$14:$D$34,卡牌属性!R622),INDEX(新属性投放!$D$42:$D$62,卡牌属性!R622))*INDEX($G$5:$G$42,L622)/SQRT(INDEX($I$5:$I$42,L622)),2)</f>
        <v>102.05</v>
      </c>
      <c r="AA622" s="29" t="s">
        <v>178</v>
      </c>
      <c r="AB622" s="14">
        <f>ROUND(IF(Q622=1,INDEX(新属性投放!$E$14:$E$34,卡牌属性!R622),INDEX(新属性投放!$E$42:$E$62,卡牌属性!R622))*INDEX($G$5:$G$42,L622),2)</f>
        <v>51.03</v>
      </c>
      <c r="AC622" s="29" t="s">
        <v>179</v>
      </c>
      <c r="AD622" s="14">
        <f>ROUND(IF(Q622=1,INDEX(新属性投放!$F$14:$F$34,卡牌属性!R622),INDEX(新属性投放!$F$42:$F$62,卡牌属性!R622))*INDEX($G$5:$G$42,L622)*SQRT(INDEX($I$5:$I$42,L622)),2)</f>
        <v>458.9</v>
      </c>
      <c r="AF622" s="14">
        <f t="shared" si="171"/>
        <v>1020</v>
      </c>
      <c r="AG622" s="14">
        <f t="shared" si="172"/>
        <v>510</v>
      </c>
      <c r="AH622" s="14">
        <f t="shared" si="173"/>
        <v>4589</v>
      </c>
      <c r="AJ622" s="14">
        <f t="shared" si="177"/>
        <v>4270</v>
      </c>
      <c r="AK622" s="14">
        <f t="shared" si="178"/>
        <v>2133</v>
      </c>
      <c r="AL622" s="14">
        <f t="shared" si="179"/>
        <v>19188</v>
      </c>
    </row>
    <row r="623" spans="11:38" ht="16.5" x14ac:dyDescent="0.2">
      <c r="K623" s="13">
        <v>620</v>
      </c>
      <c r="L623" s="13">
        <f t="shared" si="165"/>
        <v>30</v>
      </c>
      <c r="M623" s="13">
        <f t="shared" si="166"/>
        <v>4</v>
      </c>
      <c r="N623" s="14">
        <f t="shared" si="167"/>
        <v>1102014</v>
      </c>
      <c r="O623" s="14" t="str">
        <f t="shared" si="168"/>
        <v>石灵明11突</v>
      </c>
      <c r="P623" s="29" t="s">
        <v>341</v>
      </c>
      <c r="Q623" s="14">
        <f t="shared" si="169"/>
        <v>2</v>
      </c>
      <c r="R623" s="14">
        <f t="shared" si="170"/>
        <v>11</v>
      </c>
      <c r="S623" s="14" t="s">
        <v>39</v>
      </c>
      <c r="T623" s="14">
        <f>ROUND(((IF(Q623=1,INDEX(新属性投放!$J$14:$J$34,卡牌属性!R623),INDEX(新属性投放!$J$42:$J$62,卡牌属性!R623)))*INDEX($G$5:$G$42,L623)+IF(Q623=1,INDEX(新属性投放!R$20:R$23,卡牌属性!M623-1),INDEX(新属性投放!R$25:R$28,卡牌属性!M623-1)))/SQRT(INDEX($I$5:$I$42,L623)),2)</f>
        <v>5938.05</v>
      </c>
      <c r="U623" s="29" t="s">
        <v>178</v>
      </c>
      <c r="V623" s="14">
        <f>ROUND((IF(Q623=1,INDEX(新属性投放!$K$14:$K$34,卡牌属性!R623),INDEX(新属性投放!$K$42:$K$62,卡牌属性!R623))+IF(Q623=1,INDEX(新属性投放!S$20:S$23,卡牌属性!M623-1),INDEX(新属性投放!S$25:S$28,卡牌属性!M623-1)))*INDEX($G$5:$G$42,L623),2)</f>
        <v>2790.78</v>
      </c>
      <c r="W623" s="29" t="s">
        <v>179</v>
      </c>
      <c r="X623" s="14">
        <f>ROUND((IF(Q623=1,INDEX(新属性投放!$L$14:$L$34,卡牌属性!R623),INDEX(新属性投放!$L$42:$L$62,卡牌属性!R623))*INDEX($G$5:$G$42,L623)+IF(Q623=1,INDEX(新属性投放!T$20:T$23,卡牌属性!M623-1),INDEX(新属性投放!T$25:T$28,卡牌属性!M623-1)))*SQRT(INDEX($I$5:$I$42,L623)),2)</f>
        <v>30643.599999999999</v>
      </c>
      <c r="Y623" s="29" t="s">
        <v>177</v>
      </c>
      <c r="Z623" s="14">
        <f>ROUND(IF(Q623=1,INDEX(新属性投放!$D$14:$D$34,卡牌属性!R623),INDEX(新属性投放!$D$42:$D$62,卡牌属性!R623))*INDEX($G$5:$G$42,L623)/SQRT(INDEX($I$5:$I$42,L623)),2)</f>
        <v>134.34</v>
      </c>
      <c r="AA623" s="29" t="s">
        <v>178</v>
      </c>
      <c r="AB623" s="14">
        <f>ROUND(IF(Q623=1,INDEX(新属性投放!$E$14:$E$34,卡牌属性!R623),INDEX(新属性投放!$E$42:$E$62,卡牌属性!R623))*INDEX($G$5:$G$42,L623),2)</f>
        <v>67.17</v>
      </c>
      <c r="AC623" s="29" t="s">
        <v>179</v>
      </c>
      <c r="AD623" s="14">
        <f>ROUND(IF(Q623=1,INDEX(新属性投放!$F$14:$F$34,卡牌属性!R623),INDEX(新属性投放!$F$42:$F$62,卡牌属性!R623))*INDEX($G$5:$G$42,L623)*SQRT(INDEX($I$5:$I$42,L623)),2)</f>
        <v>604.5</v>
      </c>
      <c r="AF623" s="14">
        <f t="shared" si="171"/>
        <v>1343</v>
      </c>
      <c r="AG623" s="14">
        <f t="shared" si="172"/>
        <v>671</v>
      </c>
      <c r="AH623" s="14">
        <f t="shared" si="173"/>
        <v>6045</v>
      </c>
      <c r="AJ623" s="14">
        <f t="shared" si="177"/>
        <v>5613</v>
      </c>
      <c r="AK623" s="14">
        <f t="shared" si="178"/>
        <v>2804</v>
      </c>
      <c r="AL623" s="14">
        <f t="shared" si="179"/>
        <v>25233</v>
      </c>
    </row>
    <row r="624" spans="11:38" ht="16.5" x14ac:dyDescent="0.2">
      <c r="K624" s="13">
        <v>621</v>
      </c>
      <c r="L624" s="13">
        <f t="shared" si="165"/>
        <v>30</v>
      </c>
      <c r="M624" s="13">
        <f t="shared" si="166"/>
        <v>4</v>
      </c>
      <c r="N624" s="14">
        <f t="shared" si="167"/>
        <v>1102014</v>
      </c>
      <c r="O624" s="14" t="str">
        <f t="shared" si="168"/>
        <v>石灵明12突</v>
      </c>
      <c r="P624" s="29" t="s">
        <v>341</v>
      </c>
      <c r="Q624" s="14">
        <f t="shared" si="169"/>
        <v>2</v>
      </c>
      <c r="R624" s="14">
        <f t="shared" si="170"/>
        <v>12</v>
      </c>
      <c r="S624" s="14" t="s">
        <v>39</v>
      </c>
      <c r="T624" s="14">
        <f>ROUND(((IF(Q624=1,INDEX(新属性投放!$J$14:$J$34,卡牌属性!R624),INDEX(新属性投放!$J$42:$J$62,卡牌属性!R624)))*INDEX($G$5:$G$42,L624)+IF(Q624=1,INDEX(新属性投放!R$20:R$23,卡牌属性!M624-1),INDEX(新属性投放!R$25:R$28,卡牌属性!M624-1)))/SQRT(INDEX($I$5:$I$42,L624)),2)</f>
        <v>7616.87</v>
      </c>
      <c r="U624" s="29" t="s">
        <v>178</v>
      </c>
      <c r="V624" s="14">
        <f>ROUND((IF(Q624=1,INDEX(新属性投放!$K$14:$K$34,卡牌属性!R624),INDEX(新属性投放!$K$42:$K$62,卡牌属性!R624))+IF(Q624=1,INDEX(新属性投放!S$20:S$23,卡牌属性!M624-1),INDEX(新属性投放!S$25:S$28,卡牌属性!M624-1)))*INDEX($G$5:$G$42,L624),2)</f>
        <v>3630.19</v>
      </c>
      <c r="W624" s="29" t="s">
        <v>179</v>
      </c>
      <c r="X624" s="14">
        <f>ROUND((IF(Q624=1,INDEX(新属性投放!$L$14:$L$34,卡牌属性!R624),INDEX(新属性投放!$L$42:$L$62,卡牌属性!R624))*INDEX($G$5:$G$42,L624)+IF(Q624=1,INDEX(新属性投放!T$20:T$23,卡牌属性!M624-1),INDEX(新属性投放!T$25:T$28,卡牌属性!M624-1)))*SQRT(INDEX($I$5:$I$42,L624)),2)</f>
        <v>39707.199999999997</v>
      </c>
      <c r="Y624" s="29" t="s">
        <v>177</v>
      </c>
      <c r="Z624" s="14">
        <f>ROUND(IF(Q624=1,INDEX(新属性投放!$D$14:$D$34,卡牌属性!R624),INDEX(新属性投放!$D$42:$D$62,卡牌属性!R624))*INDEX($G$5:$G$42,L624)/SQRT(INDEX($I$5:$I$42,L624)),2)</f>
        <v>176.31</v>
      </c>
      <c r="AA624" s="29" t="s">
        <v>178</v>
      </c>
      <c r="AB624" s="14">
        <f>ROUND(IF(Q624=1,INDEX(新属性投放!$E$14:$E$34,卡牌属性!R624),INDEX(新属性投放!$E$42:$E$62,卡牌属性!R624))*INDEX($G$5:$G$42,L624),2)</f>
        <v>88.15</v>
      </c>
      <c r="AC624" s="29" t="s">
        <v>179</v>
      </c>
      <c r="AD624" s="14">
        <f>ROUND(IF(Q624=1,INDEX(新属性投放!$F$14:$F$34,卡牌属性!R624),INDEX(新属性投放!$F$42:$F$62,卡牌属性!R624))*INDEX($G$5:$G$42,L624)*SQRT(INDEX($I$5:$I$42,L624)),2)</f>
        <v>793</v>
      </c>
      <c r="AF624" s="14">
        <f t="shared" si="171"/>
        <v>1763</v>
      </c>
      <c r="AG624" s="14">
        <f t="shared" si="172"/>
        <v>881</v>
      </c>
      <c r="AH624" s="14">
        <f t="shared" si="173"/>
        <v>7930</v>
      </c>
      <c r="AJ624" s="14">
        <f t="shared" si="177"/>
        <v>7376</v>
      </c>
      <c r="AK624" s="14">
        <f t="shared" si="178"/>
        <v>3685</v>
      </c>
      <c r="AL624" s="14">
        <f t="shared" si="179"/>
        <v>33163</v>
      </c>
    </row>
    <row r="625" spans="11:38" ht="16.5" x14ac:dyDescent="0.2">
      <c r="K625" s="13">
        <v>622</v>
      </c>
      <c r="L625" s="13">
        <f t="shared" si="165"/>
        <v>30</v>
      </c>
      <c r="M625" s="13">
        <f t="shared" si="166"/>
        <v>4</v>
      </c>
      <c r="N625" s="14">
        <f t="shared" si="167"/>
        <v>1102014</v>
      </c>
      <c r="O625" s="14" t="str">
        <f t="shared" si="168"/>
        <v>石灵明13突</v>
      </c>
      <c r="P625" s="29" t="s">
        <v>341</v>
      </c>
      <c r="Q625" s="14">
        <f t="shared" si="169"/>
        <v>2</v>
      </c>
      <c r="R625" s="14">
        <f t="shared" si="170"/>
        <v>13</v>
      </c>
      <c r="S625" s="14" t="s">
        <v>39</v>
      </c>
      <c r="T625" s="14">
        <f>ROUND(((IF(Q625=1,INDEX(新属性投放!$J$14:$J$34,卡牌属性!R625),INDEX(新属性投放!$J$42:$J$62,卡牌属性!R625)))*INDEX($G$5:$G$42,L625)+IF(Q625=1,INDEX(新属性投放!R$20:R$23,卡牌属性!M625-1),INDEX(新属性投放!R$25:R$28,卡牌属性!M625-1)))/SQRT(INDEX($I$5:$I$42,L625)),2)</f>
        <v>9820.6299999999992</v>
      </c>
      <c r="U625" s="29" t="s">
        <v>178</v>
      </c>
      <c r="V625" s="14">
        <f>ROUND((IF(Q625=1,INDEX(新属性投放!$K$14:$K$34,卡牌属性!R625),INDEX(新属性投放!$K$42:$K$62,卡牌属性!R625))+IF(Q625=1,INDEX(新属性投放!S$20:S$23,卡牌属性!M625-1),INDEX(新属性投放!S$25:S$28,卡牌属性!M625-1)))*INDEX($G$5:$G$42,L625),2)</f>
        <v>4732.72</v>
      </c>
      <c r="W625" s="29" t="s">
        <v>179</v>
      </c>
      <c r="X625" s="14">
        <f>ROUND((IF(Q625=1,INDEX(新属性投放!$L$14:$L$34,卡牌属性!R625),INDEX(新属性投放!$L$42:$L$62,卡牌属性!R625))*INDEX($G$5:$G$42,L625)+IF(Q625=1,INDEX(新属性投放!T$20:T$23,卡牌属性!M625-1),INDEX(新属性投放!T$25:T$28,卡牌属性!M625-1)))*SQRT(INDEX($I$5:$I$42,L625)),2)</f>
        <v>51603.5</v>
      </c>
      <c r="Y625" s="29" t="s">
        <v>177</v>
      </c>
      <c r="Z625" s="14">
        <f>ROUND(IF(Q625=1,INDEX(新属性投放!$D$14:$D$34,卡牌属性!R625),INDEX(新属性投放!$D$42:$D$62,卡牌属性!R625))*INDEX($G$5:$G$42,L625)/SQRT(INDEX($I$5:$I$42,L625)),2)</f>
        <v>231.4</v>
      </c>
      <c r="AA625" s="29" t="s">
        <v>178</v>
      </c>
      <c r="AB625" s="14">
        <f>ROUND(IF(Q625=1,INDEX(新属性投放!$E$14:$E$34,卡牌属性!R625),INDEX(新属性投放!$E$42:$E$62,卡牌属性!R625))*INDEX($G$5:$G$42,L625),2)</f>
        <v>115.7</v>
      </c>
      <c r="AC625" s="29" t="s">
        <v>179</v>
      </c>
      <c r="AD625" s="14">
        <f>ROUND(IF(Q625=1,INDEX(新属性投放!$F$14:$F$34,卡牌属性!R625),INDEX(新属性投放!$F$42:$F$62,卡牌属性!R625))*INDEX($G$5:$G$42,L625)*SQRT(INDEX($I$5:$I$42,L625)),2)</f>
        <v>1041.3</v>
      </c>
      <c r="AF625" s="14">
        <f t="shared" si="171"/>
        <v>2314</v>
      </c>
      <c r="AG625" s="14">
        <f t="shared" si="172"/>
        <v>1157</v>
      </c>
      <c r="AH625" s="14">
        <f t="shared" si="173"/>
        <v>10413</v>
      </c>
      <c r="AJ625" s="14">
        <f t="shared" si="177"/>
        <v>9690</v>
      </c>
      <c r="AK625" s="14">
        <f t="shared" si="178"/>
        <v>4842</v>
      </c>
      <c r="AL625" s="14">
        <f t="shared" si="179"/>
        <v>43576</v>
      </c>
    </row>
    <row r="626" spans="11:38" ht="16.5" x14ac:dyDescent="0.2">
      <c r="K626" s="13">
        <v>623</v>
      </c>
      <c r="L626" s="13">
        <f t="shared" si="165"/>
        <v>30</v>
      </c>
      <c r="M626" s="13">
        <f t="shared" si="166"/>
        <v>4</v>
      </c>
      <c r="N626" s="14">
        <f t="shared" si="167"/>
        <v>1102014</v>
      </c>
      <c r="O626" s="14" t="str">
        <f t="shared" si="168"/>
        <v>石灵明14突</v>
      </c>
      <c r="P626" s="29" t="s">
        <v>341</v>
      </c>
      <c r="Q626" s="14">
        <f t="shared" si="169"/>
        <v>2</v>
      </c>
      <c r="R626" s="14">
        <f t="shared" si="170"/>
        <v>14</v>
      </c>
      <c r="S626" s="14" t="s">
        <v>39</v>
      </c>
      <c r="T626" s="14">
        <f>ROUND(((IF(Q626=1,INDEX(新属性投放!$J$14:$J$34,卡牌属性!R626),INDEX(新属性投放!$J$42:$J$62,卡牌属性!R626)))*INDEX($G$5:$G$42,L626)+IF(Q626=1,INDEX(新属性投放!R$20:R$23,卡牌属性!M626-1),INDEX(新属性投放!R$25:R$28,卡牌属性!M626-1)))/SQRT(INDEX($I$5:$I$42,L626)),2)</f>
        <v>12713.13</v>
      </c>
      <c r="U626" s="29" t="s">
        <v>178</v>
      </c>
      <c r="V626" s="14">
        <f>ROUND((IF(Q626=1,INDEX(新属性投放!$K$14:$K$34,卡牌属性!R626),INDEX(新属性投放!$K$42:$K$62,卡牌属性!R626))+IF(Q626=1,INDEX(新属性投放!S$20:S$23,卡牌属性!M626-1),INDEX(新属性投放!S$25:S$28,卡牌属性!M626-1)))*INDEX($G$5:$G$42,L626),2)</f>
        <v>6179.62</v>
      </c>
      <c r="W626" s="29" t="s">
        <v>179</v>
      </c>
      <c r="X626" s="14">
        <f>ROUND((IF(Q626=1,INDEX(新属性投放!$L$14:$L$34,卡牌属性!R626),INDEX(新属性投放!$L$42:$L$62,卡牌属性!R626))*INDEX($G$5:$G$42,L626)+IF(Q626=1,INDEX(新属性投放!T$20:T$23,卡牌属性!M626-1),INDEX(新属性投放!T$25:T$28,卡牌属性!M626-1)))*SQRT(INDEX($I$5:$I$42,L626)),2)</f>
        <v>67223</v>
      </c>
      <c r="Y626" s="29" t="s">
        <v>177</v>
      </c>
      <c r="Z626" s="14">
        <f>ROUND(IF(Q626=1,INDEX(新属性投放!$D$14:$D$34,卡牌属性!R626),INDEX(新属性投放!$D$42:$D$62,卡牌属性!R626))*INDEX($G$5:$G$42,L626)/SQRT(INDEX($I$5:$I$42,L626)),2)</f>
        <v>303.72000000000003</v>
      </c>
      <c r="AA626" s="29" t="s">
        <v>178</v>
      </c>
      <c r="AB626" s="14">
        <f>ROUND(IF(Q626=1,INDEX(新属性投放!$E$14:$E$34,卡牌属性!R626),INDEX(新属性投放!$E$42:$E$62,卡牌属性!R626))*INDEX($G$5:$G$42,L626),2)</f>
        <v>151.86000000000001</v>
      </c>
      <c r="AC626" s="29" t="s">
        <v>179</v>
      </c>
      <c r="AD626" s="14">
        <f>ROUND(IF(Q626=1,INDEX(新属性投放!$F$14:$F$34,卡牌属性!R626),INDEX(新属性投放!$F$42:$F$62,卡牌属性!R626))*INDEX($G$5:$G$42,L626)*SQRT(INDEX($I$5:$I$42,L626)),2)</f>
        <v>1366.3</v>
      </c>
      <c r="AF626" s="14">
        <f t="shared" si="171"/>
        <v>3037</v>
      </c>
      <c r="AG626" s="14">
        <f t="shared" si="172"/>
        <v>1518</v>
      </c>
      <c r="AH626" s="14">
        <f t="shared" si="173"/>
        <v>13663</v>
      </c>
      <c r="AJ626" s="14">
        <f t="shared" si="177"/>
        <v>12727</v>
      </c>
      <c r="AK626" s="14">
        <f t="shared" si="178"/>
        <v>6360</v>
      </c>
      <c r="AL626" s="14">
        <f t="shared" si="179"/>
        <v>57239</v>
      </c>
    </row>
    <row r="627" spans="11:38" ht="16.5" x14ac:dyDescent="0.2">
      <c r="K627" s="13">
        <v>624</v>
      </c>
      <c r="L627" s="13">
        <f t="shared" si="165"/>
        <v>30</v>
      </c>
      <c r="M627" s="13">
        <f t="shared" si="166"/>
        <v>4</v>
      </c>
      <c r="N627" s="14">
        <f t="shared" si="167"/>
        <v>1102014</v>
      </c>
      <c r="O627" s="14" t="str">
        <f t="shared" si="168"/>
        <v>石灵明15突</v>
      </c>
      <c r="P627" s="29" t="s">
        <v>341</v>
      </c>
      <c r="Q627" s="14">
        <f t="shared" si="169"/>
        <v>2</v>
      </c>
      <c r="R627" s="14">
        <f t="shared" si="170"/>
        <v>15</v>
      </c>
      <c r="S627" s="14" t="s">
        <v>39</v>
      </c>
      <c r="T627" s="14">
        <f>ROUND(((IF(Q627=1,INDEX(新属性投放!$J$14:$J$34,卡牌属性!R627),INDEX(新属性投放!$J$42:$J$62,卡牌属性!R627)))*INDEX($G$5:$G$42,L627)+IF(Q627=1,INDEX(新属性投放!R$20:R$23,卡牌属性!M627-1),INDEX(新属性投放!R$25:R$28,卡牌属性!M627-1)))/SQRT(INDEX($I$5:$I$42,L627)),2)</f>
        <v>16509.52</v>
      </c>
      <c r="U627" s="29" t="s">
        <v>178</v>
      </c>
      <c r="V627" s="14">
        <f>ROUND((IF(Q627=1,INDEX(新属性投放!$K$14:$K$34,卡牌属性!R627),INDEX(新属性投放!$K$42:$K$62,卡牌属性!R627))+IF(Q627=1,INDEX(新属性投放!S$20:S$23,卡牌属性!M627-1),INDEX(新属性投放!S$25:S$28,卡牌属性!M627-1)))*INDEX($G$5:$G$42,L627),2)</f>
        <v>8077.81</v>
      </c>
      <c r="W627" s="29" t="s">
        <v>179</v>
      </c>
      <c r="X627" s="14">
        <f>ROUND((IF(Q627=1,INDEX(新属性投放!$L$14:$L$34,卡牌属性!R627),INDEX(新属性投放!$L$42:$L$62,卡牌属性!R627))*INDEX($G$5:$G$42,L627)+IF(Q627=1,INDEX(新属性投放!T$20:T$23,卡牌属性!M627-1),INDEX(新属性投放!T$25:T$28,卡牌属性!M627-1)))*SQRT(INDEX($I$5:$I$42,L627)),2)</f>
        <v>87718.8</v>
      </c>
      <c r="Y627" s="29" t="s">
        <v>177</v>
      </c>
      <c r="Z627" s="14">
        <f>ROUND(IF(Q627=1,INDEX(新属性投放!$D$14:$D$34,卡牌属性!R627),INDEX(新属性投放!$D$42:$D$62,卡牌属性!R627))*INDEX($G$5:$G$42,L627)/SQRT(INDEX($I$5:$I$42,L627)),2)</f>
        <v>398.63</v>
      </c>
      <c r="AA627" s="29" t="s">
        <v>178</v>
      </c>
      <c r="AB627" s="14">
        <f>ROUND(IF(Q627=1,INDEX(新属性投放!$E$14:$E$34,卡牌属性!R627),INDEX(新属性投放!$E$42:$E$62,卡牌属性!R627))*INDEX($G$5:$G$42,L627),2)</f>
        <v>199.32</v>
      </c>
      <c r="AC627" s="29" t="s">
        <v>179</v>
      </c>
      <c r="AD627" s="14">
        <f>ROUND(IF(Q627=1,INDEX(新属性投放!$F$14:$F$34,卡牌属性!R627),INDEX(新属性投放!$F$42:$F$62,卡牌属性!R627))*INDEX($G$5:$G$42,L627)*SQRT(INDEX($I$5:$I$42,L627)),2)</f>
        <v>1792.7</v>
      </c>
      <c r="AF627" s="14">
        <f t="shared" si="171"/>
        <v>3986</v>
      </c>
      <c r="AG627" s="14">
        <f t="shared" si="172"/>
        <v>1993</v>
      </c>
      <c r="AH627" s="14">
        <f t="shared" si="173"/>
        <v>17927</v>
      </c>
      <c r="AJ627" s="14">
        <f t="shared" si="177"/>
        <v>16713</v>
      </c>
      <c r="AK627" s="14">
        <f t="shared" si="178"/>
        <v>8353</v>
      </c>
      <c r="AL627" s="14">
        <f t="shared" si="179"/>
        <v>75166</v>
      </c>
    </row>
    <row r="628" spans="11:38" ht="16.5" x14ac:dyDescent="0.2">
      <c r="K628" s="13">
        <v>625</v>
      </c>
      <c r="L628" s="13">
        <f t="shared" si="165"/>
        <v>30</v>
      </c>
      <c r="M628" s="13">
        <f t="shared" si="166"/>
        <v>4</v>
      </c>
      <c r="N628" s="14">
        <f t="shared" si="167"/>
        <v>1102014</v>
      </c>
      <c r="O628" s="14" t="str">
        <f t="shared" si="168"/>
        <v>石灵明16突</v>
      </c>
      <c r="P628" s="29" t="s">
        <v>341</v>
      </c>
      <c r="Q628" s="14">
        <f t="shared" si="169"/>
        <v>2</v>
      </c>
      <c r="R628" s="14">
        <f t="shared" si="170"/>
        <v>16</v>
      </c>
      <c r="S628" s="14" t="s">
        <v>39</v>
      </c>
      <c r="T628" s="14">
        <f>ROUND(((IF(Q628=1,INDEX(新属性投放!$J$14:$J$34,卡牌属性!R628),INDEX(新属性投放!$J$42:$J$62,卡牌属性!R628)))*INDEX($G$5:$G$42,L628)+IF(Q628=1,INDEX(新属性投放!R$20:R$23,卡牌属性!M628-1),INDEX(新属性投放!R$25:R$28,卡牌属性!M628-1)))/SQRT(INDEX($I$5:$I$42,L628)),2)</f>
        <v>21492.94</v>
      </c>
      <c r="U628" s="29" t="s">
        <v>178</v>
      </c>
      <c r="V628" s="14">
        <f>ROUND((IF(Q628=1,INDEX(新属性投放!$K$14:$K$34,卡牌属性!R628),INDEX(新属性投放!$K$42:$K$62,卡牌属性!R628))+IF(Q628=1,INDEX(新属性投放!S$20:S$23,卡牌属性!M628-1),INDEX(新属性投放!S$25:S$28,卡牌属性!M628-1)))*INDEX($G$5:$G$42,L628),2)</f>
        <v>10568.87</v>
      </c>
      <c r="W628" s="29" t="s">
        <v>179</v>
      </c>
      <c r="X628" s="14">
        <f>ROUND((IF(Q628=1,INDEX(新属性投放!$L$14:$L$34,卡牌属性!R628),INDEX(新属性投放!$L$42:$L$62,卡牌属性!R628))*INDEX($G$5:$G$42,L628)+IF(Q628=1,INDEX(新属性投放!T$20:T$23,卡牌属性!M628-1),INDEX(新属性投放!T$25:T$28,卡牌属性!M628-1)))*SQRT(INDEX($I$5:$I$42,L628)),2)</f>
        <v>114619.7</v>
      </c>
      <c r="Y628" s="29" t="s">
        <v>177</v>
      </c>
      <c r="Z628" s="14">
        <f>ROUND(IF(Q628=1,INDEX(新属性投放!$D$14:$D$34,卡牌属性!R628),INDEX(新属性投放!$D$42:$D$62,卡牌属性!R628))*INDEX($G$5:$G$42,L628)/SQRT(INDEX($I$5:$I$42,L628)),2)</f>
        <v>523.21</v>
      </c>
      <c r="AA628" s="29" t="s">
        <v>178</v>
      </c>
      <c r="AB628" s="14">
        <f>ROUND(IF(Q628=1,INDEX(新属性投放!$E$14:$E$34,卡牌属性!R628),INDEX(新属性投放!$E$42:$E$62,卡牌属性!R628))*INDEX($G$5:$G$42,L628),2)</f>
        <v>261.61</v>
      </c>
      <c r="AC628" s="29" t="s">
        <v>179</v>
      </c>
      <c r="AD628" s="14">
        <f>ROUND(IF(Q628=1,INDEX(新属性投放!$F$14:$F$34,卡牌属性!R628),INDEX(新属性投放!$F$42:$F$62,卡牌属性!R628))*INDEX($G$5:$G$42,L628)*SQRT(INDEX($I$5:$I$42,L628)),2)</f>
        <v>2354.3000000000002</v>
      </c>
      <c r="AF628" s="14">
        <f t="shared" si="171"/>
        <v>5232</v>
      </c>
      <c r="AG628" s="14">
        <f t="shared" si="172"/>
        <v>2616</v>
      </c>
      <c r="AH628" s="14">
        <f t="shared" si="173"/>
        <v>23543</v>
      </c>
      <c r="AJ628" s="14">
        <f t="shared" si="177"/>
        <v>21945</v>
      </c>
      <c r="AK628" s="14">
        <f t="shared" si="178"/>
        <v>10969</v>
      </c>
      <c r="AL628" s="14">
        <f t="shared" si="179"/>
        <v>98709</v>
      </c>
    </row>
    <row r="629" spans="11:38" ht="16.5" x14ac:dyDescent="0.2">
      <c r="K629" s="13">
        <v>626</v>
      </c>
      <c r="L629" s="13">
        <f t="shared" si="165"/>
        <v>30</v>
      </c>
      <c r="M629" s="13">
        <f t="shared" si="166"/>
        <v>4</v>
      </c>
      <c r="N629" s="14">
        <f t="shared" si="167"/>
        <v>1102014</v>
      </c>
      <c r="O629" s="14" t="str">
        <f t="shared" si="168"/>
        <v>石灵明17突</v>
      </c>
      <c r="P629" s="29" t="s">
        <v>341</v>
      </c>
      <c r="Q629" s="14">
        <f t="shared" si="169"/>
        <v>2</v>
      </c>
      <c r="R629" s="14">
        <f t="shared" si="170"/>
        <v>17</v>
      </c>
      <c r="S629" s="14" t="s">
        <v>39</v>
      </c>
      <c r="T629" s="14">
        <f>ROUND(((IF(Q629=1,INDEX(新属性投放!$J$14:$J$34,卡牌属性!R629),INDEX(新属性投放!$J$42:$J$62,卡牌属性!R629)))*INDEX($G$5:$G$42,L629)+IF(Q629=1,INDEX(新属性投放!R$20:R$23,卡牌属性!M629-1),INDEX(新属性投放!R$25:R$28,卡牌属性!M629-1)))/SQRT(INDEX($I$5:$I$42,L629)),2)</f>
        <v>28032.85</v>
      </c>
      <c r="U629" s="29" t="s">
        <v>178</v>
      </c>
      <c r="V629" s="14">
        <f>ROUND((IF(Q629=1,INDEX(新属性投放!$K$14:$K$34,卡牌属性!R629),INDEX(新属性投放!$K$42:$K$62,卡牌属性!R629))+IF(Q629=1,INDEX(新属性投放!S$20:S$23,卡牌属性!M629-1),INDEX(新属性投放!S$25:S$28,卡牌属性!M629-1)))*INDEX($G$5:$G$42,L629),2)</f>
        <v>13838.83</v>
      </c>
      <c r="W629" s="29" t="s">
        <v>179</v>
      </c>
      <c r="X629" s="14">
        <f>ROUND((IF(Q629=1,INDEX(新属性投放!$L$14:$L$34,卡牌属性!R629),INDEX(新属性投放!$L$42:$L$62,卡牌属性!R629))*INDEX($G$5:$G$42,L629)+IF(Q629=1,INDEX(新属性投放!T$20:T$23,卡牌属性!M629-1),INDEX(新属性投放!T$25:T$28,卡牌属性!M629-1)))*SQRT(INDEX($I$5:$I$42,L629)),2)</f>
        <v>149932.9</v>
      </c>
      <c r="Y629" s="29" t="s">
        <v>177</v>
      </c>
      <c r="Z629" s="14">
        <f>ROUND(IF(Q629=1,INDEX(新属性投放!$D$14:$D$34,卡牌属性!R629),INDEX(新属性投放!$D$42:$D$62,卡牌属性!R629))*INDEX($G$5:$G$42,L629)/SQRT(INDEX($I$5:$I$42,L629)),2)</f>
        <v>686.71</v>
      </c>
      <c r="AA629" s="29" t="s">
        <v>178</v>
      </c>
      <c r="AB629" s="14">
        <f>ROUND(IF(Q629=1,INDEX(新属性投放!$E$14:$E$34,卡牌属性!R629),INDEX(新属性投放!$E$42:$E$62,卡牌属性!R629))*INDEX($G$5:$G$42,L629),2)</f>
        <v>343.36</v>
      </c>
      <c r="AC629" s="29" t="s">
        <v>179</v>
      </c>
      <c r="AD629" s="14">
        <f>ROUND(IF(Q629=1,INDEX(新属性投放!$F$14:$F$34,卡牌属性!R629),INDEX(新属性投放!$F$42:$F$62,卡牌属性!R629))*INDEX($G$5:$G$42,L629)*SQRT(INDEX($I$5:$I$42,L629)),2)</f>
        <v>3090.1</v>
      </c>
      <c r="AF629" s="14">
        <f t="shared" si="171"/>
        <v>6867</v>
      </c>
      <c r="AG629" s="14">
        <f t="shared" si="172"/>
        <v>3433</v>
      </c>
      <c r="AH629" s="14">
        <f t="shared" si="173"/>
        <v>30901</v>
      </c>
      <c r="AJ629" s="14">
        <f t="shared" si="177"/>
        <v>28812</v>
      </c>
      <c r="AK629" s="14">
        <f t="shared" si="178"/>
        <v>14402</v>
      </c>
      <c r="AL629" s="14">
        <f t="shared" si="179"/>
        <v>129610</v>
      </c>
    </row>
    <row r="630" spans="11:38" ht="16.5" x14ac:dyDescent="0.2">
      <c r="K630" s="13">
        <v>627</v>
      </c>
      <c r="L630" s="13">
        <f t="shared" si="165"/>
        <v>30</v>
      </c>
      <c r="M630" s="13">
        <f t="shared" si="166"/>
        <v>4</v>
      </c>
      <c r="N630" s="14">
        <f t="shared" si="167"/>
        <v>1102014</v>
      </c>
      <c r="O630" s="14" t="str">
        <f t="shared" si="168"/>
        <v>石灵明18突</v>
      </c>
      <c r="P630" s="29" t="s">
        <v>341</v>
      </c>
      <c r="Q630" s="14">
        <f t="shared" si="169"/>
        <v>2</v>
      </c>
      <c r="R630" s="14">
        <f t="shared" si="170"/>
        <v>18</v>
      </c>
      <c r="S630" s="14" t="s">
        <v>39</v>
      </c>
      <c r="T630" s="14">
        <f>ROUND(((IF(Q630=1,INDEX(新属性投放!$J$14:$J$34,卡牌属性!R630),INDEX(新属性投放!$J$42:$J$62,卡牌属性!R630)))*INDEX($G$5:$G$42,L630)+IF(Q630=1,INDEX(新属性投放!R$20:R$23,卡牌属性!M630-1),INDEX(新属性投放!R$25:R$28,卡牌属性!M630-1)))/SQRT(INDEX($I$5:$I$42,L630)),2)</f>
        <v>36617.269999999997</v>
      </c>
      <c r="U630" s="29" t="s">
        <v>178</v>
      </c>
      <c r="V630" s="14">
        <f>ROUND((IF(Q630=1,INDEX(新属性投放!$K$14:$K$34,卡牌属性!R630),INDEX(新属性投放!$K$42:$K$62,卡牌属性!R630))+IF(Q630=1,INDEX(新属性投放!S$20:S$23,卡牌属性!M630-1),INDEX(新属性投放!S$25:S$28,卡牌属性!M630-1)))*INDEX($G$5:$G$42,L630),2)</f>
        <v>18130.39</v>
      </c>
      <c r="W630" s="29" t="s">
        <v>179</v>
      </c>
      <c r="X630" s="14">
        <f>ROUND((IF(Q630=1,INDEX(新属性投放!$L$14:$L$34,卡牌属性!R630),INDEX(新属性投放!$L$42:$L$62,卡牌属性!R630))*INDEX($G$5:$G$42,L630)+IF(Q630=1,INDEX(新属性投放!T$20:T$23,卡牌属性!M630-1),INDEX(新属性投放!T$25:T$28,卡牌属性!M630-1)))*SQRT(INDEX($I$5:$I$42,L630)),2)</f>
        <v>196289.6</v>
      </c>
      <c r="Y630" s="29" t="s">
        <v>177</v>
      </c>
      <c r="Z630" s="14">
        <f>ROUND(IF(Q630=1,INDEX(新属性投放!$D$14:$D$34,卡牌属性!R630),INDEX(新属性投放!$D$42:$D$62,卡牌属性!R630))*INDEX($G$5:$G$42,L630)/SQRT(INDEX($I$5:$I$42,L630)),2)</f>
        <v>901.32</v>
      </c>
      <c r="AA630" s="29" t="s">
        <v>178</v>
      </c>
      <c r="AB630" s="14">
        <f>ROUND(IF(Q630=1,INDEX(新属性投放!$E$14:$E$34,卡牌属性!R630),INDEX(新属性投放!$E$42:$E$62,卡牌属性!R630))*INDEX($G$5:$G$42,L630),2)</f>
        <v>450.66</v>
      </c>
      <c r="AC630" s="29" t="s">
        <v>179</v>
      </c>
      <c r="AD630" s="14">
        <f>ROUND(IF(Q630=1,INDEX(新属性投放!$F$14:$F$34,卡牌属性!R630),INDEX(新属性投放!$F$42:$F$62,卡牌属性!R630))*INDEX($G$5:$G$42,L630)*SQRT(INDEX($I$5:$I$42,L630)),2)</f>
        <v>4054.7</v>
      </c>
      <c r="AF630" s="14">
        <f t="shared" si="171"/>
        <v>9013</v>
      </c>
      <c r="AG630" s="14">
        <f t="shared" si="172"/>
        <v>4506</v>
      </c>
      <c r="AH630" s="14">
        <f t="shared" si="173"/>
        <v>40547</v>
      </c>
      <c r="AJ630" s="14">
        <f t="shared" si="177"/>
        <v>37825</v>
      </c>
      <c r="AK630" s="14">
        <f t="shared" si="178"/>
        <v>18908</v>
      </c>
      <c r="AL630" s="14">
        <f t="shared" si="179"/>
        <v>170157</v>
      </c>
    </row>
    <row r="631" spans="11:38" ht="16.5" x14ac:dyDescent="0.2">
      <c r="K631" s="13">
        <v>628</v>
      </c>
      <c r="L631" s="13">
        <f t="shared" si="165"/>
        <v>30</v>
      </c>
      <c r="M631" s="13">
        <f t="shared" si="166"/>
        <v>4</v>
      </c>
      <c r="N631" s="14">
        <f t="shared" si="167"/>
        <v>1102014</v>
      </c>
      <c r="O631" s="14" t="str">
        <f t="shared" si="168"/>
        <v>石灵明19突</v>
      </c>
      <c r="P631" s="29" t="s">
        <v>341</v>
      </c>
      <c r="Q631" s="14">
        <f t="shared" si="169"/>
        <v>2</v>
      </c>
      <c r="R631" s="14">
        <f t="shared" si="170"/>
        <v>19</v>
      </c>
      <c r="S631" s="14" t="s">
        <v>39</v>
      </c>
      <c r="T631" s="14">
        <f>ROUND(((IF(Q631=1,INDEX(新属性投放!$J$14:$J$34,卡牌属性!R631),INDEX(新属性投放!$J$42:$J$62,卡牌属性!R631)))*INDEX($G$5:$G$42,L631)+IF(Q631=1,INDEX(新属性投放!R$20:R$23,卡牌属性!M631-1),INDEX(新属性投放!R$25:R$28,卡牌属性!M631-1)))/SQRT(INDEX($I$5:$I$42,L631)),2)</f>
        <v>47883.33</v>
      </c>
      <c r="U631" s="29" t="s">
        <v>178</v>
      </c>
      <c r="V631" s="14">
        <f>ROUND((IF(Q631=1,INDEX(新属性投放!$K$14:$K$34,卡牌属性!R631),INDEX(新属性投放!$K$42:$K$62,卡牌属性!R631))+IF(Q631=1,INDEX(新属性投放!S$20:S$23,卡牌属性!M631-1),INDEX(新属性投放!S$25:S$28,卡牌属性!M631-1)))*INDEX($G$5:$G$42,L631),2)</f>
        <v>23764.07</v>
      </c>
      <c r="W631" s="29" t="s">
        <v>179</v>
      </c>
      <c r="X631" s="14">
        <f>ROUND((IF(Q631=1,INDEX(新属性投放!$L$14:$L$34,卡牌属性!R631),INDEX(新属性投放!$L$42:$L$62,卡牌属性!R631))*INDEX($G$5:$G$42,L631)+IF(Q631=1,INDEX(新属性投放!T$20:T$23,卡牌属性!M631-1),INDEX(新属性投放!T$25:T$28,卡牌属性!M631-1)))*SQRT(INDEX($I$5:$I$42,L631)),2)</f>
        <v>257112.7</v>
      </c>
      <c r="Y631" s="29" t="s">
        <v>177</v>
      </c>
      <c r="Z631" s="14">
        <f>ROUND(IF(Q631=1,INDEX(新属性投放!$D$14:$D$34,卡牌属性!R631),INDEX(新属性投放!$D$42:$D$62,卡牌属性!R631))*INDEX($G$5:$G$42,L631)/SQRT(INDEX($I$5:$I$42,L631)),2)</f>
        <v>1182.97</v>
      </c>
      <c r="AA631" s="29" t="s">
        <v>178</v>
      </c>
      <c r="AB631" s="14">
        <f>ROUND(IF(Q631=1,INDEX(新属性投放!$E$14:$E$34,卡牌属性!R631),INDEX(新属性投放!$E$42:$E$62,卡牌属性!R631))*INDEX($G$5:$G$42,L631),2)</f>
        <v>591.49</v>
      </c>
      <c r="AC631" s="29" t="s">
        <v>179</v>
      </c>
      <c r="AD631" s="14">
        <f>ROUND(IF(Q631=1,INDEX(新属性投放!$F$14:$F$34,卡牌属性!R631),INDEX(新属性投放!$F$42:$F$62,卡牌属性!R631))*INDEX($G$5:$G$42,L631)*SQRT(INDEX($I$5:$I$42,L631)),2)</f>
        <v>5322.2</v>
      </c>
      <c r="AF631" s="14">
        <f t="shared" si="171"/>
        <v>11829</v>
      </c>
      <c r="AG631" s="14">
        <f t="shared" si="172"/>
        <v>5914</v>
      </c>
      <c r="AH631" s="14">
        <f t="shared" si="173"/>
        <v>53222</v>
      </c>
      <c r="AJ631" s="14">
        <f t="shared" si="177"/>
        <v>49654</v>
      </c>
      <c r="AK631" s="14">
        <f t="shared" si="178"/>
        <v>24822</v>
      </c>
      <c r="AL631" s="14">
        <f t="shared" si="179"/>
        <v>223379</v>
      </c>
    </row>
    <row r="632" spans="11:38" ht="16.5" x14ac:dyDescent="0.2">
      <c r="K632" s="13">
        <v>629</v>
      </c>
      <c r="L632" s="13">
        <f t="shared" si="165"/>
        <v>30</v>
      </c>
      <c r="M632" s="13">
        <f t="shared" si="166"/>
        <v>4</v>
      </c>
      <c r="N632" s="14">
        <f t="shared" si="167"/>
        <v>1102014</v>
      </c>
      <c r="O632" s="14" t="str">
        <f t="shared" si="168"/>
        <v>石灵明20突</v>
      </c>
      <c r="P632" s="29" t="s">
        <v>341</v>
      </c>
      <c r="Q632" s="14">
        <f t="shared" si="169"/>
        <v>2</v>
      </c>
      <c r="R632" s="14">
        <f t="shared" si="170"/>
        <v>20</v>
      </c>
      <c r="S632" s="14" t="s">
        <v>39</v>
      </c>
      <c r="T632" s="14">
        <f>ROUND(((IF(Q632=1,INDEX(新属性投放!$J$14:$J$34,卡牌属性!R632),INDEX(新属性投放!$J$42:$J$62,卡牌属性!R632)))*INDEX($G$5:$G$42,L632)+IF(Q632=1,INDEX(新属性投放!R$20:R$23,卡牌属性!M632-1),INDEX(新属性投放!R$25:R$28,卡牌属性!M632-1)))/SQRT(INDEX($I$5:$I$42,L632)),2)</f>
        <v>62670.57</v>
      </c>
      <c r="U632" s="29" t="s">
        <v>178</v>
      </c>
      <c r="V632" s="14">
        <f>ROUND((IF(Q632=1,INDEX(新属性投放!$K$14:$K$34,卡牌属性!R632),INDEX(新属性投放!$K$42:$K$62,卡牌属性!R632))+IF(Q632=1,INDEX(新属性投放!S$20:S$23,卡牌属性!M632-1),INDEX(新属性投放!S$25:S$28,卡牌属性!M632-1)))*INDEX($G$5:$G$42,L632),2)</f>
        <v>31157.040000000001</v>
      </c>
      <c r="W632" s="29" t="s">
        <v>179</v>
      </c>
      <c r="X632" s="14">
        <f>ROUND((IF(Q632=1,INDEX(新属性投放!$L$14:$L$34,卡牌属性!R632),INDEX(新属性投放!$L$42:$L$62,卡牌属性!R632))*INDEX($G$5:$G$42,L632)+IF(Q632=1,INDEX(新属性投放!T$20:T$23,卡牌属性!M632-1),INDEX(新属性投放!T$25:T$28,卡牌属性!M632-1)))*SQRT(INDEX($I$5:$I$42,L632)),2)</f>
        <v>336952.2</v>
      </c>
      <c r="Y632" s="29" t="s">
        <v>177</v>
      </c>
      <c r="Z632" s="14">
        <f>ROUND(IF(Q632=1,INDEX(新属性投放!$D$14:$D$34,卡牌属性!R632),INDEX(新属性投放!$D$42:$D$62,卡牌属性!R632))*INDEX($G$5:$G$42,L632)/SQRT(INDEX($I$5:$I$42,L632)),2)</f>
        <v>1552.66</v>
      </c>
      <c r="AA632" s="29" t="s">
        <v>178</v>
      </c>
      <c r="AB632" s="14">
        <f>ROUND(IF(Q632=1,INDEX(新属性投放!$E$14:$E$34,卡牌属性!R632),INDEX(新属性投放!$E$42:$E$62,卡牌属性!R632))*INDEX($G$5:$G$42,L632),2)</f>
        <v>776.33</v>
      </c>
      <c r="AC632" s="29" t="s">
        <v>179</v>
      </c>
      <c r="AD632" s="14">
        <f>ROUND(IF(Q632=1,INDEX(新属性投放!$F$14:$F$34,卡牌属性!R632),INDEX(新属性投放!$F$42:$F$62,卡牌属性!R632))*INDEX($G$5:$G$42,L632)*SQRT(INDEX($I$5:$I$42,L632)),2)</f>
        <v>6986.2</v>
      </c>
      <c r="AF632" s="14">
        <f t="shared" si="171"/>
        <v>15526</v>
      </c>
      <c r="AG632" s="14">
        <f t="shared" si="172"/>
        <v>7763</v>
      </c>
      <c r="AH632" s="14">
        <f t="shared" si="173"/>
        <v>69862</v>
      </c>
      <c r="AJ632" s="14">
        <f t="shared" si="177"/>
        <v>65180</v>
      </c>
      <c r="AK632" s="14">
        <f t="shared" si="178"/>
        <v>32585</v>
      </c>
      <c r="AL632" s="14">
        <f t="shared" si="179"/>
        <v>293241</v>
      </c>
    </row>
    <row r="633" spans="11:38" ht="16.5" x14ac:dyDescent="0.2">
      <c r="K633" s="13">
        <v>630</v>
      </c>
      <c r="L633" s="13">
        <f t="shared" si="165"/>
        <v>30</v>
      </c>
      <c r="M633" s="13">
        <f t="shared" si="166"/>
        <v>4</v>
      </c>
      <c r="N633" s="14">
        <f t="shared" si="167"/>
        <v>1102014</v>
      </c>
      <c r="O633" s="14" t="str">
        <f t="shared" si="168"/>
        <v>石灵明21突</v>
      </c>
      <c r="P633" s="29" t="s">
        <v>341</v>
      </c>
      <c r="Q633" s="14">
        <f t="shared" si="169"/>
        <v>2</v>
      </c>
      <c r="R633" s="14">
        <f t="shared" si="170"/>
        <v>21</v>
      </c>
      <c r="S633" s="14" t="s">
        <v>39</v>
      </c>
      <c r="T633" s="14">
        <f>ROUND(((IF(Q633=1,INDEX(新属性投放!$J$14:$J$34,卡牌属性!R633),INDEX(新属性投放!$J$42:$J$62,卡牌属性!R633)))*INDEX($G$5:$G$42,L633)+IF(Q633=1,INDEX(新属性投放!R$20:R$23,卡牌属性!M633-1),INDEX(新属性投放!R$25:R$28,卡牌属性!M633-1)))/SQRT(INDEX($I$5:$I$42,L633)),2)</f>
        <v>82078.92</v>
      </c>
      <c r="U633" s="29" t="s">
        <v>178</v>
      </c>
      <c r="V633" s="14">
        <f>ROUND((IF(Q633=1,INDEX(新属性投放!$K$14:$K$34,卡牌属性!R633),INDEX(新属性投放!$K$42:$K$62,卡牌属性!R633))+IF(Q633=1,INDEX(新属性投放!S$20:S$23,卡牌属性!M633-1),INDEX(新属性投放!S$25:S$28,卡牌属性!M633-1)))*INDEX($G$5:$G$42,L633),2)</f>
        <v>40861.21</v>
      </c>
      <c r="W633" s="29" t="s">
        <v>179</v>
      </c>
      <c r="X633" s="14">
        <f>ROUND((IF(Q633=1,INDEX(新属性投放!$L$14:$L$34,卡牌属性!R633),INDEX(新属性投放!$L$42:$L$62,卡牌属性!R633))*INDEX($G$5:$G$42,L633)+IF(Q633=1,INDEX(新属性投放!T$20:T$23,卡牌属性!M633-1),INDEX(新属性投放!T$25:T$28,卡牌属性!M633-1)))*SQRT(INDEX($I$5:$I$42,L633)),2)</f>
        <v>441750.4</v>
      </c>
      <c r="Y633" s="29" t="s">
        <v>177</v>
      </c>
      <c r="Z633" s="14">
        <f>ROUND(IF(Q633=1,INDEX(新属性投放!$D$14:$D$34,卡牌属性!R633),INDEX(新属性投放!$D$42:$D$62,卡牌属性!R633))*INDEX($G$5:$G$42,L633)/SQRT(INDEX($I$5:$I$42,L633)),2)</f>
        <v>2037.87</v>
      </c>
      <c r="AA633" s="29" t="s">
        <v>178</v>
      </c>
      <c r="AB633" s="14">
        <f>ROUND(IF(Q633=1,INDEX(新属性投放!$E$14:$E$34,卡牌属性!R633),INDEX(新属性投放!$E$42:$E$62,卡牌属性!R633))*INDEX($G$5:$G$42,L633),2)</f>
        <v>1018.93</v>
      </c>
      <c r="AC633" s="29" t="s">
        <v>179</v>
      </c>
      <c r="AD633" s="14">
        <f>ROUND(IF(Q633=1,INDEX(新属性投放!$F$14:$F$34,卡牌属性!R633),INDEX(新属性投放!$F$42:$F$62,卡牌属性!R633))*INDEX($G$5:$G$42,L633)*SQRT(INDEX($I$5:$I$42,L633)),2)</f>
        <v>9170.2000000000007</v>
      </c>
      <c r="AF633" s="14">
        <f t="shared" si="171"/>
        <v>20378</v>
      </c>
      <c r="AG633" s="14">
        <f t="shared" si="172"/>
        <v>10189</v>
      </c>
      <c r="AH633" s="14">
        <f t="shared" si="173"/>
        <v>91702</v>
      </c>
      <c r="AJ633" s="14">
        <f t="shared" si="177"/>
        <v>85558</v>
      </c>
      <c r="AK633" s="14">
        <f t="shared" si="178"/>
        <v>42774</v>
      </c>
      <c r="AL633" s="14">
        <f t="shared" si="179"/>
        <v>384943</v>
      </c>
    </row>
    <row r="634" spans="11:38" ht="16.5" x14ac:dyDescent="0.2">
      <c r="K634" s="13">
        <v>631</v>
      </c>
      <c r="L634" s="13">
        <f t="shared" si="165"/>
        <v>31</v>
      </c>
      <c r="M634" s="13">
        <f t="shared" si="166"/>
        <v>2</v>
      </c>
      <c r="N634" s="14">
        <f t="shared" si="167"/>
        <v>1102015</v>
      </c>
      <c r="O634" s="14" t="str">
        <f t="shared" si="168"/>
        <v>于禁1突</v>
      </c>
      <c r="P634" s="29" t="s">
        <v>341</v>
      </c>
      <c r="Q634" s="14">
        <f t="shared" si="169"/>
        <v>2</v>
      </c>
      <c r="R634" s="14">
        <f t="shared" si="170"/>
        <v>1</v>
      </c>
      <c r="S634" s="14" t="s">
        <v>39</v>
      </c>
      <c r="T634" s="14">
        <f>ROUND(((IF(Q634=1,INDEX(新属性投放!$J$14:$J$34,卡牌属性!R634),INDEX(新属性投放!$J$42:$J$62,卡牌属性!R634)))*INDEX($G$5:$G$42,L634)+IF(Q634=1,INDEX(新属性投放!R$20:R$23,卡牌属性!M634-1),INDEX(新属性投放!R$25:R$28,卡牌属性!M634-1)))/SQRT(INDEX($I$5:$I$42,L634)),2)</f>
        <v>350</v>
      </c>
      <c r="U634" s="29" t="s">
        <v>178</v>
      </c>
      <c r="V634" s="14">
        <f>ROUND((IF(Q634=1,INDEX(新属性投放!$K$14:$K$34,卡牌属性!R634),INDEX(新属性投放!$K$42:$K$62,卡牌属性!R634))+IF(Q634=1,INDEX(新属性投放!S$20:S$23,卡牌属性!M634-1),INDEX(新属性投放!S$25:S$28,卡牌属性!M634-1)))*INDEX($G$5:$G$42,L634),2)</f>
        <v>100</v>
      </c>
      <c r="W634" s="29" t="s">
        <v>179</v>
      </c>
      <c r="X634" s="14">
        <f>ROUND((IF(Q634=1,INDEX(新属性投放!$L$14:$L$34,卡牌属性!R634),INDEX(新属性投放!$L$42:$L$62,卡牌属性!R634))*INDEX($G$5:$G$42,L634)+IF(Q634=1,INDEX(新属性投放!T$20:T$23,卡牌属性!M634-1),INDEX(新属性投放!T$25:T$28,卡牌属性!M634-1)))*SQRT(INDEX($I$5:$I$42,L634)),2)</f>
        <v>750</v>
      </c>
      <c r="Y634" s="29" t="s">
        <v>177</v>
      </c>
      <c r="Z634" s="14">
        <f>ROUND(IF(Q634=1,INDEX(新属性投放!$D$14:$D$34,卡牌属性!R634),INDEX(新属性投放!$D$42:$D$62,卡牌属性!R634))*INDEX($G$5:$G$42,L634)/SQRT(INDEX($I$5:$I$42,L634)),2)</f>
        <v>10</v>
      </c>
      <c r="AA634" s="29" t="s">
        <v>178</v>
      </c>
      <c r="AB634" s="14">
        <f>ROUND(IF(Q634=1,INDEX(新属性投放!$E$14:$E$34,卡牌属性!R634),INDEX(新属性投放!$E$42:$E$62,卡牌属性!R634))*INDEX($G$5:$G$42,L634),2)</f>
        <v>5</v>
      </c>
      <c r="AC634" s="29" t="s">
        <v>179</v>
      </c>
      <c r="AD634" s="14">
        <f>ROUND(IF(Q634=1,INDEX(新属性投放!$F$14:$F$34,卡牌属性!R634),INDEX(新属性投放!$F$42:$F$62,卡牌属性!R634))*INDEX($G$5:$G$42,L634)*SQRT(INDEX($I$5:$I$42,L634)),2)</f>
        <v>45</v>
      </c>
      <c r="AF634" s="14">
        <f t="shared" si="171"/>
        <v>100</v>
      </c>
      <c r="AG634" s="14">
        <f t="shared" si="172"/>
        <v>50</v>
      </c>
      <c r="AH634" s="14">
        <f t="shared" si="173"/>
        <v>450</v>
      </c>
      <c r="AJ634" s="14">
        <f>AF634</f>
        <v>100</v>
      </c>
      <c r="AK634" s="14">
        <f>AG634</f>
        <v>50</v>
      </c>
      <c r="AL634" s="14">
        <f>AH634</f>
        <v>450</v>
      </c>
    </row>
    <row r="635" spans="11:38" ht="16.5" x14ac:dyDescent="0.2">
      <c r="K635" s="13">
        <v>632</v>
      </c>
      <c r="L635" s="13">
        <f t="shared" si="165"/>
        <v>31</v>
      </c>
      <c r="M635" s="13">
        <f t="shared" si="166"/>
        <v>2</v>
      </c>
      <c r="N635" s="14">
        <f t="shared" si="167"/>
        <v>1102015</v>
      </c>
      <c r="O635" s="14" t="str">
        <f t="shared" si="168"/>
        <v>于禁2突</v>
      </c>
      <c r="P635" s="29" t="s">
        <v>341</v>
      </c>
      <c r="Q635" s="14">
        <f t="shared" si="169"/>
        <v>2</v>
      </c>
      <c r="R635" s="14">
        <f t="shared" si="170"/>
        <v>2</v>
      </c>
      <c r="S635" s="14" t="s">
        <v>39</v>
      </c>
      <c r="T635" s="14">
        <f>ROUND(((IF(Q635=1,INDEX(新属性投放!$J$14:$J$34,卡牌属性!R635),INDEX(新属性投放!$J$42:$J$62,卡牌属性!R635)))*INDEX($G$5:$G$42,L635)+IF(Q635=1,INDEX(新属性投放!R$20:R$23,卡牌属性!M635-1),INDEX(新属性投放!R$25:R$28,卡牌属性!M635-1)))/SQRT(INDEX($I$5:$I$42,L635)),2)</f>
        <v>465</v>
      </c>
      <c r="U635" s="29" t="s">
        <v>178</v>
      </c>
      <c r="V635" s="14">
        <f>ROUND((IF(Q635=1,INDEX(新属性投放!$K$14:$K$34,卡牌属性!R635),INDEX(新属性投放!$K$42:$K$62,卡牌属性!R635))+IF(Q635=1,INDEX(新属性投放!S$20:S$23,卡牌属性!M635-1),INDEX(新属性投放!S$25:S$28,卡牌属性!M635-1)))*INDEX($G$5:$G$42,L635),2)</f>
        <v>155</v>
      </c>
      <c r="W635" s="29" t="s">
        <v>179</v>
      </c>
      <c r="X635" s="14">
        <f>ROUND((IF(Q635=1,INDEX(新属性投放!$L$14:$L$34,卡牌属性!R635),INDEX(新属性投放!$L$42:$L$62,卡牌属性!R635))*INDEX($G$5:$G$42,L635)+IF(Q635=1,INDEX(新属性投放!T$20:T$23,卡牌属性!M635-1),INDEX(新属性投放!T$25:T$28,卡牌属性!M635-1)))*SQRT(INDEX($I$5:$I$42,L635)),2)</f>
        <v>1380</v>
      </c>
      <c r="Y635" s="29" t="s">
        <v>177</v>
      </c>
      <c r="Z635" s="14">
        <f>ROUND(IF(Q635=1,INDEX(新属性投放!$D$14:$D$34,卡牌属性!R635),INDEX(新属性投放!$D$42:$D$62,卡牌属性!R635))*INDEX($G$5:$G$42,L635)/SQRT(INDEX($I$5:$I$42,L635)),2)</f>
        <v>10</v>
      </c>
      <c r="AA635" s="29" t="s">
        <v>178</v>
      </c>
      <c r="AB635" s="14">
        <f>ROUND(IF(Q635=1,INDEX(新属性投放!$E$14:$E$34,卡牌属性!R635),INDEX(新属性投放!$E$42:$E$62,卡牌属性!R635))*INDEX($G$5:$G$42,L635),2)</f>
        <v>5</v>
      </c>
      <c r="AC635" s="29" t="s">
        <v>179</v>
      </c>
      <c r="AD635" s="14">
        <f>ROUND(IF(Q635=1,INDEX(新属性投放!$F$14:$F$34,卡牌属性!R635),INDEX(新属性投放!$F$42:$F$62,卡牌属性!R635))*INDEX($G$5:$G$42,L635)*SQRT(INDEX($I$5:$I$42,L635)),2)</f>
        <v>45</v>
      </c>
      <c r="AF635" s="14">
        <f t="shared" si="171"/>
        <v>100</v>
      </c>
      <c r="AG635" s="14">
        <f t="shared" si="172"/>
        <v>50</v>
      </c>
      <c r="AH635" s="14">
        <f t="shared" si="173"/>
        <v>450</v>
      </c>
      <c r="AJ635" s="14">
        <f t="shared" ref="AJ635:AJ654" si="180">AJ634+AF635</f>
        <v>200</v>
      </c>
      <c r="AK635" s="14">
        <f t="shared" ref="AK635:AK654" si="181">AK634+AG635</f>
        <v>100</v>
      </c>
      <c r="AL635" s="14">
        <f t="shared" ref="AL635:AL654" si="182">AL634+AH635</f>
        <v>900</v>
      </c>
    </row>
    <row r="636" spans="11:38" ht="16.5" x14ac:dyDescent="0.2">
      <c r="K636" s="13">
        <v>633</v>
      </c>
      <c r="L636" s="13">
        <f t="shared" si="165"/>
        <v>31</v>
      </c>
      <c r="M636" s="13">
        <f t="shared" si="166"/>
        <v>2</v>
      </c>
      <c r="N636" s="14">
        <f t="shared" si="167"/>
        <v>1102015</v>
      </c>
      <c r="O636" s="14" t="str">
        <f t="shared" si="168"/>
        <v>于禁3突</v>
      </c>
      <c r="P636" s="29" t="s">
        <v>341</v>
      </c>
      <c r="Q636" s="14">
        <f t="shared" si="169"/>
        <v>2</v>
      </c>
      <c r="R636" s="14">
        <f t="shared" si="170"/>
        <v>3</v>
      </c>
      <c r="S636" s="14" t="s">
        <v>39</v>
      </c>
      <c r="T636" s="14">
        <f>ROUND(((IF(Q636=1,INDEX(新属性投放!$J$14:$J$34,卡牌属性!R636),INDEX(新属性投放!$J$42:$J$62,卡牌属性!R636)))*INDEX($G$5:$G$42,L636)+IF(Q636=1,INDEX(新属性投放!R$20:R$23,卡牌属性!M636-1),INDEX(新属性投放!R$25:R$28,卡牌属性!M636-1)))/SQRT(INDEX($I$5:$I$42,L636)),2)</f>
        <v>590</v>
      </c>
      <c r="U636" s="29" t="s">
        <v>178</v>
      </c>
      <c r="V636" s="14">
        <f>ROUND((IF(Q636=1,INDEX(新属性投放!$K$14:$K$34,卡牌属性!R636),INDEX(新属性投放!$K$42:$K$62,卡牌属性!R636))+IF(Q636=1,INDEX(新属性投放!S$20:S$23,卡牌属性!M636-1),INDEX(新属性投放!S$25:S$28,卡牌属性!M636-1)))*INDEX($G$5:$G$42,L636),2)</f>
        <v>218</v>
      </c>
      <c r="W636" s="29" t="s">
        <v>179</v>
      </c>
      <c r="X636" s="14">
        <f>ROUND((IF(Q636=1,INDEX(新属性投放!$L$14:$L$34,卡牌属性!R636),INDEX(新属性投放!$L$42:$L$62,卡牌属性!R636))*INDEX($G$5:$G$42,L636)+IF(Q636=1,INDEX(新属性投放!T$20:T$23,卡牌属性!M636-1),INDEX(新属性投放!T$25:T$28,卡牌属性!M636-1)))*SQRT(INDEX($I$5:$I$42,L636)),2)</f>
        <v>2055</v>
      </c>
      <c r="Y636" s="29" t="s">
        <v>177</v>
      </c>
      <c r="Z636" s="14">
        <f>ROUND(IF(Q636=1,INDEX(新属性投放!$D$14:$D$34,卡牌属性!R636),INDEX(新属性投放!$D$42:$D$62,卡牌属性!R636))*INDEX($G$5:$G$42,L636)/SQRT(INDEX($I$5:$I$42,L636)),2)</f>
        <v>15</v>
      </c>
      <c r="AA636" s="29" t="s">
        <v>178</v>
      </c>
      <c r="AB636" s="14">
        <f>ROUND(IF(Q636=1,INDEX(新属性投放!$E$14:$E$34,卡牌属性!R636),INDEX(新属性投放!$E$42:$E$62,卡牌属性!R636))*INDEX($G$5:$G$42,L636),2)</f>
        <v>7.5</v>
      </c>
      <c r="AC636" s="29" t="s">
        <v>179</v>
      </c>
      <c r="AD636" s="14">
        <f>ROUND(IF(Q636=1,INDEX(新属性投放!$F$14:$F$34,卡牌属性!R636),INDEX(新属性投放!$F$42:$F$62,卡牌属性!R636))*INDEX($G$5:$G$42,L636)*SQRT(INDEX($I$5:$I$42,L636)),2)</f>
        <v>67</v>
      </c>
      <c r="AF636" s="14">
        <f t="shared" si="171"/>
        <v>150</v>
      </c>
      <c r="AG636" s="14">
        <f t="shared" si="172"/>
        <v>75</v>
      </c>
      <c r="AH636" s="14">
        <f t="shared" si="173"/>
        <v>670</v>
      </c>
      <c r="AJ636" s="14">
        <f t="shared" si="180"/>
        <v>350</v>
      </c>
      <c r="AK636" s="14">
        <f t="shared" si="181"/>
        <v>175</v>
      </c>
      <c r="AL636" s="14">
        <f t="shared" si="182"/>
        <v>1570</v>
      </c>
    </row>
    <row r="637" spans="11:38" ht="16.5" x14ac:dyDescent="0.2">
      <c r="K637" s="13">
        <v>634</v>
      </c>
      <c r="L637" s="13">
        <f t="shared" si="165"/>
        <v>31</v>
      </c>
      <c r="M637" s="13">
        <f t="shared" si="166"/>
        <v>2</v>
      </c>
      <c r="N637" s="14">
        <f t="shared" si="167"/>
        <v>1102015</v>
      </c>
      <c r="O637" s="14" t="str">
        <f t="shared" si="168"/>
        <v>于禁4突</v>
      </c>
      <c r="P637" s="29" t="s">
        <v>341</v>
      </c>
      <c r="Q637" s="14">
        <f t="shared" si="169"/>
        <v>2</v>
      </c>
      <c r="R637" s="14">
        <f t="shared" si="170"/>
        <v>4</v>
      </c>
      <c r="S637" s="14" t="s">
        <v>39</v>
      </c>
      <c r="T637" s="14">
        <f>ROUND(((IF(Q637=1,INDEX(新属性投放!$J$14:$J$34,卡牌属性!R637),INDEX(新属性投放!$J$42:$J$62,卡牌属性!R637)))*INDEX($G$5:$G$42,L637)+IF(Q637=1,INDEX(新属性投放!R$20:R$23,卡牌属性!M637-1),INDEX(新属性投放!R$25:R$28,卡牌属性!M637-1)))/SQRT(INDEX($I$5:$I$42,L637)),2)</f>
        <v>778</v>
      </c>
      <c r="U637" s="29" t="s">
        <v>178</v>
      </c>
      <c r="V637" s="14">
        <f>ROUND((IF(Q637=1,INDEX(新属性投放!$K$14:$K$34,卡牌属性!R637),INDEX(新属性投放!$K$42:$K$62,卡牌属性!R637))+IF(Q637=1,INDEX(新属性投放!S$20:S$23,卡牌属性!M637-1),INDEX(新属性投放!S$25:S$28,卡牌属性!M637-1)))*INDEX($G$5:$G$42,L637),2)</f>
        <v>312</v>
      </c>
      <c r="W637" s="29" t="s">
        <v>179</v>
      </c>
      <c r="X637" s="14">
        <f>ROUND((IF(Q637=1,INDEX(新属性投放!$L$14:$L$34,卡牌属性!R637),INDEX(新属性投放!$L$42:$L$62,卡牌属性!R637))*INDEX($G$5:$G$42,L637)+IF(Q637=1,INDEX(新属性投放!T$20:T$23,卡牌属性!M637-1),INDEX(新属性投放!T$25:T$28,卡牌属性!M637-1)))*SQRT(INDEX($I$5:$I$42,L637)),2)</f>
        <v>3067</v>
      </c>
      <c r="Y637" s="29" t="s">
        <v>177</v>
      </c>
      <c r="Z637" s="14">
        <f>ROUND(IF(Q637=1,INDEX(新属性投放!$D$14:$D$34,卡牌属性!R637),INDEX(新属性投放!$D$42:$D$62,卡牌属性!R637))*INDEX($G$5:$G$42,L637)/SQRT(INDEX($I$5:$I$42,L637)),2)</f>
        <v>20</v>
      </c>
      <c r="AA637" s="29" t="s">
        <v>178</v>
      </c>
      <c r="AB637" s="14">
        <f>ROUND(IF(Q637=1,INDEX(新属性投放!$E$14:$E$34,卡牌属性!R637),INDEX(新属性投放!$E$42:$E$62,卡牌属性!R637))*INDEX($G$5:$G$42,L637),2)</f>
        <v>10</v>
      </c>
      <c r="AC637" s="29" t="s">
        <v>179</v>
      </c>
      <c r="AD637" s="14">
        <f>ROUND(IF(Q637=1,INDEX(新属性投放!$F$14:$F$34,卡牌属性!R637),INDEX(新属性投放!$F$42:$F$62,卡牌属性!R637))*INDEX($G$5:$G$42,L637)*SQRT(INDEX($I$5:$I$42,L637)),2)</f>
        <v>90</v>
      </c>
      <c r="AF637" s="14">
        <f t="shared" si="171"/>
        <v>200</v>
      </c>
      <c r="AG637" s="14">
        <f t="shared" si="172"/>
        <v>100</v>
      </c>
      <c r="AH637" s="14">
        <f t="shared" si="173"/>
        <v>900</v>
      </c>
      <c r="AJ637" s="14">
        <f t="shared" si="180"/>
        <v>550</v>
      </c>
      <c r="AK637" s="14">
        <f t="shared" si="181"/>
        <v>275</v>
      </c>
      <c r="AL637" s="14">
        <f t="shared" si="182"/>
        <v>2470</v>
      </c>
    </row>
    <row r="638" spans="11:38" ht="16.5" x14ac:dyDescent="0.2">
      <c r="K638" s="13">
        <v>635</v>
      </c>
      <c r="L638" s="13">
        <f t="shared" si="165"/>
        <v>31</v>
      </c>
      <c r="M638" s="13">
        <f t="shared" si="166"/>
        <v>2</v>
      </c>
      <c r="N638" s="14">
        <f t="shared" si="167"/>
        <v>1102015</v>
      </c>
      <c r="O638" s="14" t="str">
        <f t="shared" si="168"/>
        <v>于禁5突</v>
      </c>
      <c r="P638" s="29" t="s">
        <v>341</v>
      </c>
      <c r="Q638" s="14">
        <f t="shared" si="169"/>
        <v>2</v>
      </c>
      <c r="R638" s="14">
        <f t="shared" si="170"/>
        <v>5</v>
      </c>
      <c r="S638" s="14" t="s">
        <v>39</v>
      </c>
      <c r="T638" s="14">
        <f>ROUND(((IF(Q638=1,INDEX(新属性投放!$J$14:$J$34,卡牌属性!R638),INDEX(新属性投放!$J$42:$J$62,卡牌属性!R638)))*INDEX($G$5:$G$42,L638)+IF(Q638=1,INDEX(新属性投放!R$20:R$23,卡牌属性!M638-1),INDEX(新属性投放!R$25:R$28,卡牌属性!M638-1)))/SQRT(INDEX($I$5:$I$42,L638)),2)</f>
        <v>1028</v>
      </c>
      <c r="U638" s="29" t="s">
        <v>178</v>
      </c>
      <c r="V638" s="14">
        <f>ROUND((IF(Q638=1,INDEX(新属性投放!$K$14:$K$34,卡牌属性!R638),INDEX(新属性投放!$K$42:$K$62,卡牌属性!R638))+IF(Q638=1,INDEX(新属性投放!S$20:S$23,卡牌属性!M638-1),INDEX(新属性投放!S$25:S$28,卡牌属性!M638-1)))*INDEX($G$5:$G$42,L638),2)</f>
        <v>437</v>
      </c>
      <c r="W638" s="29" t="s">
        <v>179</v>
      </c>
      <c r="X638" s="14">
        <f>ROUND((IF(Q638=1,INDEX(新属性投放!$L$14:$L$34,卡牌属性!R638),INDEX(新属性投放!$L$42:$L$62,卡牌属性!R638))*INDEX($G$5:$G$42,L638)+IF(Q638=1,INDEX(新属性投放!T$20:T$23,卡牌属性!M638-1),INDEX(新属性投放!T$25:T$28,卡牌属性!M638-1)))*SQRT(INDEX($I$5:$I$42,L638)),2)</f>
        <v>4417</v>
      </c>
      <c r="Y638" s="29" t="s">
        <v>177</v>
      </c>
      <c r="Z638" s="14">
        <f>ROUND(IF(Q638=1,INDEX(新属性投放!$D$14:$D$34,卡牌属性!R638),INDEX(新属性投放!$D$42:$D$62,卡牌属性!R638))*INDEX($G$5:$G$42,L638)/SQRT(INDEX($I$5:$I$42,L638)),2)</f>
        <v>25</v>
      </c>
      <c r="AA638" s="29" t="s">
        <v>178</v>
      </c>
      <c r="AB638" s="14">
        <f>ROUND(IF(Q638=1,INDEX(新属性投放!$E$14:$E$34,卡牌属性!R638),INDEX(新属性投放!$E$42:$E$62,卡牌属性!R638))*INDEX($G$5:$G$42,L638),2)</f>
        <v>12.5</v>
      </c>
      <c r="AC638" s="29" t="s">
        <v>179</v>
      </c>
      <c r="AD638" s="14">
        <f>ROUND(IF(Q638=1,INDEX(新属性投放!$F$14:$F$34,卡牌属性!R638),INDEX(新属性投放!$F$42:$F$62,卡牌属性!R638))*INDEX($G$5:$G$42,L638)*SQRT(INDEX($I$5:$I$42,L638)),2)</f>
        <v>112</v>
      </c>
      <c r="AF638" s="14">
        <f t="shared" si="171"/>
        <v>250</v>
      </c>
      <c r="AG638" s="14">
        <f t="shared" si="172"/>
        <v>125</v>
      </c>
      <c r="AH638" s="14">
        <f t="shared" si="173"/>
        <v>1120</v>
      </c>
      <c r="AJ638" s="14">
        <f t="shared" si="180"/>
        <v>800</v>
      </c>
      <c r="AK638" s="14">
        <f t="shared" si="181"/>
        <v>400</v>
      </c>
      <c r="AL638" s="14">
        <f t="shared" si="182"/>
        <v>3590</v>
      </c>
    </row>
    <row r="639" spans="11:38" ht="16.5" x14ac:dyDescent="0.2">
      <c r="K639" s="13">
        <v>636</v>
      </c>
      <c r="L639" s="13">
        <f t="shared" si="165"/>
        <v>31</v>
      </c>
      <c r="M639" s="13">
        <f t="shared" si="166"/>
        <v>2</v>
      </c>
      <c r="N639" s="14">
        <f t="shared" si="167"/>
        <v>1102015</v>
      </c>
      <c r="O639" s="14" t="str">
        <f t="shared" si="168"/>
        <v>于禁6突</v>
      </c>
      <c r="P639" s="29" t="s">
        <v>341</v>
      </c>
      <c r="Q639" s="14">
        <f t="shared" si="169"/>
        <v>2</v>
      </c>
      <c r="R639" s="14">
        <f t="shared" si="170"/>
        <v>6</v>
      </c>
      <c r="S639" s="14" t="s">
        <v>39</v>
      </c>
      <c r="T639" s="14">
        <f>ROUND(((IF(Q639=1,INDEX(新属性投放!$J$14:$J$34,卡牌属性!R639),INDEX(新属性投放!$J$42:$J$62,卡牌属性!R639)))*INDEX($G$5:$G$42,L639)+IF(Q639=1,INDEX(新属性投放!R$20:R$23,卡牌属性!M639-1),INDEX(新属性投放!R$25:R$28,卡牌属性!M639-1)))/SQRT(INDEX($I$5:$I$42,L639)),2)</f>
        <v>1341</v>
      </c>
      <c r="U639" s="29" t="s">
        <v>178</v>
      </c>
      <c r="V639" s="14">
        <f>ROUND((IF(Q639=1,INDEX(新属性投放!$K$14:$K$34,卡牌属性!R639),INDEX(新属性投放!$K$42:$K$62,卡牌属性!R639))+IF(Q639=1,INDEX(新属性投放!S$20:S$23,卡牌属性!M639-1),INDEX(新属性投放!S$25:S$28,卡牌属性!M639-1)))*INDEX($G$5:$G$42,L639),2)</f>
        <v>593</v>
      </c>
      <c r="W639" s="29" t="s">
        <v>179</v>
      </c>
      <c r="X639" s="14">
        <f>ROUND((IF(Q639=1,INDEX(新属性投放!$L$14:$L$34,卡牌属性!R639),INDEX(新属性投放!$L$42:$L$62,卡牌属性!R639))*INDEX($G$5:$G$42,L639)+IF(Q639=1,INDEX(新属性投放!T$20:T$23,卡牌属性!M639-1),INDEX(新属性投放!T$25:T$28,卡牌属性!M639-1)))*SQRT(INDEX($I$5:$I$42,L639)),2)</f>
        <v>6104</v>
      </c>
      <c r="Y639" s="29" t="s">
        <v>177</v>
      </c>
      <c r="Z639" s="14">
        <f>ROUND(IF(Q639=1,INDEX(新属性投放!$D$14:$D$34,卡牌属性!R639),INDEX(新属性投放!$D$42:$D$62,卡牌属性!R639))*INDEX($G$5:$G$42,L639)/SQRT(INDEX($I$5:$I$42,L639)),2)</f>
        <v>30</v>
      </c>
      <c r="AA639" s="29" t="s">
        <v>178</v>
      </c>
      <c r="AB639" s="14">
        <f>ROUND(IF(Q639=1,INDEX(新属性投放!$E$14:$E$34,卡牌属性!R639),INDEX(新属性投放!$E$42:$E$62,卡牌属性!R639))*INDEX($G$5:$G$42,L639),2)</f>
        <v>15</v>
      </c>
      <c r="AC639" s="29" t="s">
        <v>179</v>
      </c>
      <c r="AD639" s="14">
        <f>ROUND(IF(Q639=1,INDEX(新属性投放!$F$14:$F$34,卡牌属性!R639),INDEX(新属性投放!$F$42:$F$62,卡牌属性!R639))*INDEX($G$5:$G$42,L639)*SQRT(INDEX($I$5:$I$42,L639)),2)</f>
        <v>135</v>
      </c>
      <c r="AF639" s="14">
        <f t="shared" si="171"/>
        <v>300</v>
      </c>
      <c r="AG639" s="14">
        <f t="shared" si="172"/>
        <v>150</v>
      </c>
      <c r="AH639" s="14">
        <f t="shared" si="173"/>
        <v>1350</v>
      </c>
      <c r="AJ639" s="14">
        <f t="shared" si="180"/>
        <v>1100</v>
      </c>
      <c r="AK639" s="14">
        <f t="shared" si="181"/>
        <v>550</v>
      </c>
      <c r="AL639" s="14">
        <f t="shared" si="182"/>
        <v>4940</v>
      </c>
    </row>
    <row r="640" spans="11:38" ht="16.5" x14ac:dyDescent="0.2">
      <c r="K640" s="13">
        <v>637</v>
      </c>
      <c r="L640" s="13">
        <f t="shared" si="165"/>
        <v>31</v>
      </c>
      <c r="M640" s="13">
        <f t="shared" si="166"/>
        <v>2</v>
      </c>
      <c r="N640" s="14">
        <f t="shared" si="167"/>
        <v>1102015</v>
      </c>
      <c r="O640" s="14" t="str">
        <f t="shared" si="168"/>
        <v>于禁7突</v>
      </c>
      <c r="P640" s="29" t="s">
        <v>341</v>
      </c>
      <c r="Q640" s="14">
        <f t="shared" si="169"/>
        <v>2</v>
      </c>
      <c r="R640" s="14">
        <f t="shared" si="170"/>
        <v>7</v>
      </c>
      <c r="S640" s="14" t="s">
        <v>39</v>
      </c>
      <c r="T640" s="14">
        <f>ROUND(((IF(Q640=1,INDEX(新属性投放!$J$14:$J$34,卡牌属性!R640),INDEX(新属性投放!$J$42:$J$62,卡牌属性!R640)))*INDEX($G$5:$G$42,L640)+IF(Q640=1,INDEX(新属性投放!R$20:R$23,卡牌属性!M640-1),INDEX(新属性投放!R$25:R$28,卡牌属性!M640-1)))/SQRT(INDEX($I$5:$I$42,L640)),2)</f>
        <v>1716</v>
      </c>
      <c r="U640" s="29" t="s">
        <v>178</v>
      </c>
      <c r="V640" s="14">
        <f>ROUND((IF(Q640=1,INDEX(新属性投放!$K$14:$K$34,卡牌属性!R640),INDEX(新属性投放!$K$42:$K$62,卡牌属性!R640))+IF(Q640=1,INDEX(新属性投放!S$20:S$23,卡牌属性!M640-1),INDEX(新属性投放!S$25:S$28,卡牌属性!M640-1)))*INDEX($G$5:$G$42,L640),2)</f>
        <v>781</v>
      </c>
      <c r="W640" s="29" t="s">
        <v>179</v>
      </c>
      <c r="X640" s="14">
        <f>ROUND((IF(Q640=1,INDEX(新属性投放!$L$14:$L$34,卡牌属性!R640),INDEX(新属性投放!$L$42:$L$62,卡牌属性!R640))*INDEX($G$5:$G$42,L640)+IF(Q640=1,INDEX(新属性投放!T$20:T$23,卡牌属性!M640-1),INDEX(新属性投放!T$25:T$28,卡牌属性!M640-1)))*SQRT(INDEX($I$5:$I$42,L640)),2)</f>
        <v>8129</v>
      </c>
      <c r="Y640" s="29" t="s">
        <v>177</v>
      </c>
      <c r="Z640" s="14">
        <f>ROUND(IF(Q640=1,INDEX(新属性投放!$D$14:$D$34,卡牌属性!R640),INDEX(新属性投放!$D$42:$D$62,卡牌属性!R640))*INDEX($G$5:$G$42,L640)/SQRT(INDEX($I$5:$I$42,L640)),2)</f>
        <v>35</v>
      </c>
      <c r="AA640" s="29" t="s">
        <v>178</v>
      </c>
      <c r="AB640" s="14">
        <f>ROUND(IF(Q640=1,INDEX(新属性投放!$E$14:$E$34,卡牌属性!R640),INDEX(新属性投放!$E$42:$E$62,卡牌属性!R640))*INDEX($G$5:$G$42,L640),2)</f>
        <v>17.5</v>
      </c>
      <c r="AC640" s="29" t="s">
        <v>179</v>
      </c>
      <c r="AD640" s="14">
        <f>ROUND(IF(Q640=1,INDEX(新属性投放!$F$14:$F$34,卡牌属性!R640),INDEX(新属性投放!$F$42:$F$62,卡牌属性!R640))*INDEX($G$5:$G$42,L640)*SQRT(INDEX($I$5:$I$42,L640)),2)</f>
        <v>157</v>
      </c>
      <c r="AF640" s="14">
        <f t="shared" si="171"/>
        <v>350</v>
      </c>
      <c r="AG640" s="14">
        <f t="shared" si="172"/>
        <v>175</v>
      </c>
      <c r="AH640" s="14">
        <f t="shared" si="173"/>
        <v>1570</v>
      </c>
      <c r="AJ640" s="14">
        <f t="shared" si="180"/>
        <v>1450</v>
      </c>
      <c r="AK640" s="14">
        <f t="shared" si="181"/>
        <v>725</v>
      </c>
      <c r="AL640" s="14">
        <f t="shared" si="182"/>
        <v>6510</v>
      </c>
    </row>
    <row r="641" spans="11:38" ht="16.5" x14ac:dyDescent="0.2">
      <c r="K641" s="13">
        <v>638</v>
      </c>
      <c r="L641" s="13">
        <f t="shared" si="165"/>
        <v>31</v>
      </c>
      <c r="M641" s="13">
        <f t="shared" si="166"/>
        <v>2</v>
      </c>
      <c r="N641" s="14">
        <f t="shared" si="167"/>
        <v>1102015</v>
      </c>
      <c r="O641" s="14" t="str">
        <f t="shared" si="168"/>
        <v>于禁8突</v>
      </c>
      <c r="P641" s="29" t="s">
        <v>341</v>
      </c>
      <c r="Q641" s="14">
        <f t="shared" si="169"/>
        <v>2</v>
      </c>
      <c r="R641" s="14">
        <f t="shared" si="170"/>
        <v>8</v>
      </c>
      <c r="S641" s="14" t="s">
        <v>39</v>
      </c>
      <c r="T641" s="14">
        <f>ROUND(((IF(Q641=1,INDEX(新属性投放!$J$14:$J$34,卡牌属性!R641),INDEX(新属性投放!$J$42:$J$62,卡牌属性!R641)))*INDEX($G$5:$G$42,L641)+IF(Q641=1,INDEX(新属性投放!R$20:R$23,卡牌属性!M641-1),INDEX(新属性投放!R$25:R$28,卡牌属性!M641-1)))/SQRT(INDEX($I$5:$I$42,L641)),2)</f>
        <v>2154</v>
      </c>
      <c r="U641" s="29" t="s">
        <v>178</v>
      </c>
      <c r="V641" s="14">
        <f>ROUND((IF(Q641=1,INDEX(新属性投放!$K$14:$K$34,卡牌属性!R641),INDEX(新属性投放!$K$42:$K$62,卡牌属性!R641))+IF(Q641=1,INDEX(新属性投放!S$20:S$23,卡牌属性!M641-1),INDEX(新属性投放!S$25:S$28,卡牌属性!M641-1)))*INDEX($G$5:$G$42,L641),2)</f>
        <v>1000</v>
      </c>
      <c r="W641" s="29" t="s">
        <v>179</v>
      </c>
      <c r="X641" s="14">
        <f>ROUND((IF(Q641=1,INDEX(新属性投放!$L$14:$L$34,卡牌属性!R641),INDEX(新属性投放!$L$42:$L$62,卡牌属性!R641))*INDEX($G$5:$G$42,L641)+IF(Q641=1,INDEX(新属性投放!T$20:T$23,卡牌属性!M641-1),INDEX(新属性投放!T$25:T$28,卡牌属性!M641-1)))*SQRT(INDEX($I$5:$I$42,L641)),2)</f>
        <v>10491</v>
      </c>
      <c r="Y641" s="29" t="s">
        <v>177</v>
      </c>
      <c r="Z641" s="14">
        <f>ROUND(IF(Q641=1,INDEX(新属性投放!$D$14:$D$34,卡牌属性!R641),INDEX(新属性投放!$D$42:$D$62,卡牌属性!R641))*INDEX($G$5:$G$42,L641)/SQRT(INDEX($I$5:$I$42,L641)),2)</f>
        <v>45</v>
      </c>
      <c r="AA641" s="29" t="s">
        <v>178</v>
      </c>
      <c r="AB641" s="14">
        <f>ROUND(IF(Q641=1,INDEX(新属性投放!$E$14:$E$34,卡牌属性!R641),INDEX(新属性投放!$E$42:$E$62,卡牌属性!R641))*INDEX($G$5:$G$42,L641),2)</f>
        <v>22.5</v>
      </c>
      <c r="AC641" s="29" t="s">
        <v>179</v>
      </c>
      <c r="AD641" s="14">
        <f>ROUND(IF(Q641=1,INDEX(新属性投放!$F$14:$F$34,卡牌属性!R641),INDEX(新属性投放!$F$42:$F$62,卡牌属性!R641))*INDEX($G$5:$G$42,L641)*SQRT(INDEX($I$5:$I$42,L641)),2)</f>
        <v>202</v>
      </c>
      <c r="AF641" s="14">
        <f t="shared" si="171"/>
        <v>450</v>
      </c>
      <c r="AG641" s="14">
        <f t="shared" si="172"/>
        <v>225</v>
      </c>
      <c r="AH641" s="14">
        <f t="shared" si="173"/>
        <v>2020</v>
      </c>
      <c r="AJ641" s="14">
        <f t="shared" si="180"/>
        <v>1900</v>
      </c>
      <c r="AK641" s="14">
        <f t="shared" si="181"/>
        <v>950</v>
      </c>
      <c r="AL641" s="14">
        <f t="shared" si="182"/>
        <v>8530</v>
      </c>
    </row>
    <row r="642" spans="11:38" ht="16.5" x14ac:dyDescent="0.2">
      <c r="K642" s="13">
        <v>639</v>
      </c>
      <c r="L642" s="13">
        <f t="shared" si="165"/>
        <v>31</v>
      </c>
      <c r="M642" s="13">
        <f t="shared" si="166"/>
        <v>2</v>
      </c>
      <c r="N642" s="14">
        <f t="shared" si="167"/>
        <v>1102015</v>
      </c>
      <c r="O642" s="14" t="str">
        <f t="shared" si="168"/>
        <v>于禁9突</v>
      </c>
      <c r="P642" s="29" t="s">
        <v>341</v>
      </c>
      <c r="Q642" s="14">
        <f t="shared" si="169"/>
        <v>2</v>
      </c>
      <c r="R642" s="14">
        <f t="shared" si="170"/>
        <v>9</v>
      </c>
      <c r="S642" s="14" t="s">
        <v>39</v>
      </c>
      <c r="T642" s="14">
        <f>ROUND(((IF(Q642=1,INDEX(新属性投放!$J$14:$J$34,卡牌属性!R642),INDEX(新属性投放!$J$42:$J$62,卡牌属性!R642)))*INDEX($G$5:$G$42,L642)+IF(Q642=1,INDEX(新属性投放!R$20:R$23,卡牌属性!M642-1),INDEX(新属性投放!R$25:R$28,卡牌属性!M642-1)))/SQRT(INDEX($I$5:$I$42,L642)),2)</f>
        <v>2717</v>
      </c>
      <c r="U642" s="29" t="s">
        <v>178</v>
      </c>
      <c r="V642" s="14">
        <f>ROUND((IF(Q642=1,INDEX(新属性投放!$K$14:$K$34,卡牌属性!R642),INDEX(新属性投放!$K$42:$K$62,卡牌属性!R642))+IF(Q642=1,INDEX(新属性投放!S$20:S$23,卡牌属性!M642-1),INDEX(新属性投放!S$25:S$28,卡牌属性!M642-1)))*INDEX($G$5:$G$42,L642),2)</f>
        <v>1281</v>
      </c>
      <c r="W642" s="29" t="s">
        <v>179</v>
      </c>
      <c r="X642" s="14">
        <f>ROUND((IF(Q642=1,INDEX(新属性投放!$L$14:$L$34,卡牌属性!R642),INDEX(新属性投放!$L$42:$L$62,卡牌属性!R642))*INDEX($G$5:$G$42,L642)+IF(Q642=1,INDEX(新属性投放!T$20:T$23,卡牌属性!M642-1),INDEX(新属性投放!T$25:T$28,卡牌属性!M642-1)))*SQRT(INDEX($I$5:$I$42,L642)),2)</f>
        <v>13528</v>
      </c>
      <c r="Y642" s="29" t="s">
        <v>177</v>
      </c>
      <c r="Z642" s="14">
        <f>ROUND(IF(Q642=1,INDEX(新属性投放!$D$14:$D$34,卡牌属性!R642),INDEX(新属性投放!$D$42:$D$62,卡牌属性!R642))*INDEX($G$5:$G$42,L642)/SQRT(INDEX($I$5:$I$42,L642)),2)</f>
        <v>60.05</v>
      </c>
      <c r="AA642" s="29" t="s">
        <v>178</v>
      </c>
      <c r="AB642" s="14">
        <f>ROUND(IF(Q642=1,INDEX(新属性投放!$E$14:$E$34,卡牌属性!R642),INDEX(新属性投放!$E$42:$E$62,卡牌属性!R642))*INDEX($G$5:$G$42,L642),2)</f>
        <v>30.03</v>
      </c>
      <c r="AC642" s="29" t="s">
        <v>179</v>
      </c>
      <c r="AD642" s="14">
        <f>ROUND(IF(Q642=1,INDEX(新属性投放!$F$14:$F$34,卡牌属性!R642),INDEX(新属性投放!$F$42:$F$62,卡牌属性!R642))*INDEX($G$5:$G$42,L642)*SQRT(INDEX($I$5:$I$42,L642)),2)</f>
        <v>270</v>
      </c>
      <c r="AF642" s="14">
        <f t="shared" si="171"/>
        <v>600</v>
      </c>
      <c r="AG642" s="14">
        <f t="shared" si="172"/>
        <v>300</v>
      </c>
      <c r="AH642" s="14">
        <f t="shared" si="173"/>
        <v>2700</v>
      </c>
      <c r="AJ642" s="14">
        <f t="shared" si="180"/>
        <v>2500</v>
      </c>
      <c r="AK642" s="14">
        <f t="shared" si="181"/>
        <v>1250</v>
      </c>
      <c r="AL642" s="14">
        <f t="shared" si="182"/>
        <v>11230</v>
      </c>
    </row>
    <row r="643" spans="11:38" ht="16.5" x14ac:dyDescent="0.2">
      <c r="K643" s="13">
        <v>640</v>
      </c>
      <c r="L643" s="13">
        <f t="shared" si="165"/>
        <v>31</v>
      </c>
      <c r="M643" s="13">
        <f t="shared" si="166"/>
        <v>2</v>
      </c>
      <c r="N643" s="14">
        <f t="shared" si="167"/>
        <v>1102015</v>
      </c>
      <c r="O643" s="14" t="str">
        <f t="shared" si="168"/>
        <v>于禁10突</v>
      </c>
      <c r="P643" s="29" t="s">
        <v>341</v>
      </c>
      <c r="Q643" s="14">
        <f t="shared" si="169"/>
        <v>2</v>
      </c>
      <c r="R643" s="14">
        <f t="shared" si="170"/>
        <v>10</v>
      </c>
      <c r="S643" s="14" t="s">
        <v>39</v>
      </c>
      <c r="T643" s="14">
        <f>ROUND(((IF(Q643=1,INDEX(新属性投放!$J$14:$J$34,卡牌属性!R643),INDEX(新属性投放!$J$42:$J$62,卡牌属性!R643)))*INDEX($G$5:$G$42,L643)+IF(Q643=1,INDEX(新属性投放!R$20:R$23,卡牌属性!M643-1),INDEX(新属性投放!R$25:R$28,卡牌属性!M643-1)))/SQRT(INDEX($I$5:$I$42,L643)),2)</f>
        <v>3467.5</v>
      </c>
      <c r="U643" s="29" t="s">
        <v>178</v>
      </c>
      <c r="V643" s="14">
        <f>ROUND((IF(Q643=1,INDEX(新属性投放!$K$14:$K$34,卡牌属性!R643),INDEX(新属性投放!$K$42:$K$62,卡牌属性!R643))+IF(Q643=1,INDEX(新属性投放!S$20:S$23,卡牌属性!M643-1),INDEX(新属性投放!S$25:S$28,卡牌属性!M643-1)))*INDEX($G$5:$G$42,L643),2)</f>
        <v>1656.25</v>
      </c>
      <c r="W643" s="29" t="s">
        <v>179</v>
      </c>
      <c r="X643" s="14">
        <f>ROUND((IF(Q643=1,INDEX(新属性投放!$L$14:$L$34,卡牌属性!R643),INDEX(新属性投放!$L$42:$L$62,卡牌属性!R643))*INDEX($G$5:$G$42,L643)+IF(Q643=1,INDEX(新属性投放!T$20:T$23,卡牌属性!M643-1),INDEX(新属性投放!T$25:T$28,卡牌属性!M643-1)))*SQRT(INDEX($I$5:$I$42,L643)),2)</f>
        <v>17578</v>
      </c>
      <c r="Y643" s="29" t="s">
        <v>177</v>
      </c>
      <c r="Z643" s="14">
        <f>ROUND(IF(Q643=1,INDEX(新属性投放!$D$14:$D$34,卡牌属性!R643),INDEX(新属性投放!$D$42:$D$62,卡牌属性!R643))*INDEX($G$5:$G$42,L643)/SQRT(INDEX($I$5:$I$42,L643)),2)</f>
        <v>78.5</v>
      </c>
      <c r="AA643" s="29" t="s">
        <v>178</v>
      </c>
      <c r="AB643" s="14">
        <f>ROUND(IF(Q643=1,INDEX(新属性投放!$E$14:$E$34,卡牌属性!R643),INDEX(新属性投放!$E$42:$E$62,卡牌属性!R643))*INDEX($G$5:$G$42,L643),2)</f>
        <v>39.25</v>
      </c>
      <c r="AC643" s="29" t="s">
        <v>179</v>
      </c>
      <c r="AD643" s="14">
        <f>ROUND(IF(Q643=1,INDEX(新属性投放!$F$14:$F$34,卡牌属性!R643),INDEX(新属性投放!$F$42:$F$62,卡牌属性!R643))*INDEX($G$5:$G$42,L643)*SQRT(INDEX($I$5:$I$42,L643)),2)</f>
        <v>353</v>
      </c>
      <c r="AF643" s="14">
        <f t="shared" si="171"/>
        <v>785</v>
      </c>
      <c r="AG643" s="14">
        <f t="shared" si="172"/>
        <v>392</v>
      </c>
      <c r="AH643" s="14">
        <f t="shared" si="173"/>
        <v>3530</v>
      </c>
      <c r="AJ643" s="14">
        <f t="shared" si="180"/>
        <v>3285</v>
      </c>
      <c r="AK643" s="14">
        <f t="shared" si="181"/>
        <v>1642</v>
      </c>
      <c r="AL643" s="14">
        <f t="shared" si="182"/>
        <v>14760</v>
      </c>
    </row>
    <row r="644" spans="11:38" ht="16.5" x14ac:dyDescent="0.2">
      <c r="K644" s="13">
        <v>641</v>
      </c>
      <c r="L644" s="13">
        <f t="shared" si="165"/>
        <v>31</v>
      </c>
      <c r="M644" s="13">
        <f t="shared" si="166"/>
        <v>2</v>
      </c>
      <c r="N644" s="14">
        <f t="shared" si="167"/>
        <v>1102015</v>
      </c>
      <c r="O644" s="14" t="str">
        <f t="shared" si="168"/>
        <v>于禁11突</v>
      </c>
      <c r="P644" s="29" t="s">
        <v>341</v>
      </c>
      <c r="Q644" s="14">
        <f t="shared" si="169"/>
        <v>2</v>
      </c>
      <c r="R644" s="14">
        <f t="shared" si="170"/>
        <v>11</v>
      </c>
      <c r="S644" s="14" t="s">
        <v>39</v>
      </c>
      <c r="T644" s="14">
        <f>ROUND(((IF(Q644=1,INDEX(新属性投放!$J$14:$J$34,卡牌属性!R644),INDEX(新属性投放!$J$42:$J$62,卡牌属性!R644)))*INDEX($G$5:$G$42,L644)+IF(Q644=1,INDEX(新属性投放!R$20:R$23,卡牌属性!M644-1),INDEX(新属性投放!R$25:R$28,卡牌属性!M644-1)))/SQRT(INDEX($I$5:$I$42,L644)),2)</f>
        <v>4448.5</v>
      </c>
      <c r="U644" s="29" t="s">
        <v>178</v>
      </c>
      <c r="V644" s="14">
        <f>ROUND((IF(Q644=1,INDEX(新属性投放!$K$14:$K$34,卡牌属性!R644),INDEX(新属性投放!$K$42:$K$62,卡牌属性!R644))+IF(Q644=1,INDEX(新属性投放!S$20:S$23,卡牌属性!M644-1),INDEX(新属性投放!S$25:S$28,卡牌属性!M644-1)))*INDEX($G$5:$G$42,L644),2)</f>
        <v>2146.75</v>
      </c>
      <c r="W644" s="29" t="s">
        <v>179</v>
      </c>
      <c r="X644" s="14">
        <f>ROUND((IF(Q644=1,INDEX(新属性投放!$L$14:$L$34,卡牌属性!R644),INDEX(新属性投放!$L$42:$L$62,卡牌属性!R644))*INDEX($G$5:$G$42,L644)+IF(Q644=1,INDEX(新属性投放!T$20:T$23,卡牌属性!M644-1),INDEX(新属性投放!T$25:T$28,卡牌属性!M644-1)))*SQRT(INDEX($I$5:$I$42,L644)),2)</f>
        <v>22872</v>
      </c>
      <c r="Y644" s="29" t="s">
        <v>177</v>
      </c>
      <c r="Z644" s="14">
        <f>ROUND(IF(Q644=1,INDEX(新属性投放!$D$14:$D$34,卡牌属性!R644),INDEX(新属性投放!$D$42:$D$62,卡牌属性!R644))*INDEX($G$5:$G$42,L644)/SQRT(INDEX($I$5:$I$42,L644)),2)</f>
        <v>103.34</v>
      </c>
      <c r="AA644" s="29" t="s">
        <v>178</v>
      </c>
      <c r="AB644" s="14">
        <f>ROUND(IF(Q644=1,INDEX(新属性投放!$E$14:$E$34,卡牌属性!R644),INDEX(新属性投放!$E$42:$E$62,卡牌属性!R644))*INDEX($G$5:$G$42,L644),2)</f>
        <v>51.67</v>
      </c>
      <c r="AC644" s="29" t="s">
        <v>179</v>
      </c>
      <c r="AD644" s="14">
        <f>ROUND(IF(Q644=1,INDEX(新属性投放!$F$14:$F$34,卡牌属性!R644),INDEX(新属性投放!$F$42:$F$62,卡牌属性!R644))*INDEX($G$5:$G$42,L644)*SQRT(INDEX($I$5:$I$42,L644)),2)</f>
        <v>465</v>
      </c>
      <c r="AF644" s="14">
        <f t="shared" si="171"/>
        <v>1033</v>
      </c>
      <c r="AG644" s="14">
        <f t="shared" si="172"/>
        <v>516</v>
      </c>
      <c r="AH644" s="14">
        <f t="shared" si="173"/>
        <v>4650</v>
      </c>
      <c r="AJ644" s="14">
        <f t="shared" si="180"/>
        <v>4318</v>
      </c>
      <c r="AK644" s="14">
        <f t="shared" si="181"/>
        <v>2158</v>
      </c>
      <c r="AL644" s="14">
        <f t="shared" si="182"/>
        <v>19410</v>
      </c>
    </row>
    <row r="645" spans="11:38" ht="16.5" x14ac:dyDescent="0.2">
      <c r="K645" s="13">
        <v>642</v>
      </c>
      <c r="L645" s="13">
        <f t="shared" ref="L645:L708" si="183">MATCH(K645-1,$F$4:$F$41,1)</f>
        <v>31</v>
      </c>
      <c r="M645" s="13">
        <f t="shared" ref="M645:M708" si="184">INDEX($D$5:$D$42,L645)</f>
        <v>2</v>
      </c>
      <c r="N645" s="14">
        <f t="shared" ref="N645:N708" si="185">INDEX($A$4:$A$42,L645+1)</f>
        <v>1102015</v>
      </c>
      <c r="O645" s="14" t="str">
        <f t="shared" ref="O645:O708" si="186">INDEX($B$4:$B$42,MATCH(N645,$A$4:$A$42,0))&amp;R645&amp;"突"</f>
        <v>于禁12突</v>
      </c>
      <c r="P645" s="29" t="s">
        <v>341</v>
      </c>
      <c r="Q645" s="14">
        <f t="shared" ref="Q645:Q708" si="187">INDEX($C$4:$C$42,L645+1)</f>
        <v>2</v>
      </c>
      <c r="R645" s="14">
        <f t="shared" ref="R645:R708" si="188">K645-INDEX($F$4:$F$42,L645)</f>
        <v>12</v>
      </c>
      <c r="S645" s="14" t="s">
        <v>39</v>
      </c>
      <c r="T645" s="14">
        <f>ROUND(((IF(Q645=1,INDEX(新属性投放!$J$14:$J$34,卡牌属性!R645),INDEX(新属性投放!$J$42:$J$62,卡牌属性!R645)))*INDEX($G$5:$G$42,L645)+IF(Q645=1,INDEX(新属性投放!R$20:R$23,卡牌属性!M645-1),INDEX(新属性投放!R$25:R$28,卡牌属性!M645-1)))/SQRT(INDEX($I$5:$I$42,L645)),2)</f>
        <v>5739.9</v>
      </c>
      <c r="U645" s="29" t="s">
        <v>178</v>
      </c>
      <c r="V645" s="14">
        <f>ROUND((IF(Q645=1,INDEX(新属性投放!$K$14:$K$34,卡牌属性!R645),INDEX(新属性投放!$K$42:$K$62,卡牌属性!R645))+IF(Q645=1,INDEX(新属性投放!S$20:S$23,卡牌属性!M645-1),INDEX(新属性投放!S$25:S$28,卡牌属性!M645-1)))*INDEX($G$5:$G$42,L645),2)</f>
        <v>2792.45</v>
      </c>
      <c r="W645" s="29" t="s">
        <v>179</v>
      </c>
      <c r="X645" s="14">
        <f>ROUND((IF(Q645=1,INDEX(新属性投放!$L$14:$L$34,卡牌属性!R645),INDEX(新属性投放!$L$42:$L$62,卡牌属性!R645))*INDEX($G$5:$G$42,L645)+IF(Q645=1,INDEX(新属性投放!T$20:T$23,卡牌属性!M645-1),INDEX(新属性投放!T$25:T$28,卡牌属性!M645-1)))*SQRT(INDEX($I$5:$I$42,L645)),2)</f>
        <v>29844</v>
      </c>
      <c r="Y645" s="29" t="s">
        <v>177</v>
      </c>
      <c r="Z645" s="14">
        <f>ROUND(IF(Q645=1,INDEX(新属性投放!$D$14:$D$34,卡牌属性!R645),INDEX(新属性投放!$D$42:$D$62,卡牌属性!R645))*INDEX($G$5:$G$42,L645)/SQRT(INDEX($I$5:$I$42,L645)),2)</f>
        <v>135.62</v>
      </c>
      <c r="AA645" s="29" t="s">
        <v>178</v>
      </c>
      <c r="AB645" s="14">
        <f>ROUND(IF(Q645=1,INDEX(新属性投放!$E$14:$E$34,卡牌属性!R645),INDEX(新属性投放!$E$42:$E$62,卡牌属性!R645))*INDEX($G$5:$G$42,L645),2)</f>
        <v>67.81</v>
      </c>
      <c r="AC645" s="29" t="s">
        <v>179</v>
      </c>
      <c r="AD645" s="14">
        <f>ROUND(IF(Q645=1,INDEX(新属性投放!$F$14:$F$34,卡牌属性!R645),INDEX(新属性投放!$F$42:$F$62,卡牌属性!R645))*INDEX($G$5:$G$42,L645)*SQRT(INDEX($I$5:$I$42,L645)),2)</f>
        <v>610</v>
      </c>
      <c r="AF645" s="14">
        <f t="shared" ref="AF645:AF708" si="189">INT(Z645*AF$2*10)</f>
        <v>1356</v>
      </c>
      <c r="AG645" s="14">
        <f t="shared" ref="AG645:AG708" si="190">INT(AB645*AF$2*10)</f>
        <v>678</v>
      </c>
      <c r="AH645" s="14">
        <f t="shared" ref="AH645:AH708" si="191">INT(AD645*AF$2*10)</f>
        <v>6100</v>
      </c>
      <c r="AJ645" s="14">
        <f t="shared" si="180"/>
        <v>5674</v>
      </c>
      <c r="AK645" s="14">
        <f t="shared" si="181"/>
        <v>2836</v>
      </c>
      <c r="AL645" s="14">
        <f t="shared" si="182"/>
        <v>25510</v>
      </c>
    </row>
    <row r="646" spans="11:38" ht="16.5" x14ac:dyDescent="0.2">
      <c r="K646" s="13">
        <v>643</v>
      </c>
      <c r="L646" s="13">
        <f t="shared" si="183"/>
        <v>31</v>
      </c>
      <c r="M646" s="13">
        <f t="shared" si="184"/>
        <v>2</v>
      </c>
      <c r="N646" s="14">
        <f t="shared" si="185"/>
        <v>1102015</v>
      </c>
      <c r="O646" s="14" t="str">
        <f t="shared" si="186"/>
        <v>于禁13突</v>
      </c>
      <c r="P646" s="29" t="s">
        <v>341</v>
      </c>
      <c r="Q646" s="14">
        <f t="shared" si="187"/>
        <v>2</v>
      </c>
      <c r="R646" s="14">
        <f t="shared" si="188"/>
        <v>13</v>
      </c>
      <c r="S646" s="14" t="s">
        <v>39</v>
      </c>
      <c r="T646" s="14">
        <f>ROUND(((IF(Q646=1,INDEX(新属性投放!$J$14:$J$34,卡牌属性!R646),INDEX(新属性投放!$J$42:$J$62,卡牌属性!R646)))*INDEX($G$5:$G$42,L646)+IF(Q646=1,INDEX(新属性投放!R$20:R$23,卡牌属性!M646-1),INDEX(新属性投放!R$25:R$28,卡牌属性!M646-1)))/SQRT(INDEX($I$5:$I$42,L646)),2)</f>
        <v>7435.1</v>
      </c>
      <c r="U646" s="29" t="s">
        <v>178</v>
      </c>
      <c r="V646" s="14">
        <f>ROUND((IF(Q646=1,INDEX(新属性投放!$K$14:$K$34,卡牌属性!R646),INDEX(新属性投放!$K$42:$K$62,卡牌属性!R646))+IF(Q646=1,INDEX(新属性投放!S$20:S$23,卡牌属性!M646-1),INDEX(新属性投放!S$25:S$28,卡牌属性!M646-1)))*INDEX($G$5:$G$42,L646),2)</f>
        <v>3640.55</v>
      </c>
      <c r="W646" s="29" t="s">
        <v>179</v>
      </c>
      <c r="X646" s="14">
        <f>ROUND((IF(Q646=1,INDEX(新属性投放!$L$14:$L$34,卡牌属性!R646),INDEX(新属性投放!$L$42:$L$62,卡牌属性!R646))*INDEX($G$5:$G$42,L646)+IF(Q646=1,INDEX(新属性投放!T$20:T$23,卡牌属性!M646-1),INDEX(新属性投放!T$25:T$28,卡牌属性!M646-1)))*SQRT(INDEX($I$5:$I$42,L646)),2)</f>
        <v>38995</v>
      </c>
      <c r="Y646" s="29" t="s">
        <v>177</v>
      </c>
      <c r="Z646" s="14">
        <f>ROUND(IF(Q646=1,INDEX(新属性投放!$D$14:$D$34,卡牌属性!R646),INDEX(新属性投放!$D$42:$D$62,卡牌属性!R646))*INDEX($G$5:$G$42,L646)/SQRT(INDEX($I$5:$I$42,L646)),2)</f>
        <v>178</v>
      </c>
      <c r="AA646" s="29" t="s">
        <v>178</v>
      </c>
      <c r="AB646" s="14">
        <f>ROUND(IF(Q646=1,INDEX(新属性投放!$E$14:$E$34,卡牌属性!R646),INDEX(新属性投放!$E$42:$E$62,卡牌属性!R646))*INDEX($G$5:$G$42,L646),2)</f>
        <v>89</v>
      </c>
      <c r="AC646" s="29" t="s">
        <v>179</v>
      </c>
      <c r="AD646" s="14">
        <f>ROUND(IF(Q646=1,INDEX(新属性投放!$F$14:$F$34,卡牌属性!R646),INDEX(新属性投放!$F$42:$F$62,卡牌属性!R646))*INDEX($G$5:$G$42,L646)*SQRT(INDEX($I$5:$I$42,L646)),2)</f>
        <v>801</v>
      </c>
      <c r="AF646" s="14">
        <f t="shared" si="189"/>
        <v>1780</v>
      </c>
      <c r="AG646" s="14">
        <f t="shared" si="190"/>
        <v>890</v>
      </c>
      <c r="AH646" s="14">
        <f t="shared" si="191"/>
        <v>8010</v>
      </c>
      <c r="AJ646" s="14">
        <f t="shared" si="180"/>
        <v>7454</v>
      </c>
      <c r="AK646" s="14">
        <f t="shared" si="181"/>
        <v>3726</v>
      </c>
      <c r="AL646" s="14">
        <f t="shared" si="182"/>
        <v>33520</v>
      </c>
    </row>
    <row r="647" spans="11:38" ht="16.5" x14ac:dyDescent="0.2">
      <c r="K647" s="13">
        <v>644</v>
      </c>
      <c r="L647" s="13">
        <f t="shared" si="183"/>
        <v>31</v>
      </c>
      <c r="M647" s="13">
        <f t="shared" si="184"/>
        <v>2</v>
      </c>
      <c r="N647" s="14">
        <f t="shared" si="185"/>
        <v>1102015</v>
      </c>
      <c r="O647" s="14" t="str">
        <f t="shared" si="186"/>
        <v>于禁14突</v>
      </c>
      <c r="P647" s="29" t="s">
        <v>341</v>
      </c>
      <c r="Q647" s="14">
        <f t="shared" si="187"/>
        <v>2</v>
      </c>
      <c r="R647" s="14">
        <f t="shared" si="188"/>
        <v>14</v>
      </c>
      <c r="S647" s="14" t="s">
        <v>39</v>
      </c>
      <c r="T647" s="14">
        <f>ROUND(((IF(Q647=1,INDEX(新属性投放!$J$14:$J$34,卡牌属性!R647),INDEX(新属性投放!$J$42:$J$62,卡牌属性!R647)))*INDEX($G$5:$G$42,L647)+IF(Q647=1,INDEX(新属性投放!R$20:R$23,卡牌属性!M647-1),INDEX(新属性投放!R$25:R$28,卡牌属性!M647-1)))/SQRT(INDEX($I$5:$I$42,L647)),2)</f>
        <v>9660.1</v>
      </c>
      <c r="U647" s="29" t="s">
        <v>178</v>
      </c>
      <c r="V647" s="14">
        <f>ROUND((IF(Q647=1,INDEX(新属性投放!$K$14:$K$34,卡牌属性!R647),INDEX(新属性投放!$K$42:$K$62,卡牌属性!R647))+IF(Q647=1,INDEX(新属性投放!S$20:S$23,卡牌属性!M647-1),INDEX(新属性投放!S$25:S$28,卡牌属性!M647-1)))*INDEX($G$5:$G$42,L647),2)</f>
        <v>4753.55</v>
      </c>
      <c r="W647" s="29" t="s">
        <v>179</v>
      </c>
      <c r="X647" s="14">
        <f>ROUND((IF(Q647=1,INDEX(新属性投放!$L$14:$L$34,卡牌属性!R647),INDEX(新属性投放!$L$42:$L$62,卡牌属性!R647))*INDEX($G$5:$G$42,L647)+IF(Q647=1,INDEX(新属性投放!T$20:T$23,卡牌属性!M647-1),INDEX(新属性投放!T$25:T$28,卡牌属性!M647-1)))*SQRT(INDEX($I$5:$I$42,L647)),2)</f>
        <v>51010</v>
      </c>
      <c r="Y647" s="29" t="s">
        <v>177</v>
      </c>
      <c r="Z647" s="14">
        <f>ROUND(IF(Q647=1,INDEX(新属性投放!$D$14:$D$34,卡牌属性!R647),INDEX(新属性投放!$D$42:$D$62,卡牌属性!R647))*INDEX($G$5:$G$42,L647)/SQRT(INDEX($I$5:$I$42,L647)),2)</f>
        <v>233.63</v>
      </c>
      <c r="AA647" s="29" t="s">
        <v>178</v>
      </c>
      <c r="AB647" s="14">
        <f>ROUND(IF(Q647=1,INDEX(新属性投放!$E$14:$E$34,卡牌属性!R647),INDEX(新属性投放!$E$42:$E$62,卡牌属性!R647))*INDEX($G$5:$G$42,L647),2)</f>
        <v>116.82</v>
      </c>
      <c r="AC647" s="29" t="s">
        <v>179</v>
      </c>
      <c r="AD647" s="14">
        <f>ROUND(IF(Q647=1,INDEX(新属性投放!$F$14:$F$34,卡牌属性!R647),INDEX(新属性投放!$F$42:$F$62,卡牌属性!R647))*INDEX($G$5:$G$42,L647)*SQRT(INDEX($I$5:$I$42,L647)),2)</f>
        <v>1051</v>
      </c>
      <c r="AF647" s="14">
        <f t="shared" si="189"/>
        <v>2336</v>
      </c>
      <c r="AG647" s="14">
        <f t="shared" si="190"/>
        <v>1168</v>
      </c>
      <c r="AH647" s="14">
        <f t="shared" si="191"/>
        <v>10510</v>
      </c>
      <c r="AJ647" s="14">
        <f t="shared" si="180"/>
        <v>9790</v>
      </c>
      <c r="AK647" s="14">
        <f t="shared" si="181"/>
        <v>4894</v>
      </c>
      <c r="AL647" s="14">
        <f t="shared" si="182"/>
        <v>44030</v>
      </c>
    </row>
    <row r="648" spans="11:38" ht="16.5" x14ac:dyDescent="0.2">
      <c r="K648" s="13">
        <v>645</v>
      </c>
      <c r="L648" s="13">
        <f t="shared" si="183"/>
        <v>31</v>
      </c>
      <c r="M648" s="13">
        <f t="shared" si="184"/>
        <v>2</v>
      </c>
      <c r="N648" s="14">
        <f t="shared" si="185"/>
        <v>1102015</v>
      </c>
      <c r="O648" s="14" t="str">
        <f t="shared" si="186"/>
        <v>于禁15突</v>
      </c>
      <c r="P648" s="29" t="s">
        <v>341</v>
      </c>
      <c r="Q648" s="14">
        <f t="shared" si="187"/>
        <v>2</v>
      </c>
      <c r="R648" s="14">
        <f t="shared" si="188"/>
        <v>15</v>
      </c>
      <c r="S648" s="14" t="s">
        <v>39</v>
      </c>
      <c r="T648" s="14">
        <f>ROUND(((IF(Q648=1,INDEX(新属性投放!$J$14:$J$34,卡牌属性!R648),INDEX(新属性投放!$J$42:$J$62,卡牌属性!R648)))*INDEX($G$5:$G$42,L648)+IF(Q648=1,INDEX(新属性投放!R$20:R$23,卡牌属性!M648-1),INDEX(新属性投放!R$25:R$28,卡牌属性!M648-1)))/SQRT(INDEX($I$5:$I$42,L648)),2)</f>
        <v>12580.4</v>
      </c>
      <c r="U648" s="29" t="s">
        <v>178</v>
      </c>
      <c r="V648" s="14">
        <f>ROUND((IF(Q648=1,INDEX(新属性投放!$K$14:$K$34,卡牌属性!R648),INDEX(新属性投放!$K$42:$K$62,卡牌属性!R648))+IF(Q648=1,INDEX(新属性投放!S$20:S$23,卡牌属性!M648-1),INDEX(新属性投放!S$25:S$28,卡牌属性!M648-1)))*INDEX($G$5:$G$42,L648),2)</f>
        <v>6213.7</v>
      </c>
      <c r="W648" s="29" t="s">
        <v>179</v>
      </c>
      <c r="X648" s="14">
        <f>ROUND((IF(Q648=1,INDEX(新属性投放!$L$14:$L$34,卡牌属性!R648),INDEX(新属性投放!$L$42:$L$62,卡牌属性!R648))*INDEX($G$5:$G$42,L648)+IF(Q648=1,INDEX(新属性投放!T$20:T$23,卡牌属性!M648-1),INDEX(新属性投放!T$25:T$28,卡牌属性!M648-1)))*SQRT(INDEX($I$5:$I$42,L648)),2)</f>
        <v>66776</v>
      </c>
      <c r="Y648" s="29" t="s">
        <v>177</v>
      </c>
      <c r="Z648" s="14">
        <f>ROUND(IF(Q648=1,INDEX(新属性投放!$D$14:$D$34,卡牌属性!R648),INDEX(新属性投放!$D$42:$D$62,卡牌属性!R648))*INDEX($G$5:$G$42,L648)/SQRT(INDEX($I$5:$I$42,L648)),2)</f>
        <v>306.64</v>
      </c>
      <c r="AA648" s="29" t="s">
        <v>178</v>
      </c>
      <c r="AB648" s="14">
        <f>ROUND(IF(Q648=1,INDEX(新属性投放!$E$14:$E$34,卡牌属性!R648),INDEX(新属性投放!$E$42:$E$62,卡牌属性!R648))*INDEX($G$5:$G$42,L648),2)</f>
        <v>153.32</v>
      </c>
      <c r="AC648" s="29" t="s">
        <v>179</v>
      </c>
      <c r="AD648" s="14">
        <f>ROUND(IF(Q648=1,INDEX(新属性投放!$F$14:$F$34,卡牌属性!R648),INDEX(新属性投放!$F$42:$F$62,卡牌属性!R648))*INDEX($G$5:$G$42,L648)*SQRT(INDEX($I$5:$I$42,L648)),2)</f>
        <v>1379</v>
      </c>
      <c r="AF648" s="14">
        <f t="shared" si="189"/>
        <v>3066</v>
      </c>
      <c r="AG648" s="14">
        <f t="shared" si="190"/>
        <v>1533</v>
      </c>
      <c r="AH648" s="14">
        <f t="shared" si="191"/>
        <v>13790</v>
      </c>
      <c r="AJ648" s="14">
        <f t="shared" si="180"/>
        <v>12856</v>
      </c>
      <c r="AK648" s="14">
        <f t="shared" si="181"/>
        <v>6427</v>
      </c>
      <c r="AL648" s="14">
        <f t="shared" si="182"/>
        <v>57820</v>
      </c>
    </row>
    <row r="649" spans="11:38" ht="16.5" x14ac:dyDescent="0.2">
      <c r="K649" s="13">
        <v>646</v>
      </c>
      <c r="L649" s="13">
        <f t="shared" si="183"/>
        <v>31</v>
      </c>
      <c r="M649" s="13">
        <f t="shared" si="184"/>
        <v>2</v>
      </c>
      <c r="N649" s="14">
        <f t="shared" si="185"/>
        <v>1102015</v>
      </c>
      <c r="O649" s="14" t="str">
        <f t="shared" si="186"/>
        <v>于禁16突</v>
      </c>
      <c r="P649" s="29" t="s">
        <v>341</v>
      </c>
      <c r="Q649" s="14">
        <f t="shared" si="187"/>
        <v>2</v>
      </c>
      <c r="R649" s="14">
        <f t="shared" si="188"/>
        <v>16</v>
      </c>
      <c r="S649" s="14" t="s">
        <v>39</v>
      </c>
      <c r="T649" s="14">
        <f>ROUND(((IF(Q649=1,INDEX(新属性投放!$J$14:$J$34,卡牌属性!R649),INDEX(新属性投放!$J$42:$J$62,卡牌属性!R649)))*INDEX($G$5:$G$42,L649)+IF(Q649=1,INDEX(新属性投放!R$20:R$23,卡牌属性!M649-1),INDEX(新属性投放!R$25:R$28,卡牌属性!M649-1)))/SQRT(INDEX($I$5:$I$42,L649)),2)</f>
        <v>16413.8</v>
      </c>
      <c r="U649" s="29" t="s">
        <v>178</v>
      </c>
      <c r="V649" s="14">
        <f>ROUND((IF(Q649=1,INDEX(新属性投放!$K$14:$K$34,卡牌属性!R649),INDEX(新属性投放!$K$42:$K$62,卡牌属性!R649))+IF(Q649=1,INDEX(新属性投放!S$20:S$23,卡牌属性!M649-1),INDEX(新属性投放!S$25:S$28,卡牌属性!M649-1)))*INDEX($G$5:$G$42,L649),2)</f>
        <v>8129.9</v>
      </c>
      <c r="W649" s="29" t="s">
        <v>179</v>
      </c>
      <c r="X649" s="14">
        <f>ROUND((IF(Q649=1,INDEX(新属性投放!$L$14:$L$34,卡牌属性!R649),INDEX(新属性投放!$L$42:$L$62,卡牌属性!R649))*INDEX($G$5:$G$42,L649)+IF(Q649=1,INDEX(新属性投放!T$20:T$23,卡牌属性!M649-1),INDEX(新属性投放!T$25:T$28,卡牌属性!M649-1)))*SQRT(INDEX($I$5:$I$42,L649)),2)</f>
        <v>87469</v>
      </c>
      <c r="Y649" s="29" t="s">
        <v>177</v>
      </c>
      <c r="Z649" s="14">
        <f>ROUND(IF(Q649=1,INDEX(新属性投放!$D$14:$D$34,卡牌属性!R649),INDEX(新属性投放!$D$42:$D$62,卡牌属性!R649))*INDEX($G$5:$G$42,L649)/SQRT(INDEX($I$5:$I$42,L649)),2)</f>
        <v>402.47</v>
      </c>
      <c r="AA649" s="29" t="s">
        <v>178</v>
      </c>
      <c r="AB649" s="14">
        <f>ROUND(IF(Q649=1,INDEX(新属性投放!$E$14:$E$34,卡牌属性!R649),INDEX(新属性投放!$E$42:$E$62,卡牌属性!R649))*INDEX($G$5:$G$42,L649),2)</f>
        <v>201.24</v>
      </c>
      <c r="AC649" s="29" t="s">
        <v>179</v>
      </c>
      <c r="AD649" s="14">
        <f>ROUND(IF(Q649=1,INDEX(新属性投放!$F$14:$F$34,卡牌属性!R649),INDEX(新属性投放!$F$42:$F$62,卡牌属性!R649))*INDEX($G$5:$G$42,L649)*SQRT(INDEX($I$5:$I$42,L649)),2)</f>
        <v>1811</v>
      </c>
      <c r="AF649" s="14">
        <f t="shared" si="189"/>
        <v>4024</v>
      </c>
      <c r="AG649" s="14">
        <f t="shared" si="190"/>
        <v>2012</v>
      </c>
      <c r="AH649" s="14">
        <f t="shared" si="191"/>
        <v>18110</v>
      </c>
      <c r="AJ649" s="14">
        <f t="shared" si="180"/>
        <v>16880</v>
      </c>
      <c r="AK649" s="14">
        <f t="shared" si="181"/>
        <v>8439</v>
      </c>
      <c r="AL649" s="14">
        <f t="shared" si="182"/>
        <v>75930</v>
      </c>
    </row>
    <row r="650" spans="11:38" ht="16.5" x14ac:dyDescent="0.2">
      <c r="K650" s="13">
        <v>647</v>
      </c>
      <c r="L650" s="13">
        <f t="shared" si="183"/>
        <v>31</v>
      </c>
      <c r="M650" s="13">
        <f t="shared" si="184"/>
        <v>2</v>
      </c>
      <c r="N650" s="14">
        <f t="shared" si="185"/>
        <v>1102015</v>
      </c>
      <c r="O650" s="14" t="str">
        <f t="shared" si="186"/>
        <v>于禁17突</v>
      </c>
      <c r="P650" s="29" t="s">
        <v>341</v>
      </c>
      <c r="Q650" s="14">
        <f t="shared" si="187"/>
        <v>2</v>
      </c>
      <c r="R650" s="14">
        <f t="shared" si="188"/>
        <v>17</v>
      </c>
      <c r="S650" s="14" t="s">
        <v>39</v>
      </c>
      <c r="T650" s="14">
        <f>ROUND(((IF(Q650=1,INDEX(新属性投放!$J$14:$J$34,卡牌属性!R650),INDEX(新属性投放!$J$42:$J$62,卡牌属性!R650)))*INDEX($G$5:$G$42,L650)+IF(Q650=1,INDEX(新属性投放!R$20:R$23,卡牌属性!M650-1),INDEX(新属性投放!R$25:R$28,卡牌属性!M650-1)))/SQRT(INDEX($I$5:$I$42,L650)),2)</f>
        <v>21444.5</v>
      </c>
      <c r="U650" s="29" t="s">
        <v>178</v>
      </c>
      <c r="V650" s="14">
        <f>ROUND((IF(Q650=1,INDEX(新属性投放!$K$14:$K$34,卡牌属性!R650),INDEX(新属性投放!$K$42:$K$62,卡牌属性!R650))+IF(Q650=1,INDEX(新属性投放!S$20:S$23,卡牌属性!M650-1),INDEX(新属性投放!S$25:S$28,卡牌属性!M650-1)))*INDEX($G$5:$G$42,L650),2)</f>
        <v>10645.25</v>
      </c>
      <c r="W650" s="29" t="s">
        <v>179</v>
      </c>
      <c r="X650" s="14">
        <f>ROUND((IF(Q650=1,INDEX(新属性投放!$L$14:$L$34,卡牌属性!R650),INDEX(新属性投放!$L$42:$L$62,卡牌属性!R650))*INDEX($G$5:$G$42,L650)+IF(Q650=1,INDEX(新属性投放!T$20:T$23,卡牌属性!M650-1),INDEX(新属性投放!T$25:T$28,卡牌属性!M650-1)))*SQRT(INDEX($I$5:$I$42,L650)),2)</f>
        <v>114633</v>
      </c>
      <c r="Y650" s="29" t="s">
        <v>177</v>
      </c>
      <c r="Z650" s="14">
        <f>ROUND(IF(Q650=1,INDEX(新属性投放!$D$14:$D$34,卡牌属性!R650),INDEX(新属性投放!$D$42:$D$62,卡牌属性!R650))*INDEX($G$5:$G$42,L650)/SQRT(INDEX($I$5:$I$42,L650)),2)</f>
        <v>528.24</v>
      </c>
      <c r="AA650" s="29" t="s">
        <v>178</v>
      </c>
      <c r="AB650" s="14">
        <f>ROUND(IF(Q650=1,INDEX(新属性投放!$E$14:$E$34,卡牌属性!R650),INDEX(新属性投放!$E$42:$E$62,卡牌属性!R650))*INDEX($G$5:$G$42,L650),2)</f>
        <v>264.12</v>
      </c>
      <c r="AC650" s="29" t="s">
        <v>179</v>
      </c>
      <c r="AD650" s="14">
        <f>ROUND(IF(Q650=1,INDEX(新属性投放!$F$14:$F$34,卡牌属性!R650),INDEX(新属性投放!$F$42:$F$62,卡牌属性!R650))*INDEX($G$5:$G$42,L650)*SQRT(INDEX($I$5:$I$42,L650)),2)</f>
        <v>2377</v>
      </c>
      <c r="AF650" s="14">
        <f t="shared" si="189"/>
        <v>5282</v>
      </c>
      <c r="AG650" s="14">
        <f t="shared" si="190"/>
        <v>2641</v>
      </c>
      <c r="AH650" s="14">
        <f t="shared" si="191"/>
        <v>23770</v>
      </c>
      <c r="AJ650" s="14">
        <f t="shared" si="180"/>
        <v>22162</v>
      </c>
      <c r="AK650" s="14">
        <f t="shared" si="181"/>
        <v>11080</v>
      </c>
      <c r="AL650" s="14">
        <f t="shared" si="182"/>
        <v>99700</v>
      </c>
    </row>
    <row r="651" spans="11:38" ht="16.5" x14ac:dyDescent="0.2">
      <c r="K651" s="13">
        <v>648</v>
      </c>
      <c r="L651" s="13">
        <f t="shared" si="183"/>
        <v>31</v>
      </c>
      <c r="M651" s="13">
        <f t="shared" si="184"/>
        <v>2</v>
      </c>
      <c r="N651" s="14">
        <f t="shared" si="185"/>
        <v>1102015</v>
      </c>
      <c r="O651" s="14" t="str">
        <f t="shared" si="186"/>
        <v>于禁18突</v>
      </c>
      <c r="P651" s="29" t="s">
        <v>341</v>
      </c>
      <c r="Q651" s="14">
        <f t="shared" si="187"/>
        <v>2</v>
      </c>
      <c r="R651" s="14">
        <f t="shared" si="188"/>
        <v>18</v>
      </c>
      <c r="S651" s="14" t="s">
        <v>39</v>
      </c>
      <c r="T651" s="14">
        <f>ROUND(((IF(Q651=1,INDEX(新属性投放!$J$14:$J$34,卡牌属性!R651),INDEX(新属性投放!$J$42:$J$62,卡牌属性!R651)))*INDEX($G$5:$G$42,L651)+IF(Q651=1,INDEX(新属性投放!R$20:R$23,卡牌属性!M651-1),INDEX(新属性投放!R$25:R$28,卡牌属性!M651-1)))/SQRT(INDEX($I$5:$I$42,L651)),2)</f>
        <v>28047.9</v>
      </c>
      <c r="U651" s="29" t="s">
        <v>178</v>
      </c>
      <c r="V651" s="14">
        <f>ROUND((IF(Q651=1,INDEX(新属性投放!$K$14:$K$34,卡牌属性!R651),INDEX(新属性投放!$K$42:$K$62,卡牌属性!R651))+IF(Q651=1,INDEX(新属性投放!S$20:S$23,卡牌属性!M651-1),INDEX(新属性投放!S$25:S$28,卡牌属性!M651-1)))*INDEX($G$5:$G$42,L651),2)</f>
        <v>13946.45</v>
      </c>
      <c r="W651" s="29" t="s">
        <v>179</v>
      </c>
      <c r="X651" s="14">
        <f>ROUND((IF(Q651=1,INDEX(新属性投放!$L$14:$L$34,卡牌属性!R651),INDEX(新属性投放!$L$42:$L$62,卡牌属性!R651))*INDEX($G$5:$G$42,L651)+IF(Q651=1,INDEX(新属性投放!T$20:T$23,卡牌属性!M651-1),INDEX(新属性投放!T$25:T$28,卡牌属性!M651-1)))*SQRT(INDEX($I$5:$I$42,L651)),2)</f>
        <v>150292</v>
      </c>
      <c r="Y651" s="29" t="s">
        <v>177</v>
      </c>
      <c r="Z651" s="14">
        <f>ROUND(IF(Q651=1,INDEX(新属性投放!$D$14:$D$34,卡牌属性!R651),INDEX(新属性投放!$D$42:$D$62,卡牌属性!R651))*INDEX($G$5:$G$42,L651)/SQRT(INDEX($I$5:$I$42,L651)),2)</f>
        <v>693.32</v>
      </c>
      <c r="AA651" s="29" t="s">
        <v>178</v>
      </c>
      <c r="AB651" s="14">
        <f>ROUND(IF(Q651=1,INDEX(新属性投放!$E$14:$E$34,卡牌属性!R651),INDEX(新属性投放!$E$42:$E$62,卡牌属性!R651))*INDEX($G$5:$G$42,L651),2)</f>
        <v>346.66</v>
      </c>
      <c r="AC651" s="29" t="s">
        <v>179</v>
      </c>
      <c r="AD651" s="14">
        <f>ROUND(IF(Q651=1,INDEX(新属性投放!$F$14:$F$34,卡牌属性!R651),INDEX(新属性投放!$F$42:$F$62,卡牌属性!R651))*INDEX($G$5:$G$42,L651)*SQRT(INDEX($I$5:$I$42,L651)),2)</f>
        <v>3119</v>
      </c>
      <c r="AF651" s="14">
        <f t="shared" si="189"/>
        <v>6933</v>
      </c>
      <c r="AG651" s="14">
        <f t="shared" si="190"/>
        <v>3466</v>
      </c>
      <c r="AH651" s="14">
        <f t="shared" si="191"/>
        <v>31190</v>
      </c>
      <c r="AJ651" s="14">
        <f t="shared" si="180"/>
        <v>29095</v>
      </c>
      <c r="AK651" s="14">
        <f t="shared" si="181"/>
        <v>14546</v>
      </c>
      <c r="AL651" s="14">
        <f t="shared" si="182"/>
        <v>130890</v>
      </c>
    </row>
    <row r="652" spans="11:38" ht="16.5" x14ac:dyDescent="0.2">
      <c r="K652" s="13">
        <v>649</v>
      </c>
      <c r="L652" s="13">
        <f t="shared" si="183"/>
        <v>31</v>
      </c>
      <c r="M652" s="13">
        <f t="shared" si="184"/>
        <v>2</v>
      </c>
      <c r="N652" s="14">
        <f t="shared" si="185"/>
        <v>1102015</v>
      </c>
      <c r="O652" s="14" t="str">
        <f t="shared" si="186"/>
        <v>于禁19突</v>
      </c>
      <c r="P652" s="29" t="s">
        <v>341</v>
      </c>
      <c r="Q652" s="14">
        <f t="shared" si="187"/>
        <v>2</v>
      </c>
      <c r="R652" s="14">
        <f t="shared" si="188"/>
        <v>19</v>
      </c>
      <c r="S652" s="14" t="s">
        <v>39</v>
      </c>
      <c r="T652" s="14">
        <f>ROUND(((IF(Q652=1,INDEX(新属性投放!$J$14:$J$34,卡牌属性!R652),INDEX(新属性投放!$J$42:$J$62,卡牌属性!R652)))*INDEX($G$5:$G$42,L652)+IF(Q652=1,INDEX(新属性投放!R$20:R$23,卡牌属性!M652-1),INDEX(新属性投放!R$25:R$28,卡牌属性!M652-1)))/SQRT(INDEX($I$5:$I$42,L652)),2)</f>
        <v>36714.1</v>
      </c>
      <c r="U652" s="29" t="s">
        <v>178</v>
      </c>
      <c r="V652" s="14">
        <f>ROUND((IF(Q652=1,INDEX(新属性投放!$K$14:$K$34,卡牌属性!R652),INDEX(新属性投放!$K$42:$K$62,卡牌属性!R652))+IF(Q652=1,INDEX(新属性投放!S$20:S$23,卡牌属性!M652-1),INDEX(新属性投放!S$25:S$28,卡牌属性!M652-1)))*INDEX($G$5:$G$42,L652),2)</f>
        <v>18280.05</v>
      </c>
      <c r="W652" s="29" t="s">
        <v>179</v>
      </c>
      <c r="X652" s="14">
        <f>ROUND((IF(Q652=1,INDEX(新属性投放!$L$14:$L$34,卡牌属性!R652),INDEX(新属性投放!$L$42:$L$62,卡牌属性!R652))*INDEX($G$5:$G$42,L652)+IF(Q652=1,INDEX(新属性投放!T$20:T$23,卡牌属性!M652-1),INDEX(新属性投放!T$25:T$28,卡牌属性!M652-1)))*SQRT(INDEX($I$5:$I$42,L652)),2)</f>
        <v>197079</v>
      </c>
      <c r="Y652" s="29" t="s">
        <v>177</v>
      </c>
      <c r="Z652" s="14">
        <f>ROUND(IF(Q652=1,INDEX(新属性投放!$D$14:$D$34,卡牌属性!R652),INDEX(新属性投放!$D$42:$D$62,卡牌属性!R652))*INDEX($G$5:$G$42,L652)/SQRT(INDEX($I$5:$I$42,L652)),2)</f>
        <v>909.98</v>
      </c>
      <c r="AA652" s="29" t="s">
        <v>178</v>
      </c>
      <c r="AB652" s="14">
        <f>ROUND(IF(Q652=1,INDEX(新属性投放!$E$14:$E$34,卡牌属性!R652),INDEX(新属性投放!$E$42:$E$62,卡牌属性!R652))*INDEX($G$5:$G$42,L652),2)</f>
        <v>454.99</v>
      </c>
      <c r="AC652" s="29" t="s">
        <v>179</v>
      </c>
      <c r="AD652" s="14">
        <f>ROUND(IF(Q652=1,INDEX(新属性投放!$F$14:$F$34,卡牌属性!R652),INDEX(新属性投放!$F$42:$F$62,卡牌属性!R652))*INDEX($G$5:$G$42,L652)*SQRT(INDEX($I$5:$I$42,L652)),2)</f>
        <v>4094</v>
      </c>
      <c r="AF652" s="14">
        <f t="shared" si="189"/>
        <v>9099</v>
      </c>
      <c r="AG652" s="14">
        <f t="shared" si="190"/>
        <v>4549</v>
      </c>
      <c r="AH652" s="14">
        <f t="shared" si="191"/>
        <v>40940</v>
      </c>
      <c r="AJ652" s="14">
        <f t="shared" si="180"/>
        <v>38194</v>
      </c>
      <c r="AK652" s="14">
        <f t="shared" si="181"/>
        <v>19095</v>
      </c>
      <c r="AL652" s="14">
        <f t="shared" si="182"/>
        <v>171830</v>
      </c>
    </row>
    <row r="653" spans="11:38" ht="16.5" x14ac:dyDescent="0.2">
      <c r="K653" s="13">
        <v>650</v>
      </c>
      <c r="L653" s="13">
        <f t="shared" si="183"/>
        <v>31</v>
      </c>
      <c r="M653" s="13">
        <f t="shared" si="184"/>
        <v>2</v>
      </c>
      <c r="N653" s="14">
        <f t="shared" si="185"/>
        <v>1102015</v>
      </c>
      <c r="O653" s="14" t="str">
        <f t="shared" si="186"/>
        <v>于禁20突</v>
      </c>
      <c r="P653" s="29" t="s">
        <v>341</v>
      </c>
      <c r="Q653" s="14">
        <f t="shared" si="187"/>
        <v>2</v>
      </c>
      <c r="R653" s="14">
        <f t="shared" si="188"/>
        <v>20</v>
      </c>
      <c r="S653" s="14" t="s">
        <v>39</v>
      </c>
      <c r="T653" s="14">
        <f>ROUND(((IF(Q653=1,INDEX(新属性投放!$J$14:$J$34,卡牌属性!R653),INDEX(新属性投放!$J$42:$J$62,卡牌属性!R653)))*INDEX($G$5:$G$42,L653)+IF(Q653=1,INDEX(新属性投放!R$20:R$23,卡牌属性!M653-1),INDEX(新属性投放!R$25:R$28,卡牌属性!M653-1)))/SQRT(INDEX($I$5:$I$42,L653)),2)</f>
        <v>48088.9</v>
      </c>
      <c r="U653" s="29" t="s">
        <v>178</v>
      </c>
      <c r="V653" s="14">
        <f>ROUND((IF(Q653=1,INDEX(新属性投放!$K$14:$K$34,卡牌属性!R653),INDEX(新属性投放!$K$42:$K$62,卡牌属性!R653))+IF(Q653=1,INDEX(新属性投放!S$20:S$23,卡牌属性!M653-1),INDEX(新属性投放!S$25:S$28,卡牌属性!M653-1)))*INDEX($G$5:$G$42,L653),2)</f>
        <v>23966.95</v>
      </c>
      <c r="W653" s="29" t="s">
        <v>179</v>
      </c>
      <c r="X653" s="14">
        <f>ROUND((IF(Q653=1,INDEX(新属性投放!$L$14:$L$34,卡牌属性!R653),INDEX(新属性投放!$L$42:$L$62,卡牌属性!R653))*INDEX($G$5:$G$42,L653)+IF(Q653=1,INDEX(新属性投放!T$20:T$23,卡牌属性!M653-1),INDEX(新属性投放!T$25:T$28,卡牌属性!M653-1)))*SQRT(INDEX($I$5:$I$42,L653)),2)</f>
        <v>258494</v>
      </c>
      <c r="Y653" s="29" t="s">
        <v>177</v>
      </c>
      <c r="Z653" s="14">
        <f>ROUND(IF(Q653=1,INDEX(新属性投放!$D$14:$D$34,卡牌属性!R653),INDEX(新属性投放!$D$42:$D$62,卡牌属性!R653))*INDEX($G$5:$G$42,L653)/SQRT(INDEX($I$5:$I$42,L653)),2)</f>
        <v>1194.3499999999999</v>
      </c>
      <c r="AA653" s="29" t="s">
        <v>178</v>
      </c>
      <c r="AB653" s="14">
        <f>ROUND(IF(Q653=1,INDEX(新属性投放!$E$14:$E$34,卡牌属性!R653),INDEX(新属性投放!$E$42:$E$62,卡牌属性!R653))*INDEX($G$5:$G$42,L653),2)</f>
        <v>597.17999999999995</v>
      </c>
      <c r="AC653" s="29" t="s">
        <v>179</v>
      </c>
      <c r="AD653" s="14">
        <f>ROUND(IF(Q653=1,INDEX(新属性投放!$F$14:$F$34,卡牌属性!R653),INDEX(新属性投放!$F$42:$F$62,卡牌属性!R653))*INDEX($G$5:$G$42,L653)*SQRT(INDEX($I$5:$I$42,L653)),2)</f>
        <v>5374</v>
      </c>
      <c r="AF653" s="14">
        <f t="shared" si="189"/>
        <v>11943</v>
      </c>
      <c r="AG653" s="14">
        <f t="shared" si="190"/>
        <v>5971</v>
      </c>
      <c r="AH653" s="14">
        <f t="shared" si="191"/>
        <v>53740</v>
      </c>
      <c r="AJ653" s="14">
        <f t="shared" si="180"/>
        <v>50137</v>
      </c>
      <c r="AK653" s="14">
        <f t="shared" si="181"/>
        <v>25066</v>
      </c>
      <c r="AL653" s="14">
        <f t="shared" si="182"/>
        <v>225570</v>
      </c>
    </row>
    <row r="654" spans="11:38" ht="16.5" x14ac:dyDescent="0.2">
      <c r="K654" s="13">
        <v>651</v>
      </c>
      <c r="L654" s="13">
        <f t="shared" si="183"/>
        <v>31</v>
      </c>
      <c r="M654" s="13">
        <f t="shared" si="184"/>
        <v>2</v>
      </c>
      <c r="N654" s="14">
        <f t="shared" si="185"/>
        <v>1102015</v>
      </c>
      <c r="O654" s="14" t="str">
        <f t="shared" si="186"/>
        <v>于禁21突</v>
      </c>
      <c r="P654" s="29" t="s">
        <v>341</v>
      </c>
      <c r="Q654" s="14">
        <f t="shared" si="187"/>
        <v>2</v>
      </c>
      <c r="R654" s="14">
        <f t="shared" si="188"/>
        <v>21</v>
      </c>
      <c r="S654" s="14" t="s">
        <v>39</v>
      </c>
      <c r="T654" s="14">
        <f>ROUND(((IF(Q654=1,INDEX(新属性投放!$J$14:$J$34,卡牌属性!R654),INDEX(新属性投放!$J$42:$J$62,卡牌属性!R654)))*INDEX($G$5:$G$42,L654)+IF(Q654=1,INDEX(新属性投放!R$20:R$23,卡牌属性!M654-1),INDEX(新属性投放!R$25:R$28,卡牌属性!M654-1)))/SQRT(INDEX($I$5:$I$42,L654)),2)</f>
        <v>63018.400000000001</v>
      </c>
      <c r="U654" s="29" t="s">
        <v>178</v>
      </c>
      <c r="V654" s="14">
        <f>ROUND((IF(Q654=1,INDEX(新属性投放!$K$14:$K$34,卡牌属性!R654),INDEX(新属性投放!$K$42:$K$62,卡牌属性!R654))+IF(Q654=1,INDEX(新属性投放!S$20:S$23,卡牌属性!M654-1),INDEX(新属性投放!S$25:S$28,卡牌属性!M654-1)))*INDEX($G$5:$G$42,L654),2)</f>
        <v>31431.7</v>
      </c>
      <c r="W654" s="29" t="s">
        <v>179</v>
      </c>
      <c r="X654" s="14">
        <f>ROUND((IF(Q654=1,INDEX(新属性投放!$L$14:$L$34,卡牌属性!R654),INDEX(新属性投放!$L$42:$L$62,卡牌属性!R654))*INDEX($G$5:$G$42,L654)+IF(Q654=1,INDEX(新属性投放!T$20:T$23,卡牌属性!M654-1),INDEX(新属性投放!T$25:T$28,卡牌属性!M654-1)))*SQRT(INDEX($I$5:$I$42,L654)),2)</f>
        <v>339108</v>
      </c>
      <c r="Y654" s="29" t="s">
        <v>177</v>
      </c>
      <c r="Z654" s="14">
        <f>ROUND(IF(Q654=1,INDEX(新属性投放!$D$14:$D$34,卡牌属性!R654),INDEX(新属性投放!$D$42:$D$62,卡牌属性!R654))*INDEX($G$5:$G$42,L654)/SQRT(INDEX($I$5:$I$42,L654)),2)</f>
        <v>1567.59</v>
      </c>
      <c r="AA654" s="29" t="s">
        <v>178</v>
      </c>
      <c r="AB654" s="14">
        <f>ROUND(IF(Q654=1,INDEX(新属性投放!$E$14:$E$34,卡牌属性!R654),INDEX(新属性投放!$E$42:$E$62,卡牌属性!R654))*INDEX($G$5:$G$42,L654),2)</f>
        <v>783.8</v>
      </c>
      <c r="AC654" s="29" t="s">
        <v>179</v>
      </c>
      <c r="AD654" s="14">
        <f>ROUND(IF(Q654=1,INDEX(新属性投放!$F$14:$F$34,卡牌属性!R654),INDEX(新属性投放!$F$42:$F$62,卡牌属性!R654))*INDEX($G$5:$G$42,L654)*SQRT(INDEX($I$5:$I$42,L654)),2)</f>
        <v>7054</v>
      </c>
      <c r="AF654" s="14">
        <f t="shared" si="189"/>
        <v>15675</v>
      </c>
      <c r="AG654" s="14">
        <f t="shared" si="190"/>
        <v>7838</v>
      </c>
      <c r="AH654" s="14">
        <f t="shared" si="191"/>
        <v>70540</v>
      </c>
      <c r="AJ654" s="14">
        <f t="shared" si="180"/>
        <v>65812</v>
      </c>
      <c r="AK654" s="14">
        <f t="shared" si="181"/>
        <v>32904</v>
      </c>
      <c r="AL654" s="14">
        <f t="shared" si="182"/>
        <v>296110</v>
      </c>
    </row>
    <row r="655" spans="11:38" ht="16.5" x14ac:dyDescent="0.2">
      <c r="K655" s="13">
        <v>652</v>
      </c>
      <c r="L655" s="13">
        <f t="shared" si="183"/>
        <v>32</v>
      </c>
      <c r="M655" s="13">
        <f t="shared" si="184"/>
        <v>5</v>
      </c>
      <c r="N655" s="14">
        <f t="shared" si="185"/>
        <v>1102016</v>
      </c>
      <c r="O655" s="14" t="str">
        <f t="shared" si="186"/>
        <v>西方龙1突</v>
      </c>
      <c r="P655" s="29" t="s">
        <v>341</v>
      </c>
      <c r="Q655" s="14">
        <f t="shared" si="187"/>
        <v>2</v>
      </c>
      <c r="R655" s="14">
        <f t="shared" si="188"/>
        <v>1</v>
      </c>
      <c r="S655" s="14" t="s">
        <v>39</v>
      </c>
      <c r="T655" s="14">
        <f>ROUND(((IF(Q655=1,INDEX(新属性投放!$J$14:$J$34,卡牌属性!R655),INDEX(新属性投放!$J$42:$J$62,卡牌属性!R655)))*INDEX($G$5:$G$42,L655)+IF(Q655=1,INDEX(新属性投放!R$20:R$23,卡牌属性!M655-1),INDEX(新属性投放!R$25:R$28,卡牌属性!M655-1)))/SQRT(INDEX($I$5:$I$42,L655)),2)</f>
        <v>900</v>
      </c>
      <c r="U655" s="29" t="s">
        <v>178</v>
      </c>
      <c r="V655" s="14">
        <f>ROUND((IF(Q655=1,INDEX(新属性投放!$K$14:$K$34,卡牌属性!R655),INDEX(新属性投放!$K$42:$K$62,卡牌属性!R655))+IF(Q655=1,INDEX(新属性投放!S$20:S$23,卡牌属性!M655-1),INDEX(新属性投放!S$25:S$28,卡牌属性!M655-1)))*INDEX($G$5:$G$42,L655),2)</f>
        <v>150</v>
      </c>
      <c r="W655" s="29" t="s">
        <v>179</v>
      </c>
      <c r="X655" s="14">
        <f>ROUND((IF(Q655=1,INDEX(新属性投放!$L$14:$L$34,卡牌属性!R655),INDEX(新属性投放!$L$42:$L$62,卡牌属性!R655))*INDEX($G$5:$G$42,L655)+IF(Q655=1,INDEX(新属性投放!T$20:T$23,卡牌属性!M655-1),INDEX(新属性投放!T$25:T$28,卡牌属性!M655-1)))*SQRT(INDEX($I$5:$I$42,L655)),2)</f>
        <v>3475</v>
      </c>
      <c r="Y655" s="29" t="s">
        <v>177</v>
      </c>
      <c r="Z655" s="14">
        <f>ROUND(IF(Q655=1,INDEX(新属性投放!$D$14:$D$34,卡牌属性!R655),INDEX(新属性投放!$D$42:$D$62,卡牌属性!R655))*INDEX($G$5:$G$42,L655)/SQRT(INDEX($I$5:$I$42,L655)),2)</f>
        <v>15</v>
      </c>
      <c r="AA655" s="29" t="s">
        <v>178</v>
      </c>
      <c r="AB655" s="14">
        <f>ROUND(IF(Q655=1,INDEX(新属性投放!$E$14:$E$34,卡牌属性!R655),INDEX(新属性投放!$E$42:$E$62,卡牌属性!R655))*INDEX($G$5:$G$42,L655),2)</f>
        <v>7.5</v>
      </c>
      <c r="AC655" s="29" t="s">
        <v>179</v>
      </c>
      <c r="AD655" s="14">
        <f>ROUND(IF(Q655=1,INDEX(新属性投放!$F$14:$F$34,卡牌属性!R655),INDEX(新属性投放!$F$42:$F$62,卡牌属性!R655))*INDEX($G$5:$G$42,L655)*SQRT(INDEX($I$5:$I$42,L655)),2)</f>
        <v>67.5</v>
      </c>
      <c r="AF655" s="14">
        <f t="shared" si="189"/>
        <v>150</v>
      </c>
      <c r="AG655" s="14">
        <f t="shared" si="190"/>
        <v>75</v>
      </c>
      <c r="AH655" s="14">
        <f t="shared" si="191"/>
        <v>675</v>
      </c>
      <c r="AJ655" s="14">
        <f>AF655</f>
        <v>150</v>
      </c>
      <c r="AK655" s="14">
        <f>AG655</f>
        <v>75</v>
      </c>
      <c r="AL655" s="14">
        <f>AH655</f>
        <v>675</v>
      </c>
    </row>
    <row r="656" spans="11:38" ht="16.5" x14ac:dyDescent="0.2">
      <c r="K656" s="13">
        <v>653</v>
      </c>
      <c r="L656" s="13">
        <f t="shared" si="183"/>
        <v>32</v>
      </c>
      <c r="M656" s="13">
        <f t="shared" si="184"/>
        <v>5</v>
      </c>
      <c r="N656" s="14">
        <f t="shared" si="185"/>
        <v>1102016</v>
      </c>
      <c r="O656" s="14" t="str">
        <f t="shared" si="186"/>
        <v>西方龙2突</v>
      </c>
      <c r="P656" s="29" t="s">
        <v>341</v>
      </c>
      <c r="Q656" s="14">
        <f t="shared" si="187"/>
        <v>2</v>
      </c>
      <c r="R656" s="14">
        <f t="shared" si="188"/>
        <v>2</v>
      </c>
      <c r="S656" s="14" t="s">
        <v>39</v>
      </c>
      <c r="T656" s="14">
        <f>ROUND(((IF(Q656=1,INDEX(新属性投放!$J$14:$J$34,卡牌属性!R656),INDEX(新属性投放!$J$42:$J$62,卡牌属性!R656)))*INDEX($G$5:$G$42,L656)+IF(Q656=1,INDEX(新属性投放!R$20:R$23,卡牌属性!M656-1),INDEX(新属性投放!R$25:R$28,卡牌属性!M656-1)))/SQRT(INDEX($I$5:$I$42,L656)),2)</f>
        <v>1072.5</v>
      </c>
      <c r="U656" s="29" t="s">
        <v>178</v>
      </c>
      <c r="V656" s="14">
        <f>ROUND((IF(Q656=1,INDEX(新属性投放!$K$14:$K$34,卡牌属性!R656),INDEX(新属性投放!$K$42:$K$62,卡牌属性!R656))+IF(Q656=1,INDEX(新属性投放!S$20:S$23,卡牌属性!M656-1),INDEX(新属性投放!S$25:S$28,卡牌属性!M656-1)))*INDEX($G$5:$G$42,L656),2)</f>
        <v>232.5</v>
      </c>
      <c r="W656" s="29" t="s">
        <v>179</v>
      </c>
      <c r="X656" s="14">
        <f>ROUND((IF(Q656=1,INDEX(新属性投放!$L$14:$L$34,卡牌属性!R656),INDEX(新属性投放!$L$42:$L$62,卡牌属性!R656))*INDEX($G$5:$G$42,L656)+IF(Q656=1,INDEX(新属性投放!T$20:T$23,卡牌属性!M656-1),INDEX(新属性投放!T$25:T$28,卡牌属性!M656-1)))*SQRT(INDEX($I$5:$I$42,L656)),2)</f>
        <v>4420</v>
      </c>
      <c r="Y656" s="29" t="s">
        <v>177</v>
      </c>
      <c r="Z656" s="14">
        <f>ROUND(IF(Q656=1,INDEX(新属性投放!$D$14:$D$34,卡牌属性!R656),INDEX(新属性投放!$D$42:$D$62,卡牌属性!R656))*INDEX($G$5:$G$42,L656)/SQRT(INDEX($I$5:$I$42,L656)),2)</f>
        <v>15</v>
      </c>
      <c r="AA656" s="29" t="s">
        <v>178</v>
      </c>
      <c r="AB656" s="14">
        <f>ROUND(IF(Q656=1,INDEX(新属性投放!$E$14:$E$34,卡牌属性!R656),INDEX(新属性投放!$E$42:$E$62,卡牌属性!R656))*INDEX($G$5:$G$42,L656),2)</f>
        <v>7.5</v>
      </c>
      <c r="AC656" s="29" t="s">
        <v>179</v>
      </c>
      <c r="AD656" s="14">
        <f>ROUND(IF(Q656=1,INDEX(新属性投放!$F$14:$F$34,卡牌属性!R656),INDEX(新属性投放!$F$42:$F$62,卡牌属性!R656))*INDEX($G$5:$G$42,L656)*SQRT(INDEX($I$5:$I$42,L656)),2)</f>
        <v>67.5</v>
      </c>
      <c r="AF656" s="14">
        <f t="shared" si="189"/>
        <v>150</v>
      </c>
      <c r="AG656" s="14">
        <f t="shared" si="190"/>
        <v>75</v>
      </c>
      <c r="AH656" s="14">
        <f t="shared" si="191"/>
        <v>675</v>
      </c>
      <c r="AJ656" s="14">
        <f t="shared" ref="AJ656:AJ675" si="192">AJ655+AF656</f>
        <v>300</v>
      </c>
      <c r="AK656" s="14">
        <f t="shared" ref="AK656:AK675" si="193">AK655+AG656</f>
        <v>150</v>
      </c>
      <c r="AL656" s="14">
        <f t="shared" ref="AL656:AL675" si="194">AL655+AH656</f>
        <v>1350</v>
      </c>
    </row>
    <row r="657" spans="11:38" ht="16.5" x14ac:dyDescent="0.2">
      <c r="K657" s="13">
        <v>654</v>
      </c>
      <c r="L657" s="13">
        <f t="shared" si="183"/>
        <v>32</v>
      </c>
      <c r="M657" s="13">
        <f t="shared" si="184"/>
        <v>5</v>
      </c>
      <c r="N657" s="14">
        <f t="shared" si="185"/>
        <v>1102016</v>
      </c>
      <c r="O657" s="14" t="str">
        <f t="shared" si="186"/>
        <v>西方龙3突</v>
      </c>
      <c r="P657" s="29" t="s">
        <v>341</v>
      </c>
      <c r="Q657" s="14">
        <f t="shared" si="187"/>
        <v>2</v>
      </c>
      <c r="R657" s="14">
        <f t="shared" si="188"/>
        <v>3</v>
      </c>
      <c r="S657" s="14" t="s">
        <v>39</v>
      </c>
      <c r="T657" s="14">
        <f>ROUND(((IF(Q657=1,INDEX(新属性投放!$J$14:$J$34,卡牌属性!R657),INDEX(新属性投放!$J$42:$J$62,卡牌属性!R657)))*INDEX($G$5:$G$42,L657)+IF(Q657=1,INDEX(新属性投放!R$20:R$23,卡牌属性!M657-1),INDEX(新属性投放!R$25:R$28,卡牌属性!M657-1)))/SQRT(INDEX($I$5:$I$42,L657)),2)</f>
        <v>1260</v>
      </c>
      <c r="U657" s="29" t="s">
        <v>178</v>
      </c>
      <c r="V657" s="14">
        <f>ROUND((IF(Q657=1,INDEX(新属性投放!$K$14:$K$34,卡牌属性!R657),INDEX(新属性投放!$K$42:$K$62,卡牌属性!R657))+IF(Q657=1,INDEX(新属性投放!S$20:S$23,卡牌属性!M657-1),INDEX(新属性投放!S$25:S$28,卡牌属性!M657-1)))*INDEX($G$5:$G$42,L657),2)</f>
        <v>327</v>
      </c>
      <c r="W657" s="29" t="s">
        <v>179</v>
      </c>
      <c r="X657" s="14">
        <f>ROUND((IF(Q657=1,INDEX(新属性投放!$L$14:$L$34,卡牌属性!R657),INDEX(新属性投放!$L$42:$L$62,卡牌属性!R657))*INDEX($G$5:$G$42,L657)+IF(Q657=1,INDEX(新属性投放!T$20:T$23,卡牌属性!M657-1),INDEX(新属性投放!T$25:T$28,卡牌属性!M657-1)))*SQRT(INDEX($I$5:$I$42,L657)),2)</f>
        <v>5432.5</v>
      </c>
      <c r="Y657" s="29" t="s">
        <v>177</v>
      </c>
      <c r="Z657" s="14">
        <f>ROUND(IF(Q657=1,INDEX(新属性投放!$D$14:$D$34,卡牌属性!R657),INDEX(新属性投放!$D$42:$D$62,卡牌属性!R657))*INDEX($G$5:$G$42,L657)/SQRT(INDEX($I$5:$I$42,L657)),2)</f>
        <v>22.5</v>
      </c>
      <c r="AA657" s="29" t="s">
        <v>178</v>
      </c>
      <c r="AB657" s="14">
        <f>ROUND(IF(Q657=1,INDEX(新属性投放!$E$14:$E$34,卡牌属性!R657),INDEX(新属性投放!$E$42:$E$62,卡牌属性!R657))*INDEX($G$5:$G$42,L657),2)</f>
        <v>11.25</v>
      </c>
      <c r="AC657" s="29" t="s">
        <v>179</v>
      </c>
      <c r="AD657" s="14">
        <f>ROUND(IF(Q657=1,INDEX(新属性投放!$F$14:$F$34,卡牌属性!R657),INDEX(新属性投放!$F$42:$F$62,卡牌属性!R657))*INDEX($G$5:$G$42,L657)*SQRT(INDEX($I$5:$I$42,L657)),2)</f>
        <v>100.5</v>
      </c>
      <c r="AF657" s="14">
        <f t="shared" si="189"/>
        <v>225</v>
      </c>
      <c r="AG657" s="14">
        <f t="shared" si="190"/>
        <v>112</v>
      </c>
      <c r="AH657" s="14">
        <f t="shared" si="191"/>
        <v>1005</v>
      </c>
      <c r="AJ657" s="14">
        <f t="shared" si="192"/>
        <v>525</v>
      </c>
      <c r="AK657" s="14">
        <f t="shared" si="193"/>
        <v>262</v>
      </c>
      <c r="AL657" s="14">
        <f t="shared" si="194"/>
        <v>2355</v>
      </c>
    </row>
    <row r="658" spans="11:38" ht="16.5" x14ac:dyDescent="0.2">
      <c r="K658" s="13">
        <v>655</v>
      </c>
      <c r="L658" s="13">
        <f t="shared" si="183"/>
        <v>32</v>
      </c>
      <c r="M658" s="13">
        <f t="shared" si="184"/>
        <v>5</v>
      </c>
      <c r="N658" s="14">
        <f t="shared" si="185"/>
        <v>1102016</v>
      </c>
      <c r="O658" s="14" t="str">
        <f t="shared" si="186"/>
        <v>西方龙4突</v>
      </c>
      <c r="P658" s="29" t="s">
        <v>341</v>
      </c>
      <c r="Q658" s="14">
        <f t="shared" si="187"/>
        <v>2</v>
      </c>
      <c r="R658" s="14">
        <f t="shared" si="188"/>
        <v>4</v>
      </c>
      <c r="S658" s="14" t="s">
        <v>39</v>
      </c>
      <c r="T658" s="14">
        <f>ROUND(((IF(Q658=1,INDEX(新属性投放!$J$14:$J$34,卡牌属性!R658),INDEX(新属性投放!$J$42:$J$62,卡牌属性!R658)))*INDEX($G$5:$G$42,L658)+IF(Q658=1,INDEX(新属性投放!R$20:R$23,卡牌属性!M658-1),INDEX(新属性投放!R$25:R$28,卡牌属性!M658-1)))/SQRT(INDEX($I$5:$I$42,L658)),2)</f>
        <v>1542</v>
      </c>
      <c r="U658" s="29" t="s">
        <v>178</v>
      </c>
      <c r="V658" s="14">
        <f>ROUND((IF(Q658=1,INDEX(新属性投放!$K$14:$K$34,卡牌属性!R658),INDEX(新属性投放!$K$42:$K$62,卡牌属性!R658))+IF(Q658=1,INDEX(新属性投放!S$20:S$23,卡牌属性!M658-1),INDEX(新属性投放!S$25:S$28,卡牌属性!M658-1)))*INDEX($G$5:$G$42,L658),2)</f>
        <v>468</v>
      </c>
      <c r="W658" s="29" t="s">
        <v>179</v>
      </c>
      <c r="X658" s="14">
        <f>ROUND((IF(Q658=1,INDEX(新属性投放!$L$14:$L$34,卡牌属性!R658),INDEX(新属性投放!$L$42:$L$62,卡牌属性!R658))*INDEX($G$5:$G$42,L658)+IF(Q658=1,INDEX(新属性投放!T$20:T$23,卡牌属性!M658-1),INDEX(新属性投放!T$25:T$28,卡牌属性!M658-1)))*SQRT(INDEX($I$5:$I$42,L658)),2)</f>
        <v>6950.5</v>
      </c>
      <c r="Y658" s="29" t="s">
        <v>177</v>
      </c>
      <c r="Z658" s="14">
        <f>ROUND(IF(Q658=1,INDEX(新属性投放!$D$14:$D$34,卡牌属性!R658),INDEX(新属性投放!$D$42:$D$62,卡牌属性!R658))*INDEX($G$5:$G$42,L658)/SQRT(INDEX($I$5:$I$42,L658)),2)</f>
        <v>30</v>
      </c>
      <c r="AA658" s="29" t="s">
        <v>178</v>
      </c>
      <c r="AB658" s="14">
        <f>ROUND(IF(Q658=1,INDEX(新属性投放!$E$14:$E$34,卡牌属性!R658),INDEX(新属性投放!$E$42:$E$62,卡牌属性!R658))*INDEX($G$5:$G$42,L658),2)</f>
        <v>15</v>
      </c>
      <c r="AC658" s="29" t="s">
        <v>179</v>
      </c>
      <c r="AD658" s="14">
        <f>ROUND(IF(Q658=1,INDEX(新属性投放!$F$14:$F$34,卡牌属性!R658),INDEX(新属性投放!$F$42:$F$62,卡牌属性!R658))*INDEX($G$5:$G$42,L658)*SQRT(INDEX($I$5:$I$42,L658)),2)</f>
        <v>135</v>
      </c>
      <c r="AF658" s="14">
        <f t="shared" si="189"/>
        <v>300</v>
      </c>
      <c r="AG658" s="14">
        <f t="shared" si="190"/>
        <v>150</v>
      </c>
      <c r="AH658" s="14">
        <f t="shared" si="191"/>
        <v>1350</v>
      </c>
      <c r="AJ658" s="14">
        <f t="shared" si="192"/>
        <v>825</v>
      </c>
      <c r="AK658" s="14">
        <f t="shared" si="193"/>
        <v>412</v>
      </c>
      <c r="AL658" s="14">
        <f t="shared" si="194"/>
        <v>3705</v>
      </c>
    </row>
    <row r="659" spans="11:38" ht="16.5" x14ac:dyDescent="0.2">
      <c r="K659" s="13">
        <v>656</v>
      </c>
      <c r="L659" s="13">
        <f t="shared" si="183"/>
        <v>32</v>
      </c>
      <c r="M659" s="13">
        <f t="shared" si="184"/>
        <v>5</v>
      </c>
      <c r="N659" s="14">
        <f t="shared" si="185"/>
        <v>1102016</v>
      </c>
      <c r="O659" s="14" t="str">
        <f t="shared" si="186"/>
        <v>西方龙5突</v>
      </c>
      <c r="P659" s="29" t="s">
        <v>341</v>
      </c>
      <c r="Q659" s="14">
        <f t="shared" si="187"/>
        <v>2</v>
      </c>
      <c r="R659" s="14">
        <f t="shared" si="188"/>
        <v>5</v>
      </c>
      <c r="S659" s="14" t="s">
        <v>39</v>
      </c>
      <c r="T659" s="14">
        <f>ROUND(((IF(Q659=1,INDEX(新属性投放!$J$14:$J$34,卡牌属性!R659),INDEX(新属性投放!$J$42:$J$62,卡牌属性!R659)))*INDEX($G$5:$G$42,L659)+IF(Q659=1,INDEX(新属性投放!R$20:R$23,卡牌属性!M659-1),INDEX(新属性投放!R$25:R$28,卡牌属性!M659-1)))/SQRT(INDEX($I$5:$I$42,L659)),2)</f>
        <v>1917</v>
      </c>
      <c r="U659" s="29" t="s">
        <v>178</v>
      </c>
      <c r="V659" s="14">
        <f>ROUND((IF(Q659=1,INDEX(新属性投放!$K$14:$K$34,卡牌属性!R659),INDEX(新属性投放!$K$42:$K$62,卡牌属性!R659))+IF(Q659=1,INDEX(新属性投放!S$20:S$23,卡牌属性!M659-1),INDEX(新属性投放!S$25:S$28,卡牌属性!M659-1)))*INDEX($G$5:$G$42,L659),2)</f>
        <v>655.5</v>
      </c>
      <c r="W659" s="29" t="s">
        <v>179</v>
      </c>
      <c r="X659" s="14">
        <f>ROUND((IF(Q659=1,INDEX(新属性投放!$L$14:$L$34,卡牌属性!R659),INDEX(新属性投放!$L$42:$L$62,卡牌属性!R659))*INDEX($G$5:$G$42,L659)+IF(Q659=1,INDEX(新属性投放!T$20:T$23,卡牌属性!M659-1),INDEX(新属性投放!T$25:T$28,卡牌属性!M659-1)))*SQRT(INDEX($I$5:$I$42,L659)),2)</f>
        <v>8975.5</v>
      </c>
      <c r="Y659" s="29" t="s">
        <v>177</v>
      </c>
      <c r="Z659" s="14">
        <f>ROUND(IF(Q659=1,INDEX(新属性投放!$D$14:$D$34,卡牌属性!R659),INDEX(新属性投放!$D$42:$D$62,卡牌属性!R659))*INDEX($G$5:$G$42,L659)/SQRT(INDEX($I$5:$I$42,L659)),2)</f>
        <v>37.5</v>
      </c>
      <c r="AA659" s="29" t="s">
        <v>178</v>
      </c>
      <c r="AB659" s="14">
        <f>ROUND(IF(Q659=1,INDEX(新属性投放!$E$14:$E$34,卡牌属性!R659),INDEX(新属性投放!$E$42:$E$62,卡牌属性!R659))*INDEX($G$5:$G$42,L659),2)</f>
        <v>18.75</v>
      </c>
      <c r="AC659" s="29" t="s">
        <v>179</v>
      </c>
      <c r="AD659" s="14">
        <f>ROUND(IF(Q659=1,INDEX(新属性投放!$F$14:$F$34,卡牌属性!R659),INDEX(新属性投放!$F$42:$F$62,卡牌属性!R659))*INDEX($G$5:$G$42,L659)*SQRT(INDEX($I$5:$I$42,L659)),2)</f>
        <v>168</v>
      </c>
      <c r="AF659" s="14">
        <f t="shared" si="189"/>
        <v>375</v>
      </c>
      <c r="AG659" s="14">
        <f t="shared" si="190"/>
        <v>187</v>
      </c>
      <c r="AH659" s="14">
        <f t="shared" si="191"/>
        <v>1680</v>
      </c>
      <c r="AJ659" s="14">
        <f t="shared" si="192"/>
        <v>1200</v>
      </c>
      <c r="AK659" s="14">
        <f t="shared" si="193"/>
        <v>599</v>
      </c>
      <c r="AL659" s="14">
        <f t="shared" si="194"/>
        <v>5385</v>
      </c>
    </row>
    <row r="660" spans="11:38" ht="16.5" x14ac:dyDescent="0.2">
      <c r="K660" s="13">
        <v>657</v>
      </c>
      <c r="L660" s="13">
        <f t="shared" si="183"/>
        <v>32</v>
      </c>
      <c r="M660" s="13">
        <f t="shared" si="184"/>
        <v>5</v>
      </c>
      <c r="N660" s="14">
        <f t="shared" si="185"/>
        <v>1102016</v>
      </c>
      <c r="O660" s="14" t="str">
        <f t="shared" si="186"/>
        <v>西方龙6突</v>
      </c>
      <c r="P660" s="29" t="s">
        <v>341</v>
      </c>
      <c r="Q660" s="14">
        <f t="shared" si="187"/>
        <v>2</v>
      </c>
      <c r="R660" s="14">
        <f t="shared" si="188"/>
        <v>6</v>
      </c>
      <c r="S660" s="14" t="s">
        <v>39</v>
      </c>
      <c r="T660" s="14">
        <f>ROUND(((IF(Q660=1,INDEX(新属性投放!$J$14:$J$34,卡牌属性!R660),INDEX(新属性投放!$J$42:$J$62,卡牌属性!R660)))*INDEX($G$5:$G$42,L660)+IF(Q660=1,INDEX(新属性投放!R$20:R$23,卡牌属性!M660-1),INDEX(新属性投放!R$25:R$28,卡牌属性!M660-1)))/SQRT(INDEX($I$5:$I$42,L660)),2)</f>
        <v>2386.5</v>
      </c>
      <c r="U660" s="29" t="s">
        <v>178</v>
      </c>
      <c r="V660" s="14">
        <f>ROUND((IF(Q660=1,INDEX(新属性投放!$K$14:$K$34,卡牌属性!R660),INDEX(新属性投放!$K$42:$K$62,卡牌属性!R660))+IF(Q660=1,INDEX(新属性投放!S$20:S$23,卡牌属性!M660-1),INDEX(新属性投放!S$25:S$28,卡牌属性!M660-1)))*INDEX($G$5:$G$42,L660),2)</f>
        <v>889.5</v>
      </c>
      <c r="W660" s="29" t="s">
        <v>179</v>
      </c>
      <c r="X660" s="14">
        <f>ROUND((IF(Q660=1,INDEX(新属性投放!$L$14:$L$34,卡牌属性!R660),INDEX(新属性投放!$L$42:$L$62,卡牌属性!R660))*INDEX($G$5:$G$42,L660)+IF(Q660=1,INDEX(新属性投放!T$20:T$23,卡牌属性!M660-1),INDEX(新属性投放!T$25:T$28,卡牌属性!M660-1)))*SQRT(INDEX($I$5:$I$42,L660)),2)</f>
        <v>11506</v>
      </c>
      <c r="Y660" s="29" t="s">
        <v>177</v>
      </c>
      <c r="Z660" s="14">
        <f>ROUND(IF(Q660=1,INDEX(新属性投放!$D$14:$D$34,卡牌属性!R660),INDEX(新属性投放!$D$42:$D$62,卡牌属性!R660))*INDEX($G$5:$G$42,L660)/SQRT(INDEX($I$5:$I$42,L660)),2)</f>
        <v>45</v>
      </c>
      <c r="AA660" s="29" t="s">
        <v>178</v>
      </c>
      <c r="AB660" s="14">
        <f>ROUND(IF(Q660=1,INDEX(新属性投放!$E$14:$E$34,卡牌属性!R660),INDEX(新属性投放!$E$42:$E$62,卡牌属性!R660))*INDEX($G$5:$G$42,L660),2)</f>
        <v>22.5</v>
      </c>
      <c r="AC660" s="29" t="s">
        <v>179</v>
      </c>
      <c r="AD660" s="14">
        <f>ROUND(IF(Q660=1,INDEX(新属性投放!$F$14:$F$34,卡牌属性!R660),INDEX(新属性投放!$F$42:$F$62,卡牌属性!R660))*INDEX($G$5:$G$42,L660)*SQRT(INDEX($I$5:$I$42,L660)),2)</f>
        <v>202.5</v>
      </c>
      <c r="AF660" s="14">
        <f t="shared" si="189"/>
        <v>450</v>
      </c>
      <c r="AG660" s="14">
        <f t="shared" si="190"/>
        <v>225</v>
      </c>
      <c r="AH660" s="14">
        <f t="shared" si="191"/>
        <v>2025</v>
      </c>
      <c r="AJ660" s="14">
        <f t="shared" si="192"/>
        <v>1650</v>
      </c>
      <c r="AK660" s="14">
        <f t="shared" si="193"/>
        <v>824</v>
      </c>
      <c r="AL660" s="14">
        <f t="shared" si="194"/>
        <v>7410</v>
      </c>
    </row>
    <row r="661" spans="11:38" ht="16.5" x14ac:dyDescent="0.2">
      <c r="K661" s="13">
        <v>658</v>
      </c>
      <c r="L661" s="13">
        <f t="shared" si="183"/>
        <v>32</v>
      </c>
      <c r="M661" s="13">
        <f t="shared" si="184"/>
        <v>5</v>
      </c>
      <c r="N661" s="14">
        <f t="shared" si="185"/>
        <v>1102016</v>
      </c>
      <c r="O661" s="14" t="str">
        <f t="shared" si="186"/>
        <v>西方龙7突</v>
      </c>
      <c r="P661" s="29" t="s">
        <v>341</v>
      </c>
      <c r="Q661" s="14">
        <f t="shared" si="187"/>
        <v>2</v>
      </c>
      <c r="R661" s="14">
        <f t="shared" si="188"/>
        <v>7</v>
      </c>
      <c r="S661" s="14" t="s">
        <v>39</v>
      </c>
      <c r="T661" s="14">
        <f>ROUND(((IF(Q661=1,INDEX(新属性投放!$J$14:$J$34,卡牌属性!R661),INDEX(新属性投放!$J$42:$J$62,卡牌属性!R661)))*INDEX($G$5:$G$42,L661)+IF(Q661=1,INDEX(新属性投放!R$20:R$23,卡牌属性!M661-1),INDEX(新属性投放!R$25:R$28,卡牌属性!M661-1)))/SQRT(INDEX($I$5:$I$42,L661)),2)</f>
        <v>2949</v>
      </c>
      <c r="U661" s="29" t="s">
        <v>178</v>
      </c>
      <c r="V661" s="14">
        <f>ROUND((IF(Q661=1,INDEX(新属性投放!$K$14:$K$34,卡牌属性!R661),INDEX(新属性投放!$K$42:$K$62,卡牌属性!R661))+IF(Q661=1,INDEX(新属性投放!S$20:S$23,卡牌属性!M661-1),INDEX(新属性投放!S$25:S$28,卡牌属性!M661-1)))*INDEX($G$5:$G$42,L661),2)</f>
        <v>1171.5</v>
      </c>
      <c r="W661" s="29" t="s">
        <v>179</v>
      </c>
      <c r="X661" s="14">
        <f>ROUND((IF(Q661=1,INDEX(新属性投放!$L$14:$L$34,卡牌属性!R661),INDEX(新属性投放!$L$42:$L$62,卡牌属性!R661))*INDEX($G$5:$G$42,L661)+IF(Q661=1,INDEX(新属性投放!T$20:T$23,卡牌属性!M661-1),INDEX(新属性投放!T$25:T$28,卡牌属性!M661-1)))*SQRT(INDEX($I$5:$I$42,L661)),2)</f>
        <v>14543.5</v>
      </c>
      <c r="Y661" s="29" t="s">
        <v>177</v>
      </c>
      <c r="Z661" s="14">
        <f>ROUND(IF(Q661=1,INDEX(新属性投放!$D$14:$D$34,卡牌属性!R661),INDEX(新属性投放!$D$42:$D$62,卡牌属性!R661))*INDEX($G$5:$G$42,L661)/SQRT(INDEX($I$5:$I$42,L661)),2)</f>
        <v>52.5</v>
      </c>
      <c r="AA661" s="29" t="s">
        <v>178</v>
      </c>
      <c r="AB661" s="14">
        <f>ROUND(IF(Q661=1,INDEX(新属性投放!$E$14:$E$34,卡牌属性!R661),INDEX(新属性投放!$E$42:$E$62,卡牌属性!R661))*INDEX($G$5:$G$42,L661),2)</f>
        <v>26.25</v>
      </c>
      <c r="AC661" s="29" t="s">
        <v>179</v>
      </c>
      <c r="AD661" s="14">
        <f>ROUND(IF(Q661=1,INDEX(新属性投放!$F$14:$F$34,卡牌属性!R661),INDEX(新属性投放!$F$42:$F$62,卡牌属性!R661))*INDEX($G$5:$G$42,L661)*SQRT(INDEX($I$5:$I$42,L661)),2)</f>
        <v>235.5</v>
      </c>
      <c r="AF661" s="14">
        <f t="shared" si="189"/>
        <v>525</v>
      </c>
      <c r="AG661" s="14">
        <f t="shared" si="190"/>
        <v>262</v>
      </c>
      <c r="AH661" s="14">
        <f t="shared" si="191"/>
        <v>2355</v>
      </c>
      <c r="AJ661" s="14">
        <f t="shared" si="192"/>
        <v>2175</v>
      </c>
      <c r="AK661" s="14">
        <f t="shared" si="193"/>
        <v>1086</v>
      </c>
      <c r="AL661" s="14">
        <f t="shared" si="194"/>
        <v>9765</v>
      </c>
    </row>
    <row r="662" spans="11:38" ht="16.5" x14ac:dyDescent="0.2">
      <c r="K662" s="13">
        <v>659</v>
      </c>
      <c r="L662" s="13">
        <f t="shared" si="183"/>
        <v>32</v>
      </c>
      <c r="M662" s="13">
        <f t="shared" si="184"/>
        <v>5</v>
      </c>
      <c r="N662" s="14">
        <f t="shared" si="185"/>
        <v>1102016</v>
      </c>
      <c r="O662" s="14" t="str">
        <f t="shared" si="186"/>
        <v>西方龙8突</v>
      </c>
      <c r="P662" s="29" t="s">
        <v>341</v>
      </c>
      <c r="Q662" s="14">
        <f t="shared" si="187"/>
        <v>2</v>
      </c>
      <c r="R662" s="14">
        <f t="shared" si="188"/>
        <v>8</v>
      </c>
      <c r="S662" s="14" t="s">
        <v>39</v>
      </c>
      <c r="T662" s="14">
        <f>ROUND(((IF(Q662=1,INDEX(新属性投放!$J$14:$J$34,卡牌属性!R662),INDEX(新属性投放!$J$42:$J$62,卡牌属性!R662)))*INDEX($G$5:$G$42,L662)+IF(Q662=1,INDEX(新属性投放!R$20:R$23,卡牌属性!M662-1),INDEX(新属性投放!R$25:R$28,卡牌属性!M662-1)))/SQRT(INDEX($I$5:$I$42,L662)),2)</f>
        <v>3606</v>
      </c>
      <c r="U662" s="29" t="s">
        <v>178</v>
      </c>
      <c r="V662" s="14">
        <f>ROUND((IF(Q662=1,INDEX(新属性投放!$K$14:$K$34,卡牌属性!R662),INDEX(新属性投放!$K$42:$K$62,卡牌属性!R662))+IF(Q662=1,INDEX(新属性投放!S$20:S$23,卡牌属性!M662-1),INDEX(新属性投放!S$25:S$28,卡牌属性!M662-1)))*INDEX($G$5:$G$42,L662),2)</f>
        <v>1500</v>
      </c>
      <c r="W662" s="29" t="s">
        <v>179</v>
      </c>
      <c r="X662" s="14">
        <f>ROUND((IF(Q662=1,INDEX(新属性投放!$L$14:$L$34,卡牌属性!R662),INDEX(新属性投放!$L$42:$L$62,卡牌属性!R662))*INDEX($G$5:$G$42,L662)+IF(Q662=1,INDEX(新属性投放!T$20:T$23,卡牌属性!M662-1),INDEX(新属性投放!T$25:T$28,卡牌属性!M662-1)))*SQRT(INDEX($I$5:$I$42,L662)),2)</f>
        <v>18086.5</v>
      </c>
      <c r="Y662" s="29" t="s">
        <v>177</v>
      </c>
      <c r="Z662" s="14">
        <f>ROUND(IF(Q662=1,INDEX(新属性投放!$D$14:$D$34,卡牌属性!R662),INDEX(新属性投放!$D$42:$D$62,卡牌属性!R662))*INDEX($G$5:$G$42,L662)/SQRT(INDEX($I$5:$I$42,L662)),2)</f>
        <v>67.5</v>
      </c>
      <c r="AA662" s="29" t="s">
        <v>178</v>
      </c>
      <c r="AB662" s="14">
        <f>ROUND(IF(Q662=1,INDEX(新属性投放!$E$14:$E$34,卡牌属性!R662),INDEX(新属性投放!$E$42:$E$62,卡牌属性!R662))*INDEX($G$5:$G$42,L662),2)</f>
        <v>33.75</v>
      </c>
      <c r="AC662" s="29" t="s">
        <v>179</v>
      </c>
      <c r="AD662" s="14">
        <f>ROUND(IF(Q662=1,INDEX(新属性投放!$F$14:$F$34,卡牌属性!R662),INDEX(新属性投放!$F$42:$F$62,卡牌属性!R662))*INDEX($G$5:$G$42,L662)*SQRT(INDEX($I$5:$I$42,L662)),2)</f>
        <v>303</v>
      </c>
      <c r="AF662" s="14">
        <f t="shared" si="189"/>
        <v>675</v>
      </c>
      <c r="AG662" s="14">
        <f t="shared" si="190"/>
        <v>337</v>
      </c>
      <c r="AH662" s="14">
        <f t="shared" si="191"/>
        <v>3030</v>
      </c>
      <c r="AJ662" s="14">
        <f t="shared" si="192"/>
        <v>2850</v>
      </c>
      <c r="AK662" s="14">
        <f t="shared" si="193"/>
        <v>1423</v>
      </c>
      <c r="AL662" s="14">
        <f t="shared" si="194"/>
        <v>12795</v>
      </c>
    </row>
    <row r="663" spans="11:38" ht="16.5" x14ac:dyDescent="0.2">
      <c r="K663" s="13">
        <v>660</v>
      </c>
      <c r="L663" s="13">
        <f t="shared" si="183"/>
        <v>32</v>
      </c>
      <c r="M663" s="13">
        <f t="shared" si="184"/>
        <v>5</v>
      </c>
      <c r="N663" s="14">
        <f t="shared" si="185"/>
        <v>1102016</v>
      </c>
      <c r="O663" s="14" t="str">
        <f t="shared" si="186"/>
        <v>西方龙9突</v>
      </c>
      <c r="P663" s="29" t="s">
        <v>341</v>
      </c>
      <c r="Q663" s="14">
        <f t="shared" si="187"/>
        <v>2</v>
      </c>
      <c r="R663" s="14">
        <f t="shared" si="188"/>
        <v>9</v>
      </c>
      <c r="S663" s="14" t="s">
        <v>39</v>
      </c>
      <c r="T663" s="14">
        <f>ROUND(((IF(Q663=1,INDEX(新属性投放!$J$14:$J$34,卡牌属性!R663),INDEX(新属性投放!$J$42:$J$62,卡牌属性!R663)))*INDEX($G$5:$G$42,L663)+IF(Q663=1,INDEX(新属性投放!R$20:R$23,卡牌属性!M663-1),INDEX(新属性投放!R$25:R$28,卡牌属性!M663-1)))/SQRT(INDEX($I$5:$I$42,L663)),2)</f>
        <v>4450.5</v>
      </c>
      <c r="U663" s="29" t="s">
        <v>178</v>
      </c>
      <c r="V663" s="14">
        <f>ROUND((IF(Q663=1,INDEX(新属性投放!$K$14:$K$34,卡牌属性!R663),INDEX(新属性投放!$K$42:$K$62,卡牌属性!R663))+IF(Q663=1,INDEX(新属性投放!S$20:S$23,卡牌属性!M663-1),INDEX(新属性投放!S$25:S$28,卡牌属性!M663-1)))*INDEX($G$5:$G$42,L663),2)</f>
        <v>1921.5</v>
      </c>
      <c r="W663" s="29" t="s">
        <v>179</v>
      </c>
      <c r="X663" s="14">
        <f>ROUND((IF(Q663=1,INDEX(新属性投放!$L$14:$L$34,卡牌属性!R663),INDEX(新属性投放!$L$42:$L$62,卡牌属性!R663))*INDEX($G$5:$G$42,L663)+IF(Q663=1,INDEX(新属性投放!T$20:T$23,卡牌属性!M663-1),INDEX(新属性投放!T$25:T$28,卡牌属性!M663-1)))*SQRT(INDEX($I$5:$I$42,L663)),2)</f>
        <v>22642</v>
      </c>
      <c r="Y663" s="29" t="s">
        <v>177</v>
      </c>
      <c r="Z663" s="14">
        <f>ROUND(IF(Q663=1,INDEX(新属性投放!$D$14:$D$34,卡牌属性!R663),INDEX(新属性投放!$D$42:$D$62,卡牌属性!R663))*INDEX($G$5:$G$42,L663)/SQRT(INDEX($I$5:$I$42,L663)),2)</f>
        <v>90.08</v>
      </c>
      <c r="AA663" s="29" t="s">
        <v>178</v>
      </c>
      <c r="AB663" s="14">
        <f>ROUND(IF(Q663=1,INDEX(新属性投放!$E$14:$E$34,卡牌属性!R663),INDEX(新属性投放!$E$42:$E$62,卡牌属性!R663))*INDEX($G$5:$G$42,L663),2)</f>
        <v>45.04</v>
      </c>
      <c r="AC663" s="29" t="s">
        <v>179</v>
      </c>
      <c r="AD663" s="14">
        <f>ROUND(IF(Q663=1,INDEX(新属性投放!$F$14:$F$34,卡牌属性!R663),INDEX(新属性投放!$F$42:$F$62,卡牌属性!R663))*INDEX($G$5:$G$42,L663)*SQRT(INDEX($I$5:$I$42,L663)),2)</f>
        <v>405</v>
      </c>
      <c r="AF663" s="14">
        <f t="shared" si="189"/>
        <v>900</v>
      </c>
      <c r="AG663" s="14">
        <f t="shared" si="190"/>
        <v>450</v>
      </c>
      <c r="AH663" s="14">
        <f t="shared" si="191"/>
        <v>4050</v>
      </c>
      <c r="AJ663" s="14">
        <f t="shared" si="192"/>
        <v>3750</v>
      </c>
      <c r="AK663" s="14">
        <f t="shared" si="193"/>
        <v>1873</v>
      </c>
      <c r="AL663" s="14">
        <f t="shared" si="194"/>
        <v>16845</v>
      </c>
    </row>
    <row r="664" spans="11:38" ht="16.5" x14ac:dyDescent="0.2">
      <c r="K664" s="13">
        <v>661</v>
      </c>
      <c r="L664" s="13">
        <f t="shared" si="183"/>
        <v>32</v>
      </c>
      <c r="M664" s="13">
        <f t="shared" si="184"/>
        <v>5</v>
      </c>
      <c r="N664" s="14">
        <f t="shared" si="185"/>
        <v>1102016</v>
      </c>
      <c r="O664" s="14" t="str">
        <f t="shared" si="186"/>
        <v>西方龙10突</v>
      </c>
      <c r="P664" s="29" t="s">
        <v>341</v>
      </c>
      <c r="Q664" s="14">
        <f t="shared" si="187"/>
        <v>2</v>
      </c>
      <c r="R664" s="14">
        <f t="shared" si="188"/>
        <v>10</v>
      </c>
      <c r="S664" s="14" t="s">
        <v>39</v>
      </c>
      <c r="T664" s="14">
        <f>ROUND(((IF(Q664=1,INDEX(新属性投放!$J$14:$J$34,卡牌属性!R664),INDEX(新属性投放!$J$42:$J$62,卡牌属性!R664)))*INDEX($G$5:$G$42,L664)+IF(Q664=1,INDEX(新属性投放!R$20:R$23,卡牌属性!M664-1),INDEX(新属性投放!R$25:R$28,卡牌属性!M664-1)))/SQRT(INDEX($I$5:$I$42,L664)),2)</f>
        <v>5576.25</v>
      </c>
      <c r="U664" s="29" t="s">
        <v>178</v>
      </c>
      <c r="V664" s="14">
        <f>ROUND((IF(Q664=1,INDEX(新属性投放!$K$14:$K$34,卡牌属性!R664),INDEX(新属性投放!$K$42:$K$62,卡牌属性!R664))+IF(Q664=1,INDEX(新属性投放!S$20:S$23,卡牌属性!M664-1),INDEX(新属性投放!S$25:S$28,卡牌属性!M664-1)))*INDEX($G$5:$G$42,L664),2)</f>
        <v>2484.38</v>
      </c>
      <c r="W664" s="29" t="s">
        <v>179</v>
      </c>
      <c r="X664" s="14">
        <f>ROUND((IF(Q664=1,INDEX(新属性投放!$L$14:$L$34,卡牌属性!R664),INDEX(新属性投放!$L$42:$L$62,卡牌属性!R664))*INDEX($G$5:$G$42,L664)+IF(Q664=1,INDEX(新属性投放!T$20:T$23,卡牌属性!M664-1),INDEX(新属性投放!T$25:T$28,卡牌属性!M664-1)))*SQRT(INDEX($I$5:$I$42,L664)),2)</f>
        <v>28717</v>
      </c>
      <c r="Y664" s="29" t="s">
        <v>177</v>
      </c>
      <c r="Z664" s="14">
        <f>ROUND(IF(Q664=1,INDEX(新属性投放!$D$14:$D$34,卡牌属性!R664),INDEX(新属性投放!$D$42:$D$62,卡牌属性!R664))*INDEX($G$5:$G$42,L664)/SQRT(INDEX($I$5:$I$42,L664)),2)</f>
        <v>117.75</v>
      </c>
      <c r="AA664" s="29" t="s">
        <v>178</v>
      </c>
      <c r="AB664" s="14">
        <f>ROUND(IF(Q664=1,INDEX(新属性投放!$E$14:$E$34,卡牌属性!R664),INDEX(新属性投放!$E$42:$E$62,卡牌属性!R664))*INDEX($G$5:$G$42,L664),2)</f>
        <v>58.88</v>
      </c>
      <c r="AC664" s="29" t="s">
        <v>179</v>
      </c>
      <c r="AD664" s="14">
        <f>ROUND(IF(Q664=1,INDEX(新属性投放!$F$14:$F$34,卡牌属性!R664),INDEX(新属性投放!$F$42:$F$62,卡牌属性!R664))*INDEX($G$5:$G$42,L664)*SQRT(INDEX($I$5:$I$42,L664)),2)</f>
        <v>529.5</v>
      </c>
      <c r="AF664" s="14">
        <f t="shared" si="189"/>
        <v>1177</v>
      </c>
      <c r="AG664" s="14">
        <f t="shared" si="190"/>
        <v>588</v>
      </c>
      <c r="AH664" s="14">
        <f t="shared" si="191"/>
        <v>5295</v>
      </c>
      <c r="AJ664" s="14">
        <f t="shared" si="192"/>
        <v>4927</v>
      </c>
      <c r="AK664" s="14">
        <f t="shared" si="193"/>
        <v>2461</v>
      </c>
      <c r="AL664" s="14">
        <f t="shared" si="194"/>
        <v>22140</v>
      </c>
    </row>
    <row r="665" spans="11:38" ht="16.5" x14ac:dyDescent="0.2">
      <c r="K665" s="13">
        <v>662</v>
      </c>
      <c r="L665" s="13">
        <f t="shared" si="183"/>
        <v>32</v>
      </c>
      <c r="M665" s="13">
        <f t="shared" si="184"/>
        <v>5</v>
      </c>
      <c r="N665" s="14">
        <f t="shared" si="185"/>
        <v>1102016</v>
      </c>
      <c r="O665" s="14" t="str">
        <f t="shared" si="186"/>
        <v>西方龙11突</v>
      </c>
      <c r="P665" s="29" t="s">
        <v>341</v>
      </c>
      <c r="Q665" s="14">
        <f t="shared" si="187"/>
        <v>2</v>
      </c>
      <c r="R665" s="14">
        <f t="shared" si="188"/>
        <v>11</v>
      </c>
      <c r="S665" s="14" t="s">
        <v>39</v>
      </c>
      <c r="T665" s="14">
        <f>ROUND(((IF(Q665=1,INDEX(新属性投放!$J$14:$J$34,卡牌属性!R665),INDEX(新属性投放!$J$42:$J$62,卡牌属性!R665)))*INDEX($G$5:$G$42,L665)+IF(Q665=1,INDEX(新属性投放!R$20:R$23,卡牌属性!M665-1),INDEX(新属性投放!R$25:R$28,卡牌属性!M665-1)))/SQRT(INDEX($I$5:$I$42,L665)),2)</f>
        <v>7047.75</v>
      </c>
      <c r="U665" s="29" t="s">
        <v>178</v>
      </c>
      <c r="V665" s="14">
        <f>ROUND((IF(Q665=1,INDEX(新属性投放!$K$14:$K$34,卡牌属性!R665),INDEX(新属性投放!$K$42:$K$62,卡牌属性!R665))+IF(Q665=1,INDEX(新属性投放!S$20:S$23,卡牌属性!M665-1),INDEX(新属性投放!S$25:S$28,卡牌属性!M665-1)))*INDEX($G$5:$G$42,L665),2)</f>
        <v>3220.13</v>
      </c>
      <c r="W665" s="29" t="s">
        <v>179</v>
      </c>
      <c r="X665" s="14">
        <f>ROUND((IF(Q665=1,INDEX(新属性投放!$L$14:$L$34,卡牌属性!R665),INDEX(新属性投放!$L$42:$L$62,卡牌属性!R665))*INDEX($G$5:$G$42,L665)+IF(Q665=1,INDEX(新属性投放!T$20:T$23,卡牌属性!M665-1),INDEX(新属性投放!T$25:T$28,卡牌属性!M665-1)))*SQRT(INDEX($I$5:$I$42,L665)),2)</f>
        <v>36658</v>
      </c>
      <c r="Y665" s="29" t="s">
        <v>177</v>
      </c>
      <c r="Z665" s="14">
        <f>ROUND(IF(Q665=1,INDEX(新属性投放!$D$14:$D$34,卡牌属性!R665),INDEX(新属性投放!$D$42:$D$62,卡牌属性!R665))*INDEX($G$5:$G$42,L665)/SQRT(INDEX($I$5:$I$42,L665)),2)</f>
        <v>155.01</v>
      </c>
      <c r="AA665" s="29" t="s">
        <v>178</v>
      </c>
      <c r="AB665" s="14">
        <f>ROUND(IF(Q665=1,INDEX(新属性投放!$E$14:$E$34,卡牌属性!R665),INDEX(新属性投放!$E$42:$E$62,卡牌属性!R665))*INDEX($G$5:$G$42,L665),2)</f>
        <v>77.510000000000005</v>
      </c>
      <c r="AC665" s="29" t="s">
        <v>179</v>
      </c>
      <c r="AD665" s="14">
        <f>ROUND(IF(Q665=1,INDEX(新属性投放!$F$14:$F$34,卡牌属性!R665),INDEX(新属性投放!$F$42:$F$62,卡牌属性!R665))*INDEX($G$5:$G$42,L665)*SQRT(INDEX($I$5:$I$42,L665)),2)</f>
        <v>697.5</v>
      </c>
      <c r="AF665" s="14">
        <f t="shared" si="189"/>
        <v>1550</v>
      </c>
      <c r="AG665" s="14">
        <f t="shared" si="190"/>
        <v>775</v>
      </c>
      <c r="AH665" s="14">
        <f t="shared" si="191"/>
        <v>6975</v>
      </c>
      <c r="AJ665" s="14">
        <f t="shared" si="192"/>
        <v>6477</v>
      </c>
      <c r="AK665" s="14">
        <f t="shared" si="193"/>
        <v>3236</v>
      </c>
      <c r="AL665" s="14">
        <f t="shared" si="194"/>
        <v>29115</v>
      </c>
    </row>
    <row r="666" spans="11:38" ht="16.5" x14ac:dyDescent="0.2">
      <c r="K666" s="13">
        <v>663</v>
      </c>
      <c r="L666" s="13">
        <f t="shared" si="183"/>
        <v>32</v>
      </c>
      <c r="M666" s="13">
        <f t="shared" si="184"/>
        <v>5</v>
      </c>
      <c r="N666" s="14">
        <f t="shared" si="185"/>
        <v>1102016</v>
      </c>
      <c r="O666" s="14" t="str">
        <f t="shared" si="186"/>
        <v>西方龙12突</v>
      </c>
      <c r="P666" s="29" t="s">
        <v>341</v>
      </c>
      <c r="Q666" s="14">
        <f t="shared" si="187"/>
        <v>2</v>
      </c>
      <c r="R666" s="14">
        <f t="shared" si="188"/>
        <v>12</v>
      </c>
      <c r="S666" s="14" t="s">
        <v>39</v>
      </c>
      <c r="T666" s="14">
        <f>ROUND(((IF(Q666=1,INDEX(新属性投放!$J$14:$J$34,卡牌属性!R666),INDEX(新属性投放!$J$42:$J$62,卡牌属性!R666)))*INDEX($G$5:$G$42,L666)+IF(Q666=1,INDEX(新属性投放!R$20:R$23,卡牌属性!M666-1),INDEX(新属性投放!R$25:R$28,卡牌属性!M666-1)))/SQRT(INDEX($I$5:$I$42,L666)),2)</f>
        <v>8984.85</v>
      </c>
      <c r="U666" s="29" t="s">
        <v>178</v>
      </c>
      <c r="V666" s="14">
        <f>ROUND((IF(Q666=1,INDEX(新属性投放!$K$14:$K$34,卡牌属性!R666),INDEX(新属性投放!$K$42:$K$62,卡牌属性!R666))+IF(Q666=1,INDEX(新属性投放!S$20:S$23,卡牌属性!M666-1),INDEX(新属性投放!S$25:S$28,卡牌属性!M666-1)))*INDEX($G$5:$G$42,L666),2)</f>
        <v>4188.68</v>
      </c>
      <c r="W666" s="29" t="s">
        <v>179</v>
      </c>
      <c r="X666" s="14">
        <f>ROUND((IF(Q666=1,INDEX(新属性投放!$L$14:$L$34,卡牌属性!R666),INDEX(新属性投放!$L$42:$L$62,卡牌属性!R666))*INDEX($G$5:$G$42,L666)+IF(Q666=1,INDEX(新属性投放!T$20:T$23,卡牌属性!M666-1),INDEX(新属性投放!T$25:T$28,卡牌属性!M666-1)))*SQRT(INDEX($I$5:$I$42,L666)),2)</f>
        <v>47116</v>
      </c>
      <c r="Y666" s="29" t="s">
        <v>177</v>
      </c>
      <c r="Z666" s="14">
        <f>ROUND(IF(Q666=1,INDEX(新属性投放!$D$14:$D$34,卡牌属性!R666),INDEX(新属性投放!$D$42:$D$62,卡牌属性!R666))*INDEX($G$5:$G$42,L666)/SQRT(INDEX($I$5:$I$42,L666)),2)</f>
        <v>203.43</v>
      </c>
      <c r="AA666" s="29" t="s">
        <v>178</v>
      </c>
      <c r="AB666" s="14">
        <f>ROUND(IF(Q666=1,INDEX(新属性投放!$E$14:$E$34,卡牌属性!R666),INDEX(新属性投放!$E$42:$E$62,卡牌属性!R666))*INDEX($G$5:$G$42,L666),2)</f>
        <v>101.72</v>
      </c>
      <c r="AC666" s="29" t="s">
        <v>179</v>
      </c>
      <c r="AD666" s="14">
        <f>ROUND(IF(Q666=1,INDEX(新属性投放!$F$14:$F$34,卡牌属性!R666),INDEX(新属性投放!$F$42:$F$62,卡牌属性!R666))*INDEX($G$5:$G$42,L666)*SQRT(INDEX($I$5:$I$42,L666)),2)</f>
        <v>915</v>
      </c>
      <c r="AF666" s="14">
        <f t="shared" si="189"/>
        <v>2034</v>
      </c>
      <c r="AG666" s="14">
        <f t="shared" si="190"/>
        <v>1017</v>
      </c>
      <c r="AH666" s="14">
        <f t="shared" si="191"/>
        <v>9150</v>
      </c>
      <c r="AJ666" s="14">
        <f t="shared" si="192"/>
        <v>8511</v>
      </c>
      <c r="AK666" s="14">
        <f t="shared" si="193"/>
        <v>4253</v>
      </c>
      <c r="AL666" s="14">
        <f t="shared" si="194"/>
        <v>38265</v>
      </c>
    </row>
    <row r="667" spans="11:38" ht="16.5" x14ac:dyDescent="0.2">
      <c r="K667" s="13">
        <v>664</v>
      </c>
      <c r="L667" s="13">
        <f t="shared" si="183"/>
        <v>32</v>
      </c>
      <c r="M667" s="13">
        <f t="shared" si="184"/>
        <v>5</v>
      </c>
      <c r="N667" s="14">
        <f t="shared" si="185"/>
        <v>1102016</v>
      </c>
      <c r="O667" s="14" t="str">
        <f t="shared" si="186"/>
        <v>西方龙13突</v>
      </c>
      <c r="P667" s="29" t="s">
        <v>341</v>
      </c>
      <c r="Q667" s="14">
        <f t="shared" si="187"/>
        <v>2</v>
      </c>
      <c r="R667" s="14">
        <f t="shared" si="188"/>
        <v>13</v>
      </c>
      <c r="S667" s="14" t="s">
        <v>39</v>
      </c>
      <c r="T667" s="14">
        <f>ROUND(((IF(Q667=1,INDEX(新属性投放!$J$14:$J$34,卡牌属性!R667),INDEX(新属性投放!$J$42:$J$62,卡牌属性!R667)))*INDEX($G$5:$G$42,L667)+IF(Q667=1,INDEX(新属性投放!R$20:R$23,卡牌属性!M667-1),INDEX(新属性投放!R$25:R$28,卡牌属性!M667-1)))/SQRT(INDEX($I$5:$I$42,L667)),2)</f>
        <v>11527.65</v>
      </c>
      <c r="U667" s="29" t="s">
        <v>178</v>
      </c>
      <c r="V667" s="14">
        <f>ROUND((IF(Q667=1,INDEX(新属性投放!$K$14:$K$34,卡牌属性!R667),INDEX(新属性投放!$K$42:$K$62,卡牌属性!R667))+IF(Q667=1,INDEX(新属性投放!S$20:S$23,卡牌属性!M667-1),INDEX(新属性投放!S$25:S$28,卡牌属性!M667-1)))*INDEX($G$5:$G$42,L667),2)</f>
        <v>5460.83</v>
      </c>
      <c r="W667" s="29" t="s">
        <v>179</v>
      </c>
      <c r="X667" s="14">
        <f>ROUND((IF(Q667=1,INDEX(新属性投放!$L$14:$L$34,卡牌属性!R667),INDEX(新属性投放!$L$42:$L$62,卡牌属性!R667))*INDEX($G$5:$G$42,L667)+IF(Q667=1,INDEX(新属性投放!T$20:T$23,卡牌属性!M667-1),INDEX(新属性投放!T$25:T$28,卡牌属性!M667-1)))*SQRT(INDEX($I$5:$I$42,L667)),2)</f>
        <v>60842.5</v>
      </c>
      <c r="Y667" s="29" t="s">
        <v>177</v>
      </c>
      <c r="Z667" s="14">
        <f>ROUND(IF(Q667=1,INDEX(新属性投放!$D$14:$D$34,卡牌属性!R667),INDEX(新属性投放!$D$42:$D$62,卡牌属性!R667))*INDEX($G$5:$G$42,L667)/SQRT(INDEX($I$5:$I$42,L667)),2)</f>
        <v>267</v>
      </c>
      <c r="AA667" s="29" t="s">
        <v>178</v>
      </c>
      <c r="AB667" s="14">
        <f>ROUND(IF(Q667=1,INDEX(新属性投放!$E$14:$E$34,卡牌属性!R667),INDEX(新属性投放!$E$42:$E$62,卡牌属性!R667))*INDEX($G$5:$G$42,L667),2)</f>
        <v>133.5</v>
      </c>
      <c r="AC667" s="29" t="s">
        <v>179</v>
      </c>
      <c r="AD667" s="14">
        <f>ROUND(IF(Q667=1,INDEX(新属性投放!$F$14:$F$34,卡牌属性!R667),INDEX(新属性投放!$F$42:$F$62,卡牌属性!R667))*INDEX($G$5:$G$42,L667)*SQRT(INDEX($I$5:$I$42,L667)),2)</f>
        <v>1201.5</v>
      </c>
      <c r="AF667" s="14">
        <f t="shared" si="189"/>
        <v>2670</v>
      </c>
      <c r="AG667" s="14">
        <f t="shared" si="190"/>
        <v>1335</v>
      </c>
      <c r="AH667" s="14">
        <f t="shared" si="191"/>
        <v>12015</v>
      </c>
      <c r="AJ667" s="14">
        <f t="shared" si="192"/>
        <v>11181</v>
      </c>
      <c r="AK667" s="14">
        <f t="shared" si="193"/>
        <v>5588</v>
      </c>
      <c r="AL667" s="14">
        <f t="shared" si="194"/>
        <v>50280</v>
      </c>
    </row>
    <row r="668" spans="11:38" ht="16.5" x14ac:dyDescent="0.2">
      <c r="K668" s="13">
        <v>665</v>
      </c>
      <c r="L668" s="13">
        <f t="shared" si="183"/>
        <v>32</v>
      </c>
      <c r="M668" s="13">
        <f t="shared" si="184"/>
        <v>5</v>
      </c>
      <c r="N668" s="14">
        <f t="shared" si="185"/>
        <v>1102016</v>
      </c>
      <c r="O668" s="14" t="str">
        <f t="shared" si="186"/>
        <v>西方龙14突</v>
      </c>
      <c r="P668" s="29" t="s">
        <v>341</v>
      </c>
      <c r="Q668" s="14">
        <f t="shared" si="187"/>
        <v>2</v>
      </c>
      <c r="R668" s="14">
        <f t="shared" si="188"/>
        <v>14</v>
      </c>
      <c r="S668" s="14" t="s">
        <v>39</v>
      </c>
      <c r="T668" s="14">
        <f>ROUND(((IF(Q668=1,INDEX(新属性投放!$J$14:$J$34,卡牌属性!R668),INDEX(新属性投放!$J$42:$J$62,卡牌属性!R668)))*INDEX($G$5:$G$42,L668)+IF(Q668=1,INDEX(新属性投放!R$20:R$23,卡牌属性!M668-1),INDEX(新属性投放!R$25:R$28,卡牌属性!M668-1)))/SQRT(INDEX($I$5:$I$42,L668)),2)</f>
        <v>14865.15</v>
      </c>
      <c r="U668" s="29" t="s">
        <v>178</v>
      </c>
      <c r="V668" s="14">
        <f>ROUND((IF(Q668=1,INDEX(新属性投放!$K$14:$K$34,卡牌属性!R668),INDEX(新属性投放!$K$42:$K$62,卡牌属性!R668))+IF(Q668=1,INDEX(新属性投放!S$20:S$23,卡牌属性!M668-1),INDEX(新属性投放!S$25:S$28,卡牌属性!M668-1)))*INDEX($G$5:$G$42,L668),2)</f>
        <v>7130.33</v>
      </c>
      <c r="W668" s="29" t="s">
        <v>179</v>
      </c>
      <c r="X668" s="14">
        <f>ROUND((IF(Q668=1,INDEX(新属性投放!$L$14:$L$34,卡牌属性!R668),INDEX(新属性投放!$L$42:$L$62,卡牌属性!R668))*INDEX($G$5:$G$42,L668)+IF(Q668=1,INDEX(新属性投放!T$20:T$23,卡牌属性!M668-1),INDEX(新属性投放!T$25:T$28,卡牌属性!M668-1)))*SQRT(INDEX($I$5:$I$42,L668)),2)</f>
        <v>78865</v>
      </c>
      <c r="Y668" s="29" t="s">
        <v>177</v>
      </c>
      <c r="Z668" s="14">
        <f>ROUND(IF(Q668=1,INDEX(新属性投放!$D$14:$D$34,卡牌属性!R668),INDEX(新属性投放!$D$42:$D$62,卡牌属性!R668))*INDEX($G$5:$G$42,L668)/SQRT(INDEX($I$5:$I$42,L668)),2)</f>
        <v>350.45</v>
      </c>
      <c r="AA668" s="29" t="s">
        <v>178</v>
      </c>
      <c r="AB668" s="14">
        <f>ROUND(IF(Q668=1,INDEX(新属性投放!$E$14:$E$34,卡牌属性!R668),INDEX(新属性投放!$E$42:$E$62,卡牌属性!R668))*INDEX($G$5:$G$42,L668),2)</f>
        <v>175.22</v>
      </c>
      <c r="AC668" s="29" t="s">
        <v>179</v>
      </c>
      <c r="AD668" s="14">
        <f>ROUND(IF(Q668=1,INDEX(新属性投放!$F$14:$F$34,卡牌属性!R668),INDEX(新属性投放!$F$42:$F$62,卡牌属性!R668))*INDEX($G$5:$G$42,L668)*SQRT(INDEX($I$5:$I$42,L668)),2)</f>
        <v>1576.5</v>
      </c>
      <c r="AF668" s="14">
        <f t="shared" si="189"/>
        <v>3504</v>
      </c>
      <c r="AG668" s="14">
        <f t="shared" si="190"/>
        <v>1752</v>
      </c>
      <c r="AH668" s="14">
        <f t="shared" si="191"/>
        <v>15765</v>
      </c>
      <c r="AJ668" s="14">
        <f t="shared" si="192"/>
        <v>14685</v>
      </c>
      <c r="AK668" s="14">
        <f t="shared" si="193"/>
        <v>7340</v>
      </c>
      <c r="AL668" s="14">
        <f t="shared" si="194"/>
        <v>66045</v>
      </c>
    </row>
    <row r="669" spans="11:38" ht="16.5" x14ac:dyDescent="0.2">
      <c r="K669" s="13">
        <v>666</v>
      </c>
      <c r="L669" s="13">
        <f t="shared" si="183"/>
        <v>32</v>
      </c>
      <c r="M669" s="13">
        <f t="shared" si="184"/>
        <v>5</v>
      </c>
      <c r="N669" s="14">
        <f t="shared" si="185"/>
        <v>1102016</v>
      </c>
      <c r="O669" s="14" t="str">
        <f t="shared" si="186"/>
        <v>西方龙15突</v>
      </c>
      <c r="P669" s="29" t="s">
        <v>341</v>
      </c>
      <c r="Q669" s="14">
        <f t="shared" si="187"/>
        <v>2</v>
      </c>
      <c r="R669" s="14">
        <f t="shared" si="188"/>
        <v>15</v>
      </c>
      <c r="S669" s="14" t="s">
        <v>39</v>
      </c>
      <c r="T669" s="14">
        <f>ROUND(((IF(Q669=1,INDEX(新属性投放!$J$14:$J$34,卡牌属性!R669),INDEX(新属性投放!$J$42:$J$62,卡牌属性!R669)))*INDEX($G$5:$G$42,L669)+IF(Q669=1,INDEX(新属性投放!R$20:R$23,卡牌属性!M669-1),INDEX(新属性投放!R$25:R$28,卡牌属性!M669-1)))/SQRT(INDEX($I$5:$I$42,L669)),2)</f>
        <v>19245.599999999999</v>
      </c>
      <c r="U669" s="29" t="s">
        <v>178</v>
      </c>
      <c r="V669" s="14">
        <f>ROUND((IF(Q669=1,INDEX(新属性投放!$K$14:$K$34,卡牌属性!R669),INDEX(新属性投放!$K$42:$K$62,卡牌属性!R669))+IF(Q669=1,INDEX(新属性投放!S$20:S$23,卡牌属性!M669-1),INDEX(新属性投放!S$25:S$28,卡牌属性!M669-1)))*INDEX($G$5:$G$42,L669),2)</f>
        <v>9320.5499999999993</v>
      </c>
      <c r="W669" s="29" t="s">
        <v>179</v>
      </c>
      <c r="X669" s="14">
        <f>ROUND((IF(Q669=1,INDEX(新属性投放!$L$14:$L$34,卡牌属性!R669),INDEX(新属性投放!$L$42:$L$62,卡牌属性!R669))*INDEX($G$5:$G$42,L669)+IF(Q669=1,INDEX(新属性投放!T$20:T$23,卡牌属性!M669-1),INDEX(新属性投放!T$25:T$28,卡牌属性!M669-1)))*SQRT(INDEX($I$5:$I$42,L669)),2)</f>
        <v>102514</v>
      </c>
      <c r="Y669" s="29" t="s">
        <v>177</v>
      </c>
      <c r="Z669" s="14">
        <f>ROUND(IF(Q669=1,INDEX(新属性投放!$D$14:$D$34,卡牌属性!R669),INDEX(新属性投放!$D$42:$D$62,卡牌属性!R669))*INDEX($G$5:$G$42,L669)/SQRT(INDEX($I$5:$I$42,L669)),2)</f>
        <v>459.96</v>
      </c>
      <c r="AA669" s="29" t="s">
        <v>178</v>
      </c>
      <c r="AB669" s="14">
        <f>ROUND(IF(Q669=1,INDEX(新属性投放!$E$14:$E$34,卡牌属性!R669),INDEX(新属性投放!$E$42:$E$62,卡牌属性!R669))*INDEX($G$5:$G$42,L669),2)</f>
        <v>229.98</v>
      </c>
      <c r="AC669" s="29" t="s">
        <v>179</v>
      </c>
      <c r="AD669" s="14">
        <f>ROUND(IF(Q669=1,INDEX(新属性投放!$F$14:$F$34,卡牌属性!R669),INDEX(新属性投放!$F$42:$F$62,卡牌属性!R669))*INDEX($G$5:$G$42,L669)*SQRT(INDEX($I$5:$I$42,L669)),2)</f>
        <v>2068.5</v>
      </c>
      <c r="AF669" s="14">
        <f t="shared" si="189"/>
        <v>4599</v>
      </c>
      <c r="AG669" s="14">
        <f t="shared" si="190"/>
        <v>2299</v>
      </c>
      <c r="AH669" s="14">
        <f t="shared" si="191"/>
        <v>20685</v>
      </c>
      <c r="AJ669" s="14">
        <f t="shared" si="192"/>
        <v>19284</v>
      </c>
      <c r="AK669" s="14">
        <f t="shared" si="193"/>
        <v>9639</v>
      </c>
      <c r="AL669" s="14">
        <f t="shared" si="194"/>
        <v>86730</v>
      </c>
    </row>
    <row r="670" spans="11:38" ht="16.5" x14ac:dyDescent="0.2">
      <c r="K670" s="13">
        <v>667</v>
      </c>
      <c r="L670" s="13">
        <f t="shared" si="183"/>
        <v>32</v>
      </c>
      <c r="M670" s="13">
        <f t="shared" si="184"/>
        <v>5</v>
      </c>
      <c r="N670" s="14">
        <f t="shared" si="185"/>
        <v>1102016</v>
      </c>
      <c r="O670" s="14" t="str">
        <f t="shared" si="186"/>
        <v>西方龙16突</v>
      </c>
      <c r="P670" s="29" t="s">
        <v>341</v>
      </c>
      <c r="Q670" s="14">
        <f t="shared" si="187"/>
        <v>2</v>
      </c>
      <c r="R670" s="14">
        <f t="shared" si="188"/>
        <v>16</v>
      </c>
      <c r="S670" s="14" t="s">
        <v>39</v>
      </c>
      <c r="T670" s="14">
        <f>ROUND(((IF(Q670=1,INDEX(新属性投放!$J$14:$J$34,卡牌属性!R670),INDEX(新属性投放!$J$42:$J$62,卡牌属性!R670)))*INDEX($G$5:$G$42,L670)+IF(Q670=1,INDEX(新属性投放!R$20:R$23,卡牌属性!M670-1),INDEX(新属性投放!R$25:R$28,卡牌属性!M670-1)))/SQRT(INDEX($I$5:$I$42,L670)),2)</f>
        <v>24995.7</v>
      </c>
      <c r="U670" s="29" t="s">
        <v>178</v>
      </c>
      <c r="V670" s="14">
        <f>ROUND((IF(Q670=1,INDEX(新属性投放!$K$14:$K$34,卡牌属性!R670),INDEX(新属性投放!$K$42:$K$62,卡牌属性!R670))+IF(Q670=1,INDEX(新属性投放!S$20:S$23,卡牌属性!M670-1),INDEX(新属性投放!S$25:S$28,卡牌属性!M670-1)))*INDEX($G$5:$G$42,L670),2)</f>
        <v>12194.85</v>
      </c>
      <c r="W670" s="29" t="s">
        <v>179</v>
      </c>
      <c r="X670" s="14">
        <f>ROUND((IF(Q670=1,INDEX(新属性投放!$L$14:$L$34,卡牌属性!R670),INDEX(新属性投放!$L$42:$L$62,卡牌属性!R670))*INDEX($G$5:$G$42,L670)+IF(Q670=1,INDEX(新属性投放!T$20:T$23,卡牌属性!M670-1),INDEX(新属性投放!T$25:T$28,卡牌属性!M670-1)))*SQRT(INDEX($I$5:$I$42,L670)),2)</f>
        <v>133553.5</v>
      </c>
      <c r="Y670" s="29" t="s">
        <v>177</v>
      </c>
      <c r="Z670" s="14">
        <f>ROUND(IF(Q670=1,INDEX(新属性投放!$D$14:$D$34,卡牌属性!R670),INDEX(新属性投放!$D$42:$D$62,卡牌属性!R670))*INDEX($G$5:$G$42,L670)/SQRT(INDEX($I$5:$I$42,L670)),2)</f>
        <v>603.71</v>
      </c>
      <c r="AA670" s="29" t="s">
        <v>178</v>
      </c>
      <c r="AB670" s="14">
        <f>ROUND(IF(Q670=1,INDEX(新属性投放!$E$14:$E$34,卡牌属性!R670),INDEX(新属性投放!$E$42:$E$62,卡牌属性!R670))*INDEX($G$5:$G$42,L670),2)</f>
        <v>301.85000000000002</v>
      </c>
      <c r="AC670" s="29" t="s">
        <v>179</v>
      </c>
      <c r="AD670" s="14">
        <f>ROUND(IF(Q670=1,INDEX(新属性投放!$F$14:$F$34,卡牌属性!R670),INDEX(新属性投放!$F$42:$F$62,卡牌属性!R670))*INDEX($G$5:$G$42,L670)*SQRT(INDEX($I$5:$I$42,L670)),2)</f>
        <v>2716.5</v>
      </c>
      <c r="AF670" s="14">
        <f t="shared" si="189"/>
        <v>6037</v>
      </c>
      <c r="AG670" s="14">
        <f t="shared" si="190"/>
        <v>3018</v>
      </c>
      <c r="AH670" s="14">
        <f t="shared" si="191"/>
        <v>27165</v>
      </c>
      <c r="AJ670" s="14">
        <f t="shared" si="192"/>
        <v>25321</v>
      </c>
      <c r="AK670" s="14">
        <f t="shared" si="193"/>
        <v>12657</v>
      </c>
      <c r="AL670" s="14">
        <f t="shared" si="194"/>
        <v>113895</v>
      </c>
    </row>
    <row r="671" spans="11:38" ht="16.5" x14ac:dyDescent="0.2">
      <c r="K671" s="13">
        <v>668</v>
      </c>
      <c r="L671" s="13">
        <f t="shared" si="183"/>
        <v>32</v>
      </c>
      <c r="M671" s="13">
        <f t="shared" si="184"/>
        <v>5</v>
      </c>
      <c r="N671" s="14">
        <f t="shared" si="185"/>
        <v>1102016</v>
      </c>
      <c r="O671" s="14" t="str">
        <f t="shared" si="186"/>
        <v>西方龙17突</v>
      </c>
      <c r="P671" s="29" t="s">
        <v>341</v>
      </c>
      <c r="Q671" s="14">
        <f t="shared" si="187"/>
        <v>2</v>
      </c>
      <c r="R671" s="14">
        <f t="shared" si="188"/>
        <v>17</v>
      </c>
      <c r="S671" s="14" t="s">
        <v>39</v>
      </c>
      <c r="T671" s="14">
        <f>ROUND(((IF(Q671=1,INDEX(新属性投放!$J$14:$J$34,卡牌属性!R671),INDEX(新属性投放!$J$42:$J$62,卡牌属性!R671)))*INDEX($G$5:$G$42,L671)+IF(Q671=1,INDEX(新属性投放!R$20:R$23,卡牌属性!M671-1),INDEX(新属性投放!R$25:R$28,卡牌属性!M671-1)))/SQRT(INDEX($I$5:$I$42,L671)),2)</f>
        <v>32541.75</v>
      </c>
      <c r="U671" s="29" t="s">
        <v>178</v>
      </c>
      <c r="V671" s="14">
        <f>ROUND((IF(Q671=1,INDEX(新属性投放!$K$14:$K$34,卡牌属性!R671),INDEX(新属性投放!$K$42:$K$62,卡牌属性!R671))+IF(Q671=1,INDEX(新属性投放!S$20:S$23,卡牌属性!M671-1),INDEX(新属性投放!S$25:S$28,卡牌属性!M671-1)))*INDEX($G$5:$G$42,L671),2)</f>
        <v>15967.88</v>
      </c>
      <c r="W671" s="29" t="s">
        <v>179</v>
      </c>
      <c r="X671" s="14">
        <f>ROUND((IF(Q671=1,INDEX(新属性投放!$L$14:$L$34,卡牌属性!R671),INDEX(新属性投放!$L$42:$L$62,卡牌属性!R671))*INDEX($G$5:$G$42,L671)+IF(Q671=1,INDEX(新属性投放!T$20:T$23,卡牌属性!M671-1),INDEX(新属性投放!T$25:T$28,卡牌属性!M671-1)))*SQRT(INDEX($I$5:$I$42,L671)),2)</f>
        <v>174299.5</v>
      </c>
      <c r="Y671" s="29" t="s">
        <v>177</v>
      </c>
      <c r="Z671" s="14">
        <f>ROUND(IF(Q671=1,INDEX(新属性投放!$D$14:$D$34,卡牌属性!R671),INDEX(新属性投放!$D$42:$D$62,卡牌属性!R671))*INDEX($G$5:$G$42,L671)/SQRT(INDEX($I$5:$I$42,L671)),2)</f>
        <v>792.36</v>
      </c>
      <c r="AA671" s="29" t="s">
        <v>178</v>
      </c>
      <c r="AB671" s="14">
        <f>ROUND(IF(Q671=1,INDEX(新属性投放!$E$14:$E$34,卡牌属性!R671),INDEX(新属性投放!$E$42:$E$62,卡牌属性!R671))*INDEX($G$5:$G$42,L671),2)</f>
        <v>396.18</v>
      </c>
      <c r="AC671" s="29" t="s">
        <v>179</v>
      </c>
      <c r="AD671" s="14">
        <f>ROUND(IF(Q671=1,INDEX(新属性投放!$F$14:$F$34,卡牌属性!R671),INDEX(新属性投放!$F$42:$F$62,卡牌属性!R671))*INDEX($G$5:$G$42,L671)*SQRT(INDEX($I$5:$I$42,L671)),2)</f>
        <v>3565.5</v>
      </c>
      <c r="AF671" s="14">
        <f t="shared" si="189"/>
        <v>7923</v>
      </c>
      <c r="AG671" s="14">
        <f t="shared" si="190"/>
        <v>3961</v>
      </c>
      <c r="AH671" s="14">
        <f t="shared" si="191"/>
        <v>35655</v>
      </c>
      <c r="AJ671" s="14">
        <f t="shared" si="192"/>
        <v>33244</v>
      </c>
      <c r="AK671" s="14">
        <f t="shared" si="193"/>
        <v>16618</v>
      </c>
      <c r="AL671" s="14">
        <f t="shared" si="194"/>
        <v>149550</v>
      </c>
    </row>
    <row r="672" spans="11:38" ht="16.5" x14ac:dyDescent="0.2">
      <c r="K672" s="13">
        <v>669</v>
      </c>
      <c r="L672" s="13">
        <f t="shared" si="183"/>
        <v>32</v>
      </c>
      <c r="M672" s="13">
        <f t="shared" si="184"/>
        <v>5</v>
      </c>
      <c r="N672" s="14">
        <f t="shared" si="185"/>
        <v>1102016</v>
      </c>
      <c r="O672" s="14" t="str">
        <f t="shared" si="186"/>
        <v>西方龙18突</v>
      </c>
      <c r="P672" s="29" t="s">
        <v>341</v>
      </c>
      <c r="Q672" s="14">
        <f t="shared" si="187"/>
        <v>2</v>
      </c>
      <c r="R672" s="14">
        <f t="shared" si="188"/>
        <v>18</v>
      </c>
      <c r="S672" s="14" t="s">
        <v>39</v>
      </c>
      <c r="T672" s="14">
        <f>ROUND(((IF(Q672=1,INDEX(新属性投放!$J$14:$J$34,卡牌属性!R672),INDEX(新属性投放!$J$42:$J$62,卡牌属性!R672)))*INDEX($G$5:$G$42,L672)+IF(Q672=1,INDEX(新属性投放!R$20:R$23,卡牌属性!M672-1),INDEX(新属性投放!R$25:R$28,卡牌属性!M672-1)))/SQRT(INDEX($I$5:$I$42,L672)),2)</f>
        <v>42446.85</v>
      </c>
      <c r="U672" s="29" t="s">
        <v>178</v>
      </c>
      <c r="V672" s="14">
        <f>ROUND((IF(Q672=1,INDEX(新属性投放!$K$14:$K$34,卡牌属性!R672),INDEX(新属性投放!$K$42:$K$62,卡牌属性!R672))+IF(Q672=1,INDEX(新属性投放!S$20:S$23,卡牌属性!M672-1),INDEX(新属性投放!S$25:S$28,卡牌属性!M672-1)))*INDEX($G$5:$G$42,L672),2)</f>
        <v>20919.68</v>
      </c>
      <c r="W672" s="29" t="s">
        <v>179</v>
      </c>
      <c r="X672" s="14">
        <f>ROUND((IF(Q672=1,INDEX(新属性投放!$L$14:$L$34,卡牌属性!R672),INDEX(新属性投放!$L$42:$L$62,卡牌属性!R672))*INDEX($G$5:$G$42,L672)+IF(Q672=1,INDEX(新属性投放!T$20:T$23,卡牌属性!M672-1),INDEX(新属性投放!T$25:T$28,卡牌属性!M672-1)))*SQRT(INDEX($I$5:$I$42,L672)),2)</f>
        <v>227788</v>
      </c>
      <c r="Y672" s="29" t="s">
        <v>177</v>
      </c>
      <c r="Z672" s="14">
        <f>ROUND(IF(Q672=1,INDEX(新属性投放!$D$14:$D$34,卡牌属性!R672),INDEX(新属性投放!$D$42:$D$62,卡牌属性!R672))*INDEX($G$5:$G$42,L672)/SQRT(INDEX($I$5:$I$42,L672)),2)</f>
        <v>1039.98</v>
      </c>
      <c r="AA672" s="29" t="s">
        <v>178</v>
      </c>
      <c r="AB672" s="14">
        <f>ROUND(IF(Q672=1,INDEX(新属性投放!$E$14:$E$34,卡牌属性!R672),INDEX(新属性投放!$E$42:$E$62,卡牌属性!R672))*INDEX($G$5:$G$42,L672),2)</f>
        <v>519.99</v>
      </c>
      <c r="AC672" s="29" t="s">
        <v>179</v>
      </c>
      <c r="AD672" s="14">
        <f>ROUND(IF(Q672=1,INDEX(新属性投放!$F$14:$F$34,卡牌属性!R672),INDEX(新属性投放!$F$42:$F$62,卡牌属性!R672))*INDEX($G$5:$G$42,L672)*SQRT(INDEX($I$5:$I$42,L672)),2)</f>
        <v>4678.5</v>
      </c>
      <c r="AF672" s="14">
        <f t="shared" si="189"/>
        <v>10399</v>
      </c>
      <c r="AG672" s="14">
        <f t="shared" si="190"/>
        <v>5199</v>
      </c>
      <c r="AH672" s="14">
        <f t="shared" si="191"/>
        <v>46785</v>
      </c>
      <c r="AJ672" s="14">
        <f t="shared" si="192"/>
        <v>43643</v>
      </c>
      <c r="AK672" s="14">
        <f t="shared" si="193"/>
        <v>21817</v>
      </c>
      <c r="AL672" s="14">
        <f t="shared" si="194"/>
        <v>196335</v>
      </c>
    </row>
    <row r="673" spans="11:38" ht="16.5" x14ac:dyDescent="0.2">
      <c r="K673" s="13">
        <v>670</v>
      </c>
      <c r="L673" s="13">
        <f t="shared" si="183"/>
        <v>32</v>
      </c>
      <c r="M673" s="13">
        <f t="shared" si="184"/>
        <v>5</v>
      </c>
      <c r="N673" s="14">
        <f t="shared" si="185"/>
        <v>1102016</v>
      </c>
      <c r="O673" s="14" t="str">
        <f t="shared" si="186"/>
        <v>西方龙19突</v>
      </c>
      <c r="P673" s="29" t="s">
        <v>341</v>
      </c>
      <c r="Q673" s="14">
        <f t="shared" si="187"/>
        <v>2</v>
      </c>
      <c r="R673" s="14">
        <f t="shared" si="188"/>
        <v>19</v>
      </c>
      <c r="S673" s="14" t="s">
        <v>39</v>
      </c>
      <c r="T673" s="14">
        <f>ROUND(((IF(Q673=1,INDEX(新属性投放!$J$14:$J$34,卡牌属性!R673),INDEX(新属性投放!$J$42:$J$62,卡牌属性!R673)))*INDEX($G$5:$G$42,L673)+IF(Q673=1,INDEX(新属性投放!R$20:R$23,卡牌属性!M673-1),INDEX(新属性投放!R$25:R$28,卡牌属性!M673-1)))/SQRT(INDEX($I$5:$I$42,L673)),2)</f>
        <v>55446.15</v>
      </c>
      <c r="U673" s="29" t="s">
        <v>178</v>
      </c>
      <c r="V673" s="14">
        <f>ROUND((IF(Q673=1,INDEX(新属性投放!$K$14:$K$34,卡牌属性!R673),INDEX(新属性投放!$K$42:$K$62,卡牌属性!R673))+IF(Q673=1,INDEX(新属性投放!S$20:S$23,卡牌属性!M673-1),INDEX(新属性投放!S$25:S$28,卡牌属性!M673-1)))*INDEX($G$5:$G$42,L673),2)</f>
        <v>27420.080000000002</v>
      </c>
      <c r="W673" s="29" t="s">
        <v>179</v>
      </c>
      <c r="X673" s="14">
        <f>ROUND((IF(Q673=1,INDEX(新属性投放!$L$14:$L$34,卡牌属性!R673),INDEX(新属性投放!$L$42:$L$62,卡牌属性!R673))*INDEX($G$5:$G$42,L673)+IF(Q673=1,INDEX(新属性投放!T$20:T$23,卡牌属性!M673-1),INDEX(新属性投放!T$25:T$28,卡牌属性!M673-1)))*SQRT(INDEX($I$5:$I$42,L673)),2)</f>
        <v>297968.5</v>
      </c>
      <c r="Y673" s="29" t="s">
        <v>177</v>
      </c>
      <c r="Z673" s="14">
        <f>ROUND(IF(Q673=1,INDEX(新属性投放!$D$14:$D$34,卡牌属性!R673),INDEX(新属性投放!$D$42:$D$62,卡牌属性!R673))*INDEX($G$5:$G$42,L673)/SQRT(INDEX($I$5:$I$42,L673)),2)</f>
        <v>1364.97</v>
      </c>
      <c r="AA673" s="29" t="s">
        <v>178</v>
      </c>
      <c r="AB673" s="14">
        <f>ROUND(IF(Q673=1,INDEX(新属性投放!$E$14:$E$34,卡牌属性!R673),INDEX(新属性投放!$E$42:$E$62,卡牌属性!R673))*INDEX($G$5:$G$42,L673),2)</f>
        <v>682.49</v>
      </c>
      <c r="AC673" s="29" t="s">
        <v>179</v>
      </c>
      <c r="AD673" s="14">
        <f>ROUND(IF(Q673=1,INDEX(新属性投放!$F$14:$F$34,卡牌属性!R673),INDEX(新属性投放!$F$42:$F$62,卡牌属性!R673))*INDEX($G$5:$G$42,L673)*SQRT(INDEX($I$5:$I$42,L673)),2)</f>
        <v>6141</v>
      </c>
      <c r="AF673" s="14">
        <f t="shared" si="189"/>
        <v>13649</v>
      </c>
      <c r="AG673" s="14">
        <f t="shared" si="190"/>
        <v>6824</v>
      </c>
      <c r="AH673" s="14">
        <f t="shared" si="191"/>
        <v>61410</v>
      </c>
      <c r="AJ673" s="14">
        <f t="shared" si="192"/>
        <v>57292</v>
      </c>
      <c r="AK673" s="14">
        <f t="shared" si="193"/>
        <v>28641</v>
      </c>
      <c r="AL673" s="14">
        <f t="shared" si="194"/>
        <v>257745</v>
      </c>
    </row>
    <row r="674" spans="11:38" ht="16.5" x14ac:dyDescent="0.2">
      <c r="K674" s="13">
        <v>671</v>
      </c>
      <c r="L674" s="13">
        <f t="shared" si="183"/>
        <v>32</v>
      </c>
      <c r="M674" s="13">
        <f t="shared" si="184"/>
        <v>5</v>
      </c>
      <c r="N674" s="14">
        <f t="shared" si="185"/>
        <v>1102016</v>
      </c>
      <c r="O674" s="14" t="str">
        <f t="shared" si="186"/>
        <v>西方龙20突</v>
      </c>
      <c r="P674" s="29" t="s">
        <v>341</v>
      </c>
      <c r="Q674" s="14">
        <f t="shared" si="187"/>
        <v>2</v>
      </c>
      <c r="R674" s="14">
        <f t="shared" si="188"/>
        <v>20</v>
      </c>
      <c r="S674" s="14" t="s">
        <v>39</v>
      </c>
      <c r="T674" s="14">
        <f>ROUND(((IF(Q674=1,INDEX(新属性投放!$J$14:$J$34,卡牌属性!R674),INDEX(新属性投放!$J$42:$J$62,卡牌属性!R674)))*INDEX($G$5:$G$42,L674)+IF(Q674=1,INDEX(新属性投放!R$20:R$23,卡牌属性!M674-1),INDEX(新属性投放!R$25:R$28,卡牌属性!M674-1)))/SQRT(INDEX($I$5:$I$42,L674)),2)</f>
        <v>72508.350000000006</v>
      </c>
      <c r="U674" s="29" t="s">
        <v>178</v>
      </c>
      <c r="V674" s="14">
        <f>ROUND((IF(Q674=1,INDEX(新属性投放!$K$14:$K$34,卡牌属性!R674),INDEX(新属性投放!$K$42:$K$62,卡牌属性!R674))+IF(Q674=1,INDEX(新属性投放!S$20:S$23,卡牌属性!M674-1),INDEX(新属性投放!S$25:S$28,卡牌属性!M674-1)))*INDEX($G$5:$G$42,L674),2)</f>
        <v>35950.43</v>
      </c>
      <c r="W674" s="29" t="s">
        <v>179</v>
      </c>
      <c r="X674" s="14">
        <f>ROUND((IF(Q674=1,INDEX(新属性投放!$L$14:$L$34,卡牌属性!R674),INDEX(新属性投放!$L$42:$L$62,卡牌属性!R674))*INDEX($G$5:$G$42,L674)+IF(Q674=1,INDEX(新属性投放!T$20:T$23,卡牌属性!M674-1),INDEX(新属性投放!T$25:T$28,卡牌属性!M674-1)))*SQRT(INDEX($I$5:$I$42,L674)),2)</f>
        <v>390091</v>
      </c>
      <c r="Y674" s="29" t="s">
        <v>177</v>
      </c>
      <c r="Z674" s="14">
        <f>ROUND(IF(Q674=1,INDEX(新属性投放!$D$14:$D$34,卡牌属性!R674),INDEX(新属性投放!$D$42:$D$62,卡牌属性!R674))*INDEX($G$5:$G$42,L674)/SQRT(INDEX($I$5:$I$42,L674)),2)</f>
        <v>1791.53</v>
      </c>
      <c r="AA674" s="29" t="s">
        <v>178</v>
      </c>
      <c r="AB674" s="14">
        <f>ROUND(IF(Q674=1,INDEX(新属性投放!$E$14:$E$34,卡牌属性!R674),INDEX(新属性投放!$E$42:$E$62,卡牌属性!R674))*INDEX($G$5:$G$42,L674),2)</f>
        <v>895.76</v>
      </c>
      <c r="AC674" s="29" t="s">
        <v>179</v>
      </c>
      <c r="AD674" s="14">
        <f>ROUND(IF(Q674=1,INDEX(新属性投放!$F$14:$F$34,卡牌属性!R674),INDEX(新属性投放!$F$42:$F$62,卡牌属性!R674))*INDEX($G$5:$G$42,L674)*SQRT(INDEX($I$5:$I$42,L674)),2)</f>
        <v>8061</v>
      </c>
      <c r="AF674" s="14">
        <f t="shared" si="189"/>
        <v>17915</v>
      </c>
      <c r="AG674" s="14">
        <f t="shared" si="190"/>
        <v>8957</v>
      </c>
      <c r="AH674" s="14">
        <f t="shared" si="191"/>
        <v>80610</v>
      </c>
      <c r="AJ674" s="14">
        <f t="shared" si="192"/>
        <v>75207</v>
      </c>
      <c r="AK674" s="14">
        <f t="shared" si="193"/>
        <v>37598</v>
      </c>
      <c r="AL674" s="14">
        <f t="shared" si="194"/>
        <v>338355</v>
      </c>
    </row>
    <row r="675" spans="11:38" ht="16.5" x14ac:dyDescent="0.2">
      <c r="K675" s="13">
        <v>672</v>
      </c>
      <c r="L675" s="13">
        <f t="shared" si="183"/>
        <v>32</v>
      </c>
      <c r="M675" s="13">
        <f t="shared" si="184"/>
        <v>5</v>
      </c>
      <c r="N675" s="14">
        <f t="shared" si="185"/>
        <v>1102016</v>
      </c>
      <c r="O675" s="14" t="str">
        <f t="shared" si="186"/>
        <v>西方龙21突</v>
      </c>
      <c r="P675" s="29" t="s">
        <v>341</v>
      </c>
      <c r="Q675" s="14">
        <f t="shared" si="187"/>
        <v>2</v>
      </c>
      <c r="R675" s="14">
        <f t="shared" si="188"/>
        <v>21</v>
      </c>
      <c r="S675" s="14" t="s">
        <v>39</v>
      </c>
      <c r="T675" s="14">
        <f>ROUND(((IF(Q675=1,INDEX(新属性投放!$J$14:$J$34,卡牌属性!R675),INDEX(新属性投放!$J$42:$J$62,卡牌属性!R675)))*INDEX($G$5:$G$42,L675)+IF(Q675=1,INDEX(新属性投放!R$20:R$23,卡牌属性!M675-1),INDEX(新属性投放!R$25:R$28,卡牌属性!M675-1)))/SQRT(INDEX($I$5:$I$42,L675)),2)</f>
        <v>94902.6</v>
      </c>
      <c r="U675" s="29" t="s">
        <v>178</v>
      </c>
      <c r="V675" s="14">
        <f>ROUND((IF(Q675=1,INDEX(新属性投放!$K$14:$K$34,卡牌属性!R675),INDEX(新属性投放!$K$42:$K$62,卡牌属性!R675))+IF(Q675=1,INDEX(新属性投放!S$20:S$23,卡牌属性!M675-1),INDEX(新属性投放!S$25:S$28,卡牌属性!M675-1)))*INDEX($G$5:$G$42,L675),2)</f>
        <v>47147.55</v>
      </c>
      <c r="W675" s="29" t="s">
        <v>179</v>
      </c>
      <c r="X675" s="14">
        <f>ROUND((IF(Q675=1,INDEX(新属性投放!$L$14:$L$34,卡牌属性!R675),INDEX(新属性投放!$L$42:$L$62,卡牌属性!R675))*INDEX($G$5:$G$42,L675)+IF(Q675=1,INDEX(新属性投放!T$20:T$23,卡牌属性!M675-1),INDEX(新属性投放!T$25:T$28,卡牌属性!M675-1)))*SQRT(INDEX($I$5:$I$42,L675)),2)</f>
        <v>511012</v>
      </c>
      <c r="Y675" s="29" t="s">
        <v>177</v>
      </c>
      <c r="Z675" s="14">
        <f>ROUND(IF(Q675=1,INDEX(新属性投放!$D$14:$D$34,卡牌属性!R675),INDEX(新属性投放!$D$42:$D$62,卡牌属性!R675))*INDEX($G$5:$G$42,L675)/SQRT(INDEX($I$5:$I$42,L675)),2)</f>
        <v>2351.39</v>
      </c>
      <c r="AA675" s="29" t="s">
        <v>178</v>
      </c>
      <c r="AB675" s="14">
        <f>ROUND(IF(Q675=1,INDEX(新属性投放!$E$14:$E$34,卡牌属性!R675),INDEX(新属性投放!$E$42:$E$62,卡牌属性!R675))*INDEX($G$5:$G$42,L675),2)</f>
        <v>1175.69</v>
      </c>
      <c r="AC675" s="29" t="s">
        <v>179</v>
      </c>
      <c r="AD675" s="14">
        <f>ROUND(IF(Q675=1,INDEX(新属性投放!$F$14:$F$34,卡牌属性!R675),INDEX(新属性投放!$F$42:$F$62,卡牌属性!R675))*INDEX($G$5:$G$42,L675)*SQRT(INDEX($I$5:$I$42,L675)),2)</f>
        <v>10581</v>
      </c>
      <c r="AF675" s="14">
        <f t="shared" si="189"/>
        <v>23513</v>
      </c>
      <c r="AG675" s="14">
        <f t="shared" si="190"/>
        <v>11756</v>
      </c>
      <c r="AH675" s="14">
        <f t="shared" si="191"/>
        <v>105810</v>
      </c>
      <c r="AJ675" s="14">
        <f t="shared" si="192"/>
        <v>98720</v>
      </c>
      <c r="AK675" s="14">
        <f t="shared" si="193"/>
        <v>49354</v>
      </c>
      <c r="AL675" s="14">
        <f t="shared" si="194"/>
        <v>444165</v>
      </c>
    </row>
    <row r="676" spans="11:38" ht="16.5" x14ac:dyDescent="0.2">
      <c r="K676" s="13">
        <v>673</v>
      </c>
      <c r="L676" s="13">
        <f t="shared" si="183"/>
        <v>33</v>
      </c>
      <c r="M676" s="13">
        <f t="shared" si="184"/>
        <v>4</v>
      </c>
      <c r="N676" s="14">
        <f t="shared" si="185"/>
        <v>1102017</v>
      </c>
      <c r="O676" s="14" t="str">
        <f t="shared" si="186"/>
        <v>飞廉1突</v>
      </c>
      <c r="P676" s="29" t="s">
        <v>341</v>
      </c>
      <c r="Q676" s="14">
        <f t="shared" si="187"/>
        <v>2</v>
      </c>
      <c r="R676" s="14">
        <f t="shared" si="188"/>
        <v>1</v>
      </c>
      <c r="S676" s="14" t="s">
        <v>39</v>
      </c>
      <c r="T676" s="14">
        <f>ROUND(((IF(Q676=1,INDEX(新属性投放!$J$14:$J$34,卡牌属性!R676),INDEX(新属性投放!$J$42:$J$62,卡牌属性!R676)))*INDEX($G$5:$G$42,L676)+IF(Q676=1,INDEX(新属性投放!R$20:R$23,卡牌属性!M676-1),INDEX(新属性投放!R$25:R$28,卡牌属性!M676-1)))/SQRT(INDEX($I$5:$I$42,L676)),2)</f>
        <v>610</v>
      </c>
      <c r="U676" s="29" t="s">
        <v>178</v>
      </c>
      <c r="V676" s="14">
        <f>ROUND((IF(Q676=1,INDEX(新属性投放!$K$14:$K$34,卡牌属性!R676),INDEX(新属性投放!$K$42:$K$62,卡牌属性!R676))+IF(Q676=1,INDEX(新属性投放!S$20:S$23,卡牌属性!M676-1),INDEX(新属性投放!S$25:S$28,卡牌属性!M676-1)))*INDEX($G$5:$G$42,L676),2)</f>
        <v>130</v>
      </c>
      <c r="W676" s="29" t="s">
        <v>179</v>
      </c>
      <c r="X676" s="14">
        <f>ROUND((IF(Q676=1,INDEX(新属性投放!$L$14:$L$34,卡牌属性!R676),INDEX(新属性投放!$L$42:$L$62,卡牌属性!R676))*INDEX($G$5:$G$42,L676)+IF(Q676=1,INDEX(新属性投放!T$20:T$23,卡牌属性!M676-1),INDEX(新属性投放!T$25:T$28,卡牌属性!M676-1)))*SQRT(INDEX($I$5:$I$42,L676)),2)</f>
        <v>1885</v>
      </c>
      <c r="Y676" s="29" t="s">
        <v>177</v>
      </c>
      <c r="Z676" s="14">
        <f>ROUND(IF(Q676=1,INDEX(新属性投放!$D$14:$D$34,卡牌属性!R676),INDEX(新属性投放!$D$42:$D$62,卡牌属性!R676))*INDEX($G$5:$G$42,L676)/SQRT(INDEX($I$5:$I$42,L676)),2)</f>
        <v>13</v>
      </c>
      <c r="AA676" s="29" t="s">
        <v>178</v>
      </c>
      <c r="AB676" s="14">
        <f>ROUND(IF(Q676=1,INDEX(新属性投放!$E$14:$E$34,卡牌属性!R676),INDEX(新属性投放!$E$42:$E$62,卡牌属性!R676))*INDEX($G$5:$G$42,L676),2)</f>
        <v>6.5</v>
      </c>
      <c r="AC676" s="29" t="s">
        <v>179</v>
      </c>
      <c r="AD676" s="14">
        <f>ROUND(IF(Q676=1,INDEX(新属性投放!$F$14:$F$34,卡牌属性!R676),INDEX(新属性投放!$F$42:$F$62,卡牌属性!R676))*INDEX($G$5:$G$42,L676)*SQRT(INDEX($I$5:$I$42,L676)),2)</f>
        <v>58.5</v>
      </c>
      <c r="AF676" s="14">
        <f t="shared" si="189"/>
        <v>130</v>
      </c>
      <c r="AG676" s="14">
        <f t="shared" si="190"/>
        <v>65</v>
      </c>
      <c r="AH676" s="14">
        <f t="shared" si="191"/>
        <v>585</v>
      </c>
      <c r="AJ676" s="14">
        <f>AF676</f>
        <v>130</v>
      </c>
      <c r="AK676" s="14">
        <f>AG676</f>
        <v>65</v>
      </c>
      <c r="AL676" s="14">
        <f>AH676</f>
        <v>585</v>
      </c>
    </row>
    <row r="677" spans="11:38" ht="16.5" x14ac:dyDescent="0.2">
      <c r="K677" s="13">
        <v>674</v>
      </c>
      <c r="L677" s="13">
        <f t="shared" si="183"/>
        <v>33</v>
      </c>
      <c r="M677" s="13">
        <f t="shared" si="184"/>
        <v>4</v>
      </c>
      <c r="N677" s="14">
        <f t="shared" si="185"/>
        <v>1102017</v>
      </c>
      <c r="O677" s="14" t="str">
        <f t="shared" si="186"/>
        <v>飞廉2突</v>
      </c>
      <c r="P677" s="29" t="s">
        <v>341</v>
      </c>
      <c r="Q677" s="14">
        <f t="shared" si="187"/>
        <v>2</v>
      </c>
      <c r="R677" s="14">
        <f t="shared" si="188"/>
        <v>2</v>
      </c>
      <c r="S677" s="14" t="s">
        <v>39</v>
      </c>
      <c r="T677" s="14">
        <f>ROUND(((IF(Q677=1,INDEX(新属性投放!$J$14:$J$34,卡牌属性!R677),INDEX(新属性投放!$J$42:$J$62,卡牌属性!R677)))*INDEX($G$5:$G$42,L677)+IF(Q677=1,INDEX(新属性投放!R$20:R$23,卡牌属性!M677-1),INDEX(新属性投放!R$25:R$28,卡牌属性!M677-1)))/SQRT(INDEX($I$5:$I$42,L677)),2)</f>
        <v>759.5</v>
      </c>
      <c r="U677" s="29" t="s">
        <v>178</v>
      </c>
      <c r="V677" s="14">
        <f>ROUND((IF(Q677=1,INDEX(新属性投放!$K$14:$K$34,卡牌属性!R677),INDEX(新属性投放!$K$42:$K$62,卡牌属性!R677))+IF(Q677=1,INDEX(新属性投放!S$20:S$23,卡牌属性!M677-1),INDEX(新属性投放!S$25:S$28,卡牌属性!M677-1)))*INDEX($G$5:$G$42,L677),2)</f>
        <v>201.5</v>
      </c>
      <c r="W677" s="29" t="s">
        <v>179</v>
      </c>
      <c r="X677" s="14">
        <f>ROUND((IF(Q677=1,INDEX(新属性投放!$L$14:$L$34,卡牌属性!R677),INDEX(新属性投放!$L$42:$L$62,卡牌属性!R677))*INDEX($G$5:$G$42,L677)+IF(Q677=1,INDEX(新属性投放!T$20:T$23,卡牌属性!M677-1),INDEX(新属性投放!T$25:T$28,卡牌属性!M677-1)))*SQRT(INDEX($I$5:$I$42,L677)),2)</f>
        <v>2704</v>
      </c>
      <c r="Y677" s="29" t="s">
        <v>177</v>
      </c>
      <c r="Z677" s="14">
        <f>ROUND(IF(Q677=1,INDEX(新属性投放!$D$14:$D$34,卡牌属性!R677),INDEX(新属性投放!$D$42:$D$62,卡牌属性!R677))*INDEX($G$5:$G$42,L677)/SQRT(INDEX($I$5:$I$42,L677)),2)</f>
        <v>13</v>
      </c>
      <c r="AA677" s="29" t="s">
        <v>178</v>
      </c>
      <c r="AB677" s="14">
        <f>ROUND(IF(Q677=1,INDEX(新属性投放!$E$14:$E$34,卡牌属性!R677),INDEX(新属性投放!$E$42:$E$62,卡牌属性!R677))*INDEX($G$5:$G$42,L677),2)</f>
        <v>6.5</v>
      </c>
      <c r="AC677" s="29" t="s">
        <v>179</v>
      </c>
      <c r="AD677" s="14">
        <f>ROUND(IF(Q677=1,INDEX(新属性投放!$F$14:$F$34,卡牌属性!R677),INDEX(新属性投放!$F$42:$F$62,卡牌属性!R677))*INDEX($G$5:$G$42,L677)*SQRT(INDEX($I$5:$I$42,L677)),2)</f>
        <v>58.5</v>
      </c>
      <c r="AF677" s="14">
        <f t="shared" si="189"/>
        <v>130</v>
      </c>
      <c r="AG677" s="14">
        <f t="shared" si="190"/>
        <v>65</v>
      </c>
      <c r="AH677" s="14">
        <f t="shared" si="191"/>
        <v>585</v>
      </c>
      <c r="AJ677" s="14">
        <f t="shared" ref="AJ677:AJ696" si="195">AJ676+AF677</f>
        <v>260</v>
      </c>
      <c r="AK677" s="14">
        <f t="shared" ref="AK677:AK696" si="196">AK676+AG677</f>
        <v>130</v>
      </c>
      <c r="AL677" s="14">
        <f t="shared" ref="AL677:AL696" si="197">AL676+AH677</f>
        <v>1170</v>
      </c>
    </row>
    <row r="678" spans="11:38" ht="16.5" x14ac:dyDescent="0.2">
      <c r="K678" s="13">
        <v>675</v>
      </c>
      <c r="L678" s="13">
        <f t="shared" si="183"/>
        <v>33</v>
      </c>
      <c r="M678" s="13">
        <f t="shared" si="184"/>
        <v>4</v>
      </c>
      <c r="N678" s="14">
        <f t="shared" si="185"/>
        <v>1102017</v>
      </c>
      <c r="O678" s="14" t="str">
        <f t="shared" si="186"/>
        <v>飞廉3突</v>
      </c>
      <c r="P678" s="29" t="s">
        <v>341</v>
      </c>
      <c r="Q678" s="14">
        <f t="shared" si="187"/>
        <v>2</v>
      </c>
      <c r="R678" s="14">
        <f t="shared" si="188"/>
        <v>3</v>
      </c>
      <c r="S678" s="14" t="s">
        <v>39</v>
      </c>
      <c r="T678" s="14">
        <f>ROUND(((IF(Q678=1,INDEX(新属性投放!$J$14:$J$34,卡牌属性!R678),INDEX(新属性投放!$J$42:$J$62,卡牌属性!R678)))*INDEX($G$5:$G$42,L678)+IF(Q678=1,INDEX(新属性投放!R$20:R$23,卡牌属性!M678-1),INDEX(新属性投放!R$25:R$28,卡牌属性!M678-1)))/SQRT(INDEX($I$5:$I$42,L678)),2)</f>
        <v>922</v>
      </c>
      <c r="U678" s="29" t="s">
        <v>178</v>
      </c>
      <c r="V678" s="14">
        <f>ROUND((IF(Q678=1,INDEX(新属性投放!$K$14:$K$34,卡牌属性!R678),INDEX(新属性投放!$K$42:$K$62,卡牌属性!R678))+IF(Q678=1,INDEX(新属性投放!S$20:S$23,卡牌属性!M678-1),INDEX(新属性投放!S$25:S$28,卡牌属性!M678-1)))*INDEX($G$5:$G$42,L678),2)</f>
        <v>283.39999999999998</v>
      </c>
      <c r="W678" s="29" t="s">
        <v>179</v>
      </c>
      <c r="X678" s="14">
        <f>ROUND((IF(Q678=1,INDEX(新属性投放!$L$14:$L$34,卡牌属性!R678),INDEX(新属性投放!$L$42:$L$62,卡牌属性!R678))*INDEX($G$5:$G$42,L678)+IF(Q678=1,INDEX(新属性投放!T$20:T$23,卡牌属性!M678-1),INDEX(新属性投放!T$25:T$28,卡牌属性!M678-1)))*SQRT(INDEX($I$5:$I$42,L678)),2)</f>
        <v>3581.5</v>
      </c>
      <c r="Y678" s="29" t="s">
        <v>177</v>
      </c>
      <c r="Z678" s="14">
        <f>ROUND(IF(Q678=1,INDEX(新属性投放!$D$14:$D$34,卡牌属性!R678),INDEX(新属性投放!$D$42:$D$62,卡牌属性!R678))*INDEX($G$5:$G$42,L678)/SQRT(INDEX($I$5:$I$42,L678)),2)</f>
        <v>19.5</v>
      </c>
      <c r="AA678" s="29" t="s">
        <v>178</v>
      </c>
      <c r="AB678" s="14">
        <f>ROUND(IF(Q678=1,INDEX(新属性投放!$E$14:$E$34,卡牌属性!R678),INDEX(新属性投放!$E$42:$E$62,卡牌属性!R678))*INDEX($G$5:$G$42,L678),2)</f>
        <v>9.75</v>
      </c>
      <c r="AC678" s="29" t="s">
        <v>179</v>
      </c>
      <c r="AD678" s="14">
        <f>ROUND(IF(Q678=1,INDEX(新属性投放!$F$14:$F$34,卡牌属性!R678),INDEX(新属性投放!$F$42:$F$62,卡牌属性!R678))*INDEX($G$5:$G$42,L678)*SQRT(INDEX($I$5:$I$42,L678)),2)</f>
        <v>87.1</v>
      </c>
      <c r="AF678" s="14">
        <f t="shared" si="189"/>
        <v>195</v>
      </c>
      <c r="AG678" s="14">
        <f t="shared" si="190"/>
        <v>97</v>
      </c>
      <c r="AH678" s="14">
        <f t="shared" si="191"/>
        <v>871</v>
      </c>
      <c r="AJ678" s="14">
        <f t="shared" si="195"/>
        <v>455</v>
      </c>
      <c r="AK678" s="14">
        <f t="shared" si="196"/>
        <v>227</v>
      </c>
      <c r="AL678" s="14">
        <f t="shared" si="197"/>
        <v>2041</v>
      </c>
    </row>
    <row r="679" spans="11:38" ht="16.5" x14ac:dyDescent="0.2">
      <c r="K679" s="13">
        <v>676</v>
      </c>
      <c r="L679" s="13">
        <f t="shared" si="183"/>
        <v>33</v>
      </c>
      <c r="M679" s="13">
        <f t="shared" si="184"/>
        <v>4</v>
      </c>
      <c r="N679" s="14">
        <f t="shared" si="185"/>
        <v>1102017</v>
      </c>
      <c r="O679" s="14" t="str">
        <f t="shared" si="186"/>
        <v>飞廉4突</v>
      </c>
      <c r="P679" s="29" t="s">
        <v>341</v>
      </c>
      <c r="Q679" s="14">
        <f t="shared" si="187"/>
        <v>2</v>
      </c>
      <c r="R679" s="14">
        <f t="shared" si="188"/>
        <v>4</v>
      </c>
      <c r="S679" s="14" t="s">
        <v>39</v>
      </c>
      <c r="T679" s="14">
        <f>ROUND(((IF(Q679=1,INDEX(新属性投放!$J$14:$J$34,卡牌属性!R679),INDEX(新属性投放!$J$42:$J$62,卡牌属性!R679)))*INDEX($G$5:$G$42,L679)+IF(Q679=1,INDEX(新属性投放!R$20:R$23,卡牌属性!M679-1),INDEX(新属性投放!R$25:R$28,卡牌属性!M679-1)))/SQRT(INDEX($I$5:$I$42,L679)),2)</f>
        <v>1166.4000000000001</v>
      </c>
      <c r="U679" s="29" t="s">
        <v>178</v>
      </c>
      <c r="V679" s="14">
        <f>ROUND((IF(Q679=1,INDEX(新属性投放!$K$14:$K$34,卡牌属性!R679),INDEX(新属性投放!$K$42:$K$62,卡牌属性!R679))+IF(Q679=1,INDEX(新属性投放!S$20:S$23,卡牌属性!M679-1),INDEX(新属性投放!S$25:S$28,卡牌属性!M679-1)))*INDEX($G$5:$G$42,L679),2)</f>
        <v>405.6</v>
      </c>
      <c r="W679" s="29" t="s">
        <v>179</v>
      </c>
      <c r="X679" s="14">
        <f>ROUND((IF(Q679=1,INDEX(新属性投放!$L$14:$L$34,卡牌属性!R679),INDEX(新属性投放!$L$42:$L$62,卡牌属性!R679))*INDEX($G$5:$G$42,L679)+IF(Q679=1,INDEX(新属性投放!T$20:T$23,卡牌属性!M679-1),INDEX(新属性投放!T$25:T$28,卡牌属性!M679-1)))*SQRT(INDEX($I$5:$I$42,L679)),2)</f>
        <v>4897.1000000000004</v>
      </c>
      <c r="Y679" s="29" t="s">
        <v>177</v>
      </c>
      <c r="Z679" s="14">
        <f>ROUND(IF(Q679=1,INDEX(新属性投放!$D$14:$D$34,卡牌属性!R679),INDEX(新属性投放!$D$42:$D$62,卡牌属性!R679))*INDEX($G$5:$G$42,L679)/SQRT(INDEX($I$5:$I$42,L679)),2)</f>
        <v>26</v>
      </c>
      <c r="AA679" s="29" t="s">
        <v>178</v>
      </c>
      <c r="AB679" s="14">
        <f>ROUND(IF(Q679=1,INDEX(新属性投放!$E$14:$E$34,卡牌属性!R679),INDEX(新属性投放!$E$42:$E$62,卡牌属性!R679))*INDEX($G$5:$G$42,L679),2)</f>
        <v>13</v>
      </c>
      <c r="AC679" s="29" t="s">
        <v>179</v>
      </c>
      <c r="AD679" s="14">
        <f>ROUND(IF(Q679=1,INDEX(新属性投放!$F$14:$F$34,卡牌属性!R679),INDEX(新属性投放!$F$42:$F$62,卡牌属性!R679))*INDEX($G$5:$G$42,L679)*SQRT(INDEX($I$5:$I$42,L679)),2)</f>
        <v>117</v>
      </c>
      <c r="AF679" s="14">
        <f t="shared" si="189"/>
        <v>260</v>
      </c>
      <c r="AG679" s="14">
        <f t="shared" si="190"/>
        <v>130</v>
      </c>
      <c r="AH679" s="14">
        <f t="shared" si="191"/>
        <v>1170</v>
      </c>
      <c r="AJ679" s="14">
        <f t="shared" si="195"/>
        <v>715</v>
      </c>
      <c r="AK679" s="14">
        <f t="shared" si="196"/>
        <v>357</v>
      </c>
      <c r="AL679" s="14">
        <f t="shared" si="197"/>
        <v>3211</v>
      </c>
    </row>
    <row r="680" spans="11:38" ht="16.5" x14ac:dyDescent="0.2">
      <c r="K680" s="13">
        <v>677</v>
      </c>
      <c r="L680" s="13">
        <f t="shared" si="183"/>
        <v>33</v>
      </c>
      <c r="M680" s="13">
        <f t="shared" si="184"/>
        <v>4</v>
      </c>
      <c r="N680" s="14">
        <f t="shared" si="185"/>
        <v>1102017</v>
      </c>
      <c r="O680" s="14" t="str">
        <f t="shared" si="186"/>
        <v>飞廉5突</v>
      </c>
      <c r="P680" s="29" t="s">
        <v>341</v>
      </c>
      <c r="Q680" s="14">
        <f t="shared" si="187"/>
        <v>2</v>
      </c>
      <c r="R680" s="14">
        <f t="shared" si="188"/>
        <v>5</v>
      </c>
      <c r="S680" s="14" t="s">
        <v>39</v>
      </c>
      <c r="T680" s="14">
        <f>ROUND(((IF(Q680=1,INDEX(新属性投放!$J$14:$J$34,卡牌属性!R680),INDEX(新属性投放!$J$42:$J$62,卡牌属性!R680)))*INDEX($G$5:$G$42,L680)+IF(Q680=1,INDEX(新属性投放!R$20:R$23,卡牌属性!M680-1),INDEX(新属性投放!R$25:R$28,卡牌属性!M680-1)))/SQRT(INDEX($I$5:$I$42,L680)),2)</f>
        <v>1491.4</v>
      </c>
      <c r="U680" s="29" t="s">
        <v>178</v>
      </c>
      <c r="V680" s="14">
        <f>ROUND((IF(Q680=1,INDEX(新属性投放!$K$14:$K$34,卡牌属性!R680),INDEX(新属性投放!$K$42:$K$62,卡牌属性!R680))+IF(Q680=1,INDEX(新属性投放!S$20:S$23,卡牌属性!M680-1),INDEX(新属性投放!S$25:S$28,卡牌属性!M680-1)))*INDEX($G$5:$G$42,L680),2)</f>
        <v>568.1</v>
      </c>
      <c r="W680" s="29" t="s">
        <v>179</v>
      </c>
      <c r="X680" s="14">
        <f>ROUND((IF(Q680=1,INDEX(新属性投放!$L$14:$L$34,卡牌属性!R680),INDEX(新属性投放!$L$42:$L$62,卡牌属性!R680))*INDEX($G$5:$G$42,L680)+IF(Q680=1,INDEX(新属性投放!T$20:T$23,卡牌属性!M680-1),INDEX(新属性投放!T$25:T$28,卡牌属性!M680-1)))*SQRT(INDEX($I$5:$I$42,L680)),2)</f>
        <v>6652.1</v>
      </c>
      <c r="Y680" s="29" t="s">
        <v>177</v>
      </c>
      <c r="Z680" s="14">
        <f>ROUND(IF(Q680=1,INDEX(新属性投放!$D$14:$D$34,卡牌属性!R680),INDEX(新属性投放!$D$42:$D$62,卡牌属性!R680))*INDEX($G$5:$G$42,L680)/SQRT(INDEX($I$5:$I$42,L680)),2)</f>
        <v>32.5</v>
      </c>
      <c r="AA680" s="29" t="s">
        <v>178</v>
      </c>
      <c r="AB680" s="14">
        <f>ROUND(IF(Q680=1,INDEX(新属性投放!$E$14:$E$34,卡牌属性!R680),INDEX(新属性投放!$E$42:$E$62,卡牌属性!R680))*INDEX($G$5:$G$42,L680),2)</f>
        <v>16.25</v>
      </c>
      <c r="AC680" s="29" t="s">
        <v>179</v>
      </c>
      <c r="AD680" s="14">
        <f>ROUND(IF(Q680=1,INDEX(新属性投放!$F$14:$F$34,卡牌属性!R680),INDEX(新属性投放!$F$42:$F$62,卡牌属性!R680))*INDEX($G$5:$G$42,L680)*SQRT(INDEX($I$5:$I$42,L680)),2)</f>
        <v>145.6</v>
      </c>
      <c r="AF680" s="14">
        <f t="shared" si="189"/>
        <v>325</v>
      </c>
      <c r="AG680" s="14">
        <f t="shared" si="190"/>
        <v>162</v>
      </c>
      <c r="AH680" s="14">
        <f t="shared" si="191"/>
        <v>1456</v>
      </c>
      <c r="AJ680" s="14">
        <f t="shared" si="195"/>
        <v>1040</v>
      </c>
      <c r="AK680" s="14">
        <f t="shared" si="196"/>
        <v>519</v>
      </c>
      <c r="AL680" s="14">
        <f t="shared" si="197"/>
        <v>4667</v>
      </c>
    </row>
    <row r="681" spans="11:38" ht="16.5" x14ac:dyDescent="0.2">
      <c r="K681" s="13">
        <v>678</v>
      </c>
      <c r="L681" s="13">
        <f t="shared" si="183"/>
        <v>33</v>
      </c>
      <c r="M681" s="13">
        <f t="shared" si="184"/>
        <v>4</v>
      </c>
      <c r="N681" s="14">
        <f t="shared" si="185"/>
        <v>1102017</v>
      </c>
      <c r="O681" s="14" t="str">
        <f t="shared" si="186"/>
        <v>飞廉6突</v>
      </c>
      <c r="P681" s="29" t="s">
        <v>341</v>
      </c>
      <c r="Q681" s="14">
        <f t="shared" si="187"/>
        <v>2</v>
      </c>
      <c r="R681" s="14">
        <f t="shared" si="188"/>
        <v>6</v>
      </c>
      <c r="S681" s="14" t="s">
        <v>39</v>
      </c>
      <c r="T681" s="14">
        <f>ROUND(((IF(Q681=1,INDEX(新属性投放!$J$14:$J$34,卡牌属性!R681),INDEX(新属性投放!$J$42:$J$62,卡牌属性!R681)))*INDEX($G$5:$G$42,L681)+IF(Q681=1,INDEX(新属性投放!R$20:R$23,卡牌属性!M681-1),INDEX(新属性投放!R$25:R$28,卡牌属性!M681-1)))/SQRT(INDEX($I$5:$I$42,L681)),2)</f>
        <v>1898.3</v>
      </c>
      <c r="U681" s="29" t="s">
        <v>178</v>
      </c>
      <c r="V681" s="14">
        <f>ROUND((IF(Q681=1,INDEX(新属性投放!$K$14:$K$34,卡牌属性!R681),INDEX(新属性投放!$K$42:$K$62,卡牌属性!R681))+IF(Q681=1,INDEX(新属性投放!S$20:S$23,卡牌属性!M681-1),INDEX(新属性投放!S$25:S$28,卡牌属性!M681-1)))*INDEX($G$5:$G$42,L681),2)</f>
        <v>770.9</v>
      </c>
      <c r="W681" s="29" t="s">
        <v>179</v>
      </c>
      <c r="X681" s="14">
        <f>ROUND((IF(Q681=1,INDEX(新属性投放!$L$14:$L$34,卡牌属性!R681),INDEX(新属性投放!$L$42:$L$62,卡牌属性!R681))*INDEX($G$5:$G$42,L681)+IF(Q681=1,INDEX(新属性投放!T$20:T$23,卡牌属性!M681-1),INDEX(新属性投放!T$25:T$28,卡牌属性!M681-1)))*SQRT(INDEX($I$5:$I$42,L681)),2)</f>
        <v>8845.2000000000007</v>
      </c>
      <c r="Y681" s="29" t="s">
        <v>177</v>
      </c>
      <c r="Z681" s="14">
        <f>ROUND(IF(Q681=1,INDEX(新属性投放!$D$14:$D$34,卡牌属性!R681),INDEX(新属性投放!$D$42:$D$62,卡牌属性!R681))*INDEX($G$5:$G$42,L681)/SQRT(INDEX($I$5:$I$42,L681)),2)</f>
        <v>39</v>
      </c>
      <c r="AA681" s="29" t="s">
        <v>178</v>
      </c>
      <c r="AB681" s="14">
        <f>ROUND(IF(Q681=1,INDEX(新属性投放!$E$14:$E$34,卡牌属性!R681),INDEX(新属性投放!$E$42:$E$62,卡牌属性!R681))*INDEX($G$5:$G$42,L681),2)</f>
        <v>19.5</v>
      </c>
      <c r="AC681" s="29" t="s">
        <v>179</v>
      </c>
      <c r="AD681" s="14">
        <f>ROUND(IF(Q681=1,INDEX(新属性投放!$F$14:$F$34,卡牌属性!R681),INDEX(新属性投放!$F$42:$F$62,卡牌属性!R681))*INDEX($G$5:$G$42,L681)*SQRT(INDEX($I$5:$I$42,L681)),2)</f>
        <v>175.5</v>
      </c>
      <c r="AF681" s="14">
        <f t="shared" si="189"/>
        <v>390</v>
      </c>
      <c r="AG681" s="14">
        <f t="shared" si="190"/>
        <v>195</v>
      </c>
      <c r="AH681" s="14">
        <f t="shared" si="191"/>
        <v>1755</v>
      </c>
      <c r="AJ681" s="14">
        <f t="shared" si="195"/>
        <v>1430</v>
      </c>
      <c r="AK681" s="14">
        <f t="shared" si="196"/>
        <v>714</v>
      </c>
      <c r="AL681" s="14">
        <f t="shared" si="197"/>
        <v>6422</v>
      </c>
    </row>
    <row r="682" spans="11:38" ht="16.5" x14ac:dyDescent="0.2">
      <c r="K682" s="13">
        <v>679</v>
      </c>
      <c r="L682" s="13">
        <f t="shared" si="183"/>
        <v>33</v>
      </c>
      <c r="M682" s="13">
        <f t="shared" si="184"/>
        <v>4</v>
      </c>
      <c r="N682" s="14">
        <f t="shared" si="185"/>
        <v>1102017</v>
      </c>
      <c r="O682" s="14" t="str">
        <f t="shared" si="186"/>
        <v>飞廉7突</v>
      </c>
      <c r="P682" s="29" t="s">
        <v>341</v>
      </c>
      <c r="Q682" s="14">
        <f t="shared" si="187"/>
        <v>2</v>
      </c>
      <c r="R682" s="14">
        <f t="shared" si="188"/>
        <v>7</v>
      </c>
      <c r="S682" s="14" t="s">
        <v>39</v>
      </c>
      <c r="T682" s="14">
        <f>ROUND(((IF(Q682=1,INDEX(新属性投放!$J$14:$J$34,卡牌属性!R682),INDEX(新属性投放!$J$42:$J$62,卡牌属性!R682)))*INDEX($G$5:$G$42,L682)+IF(Q682=1,INDEX(新属性投放!R$20:R$23,卡牌属性!M682-1),INDEX(新属性投放!R$25:R$28,卡牌属性!M682-1)))/SQRT(INDEX($I$5:$I$42,L682)),2)</f>
        <v>2385.8000000000002</v>
      </c>
      <c r="U682" s="29" t="s">
        <v>178</v>
      </c>
      <c r="V682" s="14">
        <f>ROUND((IF(Q682=1,INDEX(新属性投放!$K$14:$K$34,卡牌属性!R682),INDEX(新属性投放!$K$42:$K$62,卡牌属性!R682))+IF(Q682=1,INDEX(新属性投放!S$20:S$23,卡牌属性!M682-1),INDEX(新属性投放!S$25:S$28,卡牌属性!M682-1)))*INDEX($G$5:$G$42,L682),2)</f>
        <v>1015.3</v>
      </c>
      <c r="W682" s="29" t="s">
        <v>179</v>
      </c>
      <c r="X682" s="14">
        <f>ROUND((IF(Q682=1,INDEX(新属性投放!$L$14:$L$34,卡牌属性!R682),INDEX(新属性投放!$L$42:$L$62,卡牌属性!R682))*INDEX($G$5:$G$42,L682)+IF(Q682=1,INDEX(新属性投放!T$20:T$23,卡牌属性!M682-1),INDEX(新属性投放!T$25:T$28,卡牌属性!M682-1)))*SQRT(INDEX($I$5:$I$42,L682)),2)</f>
        <v>11477.7</v>
      </c>
      <c r="Y682" s="29" t="s">
        <v>177</v>
      </c>
      <c r="Z682" s="14">
        <f>ROUND(IF(Q682=1,INDEX(新属性投放!$D$14:$D$34,卡牌属性!R682),INDEX(新属性投放!$D$42:$D$62,卡牌属性!R682))*INDEX($G$5:$G$42,L682)/SQRT(INDEX($I$5:$I$42,L682)),2)</f>
        <v>45.5</v>
      </c>
      <c r="AA682" s="29" t="s">
        <v>178</v>
      </c>
      <c r="AB682" s="14">
        <f>ROUND(IF(Q682=1,INDEX(新属性投放!$E$14:$E$34,卡牌属性!R682),INDEX(新属性投放!$E$42:$E$62,卡牌属性!R682))*INDEX($G$5:$G$42,L682),2)</f>
        <v>22.75</v>
      </c>
      <c r="AC682" s="29" t="s">
        <v>179</v>
      </c>
      <c r="AD682" s="14">
        <f>ROUND(IF(Q682=1,INDEX(新属性投放!$F$14:$F$34,卡牌属性!R682),INDEX(新属性投放!$F$42:$F$62,卡牌属性!R682))*INDEX($G$5:$G$42,L682)*SQRT(INDEX($I$5:$I$42,L682)),2)</f>
        <v>204.1</v>
      </c>
      <c r="AF682" s="14">
        <f t="shared" si="189"/>
        <v>455</v>
      </c>
      <c r="AG682" s="14">
        <f t="shared" si="190"/>
        <v>227</v>
      </c>
      <c r="AH682" s="14">
        <f t="shared" si="191"/>
        <v>2041</v>
      </c>
      <c r="AJ682" s="14">
        <f t="shared" si="195"/>
        <v>1885</v>
      </c>
      <c r="AK682" s="14">
        <f t="shared" si="196"/>
        <v>941</v>
      </c>
      <c r="AL682" s="14">
        <f t="shared" si="197"/>
        <v>8463</v>
      </c>
    </row>
    <row r="683" spans="11:38" ht="16.5" x14ac:dyDescent="0.2">
      <c r="K683" s="13">
        <v>680</v>
      </c>
      <c r="L683" s="13">
        <f t="shared" si="183"/>
        <v>33</v>
      </c>
      <c r="M683" s="13">
        <f t="shared" si="184"/>
        <v>4</v>
      </c>
      <c r="N683" s="14">
        <f t="shared" si="185"/>
        <v>1102017</v>
      </c>
      <c r="O683" s="14" t="str">
        <f t="shared" si="186"/>
        <v>飞廉8突</v>
      </c>
      <c r="P683" s="29" t="s">
        <v>341</v>
      </c>
      <c r="Q683" s="14">
        <f t="shared" si="187"/>
        <v>2</v>
      </c>
      <c r="R683" s="14">
        <f t="shared" si="188"/>
        <v>8</v>
      </c>
      <c r="S683" s="14" t="s">
        <v>39</v>
      </c>
      <c r="T683" s="14">
        <f>ROUND(((IF(Q683=1,INDEX(新属性投放!$J$14:$J$34,卡牌属性!R683),INDEX(新属性投放!$J$42:$J$62,卡牌属性!R683)))*INDEX($G$5:$G$42,L683)+IF(Q683=1,INDEX(新属性投放!R$20:R$23,卡牌属性!M683-1),INDEX(新属性投放!R$25:R$28,卡牌属性!M683-1)))/SQRT(INDEX($I$5:$I$42,L683)),2)</f>
        <v>2955.2</v>
      </c>
      <c r="U683" s="29" t="s">
        <v>178</v>
      </c>
      <c r="V683" s="14">
        <f>ROUND((IF(Q683=1,INDEX(新属性投放!$K$14:$K$34,卡牌属性!R683),INDEX(新属性投放!$K$42:$K$62,卡牌属性!R683))+IF(Q683=1,INDEX(新属性投放!S$20:S$23,卡牌属性!M683-1),INDEX(新属性投放!S$25:S$28,卡牌属性!M683-1)))*INDEX($G$5:$G$42,L683),2)</f>
        <v>1300</v>
      </c>
      <c r="W683" s="29" t="s">
        <v>179</v>
      </c>
      <c r="X683" s="14">
        <f>ROUND((IF(Q683=1,INDEX(新属性投放!$L$14:$L$34,卡牌属性!R683),INDEX(新属性投放!$L$42:$L$62,卡牌属性!R683))*INDEX($G$5:$G$42,L683)+IF(Q683=1,INDEX(新属性投放!T$20:T$23,卡牌属性!M683-1),INDEX(新属性投放!T$25:T$28,卡牌属性!M683-1)))*SQRT(INDEX($I$5:$I$42,L683)),2)</f>
        <v>14548.3</v>
      </c>
      <c r="Y683" s="29" t="s">
        <v>177</v>
      </c>
      <c r="Z683" s="14">
        <f>ROUND(IF(Q683=1,INDEX(新属性投放!$D$14:$D$34,卡牌属性!R683),INDEX(新属性投放!$D$42:$D$62,卡牌属性!R683))*INDEX($G$5:$G$42,L683)/SQRT(INDEX($I$5:$I$42,L683)),2)</f>
        <v>58.5</v>
      </c>
      <c r="AA683" s="29" t="s">
        <v>178</v>
      </c>
      <c r="AB683" s="14">
        <f>ROUND(IF(Q683=1,INDEX(新属性投放!$E$14:$E$34,卡牌属性!R683),INDEX(新属性投放!$E$42:$E$62,卡牌属性!R683))*INDEX($G$5:$G$42,L683),2)</f>
        <v>29.25</v>
      </c>
      <c r="AC683" s="29" t="s">
        <v>179</v>
      </c>
      <c r="AD683" s="14">
        <f>ROUND(IF(Q683=1,INDEX(新属性投放!$F$14:$F$34,卡牌属性!R683),INDEX(新属性投放!$F$42:$F$62,卡牌属性!R683))*INDEX($G$5:$G$42,L683)*SQRT(INDEX($I$5:$I$42,L683)),2)</f>
        <v>262.60000000000002</v>
      </c>
      <c r="AF683" s="14">
        <f t="shared" si="189"/>
        <v>585</v>
      </c>
      <c r="AG683" s="14">
        <f t="shared" si="190"/>
        <v>292</v>
      </c>
      <c r="AH683" s="14">
        <f t="shared" si="191"/>
        <v>2626</v>
      </c>
      <c r="AJ683" s="14">
        <f t="shared" si="195"/>
        <v>2470</v>
      </c>
      <c r="AK683" s="14">
        <f t="shared" si="196"/>
        <v>1233</v>
      </c>
      <c r="AL683" s="14">
        <f t="shared" si="197"/>
        <v>11089</v>
      </c>
    </row>
    <row r="684" spans="11:38" ht="16.5" x14ac:dyDescent="0.2">
      <c r="K684" s="13">
        <v>681</v>
      </c>
      <c r="L684" s="13">
        <f t="shared" si="183"/>
        <v>33</v>
      </c>
      <c r="M684" s="13">
        <f t="shared" si="184"/>
        <v>4</v>
      </c>
      <c r="N684" s="14">
        <f t="shared" si="185"/>
        <v>1102017</v>
      </c>
      <c r="O684" s="14" t="str">
        <f t="shared" si="186"/>
        <v>飞廉9突</v>
      </c>
      <c r="P684" s="29" t="s">
        <v>341</v>
      </c>
      <c r="Q684" s="14">
        <f t="shared" si="187"/>
        <v>2</v>
      </c>
      <c r="R684" s="14">
        <f t="shared" si="188"/>
        <v>9</v>
      </c>
      <c r="S684" s="14" t="s">
        <v>39</v>
      </c>
      <c r="T684" s="14">
        <f>ROUND(((IF(Q684=1,INDEX(新属性投放!$J$14:$J$34,卡牌属性!R684),INDEX(新属性投放!$J$42:$J$62,卡牌属性!R684)))*INDEX($G$5:$G$42,L684)+IF(Q684=1,INDEX(新属性投放!R$20:R$23,卡牌属性!M684-1),INDEX(新属性投放!R$25:R$28,卡牌属性!M684-1)))/SQRT(INDEX($I$5:$I$42,L684)),2)</f>
        <v>3687.1</v>
      </c>
      <c r="U684" s="29" t="s">
        <v>178</v>
      </c>
      <c r="V684" s="14">
        <f>ROUND((IF(Q684=1,INDEX(新属性投放!$K$14:$K$34,卡牌属性!R684),INDEX(新属性投放!$K$42:$K$62,卡牌属性!R684))+IF(Q684=1,INDEX(新属性投放!S$20:S$23,卡牌属性!M684-1),INDEX(新属性投放!S$25:S$28,卡牌属性!M684-1)))*INDEX($G$5:$G$42,L684),2)</f>
        <v>1665.3</v>
      </c>
      <c r="W684" s="29" t="s">
        <v>179</v>
      </c>
      <c r="X684" s="14">
        <f>ROUND((IF(Q684=1,INDEX(新属性投放!$L$14:$L$34,卡牌属性!R684),INDEX(新属性投放!$L$42:$L$62,卡牌属性!R684))*INDEX($G$5:$G$42,L684)+IF(Q684=1,INDEX(新属性投放!T$20:T$23,卡牌属性!M684-1),INDEX(新属性投放!T$25:T$28,卡牌属性!M684-1)))*SQRT(INDEX($I$5:$I$42,L684)),2)</f>
        <v>18496.400000000001</v>
      </c>
      <c r="Y684" s="29" t="s">
        <v>177</v>
      </c>
      <c r="Z684" s="14">
        <f>ROUND(IF(Q684=1,INDEX(新属性投放!$D$14:$D$34,卡牌属性!R684),INDEX(新属性投放!$D$42:$D$62,卡牌属性!R684))*INDEX($G$5:$G$42,L684)/SQRT(INDEX($I$5:$I$42,L684)),2)</f>
        <v>78.069999999999993</v>
      </c>
      <c r="AA684" s="29" t="s">
        <v>178</v>
      </c>
      <c r="AB684" s="14">
        <f>ROUND(IF(Q684=1,INDEX(新属性投放!$E$14:$E$34,卡牌属性!R684),INDEX(新属性投放!$E$42:$E$62,卡牌属性!R684))*INDEX($G$5:$G$42,L684),2)</f>
        <v>39.03</v>
      </c>
      <c r="AC684" s="29" t="s">
        <v>179</v>
      </c>
      <c r="AD684" s="14">
        <f>ROUND(IF(Q684=1,INDEX(新属性投放!$F$14:$F$34,卡牌属性!R684),INDEX(新属性投放!$F$42:$F$62,卡牌属性!R684))*INDEX($G$5:$G$42,L684)*SQRT(INDEX($I$5:$I$42,L684)),2)</f>
        <v>351</v>
      </c>
      <c r="AF684" s="14">
        <f t="shared" si="189"/>
        <v>780</v>
      </c>
      <c r="AG684" s="14">
        <f t="shared" si="190"/>
        <v>390</v>
      </c>
      <c r="AH684" s="14">
        <f t="shared" si="191"/>
        <v>3510</v>
      </c>
      <c r="AJ684" s="14">
        <f t="shared" si="195"/>
        <v>3250</v>
      </c>
      <c r="AK684" s="14">
        <f t="shared" si="196"/>
        <v>1623</v>
      </c>
      <c r="AL684" s="14">
        <f t="shared" si="197"/>
        <v>14599</v>
      </c>
    </row>
    <row r="685" spans="11:38" ht="16.5" x14ac:dyDescent="0.2">
      <c r="K685" s="13">
        <v>682</v>
      </c>
      <c r="L685" s="13">
        <f t="shared" si="183"/>
        <v>33</v>
      </c>
      <c r="M685" s="13">
        <f t="shared" si="184"/>
        <v>4</v>
      </c>
      <c r="N685" s="14">
        <f t="shared" si="185"/>
        <v>1102017</v>
      </c>
      <c r="O685" s="14" t="str">
        <f t="shared" si="186"/>
        <v>飞廉10突</v>
      </c>
      <c r="P685" s="29" t="s">
        <v>341</v>
      </c>
      <c r="Q685" s="14">
        <f t="shared" si="187"/>
        <v>2</v>
      </c>
      <c r="R685" s="14">
        <f t="shared" si="188"/>
        <v>10</v>
      </c>
      <c r="S685" s="14" t="s">
        <v>39</v>
      </c>
      <c r="T685" s="14">
        <f>ROUND(((IF(Q685=1,INDEX(新属性投放!$J$14:$J$34,卡牌属性!R685),INDEX(新属性投放!$J$42:$J$62,卡牌属性!R685)))*INDEX($G$5:$G$42,L685)+IF(Q685=1,INDEX(新属性投放!R$20:R$23,卡牌属性!M685-1),INDEX(新属性投放!R$25:R$28,卡牌属性!M685-1)))/SQRT(INDEX($I$5:$I$42,L685)),2)</f>
        <v>4662.75</v>
      </c>
      <c r="U685" s="29" t="s">
        <v>178</v>
      </c>
      <c r="V685" s="14">
        <f>ROUND((IF(Q685=1,INDEX(新属性投放!$K$14:$K$34,卡牌属性!R685),INDEX(新属性投放!$K$42:$K$62,卡牌属性!R685))+IF(Q685=1,INDEX(新属性投放!S$20:S$23,卡牌属性!M685-1),INDEX(新属性投放!S$25:S$28,卡牌属性!M685-1)))*INDEX($G$5:$G$42,L685),2)</f>
        <v>2153.13</v>
      </c>
      <c r="W685" s="29" t="s">
        <v>179</v>
      </c>
      <c r="X685" s="14">
        <f>ROUND((IF(Q685=1,INDEX(新属性投放!$L$14:$L$34,卡牌属性!R685),INDEX(新属性投放!$L$42:$L$62,卡牌属性!R685))*INDEX($G$5:$G$42,L685)+IF(Q685=1,INDEX(新属性投放!T$20:T$23,卡牌属性!M685-1),INDEX(新属性投放!T$25:T$28,卡牌属性!M685-1)))*SQRT(INDEX($I$5:$I$42,L685)),2)</f>
        <v>23761.4</v>
      </c>
      <c r="Y685" s="29" t="s">
        <v>177</v>
      </c>
      <c r="Z685" s="14">
        <f>ROUND(IF(Q685=1,INDEX(新属性投放!$D$14:$D$34,卡牌属性!R685),INDEX(新属性投放!$D$42:$D$62,卡牌属性!R685))*INDEX($G$5:$G$42,L685)/SQRT(INDEX($I$5:$I$42,L685)),2)</f>
        <v>102.05</v>
      </c>
      <c r="AA685" s="29" t="s">
        <v>178</v>
      </c>
      <c r="AB685" s="14">
        <f>ROUND(IF(Q685=1,INDEX(新属性投放!$E$14:$E$34,卡牌属性!R685),INDEX(新属性投放!$E$42:$E$62,卡牌属性!R685))*INDEX($G$5:$G$42,L685),2)</f>
        <v>51.03</v>
      </c>
      <c r="AC685" s="29" t="s">
        <v>179</v>
      </c>
      <c r="AD685" s="14">
        <f>ROUND(IF(Q685=1,INDEX(新属性投放!$F$14:$F$34,卡牌属性!R685),INDEX(新属性投放!$F$42:$F$62,卡牌属性!R685))*INDEX($G$5:$G$42,L685)*SQRT(INDEX($I$5:$I$42,L685)),2)</f>
        <v>458.9</v>
      </c>
      <c r="AF685" s="14">
        <f t="shared" si="189"/>
        <v>1020</v>
      </c>
      <c r="AG685" s="14">
        <f t="shared" si="190"/>
        <v>510</v>
      </c>
      <c r="AH685" s="14">
        <f t="shared" si="191"/>
        <v>4589</v>
      </c>
      <c r="AJ685" s="14">
        <f t="shared" si="195"/>
        <v>4270</v>
      </c>
      <c r="AK685" s="14">
        <f t="shared" si="196"/>
        <v>2133</v>
      </c>
      <c r="AL685" s="14">
        <f t="shared" si="197"/>
        <v>19188</v>
      </c>
    </row>
    <row r="686" spans="11:38" ht="16.5" x14ac:dyDescent="0.2">
      <c r="K686" s="13">
        <v>683</v>
      </c>
      <c r="L686" s="13">
        <f t="shared" si="183"/>
        <v>33</v>
      </c>
      <c r="M686" s="13">
        <f t="shared" si="184"/>
        <v>4</v>
      </c>
      <c r="N686" s="14">
        <f t="shared" si="185"/>
        <v>1102017</v>
      </c>
      <c r="O686" s="14" t="str">
        <f t="shared" si="186"/>
        <v>飞廉11突</v>
      </c>
      <c r="P686" s="29" t="s">
        <v>341</v>
      </c>
      <c r="Q686" s="14">
        <f t="shared" si="187"/>
        <v>2</v>
      </c>
      <c r="R686" s="14">
        <f t="shared" si="188"/>
        <v>11</v>
      </c>
      <c r="S686" s="14" t="s">
        <v>39</v>
      </c>
      <c r="T686" s="14">
        <f>ROUND(((IF(Q686=1,INDEX(新属性投放!$J$14:$J$34,卡牌属性!R686),INDEX(新属性投放!$J$42:$J$62,卡牌属性!R686)))*INDEX($G$5:$G$42,L686)+IF(Q686=1,INDEX(新属性投放!R$20:R$23,卡牌属性!M686-1),INDEX(新属性投放!R$25:R$28,卡牌属性!M686-1)))/SQRT(INDEX($I$5:$I$42,L686)),2)</f>
        <v>5938.05</v>
      </c>
      <c r="U686" s="29" t="s">
        <v>178</v>
      </c>
      <c r="V686" s="14">
        <f>ROUND((IF(Q686=1,INDEX(新属性投放!$K$14:$K$34,卡牌属性!R686),INDEX(新属性投放!$K$42:$K$62,卡牌属性!R686))+IF(Q686=1,INDEX(新属性投放!S$20:S$23,卡牌属性!M686-1),INDEX(新属性投放!S$25:S$28,卡牌属性!M686-1)))*INDEX($G$5:$G$42,L686),2)</f>
        <v>2790.78</v>
      </c>
      <c r="W686" s="29" t="s">
        <v>179</v>
      </c>
      <c r="X686" s="14">
        <f>ROUND((IF(Q686=1,INDEX(新属性投放!$L$14:$L$34,卡牌属性!R686),INDEX(新属性投放!$L$42:$L$62,卡牌属性!R686))*INDEX($G$5:$G$42,L686)+IF(Q686=1,INDEX(新属性投放!T$20:T$23,卡牌属性!M686-1),INDEX(新属性投放!T$25:T$28,卡牌属性!M686-1)))*SQRT(INDEX($I$5:$I$42,L686)),2)</f>
        <v>30643.599999999999</v>
      </c>
      <c r="Y686" s="29" t="s">
        <v>177</v>
      </c>
      <c r="Z686" s="14">
        <f>ROUND(IF(Q686=1,INDEX(新属性投放!$D$14:$D$34,卡牌属性!R686),INDEX(新属性投放!$D$42:$D$62,卡牌属性!R686))*INDEX($G$5:$G$42,L686)/SQRT(INDEX($I$5:$I$42,L686)),2)</f>
        <v>134.34</v>
      </c>
      <c r="AA686" s="29" t="s">
        <v>178</v>
      </c>
      <c r="AB686" s="14">
        <f>ROUND(IF(Q686=1,INDEX(新属性投放!$E$14:$E$34,卡牌属性!R686),INDEX(新属性投放!$E$42:$E$62,卡牌属性!R686))*INDEX($G$5:$G$42,L686),2)</f>
        <v>67.17</v>
      </c>
      <c r="AC686" s="29" t="s">
        <v>179</v>
      </c>
      <c r="AD686" s="14">
        <f>ROUND(IF(Q686=1,INDEX(新属性投放!$F$14:$F$34,卡牌属性!R686),INDEX(新属性投放!$F$42:$F$62,卡牌属性!R686))*INDEX($G$5:$G$42,L686)*SQRT(INDEX($I$5:$I$42,L686)),2)</f>
        <v>604.5</v>
      </c>
      <c r="AF686" s="14">
        <f t="shared" si="189"/>
        <v>1343</v>
      </c>
      <c r="AG686" s="14">
        <f t="shared" si="190"/>
        <v>671</v>
      </c>
      <c r="AH686" s="14">
        <f t="shared" si="191"/>
        <v>6045</v>
      </c>
      <c r="AJ686" s="14">
        <f t="shared" si="195"/>
        <v>5613</v>
      </c>
      <c r="AK686" s="14">
        <f t="shared" si="196"/>
        <v>2804</v>
      </c>
      <c r="AL686" s="14">
        <f t="shared" si="197"/>
        <v>25233</v>
      </c>
    </row>
    <row r="687" spans="11:38" ht="16.5" x14ac:dyDescent="0.2">
      <c r="K687" s="13">
        <v>684</v>
      </c>
      <c r="L687" s="13">
        <f t="shared" si="183"/>
        <v>33</v>
      </c>
      <c r="M687" s="13">
        <f t="shared" si="184"/>
        <v>4</v>
      </c>
      <c r="N687" s="14">
        <f t="shared" si="185"/>
        <v>1102017</v>
      </c>
      <c r="O687" s="14" t="str">
        <f t="shared" si="186"/>
        <v>飞廉12突</v>
      </c>
      <c r="P687" s="29" t="s">
        <v>341</v>
      </c>
      <c r="Q687" s="14">
        <f t="shared" si="187"/>
        <v>2</v>
      </c>
      <c r="R687" s="14">
        <f t="shared" si="188"/>
        <v>12</v>
      </c>
      <c r="S687" s="14" t="s">
        <v>39</v>
      </c>
      <c r="T687" s="14">
        <f>ROUND(((IF(Q687=1,INDEX(新属性投放!$J$14:$J$34,卡牌属性!R687),INDEX(新属性投放!$J$42:$J$62,卡牌属性!R687)))*INDEX($G$5:$G$42,L687)+IF(Q687=1,INDEX(新属性投放!R$20:R$23,卡牌属性!M687-1),INDEX(新属性投放!R$25:R$28,卡牌属性!M687-1)))/SQRT(INDEX($I$5:$I$42,L687)),2)</f>
        <v>7616.87</v>
      </c>
      <c r="U687" s="29" t="s">
        <v>178</v>
      </c>
      <c r="V687" s="14">
        <f>ROUND((IF(Q687=1,INDEX(新属性投放!$K$14:$K$34,卡牌属性!R687),INDEX(新属性投放!$K$42:$K$62,卡牌属性!R687))+IF(Q687=1,INDEX(新属性投放!S$20:S$23,卡牌属性!M687-1),INDEX(新属性投放!S$25:S$28,卡牌属性!M687-1)))*INDEX($G$5:$G$42,L687),2)</f>
        <v>3630.19</v>
      </c>
      <c r="W687" s="29" t="s">
        <v>179</v>
      </c>
      <c r="X687" s="14">
        <f>ROUND((IF(Q687=1,INDEX(新属性投放!$L$14:$L$34,卡牌属性!R687),INDEX(新属性投放!$L$42:$L$62,卡牌属性!R687))*INDEX($G$5:$G$42,L687)+IF(Q687=1,INDEX(新属性投放!T$20:T$23,卡牌属性!M687-1),INDEX(新属性投放!T$25:T$28,卡牌属性!M687-1)))*SQRT(INDEX($I$5:$I$42,L687)),2)</f>
        <v>39707.199999999997</v>
      </c>
      <c r="Y687" s="29" t="s">
        <v>177</v>
      </c>
      <c r="Z687" s="14">
        <f>ROUND(IF(Q687=1,INDEX(新属性投放!$D$14:$D$34,卡牌属性!R687),INDEX(新属性投放!$D$42:$D$62,卡牌属性!R687))*INDEX($G$5:$G$42,L687)/SQRT(INDEX($I$5:$I$42,L687)),2)</f>
        <v>176.31</v>
      </c>
      <c r="AA687" s="29" t="s">
        <v>178</v>
      </c>
      <c r="AB687" s="14">
        <f>ROUND(IF(Q687=1,INDEX(新属性投放!$E$14:$E$34,卡牌属性!R687),INDEX(新属性投放!$E$42:$E$62,卡牌属性!R687))*INDEX($G$5:$G$42,L687),2)</f>
        <v>88.15</v>
      </c>
      <c r="AC687" s="29" t="s">
        <v>179</v>
      </c>
      <c r="AD687" s="14">
        <f>ROUND(IF(Q687=1,INDEX(新属性投放!$F$14:$F$34,卡牌属性!R687),INDEX(新属性投放!$F$42:$F$62,卡牌属性!R687))*INDEX($G$5:$G$42,L687)*SQRT(INDEX($I$5:$I$42,L687)),2)</f>
        <v>793</v>
      </c>
      <c r="AF687" s="14">
        <f t="shared" si="189"/>
        <v>1763</v>
      </c>
      <c r="AG687" s="14">
        <f t="shared" si="190"/>
        <v>881</v>
      </c>
      <c r="AH687" s="14">
        <f t="shared" si="191"/>
        <v>7930</v>
      </c>
      <c r="AJ687" s="14">
        <f t="shared" si="195"/>
        <v>7376</v>
      </c>
      <c r="AK687" s="14">
        <f t="shared" si="196"/>
        <v>3685</v>
      </c>
      <c r="AL687" s="14">
        <f t="shared" si="197"/>
        <v>33163</v>
      </c>
    </row>
    <row r="688" spans="11:38" ht="16.5" x14ac:dyDescent="0.2">
      <c r="K688" s="13">
        <v>685</v>
      </c>
      <c r="L688" s="13">
        <f t="shared" si="183"/>
        <v>33</v>
      </c>
      <c r="M688" s="13">
        <f t="shared" si="184"/>
        <v>4</v>
      </c>
      <c r="N688" s="14">
        <f t="shared" si="185"/>
        <v>1102017</v>
      </c>
      <c r="O688" s="14" t="str">
        <f t="shared" si="186"/>
        <v>飞廉13突</v>
      </c>
      <c r="P688" s="29" t="s">
        <v>341</v>
      </c>
      <c r="Q688" s="14">
        <f t="shared" si="187"/>
        <v>2</v>
      </c>
      <c r="R688" s="14">
        <f t="shared" si="188"/>
        <v>13</v>
      </c>
      <c r="S688" s="14" t="s">
        <v>39</v>
      </c>
      <c r="T688" s="14">
        <f>ROUND(((IF(Q688=1,INDEX(新属性投放!$J$14:$J$34,卡牌属性!R688),INDEX(新属性投放!$J$42:$J$62,卡牌属性!R688)))*INDEX($G$5:$G$42,L688)+IF(Q688=1,INDEX(新属性投放!R$20:R$23,卡牌属性!M688-1),INDEX(新属性投放!R$25:R$28,卡牌属性!M688-1)))/SQRT(INDEX($I$5:$I$42,L688)),2)</f>
        <v>9820.6299999999992</v>
      </c>
      <c r="U688" s="29" t="s">
        <v>178</v>
      </c>
      <c r="V688" s="14">
        <f>ROUND((IF(Q688=1,INDEX(新属性投放!$K$14:$K$34,卡牌属性!R688),INDEX(新属性投放!$K$42:$K$62,卡牌属性!R688))+IF(Q688=1,INDEX(新属性投放!S$20:S$23,卡牌属性!M688-1),INDEX(新属性投放!S$25:S$28,卡牌属性!M688-1)))*INDEX($G$5:$G$42,L688),2)</f>
        <v>4732.72</v>
      </c>
      <c r="W688" s="29" t="s">
        <v>179</v>
      </c>
      <c r="X688" s="14">
        <f>ROUND((IF(Q688=1,INDEX(新属性投放!$L$14:$L$34,卡牌属性!R688),INDEX(新属性投放!$L$42:$L$62,卡牌属性!R688))*INDEX($G$5:$G$42,L688)+IF(Q688=1,INDEX(新属性投放!T$20:T$23,卡牌属性!M688-1),INDEX(新属性投放!T$25:T$28,卡牌属性!M688-1)))*SQRT(INDEX($I$5:$I$42,L688)),2)</f>
        <v>51603.5</v>
      </c>
      <c r="Y688" s="29" t="s">
        <v>177</v>
      </c>
      <c r="Z688" s="14">
        <f>ROUND(IF(Q688=1,INDEX(新属性投放!$D$14:$D$34,卡牌属性!R688),INDEX(新属性投放!$D$42:$D$62,卡牌属性!R688))*INDEX($G$5:$G$42,L688)/SQRT(INDEX($I$5:$I$42,L688)),2)</f>
        <v>231.4</v>
      </c>
      <c r="AA688" s="29" t="s">
        <v>178</v>
      </c>
      <c r="AB688" s="14">
        <f>ROUND(IF(Q688=1,INDEX(新属性投放!$E$14:$E$34,卡牌属性!R688),INDEX(新属性投放!$E$42:$E$62,卡牌属性!R688))*INDEX($G$5:$G$42,L688),2)</f>
        <v>115.7</v>
      </c>
      <c r="AC688" s="29" t="s">
        <v>179</v>
      </c>
      <c r="AD688" s="14">
        <f>ROUND(IF(Q688=1,INDEX(新属性投放!$F$14:$F$34,卡牌属性!R688),INDEX(新属性投放!$F$42:$F$62,卡牌属性!R688))*INDEX($G$5:$G$42,L688)*SQRT(INDEX($I$5:$I$42,L688)),2)</f>
        <v>1041.3</v>
      </c>
      <c r="AF688" s="14">
        <f t="shared" si="189"/>
        <v>2314</v>
      </c>
      <c r="AG688" s="14">
        <f t="shared" si="190"/>
        <v>1157</v>
      </c>
      <c r="AH688" s="14">
        <f t="shared" si="191"/>
        <v>10413</v>
      </c>
      <c r="AJ688" s="14">
        <f t="shared" si="195"/>
        <v>9690</v>
      </c>
      <c r="AK688" s="14">
        <f t="shared" si="196"/>
        <v>4842</v>
      </c>
      <c r="AL688" s="14">
        <f t="shared" si="197"/>
        <v>43576</v>
      </c>
    </row>
    <row r="689" spans="11:38" ht="16.5" x14ac:dyDescent="0.2">
      <c r="K689" s="13">
        <v>686</v>
      </c>
      <c r="L689" s="13">
        <f t="shared" si="183"/>
        <v>33</v>
      </c>
      <c r="M689" s="13">
        <f t="shared" si="184"/>
        <v>4</v>
      </c>
      <c r="N689" s="14">
        <f t="shared" si="185"/>
        <v>1102017</v>
      </c>
      <c r="O689" s="14" t="str">
        <f t="shared" si="186"/>
        <v>飞廉14突</v>
      </c>
      <c r="P689" s="29" t="s">
        <v>341</v>
      </c>
      <c r="Q689" s="14">
        <f t="shared" si="187"/>
        <v>2</v>
      </c>
      <c r="R689" s="14">
        <f t="shared" si="188"/>
        <v>14</v>
      </c>
      <c r="S689" s="14" t="s">
        <v>39</v>
      </c>
      <c r="T689" s="14">
        <f>ROUND(((IF(Q689=1,INDEX(新属性投放!$J$14:$J$34,卡牌属性!R689),INDEX(新属性投放!$J$42:$J$62,卡牌属性!R689)))*INDEX($G$5:$G$42,L689)+IF(Q689=1,INDEX(新属性投放!R$20:R$23,卡牌属性!M689-1),INDEX(新属性投放!R$25:R$28,卡牌属性!M689-1)))/SQRT(INDEX($I$5:$I$42,L689)),2)</f>
        <v>12713.13</v>
      </c>
      <c r="U689" s="29" t="s">
        <v>178</v>
      </c>
      <c r="V689" s="14">
        <f>ROUND((IF(Q689=1,INDEX(新属性投放!$K$14:$K$34,卡牌属性!R689),INDEX(新属性投放!$K$42:$K$62,卡牌属性!R689))+IF(Q689=1,INDEX(新属性投放!S$20:S$23,卡牌属性!M689-1),INDEX(新属性投放!S$25:S$28,卡牌属性!M689-1)))*INDEX($G$5:$G$42,L689),2)</f>
        <v>6179.62</v>
      </c>
      <c r="W689" s="29" t="s">
        <v>179</v>
      </c>
      <c r="X689" s="14">
        <f>ROUND((IF(Q689=1,INDEX(新属性投放!$L$14:$L$34,卡牌属性!R689),INDEX(新属性投放!$L$42:$L$62,卡牌属性!R689))*INDEX($G$5:$G$42,L689)+IF(Q689=1,INDEX(新属性投放!T$20:T$23,卡牌属性!M689-1),INDEX(新属性投放!T$25:T$28,卡牌属性!M689-1)))*SQRT(INDEX($I$5:$I$42,L689)),2)</f>
        <v>67223</v>
      </c>
      <c r="Y689" s="29" t="s">
        <v>177</v>
      </c>
      <c r="Z689" s="14">
        <f>ROUND(IF(Q689=1,INDEX(新属性投放!$D$14:$D$34,卡牌属性!R689),INDEX(新属性投放!$D$42:$D$62,卡牌属性!R689))*INDEX($G$5:$G$42,L689)/SQRT(INDEX($I$5:$I$42,L689)),2)</f>
        <v>303.72000000000003</v>
      </c>
      <c r="AA689" s="29" t="s">
        <v>178</v>
      </c>
      <c r="AB689" s="14">
        <f>ROUND(IF(Q689=1,INDEX(新属性投放!$E$14:$E$34,卡牌属性!R689),INDEX(新属性投放!$E$42:$E$62,卡牌属性!R689))*INDEX($G$5:$G$42,L689),2)</f>
        <v>151.86000000000001</v>
      </c>
      <c r="AC689" s="29" t="s">
        <v>179</v>
      </c>
      <c r="AD689" s="14">
        <f>ROUND(IF(Q689=1,INDEX(新属性投放!$F$14:$F$34,卡牌属性!R689),INDEX(新属性投放!$F$42:$F$62,卡牌属性!R689))*INDEX($G$5:$G$42,L689)*SQRT(INDEX($I$5:$I$42,L689)),2)</f>
        <v>1366.3</v>
      </c>
      <c r="AF689" s="14">
        <f t="shared" si="189"/>
        <v>3037</v>
      </c>
      <c r="AG689" s="14">
        <f t="shared" si="190"/>
        <v>1518</v>
      </c>
      <c r="AH689" s="14">
        <f t="shared" si="191"/>
        <v>13663</v>
      </c>
      <c r="AJ689" s="14">
        <f t="shared" si="195"/>
        <v>12727</v>
      </c>
      <c r="AK689" s="14">
        <f t="shared" si="196"/>
        <v>6360</v>
      </c>
      <c r="AL689" s="14">
        <f t="shared" si="197"/>
        <v>57239</v>
      </c>
    </row>
    <row r="690" spans="11:38" ht="16.5" x14ac:dyDescent="0.2">
      <c r="K690" s="13">
        <v>687</v>
      </c>
      <c r="L690" s="13">
        <f t="shared" si="183"/>
        <v>33</v>
      </c>
      <c r="M690" s="13">
        <f t="shared" si="184"/>
        <v>4</v>
      </c>
      <c r="N690" s="14">
        <f t="shared" si="185"/>
        <v>1102017</v>
      </c>
      <c r="O690" s="14" t="str">
        <f t="shared" si="186"/>
        <v>飞廉15突</v>
      </c>
      <c r="P690" s="29" t="s">
        <v>341</v>
      </c>
      <c r="Q690" s="14">
        <f t="shared" si="187"/>
        <v>2</v>
      </c>
      <c r="R690" s="14">
        <f t="shared" si="188"/>
        <v>15</v>
      </c>
      <c r="S690" s="14" t="s">
        <v>39</v>
      </c>
      <c r="T690" s="14">
        <f>ROUND(((IF(Q690=1,INDEX(新属性投放!$J$14:$J$34,卡牌属性!R690),INDEX(新属性投放!$J$42:$J$62,卡牌属性!R690)))*INDEX($G$5:$G$42,L690)+IF(Q690=1,INDEX(新属性投放!R$20:R$23,卡牌属性!M690-1),INDEX(新属性投放!R$25:R$28,卡牌属性!M690-1)))/SQRT(INDEX($I$5:$I$42,L690)),2)</f>
        <v>16509.52</v>
      </c>
      <c r="U690" s="29" t="s">
        <v>178</v>
      </c>
      <c r="V690" s="14">
        <f>ROUND((IF(Q690=1,INDEX(新属性投放!$K$14:$K$34,卡牌属性!R690),INDEX(新属性投放!$K$42:$K$62,卡牌属性!R690))+IF(Q690=1,INDEX(新属性投放!S$20:S$23,卡牌属性!M690-1),INDEX(新属性投放!S$25:S$28,卡牌属性!M690-1)))*INDEX($G$5:$G$42,L690),2)</f>
        <v>8077.81</v>
      </c>
      <c r="W690" s="29" t="s">
        <v>179</v>
      </c>
      <c r="X690" s="14">
        <f>ROUND((IF(Q690=1,INDEX(新属性投放!$L$14:$L$34,卡牌属性!R690),INDEX(新属性投放!$L$42:$L$62,卡牌属性!R690))*INDEX($G$5:$G$42,L690)+IF(Q690=1,INDEX(新属性投放!T$20:T$23,卡牌属性!M690-1),INDEX(新属性投放!T$25:T$28,卡牌属性!M690-1)))*SQRT(INDEX($I$5:$I$42,L690)),2)</f>
        <v>87718.8</v>
      </c>
      <c r="Y690" s="29" t="s">
        <v>177</v>
      </c>
      <c r="Z690" s="14">
        <f>ROUND(IF(Q690=1,INDEX(新属性投放!$D$14:$D$34,卡牌属性!R690),INDEX(新属性投放!$D$42:$D$62,卡牌属性!R690))*INDEX($G$5:$G$42,L690)/SQRT(INDEX($I$5:$I$42,L690)),2)</f>
        <v>398.63</v>
      </c>
      <c r="AA690" s="29" t="s">
        <v>178</v>
      </c>
      <c r="AB690" s="14">
        <f>ROUND(IF(Q690=1,INDEX(新属性投放!$E$14:$E$34,卡牌属性!R690),INDEX(新属性投放!$E$42:$E$62,卡牌属性!R690))*INDEX($G$5:$G$42,L690),2)</f>
        <v>199.32</v>
      </c>
      <c r="AC690" s="29" t="s">
        <v>179</v>
      </c>
      <c r="AD690" s="14">
        <f>ROUND(IF(Q690=1,INDEX(新属性投放!$F$14:$F$34,卡牌属性!R690),INDEX(新属性投放!$F$42:$F$62,卡牌属性!R690))*INDEX($G$5:$G$42,L690)*SQRT(INDEX($I$5:$I$42,L690)),2)</f>
        <v>1792.7</v>
      </c>
      <c r="AF690" s="14">
        <f t="shared" si="189"/>
        <v>3986</v>
      </c>
      <c r="AG690" s="14">
        <f t="shared" si="190"/>
        <v>1993</v>
      </c>
      <c r="AH690" s="14">
        <f t="shared" si="191"/>
        <v>17927</v>
      </c>
      <c r="AJ690" s="14">
        <f t="shared" si="195"/>
        <v>16713</v>
      </c>
      <c r="AK690" s="14">
        <f t="shared" si="196"/>
        <v>8353</v>
      </c>
      <c r="AL690" s="14">
        <f t="shared" si="197"/>
        <v>75166</v>
      </c>
    </row>
    <row r="691" spans="11:38" ht="16.5" x14ac:dyDescent="0.2">
      <c r="K691" s="13">
        <v>688</v>
      </c>
      <c r="L691" s="13">
        <f t="shared" si="183"/>
        <v>33</v>
      </c>
      <c r="M691" s="13">
        <f t="shared" si="184"/>
        <v>4</v>
      </c>
      <c r="N691" s="14">
        <f t="shared" si="185"/>
        <v>1102017</v>
      </c>
      <c r="O691" s="14" t="str">
        <f t="shared" si="186"/>
        <v>飞廉16突</v>
      </c>
      <c r="P691" s="29" t="s">
        <v>341</v>
      </c>
      <c r="Q691" s="14">
        <f t="shared" si="187"/>
        <v>2</v>
      </c>
      <c r="R691" s="14">
        <f t="shared" si="188"/>
        <v>16</v>
      </c>
      <c r="S691" s="14" t="s">
        <v>39</v>
      </c>
      <c r="T691" s="14">
        <f>ROUND(((IF(Q691=1,INDEX(新属性投放!$J$14:$J$34,卡牌属性!R691),INDEX(新属性投放!$J$42:$J$62,卡牌属性!R691)))*INDEX($G$5:$G$42,L691)+IF(Q691=1,INDEX(新属性投放!R$20:R$23,卡牌属性!M691-1),INDEX(新属性投放!R$25:R$28,卡牌属性!M691-1)))/SQRT(INDEX($I$5:$I$42,L691)),2)</f>
        <v>21492.94</v>
      </c>
      <c r="U691" s="29" t="s">
        <v>178</v>
      </c>
      <c r="V691" s="14">
        <f>ROUND((IF(Q691=1,INDEX(新属性投放!$K$14:$K$34,卡牌属性!R691),INDEX(新属性投放!$K$42:$K$62,卡牌属性!R691))+IF(Q691=1,INDEX(新属性投放!S$20:S$23,卡牌属性!M691-1),INDEX(新属性投放!S$25:S$28,卡牌属性!M691-1)))*INDEX($G$5:$G$42,L691),2)</f>
        <v>10568.87</v>
      </c>
      <c r="W691" s="29" t="s">
        <v>179</v>
      </c>
      <c r="X691" s="14">
        <f>ROUND((IF(Q691=1,INDEX(新属性投放!$L$14:$L$34,卡牌属性!R691),INDEX(新属性投放!$L$42:$L$62,卡牌属性!R691))*INDEX($G$5:$G$42,L691)+IF(Q691=1,INDEX(新属性投放!T$20:T$23,卡牌属性!M691-1),INDEX(新属性投放!T$25:T$28,卡牌属性!M691-1)))*SQRT(INDEX($I$5:$I$42,L691)),2)</f>
        <v>114619.7</v>
      </c>
      <c r="Y691" s="29" t="s">
        <v>177</v>
      </c>
      <c r="Z691" s="14">
        <f>ROUND(IF(Q691=1,INDEX(新属性投放!$D$14:$D$34,卡牌属性!R691),INDEX(新属性投放!$D$42:$D$62,卡牌属性!R691))*INDEX($G$5:$G$42,L691)/SQRT(INDEX($I$5:$I$42,L691)),2)</f>
        <v>523.21</v>
      </c>
      <c r="AA691" s="29" t="s">
        <v>178</v>
      </c>
      <c r="AB691" s="14">
        <f>ROUND(IF(Q691=1,INDEX(新属性投放!$E$14:$E$34,卡牌属性!R691),INDEX(新属性投放!$E$42:$E$62,卡牌属性!R691))*INDEX($G$5:$G$42,L691),2)</f>
        <v>261.61</v>
      </c>
      <c r="AC691" s="29" t="s">
        <v>179</v>
      </c>
      <c r="AD691" s="14">
        <f>ROUND(IF(Q691=1,INDEX(新属性投放!$F$14:$F$34,卡牌属性!R691),INDEX(新属性投放!$F$42:$F$62,卡牌属性!R691))*INDEX($G$5:$G$42,L691)*SQRT(INDEX($I$5:$I$42,L691)),2)</f>
        <v>2354.3000000000002</v>
      </c>
      <c r="AF691" s="14">
        <f t="shared" si="189"/>
        <v>5232</v>
      </c>
      <c r="AG691" s="14">
        <f t="shared" si="190"/>
        <v>2616</v>
      </c>
      <c r="AH691" s="14">
        <f t="shared" si="191"/>
        <v>23543</v>
      </c>
      <c r="AJ691" s="14">
        <f t="shared" si="195"/>
        <v>21945</v>
      </c>
      <c r="AK691" s="14">
        <f t="shared" si="196"/>
        <v>10969</v>
      </c>
      <c r="AL691" s="14">
        <f t="shared" si="197"/>
        <v>98709</v>
      </c>
    </row>
    <row r="692" spans="11:38" ht="16.5" x14ac:dyDescent="0.2">
      <c r="K692" s="13">
        <v>689</v>
      </c>
      <c r="L692" s="13">
        <f t="shared" si="183"/>
        <v>33</v>
      </c>
      <c r="M692" s="13">
        <f t="shared" si="184"/>
        <v>4</v>
      </c>
      <c r="N692" s="14">
        <f t="shared" si="185"/>
        <v>1102017</v>
      </c>
      <c r="O692" s="14" t="str">
        <f t="shared" si="186"/>
        <v>飞廉17突</v>
      </c>
      <c r="P692" s="29" t="s">
        <v>341</v>
      </c>
      <c r="Q692" s="14">
        <f t="shared" si="187"/>
        <v>2</v>
      </c>
      <c r="R692" s="14">
        <f t="shared" si="188"/>
        <v>17</v>
      </c>
      <c r="S692" s="14" t="s">
        <v>39</v>
      </c>
      <c r="T692" s="14">
        <f>ROUND(((IF(Q692=1,INDEX(新属性投放!$J$14:$J$34,卡牌属性!R692),INDEX(新属性投放!$J$42:$J$62,卡牌属性!R692)))*INDEX($G$5:$G$42,L692)+IF(Q692=1,INDEX(新属性投放!R$20:R$23,卡牌属性!M692-1),INDEX(新属性投放!R$25:R$28,卡牌属性!M692-1)))/SQRT(INDEX($I$5:$I$42,L692)),2)</f>
        <v>28032.85</v>
      </c>
      <c r="U692" s="29" t="s">
        <v>178</v>
      </c>
      <c r="V692" s="14">
        <f>ROUND((IF(Q692=1,INDEX(新属性投放!$K$14:$K$34,卡牌属性!R692),INDEX(新属性投放!$K$42:$K$62,卡牌属性!R692))+IF(Q692=1,INDEX(新属性投放!S$20:S$23,卡牌属性!M692-1),INDEX(新属性投放!S$25:S$28,卡牌属性!M692-1)))*INDEX($G$5:$G$42,L692),2)</f>
        <v>13838.83</v>
      </c>
      <c r="W692" s="29" t="s">
        <v>179</v>
      </c>
      <c r="X692" s="14">
        <f>ROUND((IF(Q692=1,INDEX(新属性投放!$L$14:$L$34,卡牌属性!R692),INDEX(新属性投放!$L$42:$L$62,卡牌属性!R692))*INDEX($G$5:$G$42,L692)+IF(Q692=1,INDEX(新属性投放!T$20:T$23,卡牌属性!M692-1),INDEX(新属性投放!T$25:T$28,卡牌属性!M692-1)))*SQRT(INDEX($I$5:$I$42,L692)),2)</f>
        <v>149932.9</v>
      </c>
      <c r="Y692" s="29" t="s">
        <v>177</v>
      </c>
      <c r="Z692" s="14">
        <f>ROUND(IF(Q692=1,INDEX(新属性投放!$D$14:$D$34,卡牌属性!R692),INDEX(新属性投放!$D$42:$D$62,卡牌属性!R692))*INDEX($G$5:$G$42,L692)/SQRT(INDEX($I$5:$I$42,L692)),2)</f>
        <v>686.71</v>
      </c>
      <c r="AA692" s="29" t="s">
        <v>178</v>
      </c>
      <c r="AB692" s="14">
        <f>ROUND(IF(Q692=1,INDEX(新属性投放!$E$14:$E$34,卡牌属性!R692),INDEX(新属性投放!$E$42:$E$62,卡牌属性!R692))*INDEX($G$5:$G$42,L692),2)</f>
        <v>343.36</v>
      </c>
      <c r="AC692" s="29" t="s">
        <v>179</v>
      </c>
      <c r="AD692" s="14">
        <f>ROUND(IF(Q692=1,INDEX(新属性投放!$F$14:$F$34,卡牌属性!R692),INDEX(新属性投放!$F$42:$F$62,卡牌属性!R692))*INDEX($G$5:$G$42,L692)*SQRT(INDEX($I$5:$I$42,L692)),2)</f>
        <v>3090.1</v>
      </c>
      <c r="AF692" s="14">
        <f t="shared" si="189"/>
        <v>6867</v>
      </c>
      <c r="AG692" s="14">
        <f t="shared" si="190"/>
        <v>3433</v>
      </c>
      <c r="AH692" s="14">
        <f t="shared" si="191"/>
        <v>30901</v>
      </c>
      <c r="AJ692" s="14">
        <f t="shared" si="195"/>
        <v>28812</v>
      </c>
      <c r="AK692" s="14">
        <f t="shared" si="196"/>
        <v>14402</v>
      </c>
      <c r="AL692" s="14">
        <f t="shared" si="197"/>
        <v>129610</v>
      </c>
    </row>
    <row r="693" spans="11:38" ht="16.5" x14ac:dyDescent="0.2">
      <c r="K693" s="13">
        <v>690</v>
      </c>
      <c r="L693" s="13">
        <f t="shared" si="183"/>
        <v>33</v>
      </c>
      <c r="M693" s="13">
        <f t="shared" si="184"/>
        <v>4</v>
      </c>
      <c r="N693" s="14">
        <f t="shared" si="185"/>
        <v>1102017</v>
      </c>
      <c r="O693" s="14" t="str">
        <f t="shared" si="186"/>
        <v>飞廉18突</v>
      </c>
      <c r="P693" s="29" t="s">
        <v>341</v>
      </c>
      <c r="Q693" s="14">
        <f t="shared" si="187"/>
        <v>2</v>
      </c>
      <c r="R693" s="14">
        <f t="shared" si="188"/>
        <v>18</v>
      </c>
      <c r="S693" s="14" t="s">
        <v>39</v>
      </c>
      <c r="T693" s="14">
        <f>ROUND(((IF(Q693=1,INDEX(新属性投放!$J$14:$J$34,卡牌属性!R693),INDEX(新属性投放!$J$42:$J$62,卡牌属性!R693)))*INDEX($G$5:$G$42,L693)+IF(Q693=1,INDEX(新属性投放!R$20:R$23,卡牌属性!M693-1),INDEX(新属性投放!R$25:R$28,卡牌属性!M693-1)))/SQRT(INDEX($I$5:$I$42,L693)),2)</f>
        <v>36617.269999999997</v>
      </c>
      <c r="U693" s="29" t="s">
        <v>178</v>
      </c>
      <c r="V693" s="14">
        <f>ROUND((IF(Q693=1,INDEX(新属性投放!$K$14:$K$34,卡牌属性!R693),INDEX(新属性投放!$K$42:$K$62,卡牌属性!R693))+IF(Q693=1,INDEX(新属性投放!S$20:S$23,卡牌属性!M693-1),INDEX(新属性投放!S$25:S$28,卡牌属性!M693-1)))*INDEX($G$5:$G$42,L693),2)</f>
        <v>18130.39</v>
      </c>
      <c r="W693" s="29" t="s">
        <v>179</v>
      </c>
      <c r="X693" s="14">
        <f>ROUND((IF(Q693=1,INDEX(新属性投放!$L$14:$L$34,卡牌属性!R693),INDEX(新属性投放!$L$42:$L$62,卡牌属性!R693))*INDEX($G$5:$G$42,L693)+IF(Q693=1,INDEX(新属性投放!T$20:T$23,卡牌属性!M693-1),INDEX(新属性投放!T$25:T$28,卡牌属性!M693-1)))*SQRT(INDEX($I$5:$I$42,L693)),2)</f>
        <v>196289.6</v>
      </c>
      <c r="Y693" s="29" t="s">
        <v>177</v>
      </c>
      <c r="Z693" s="14">
        <f>ROUND(IF(Q693=1,INDEX(新属性投放!$D$14:$D$34,卡牌属性!R693),INDEX(新属性投放!$D$42:$D$62,卡牌属性!R693))*INDEX($G$5:$G$42,L693)/SQRT(INDEX($I$5:$I$42,L693)),2)</f>
        <v>901.32</v>
      </c>
      <c r="AA693" s="29" t="s">
        <v>178</v>
      </c>
      <c r="AB693" s="14">
        <f>ROUND(IF(Q693=1,INDEX(新属性投放!$E$14:$E$34,卡牌属性!R693),INDEX(新属性投放!$E$42:$E$62,卡牌属性!R693))*INDEX($G$5:$G$42,L693),2)</f>
        <v>450.66</v>
      </c>
      <c r="AC693" s="29" t="s">
        <v>179</v>
      </c>
      <c r="AD693" s="14">
        <f>ROUND(IF(Q693=1,INDEX(新属性投放!$F$14:$F$34,卡牌属性!R693),INDEX(新属性投放!$F$42:$F$62,卡牌属性!R693))*INDEX($G$5:$G$42,L693)*SQRT(INDEX($I$5:$I$42,L693)),2)</f>
        <v>4054.7</v>
      </c>
      <c r="AF693" s="14">
        <f t="shared" si="189"/>
        <v>9013</v>
      </c>
      <c r="AG693" s="14">
        <f t="shared" si="190"/>
        <v>4506</v>
      </c>
      <c r="AH693" s="14">
        <f t="shared" si="191"/>
        <v>40547</v>
      </c>
      <c r="AJ693" s="14">
        <f t="shared" si="195"/>
        <v>37825</v>
      </c>
      <c r="AK693" s="14">
        <f t="shared" si="196"/>
        <v>18908</v>
      </c>
      <c r="AL693" s="14">
        <f t="shared" si="197"/>
        <v>170157</v>
      </c>
    </row>
    <row r="694" spans="11:38" ht="16.5" x14ac:dyDescent="0.2">
      <c r="K694" s="13">
        <v>691</v>
      </c>
      <c r="L694" s="13">
        <f t="shared" si="183"/>
        <v>33</v>
      </c>
      <c r="M694" s="13">
        <f t="shared" si="184"/>
        <v>4</v>
      </c>
      <c r="N694" s="14">
        <f t="shared" si="185"/>
        <v>1102017</v>
      </c>
      <c r="O694" s="14" t="str">
        <f t="shared" si="186"/>
        <v>飞廉19突</v>
      </c>
      <c r="P694" s="29" t="s">
        <v>341</v>
      </c>
      <c r="Q694" s="14">
        <f t="shared" si="187"/>
        <v>2</v>
      </c>
      <c r="R694" s="14">
        <f t="shared" si="188"/>
        <v>19</v>
      </c>
      <c r="S694" s="14" t="s">
        <v>39</v>
      </c>
      <c r="T694" s="14">
        <f>ROUND(((IF(Q694=1,INDEX(新属性投放!$J$14:$J$34,卡牌属性!R694),INDEX(新属性投放!$J$42:$J$62,卡牌属性!R694)))*INDEX($G$5:$G$42,L694)+IF(Q694=1,INDEX(新属性投放!R$20:R$23,卡牌属性!M694-1),INDEX(新属性投放!R$25:R$28,卡牌属性!M694-1)))/SQRT(INDEX($I$5:$I$42,L694)),2)</f>
        <v>47883.33</v>
      </c>
      <c r="U694" s="29" t="s">
        <v>178</v>
      </c>
      <c r="V694" s="14">
        <f>ROUND((IF(Q694=1,INDEX(新属性投放!$K$14:$K$34,卡牌属性!R694),INDEX(新属性投放!$K$42:$K$62,卡牌属性!R694))+IF(Q694=1,INDEX(新属性投放!S$20:S$23,卡牌属性!M694-1),INDEX(新属性投放!S$25:S$28,卡牌属性!M694-1)))*INDEX($G$5:$G$42,L694),2)</f>
        <v>23764.07</v>
      </c>
      <c r="W694" s="29" t="s">
        <v>179</v>
      </c>
      <c r="X694" s="14">
        <f>ROUND((IF(Q694=1,INDEX(新属性投放!$L$14:$L$34,卡牌属性!R694),INDEX(新属性投放!$L$42:$L$62,卡牌属性!R694))*INDEX($G$5:$G$42,L694)+IF(Q694=1,INDEX(新属性投放!T$20:T$23,卡牌属性!M694-1),INDEX(新属性投放!T$25:T$28,卡牌属性!M694-1)))*SQRT(INDEX($I$5:$I$42,L694)),2)</f>
        <v>257112.7</v>
      </c>
      <c r="Y694" s="29" t="s">
        <v>177</v>
      </c>
      <c r="Z694" s="14">
        <f>ROUND(IF(Q694=1,INDEX(新属性投放!$D$14:$D$34,卡牌属性!R694),INDEX(新属性投放!$D$42:$D$62,卡牌属性!R694))*INDEX($G$5:$G$42,L694)/SQRT(INDEX($I$5:$I$42,L694)),2)</f>
        <v>1182.97</v>
      </c>
      <c r="AA694" s="29" t="s">
        <v>178</v>
      </c>
      <c r="AB694" s="14">
        <f>ROUND(IF(Q694=1,INDEX(新属性投放!$E$14:$E$34,卡牌属性!R694),INDEX(新属性投放!$E$42:$E$62,卡牌属性!R694))*INDEX($G$5:$G$42,L694),2)</f>
        <v>591.49</v>
      </c>
      <c r="AC694" s="29" t="s">
        <v>179</v>
      </c>
      <c r="AD694" s="14">
        <f>ROUND(IF(Q694=1,INDEX(新属性投放!$F$14:$F$34,卡牌属性!R694),INDEX(新属性投放!$F$42:$F$62,卡牌属性!R694))*INDEX($G$5:$G$42,L694)*SQRT(INDEX($I$5:$I$42,L694)),2)</f>
        <v>5322.2</v>
      </c>
      <c r="AF694" s="14">
        <f t="shared" si="189"/>
        <v>11829</v>
      </c>
      <c r="AG694" s="14">
        <f t="shared" si="190"/>
        <v>5914</v>
      </c>
      <c r="AH694" s="14">
        <f t="shared" si="191"/>
        <v>53222</v>
      </c>
      <c r="AJ694" s="14">
        <f t="shared" si="195"/>
        <v>49654</v>
      </c>
      <c r="AK694" s="14">
        <f t="shared" si="196"/>
        <v>24822</v>
      </c>
      <c r="AL694" s="14">
        <f t="shared" si="197"/>
        <v>223379</v>
      </c>
    </row>
    <row r="695" spans="11:38" ht="16.5" x14ac:dyDescent="0.2">
      <c r="K695" s="13">
        <v>692</v>
      </c>
      <c r="L695" s="13">
        <f t="shared" si="183"/>
        <v>33</v>
      </c>
      <c r="M695" s="13">
        <f t="shared" si="184"/>
        <v>4</v>
      </c>
      <c r="N695" s="14">
        <f t="shared" si="185"/>
        <v>1102017</v>
      </c>
      <c r="O695" s="14" t="str">
        <f t="shared" si="186"/>
        <v>飞廉20突</v>
      </c>
      <c r="P695" s="29" t="s">
        <v>341</v>
      </c>
      <c r="Q695" s="14">
        <f t="shared" si="187"/>
        <v>2</v>
      </c>
      <c r="R695" s="14">
        <f t="shared" si="188"/>
        <v>20</v>
      </c>
      <c r="S695" s="14" t="s">
        <v>39</v>
      </c>
      <c r="T695" s="14">
        <f>ROUND(((IF(Q695=1,INDEX(新属性投放!$J$14:$J$34,卡牌属性!R695),INDEX(新属性投放!$J$42:$J$62,卡牌属性!R695)))*INDEX($G$5:$G$42,L695)+IF(Q695=1,INDEX(新属性投放!R$20:R$23,卡牌属性!M695-1),INDEX(新属性投放!R$25:R$28,卡牌属性!M695-1)))/SQRT(INDEX($I$5:$I$42,L695)),2)</f>
        <v>62670.57</v>
      </c>
      <c r="U695" s="29" t="s">
        <v>178</v>
      </c>
      <c r="V695" s="14">
        <f>ROUND((IF(Q695=1,INDEX(新属性投放!$K$14:$K$34,卡牌属性!R695),INDEX(新属性投放!$K$42:$K$62,卡牌属性!R695))+IF(Q695=1,INDEX(新属性投放!S$20:S$23,卡牌属性!M695-1),INDEX(新属性投放!S$25:S$28,卡牌属性!M695-1)))*INDEX($G$5:$G$42,L695),2)</f>
        <v>31157.040000000001</v>
      </c>
      <c r="W695" s="29" t="s">
        <v>179</v>
      </c>
      <c r="X695" s="14">
        <f>ROUND((IF(Q695=1,INDEX(新属性投放!$L$14:$L$34,卡牌属性!R695),INDEX(新属性投放!$L$42:$L$62,卡牌属性!R695))*INDEX($G$5:$G$42,L695)+IF(Q695=1,INDEX(新属性投放!T$20:T$23,卡牌属性!M695-1),INDEX(新属性投放!T$25:T$28,卡牌属性!M695-1)))*SQRT(INDEX($I$5:$I$42,L695)),2)</f>
        <v>336952.2</v>
      </c>
      <c r="Y695" s="29" t="s">
        <v>177</v>
      </c>
      <c r="Z695" s="14">
        <f>ROUND(IF(Q695=1,INDEX(新属性投放!$D$14:$D$34,卡牌属性!R695),INDEX(新属性投放!$D$42:$D$62,卡牌属性!R695))*INDEX($G$5:$G$42,L695)/SQRT(INDEX($I$5:$I$42,L695)),2)</f>
        <v>1552.66</v>
      </c>
      <c r="AA695" s="29" t="s">
        <v>178</v>
      </c>
      <c r="AB695" s="14">
        <f>ROUND(IF(Q695=1,INDEX(新属性投放!$E$14:$E$34,卡牌属性!R695),INDEX(新属性投放!$E$42:$E$62,卡牌属性!R695))*INDEX($G$5:$G$42,L695),2)</f>
        <v>776.33</v>
      </c>
      <c r="AC695" s="29" t="s">
        <v>179</v>
      </c>
      <c r="AD695" s="14">
        <f>ROUND(IF(Q695=1,INDEX(新属性投放!$F$14:$F$34,卡牌属性!R695),INDEX(新属性投放!$F$42:$F$62,卡牌属性!R695))*INDEX($G$5:$G$42,L695)*SQRT(INDEX($I$5:$I$42,L695)),2)</f>
        <v>6986.2</v>
      </c>
      <c r="AF695" s="14">
        <f t="shared" si="189"/>
        <v>15526</v>
      </c>
      <c r="AG695" s="14">
        <f t="shared" si="190"/>
        <v>7763</v>
      </c>
      <c r="AH695" s="14">
        <f t="shared" si="191"/>
        <v>69862</v>
      </c>
      <c r="AJ695" s="14">
        <f t="shared" si="195"/>
        <v>65180</v>
      </c>
      <c r="AK695" s="14">
        <f t="shared" si="196"/>
        <v>32585</v>
      </c>
      <c r="AL695" s="14">
        <f t="shared" si="197"/>
        <v>293241</v>
      </c>
    </row>
    <row r="696" spans="11:38" ht="16.5" x14ac:dyDescent="0.2">
      <c r="K696" s="13">
        <v>693</v>
      </c>
      <c r="L696" s="13">
        <f t="shared" si="183"/>
        <v>33</v>
      </c>
      <c r="M696" s="13">
        <f t="shared" si="184"/>
        <v>4</v>
      </c>
      <c r="N696" s="14">
        <f t="shared" si="185"/>
        <v>1102017</v>
      </c>
      <c r="O696" s="14" t="str">
        <f t="shared" si="186"/>
        <v>飞廉21突</v>
      </c>
      <c r="P696" s="29" t="s">
        <v>341</v>
      </c>
      <c r="Q696" s="14">
        <f t="shared" si="187"/>
        <v>2</v>
      </c>
      <c r="R696" s="14">
        <f t="shared" si="188"/>
        <v>21</v>
      </c>
      <c r="S696" s="14" t="s">
        <v>39</v>
      </c>
      <c r="T696" s="14">
        <f>ROUND(((IF(Q696=1,INDEX(新属性投放!$J$14:$J$34,卡牌属性!R696),INDEX(新属性投放!$J$42:$J$62,卡牌属性!R696)))*INDEX($G$5:$G$42,L696)+IF(Q696=1,INDEX(新属性投放!R$20:R$23,卡牌属性!M696-1),INDEX(新属性投放!R$25:R$28,卡牌属性!M696-1)))/SQRT(INDEX($I$5:$I$42,L696)),2)</f>
        <v>82078.92</v>
      </c>
      <c r="U696" s="29" t="s">
        <v>178</v>
      </c>
      <c r="V696" s="14">
        <f>ROUND((IF(Q696=1,INDEX(新属性投放!$K$14:$K$34,卡牌属性!R696),INDEX(新属性投放!$K$42:$K$62,卡牌属性!R696))+IF(Q696=1,INDEX(新属性投放!S$20:S$23,卡牌属性!M696-1),INDEX(新属性投放!S$25:S$28,卡牌属性!M696-1)))*INDEX($G$5:$G$42,L696),2)</f>
        <v>40861.21</v>
      </c>
      <c r="W696" s="29" t="s">
        <v>179</v>
      </c>
      <c r="X696" s="14">
        <f>ROUND((IF(Q696=1,INDEX(新属性投放!$L$14:$L$34,卡牌属性!R696),INDEX(新属性投放!$L$42:$L$62,卡牌属性!R696))*INDEX($G$5:$G$42,L696)+IF(Q696=1,INDEX(新属性投放!T$20:T$23,卡牌属性!M696-1),INDEX(新属性投放!T$25:T$28,卡牌属性!M696-1)))*SQRT(INDEX($I$5:$I$42,L696)),2)</f>
        <v>441750.4</v>
      </c>
      <c r="Y696" s="29" t="s">
        <v>177</v>
      </c>
      <c r="Z696" s="14">
        <f>ROUND(IF(Q696=1,INDEX(新属性投放!$D$14:$D$34,卡牌属性!R696),INDEX(新属性投放!$D$42:$D$62,卡牌属性!R696))*INDEX($G$5:$G$42,L696)/SQRT(INDEX($I$5:$I$42,L696)),2)</f>
        <v>2037.87</v>
      </c>
      <c r="AA696" s="29" t="s">
        <v>178</v>
      </c>
      <c r="AB696" s="14">
        <f>ROUND(IF(Q696=1,INDEX(新属性投放!$E$14:$E$34,卡牌属性!R696),INDEX(新属性投放!$E$42:$E$62,卡牌属性!R696))*INDEX($G$5:$G$42,L696),2)</f>
        <v>1018.93</v>
      </c>
      <c r="AC696" s="29" t="s">
        <v>179</v>
      </c>
      <c r="AD696" s="14">
        <f>ROUND(IF(Q696=1,INDEX(新属性投放!$F$14:$F$34,卡牌属性!R696),INDEX(新属性投放!$F$42:$F$62,卡牌属性!R696))*INDEX($G$5:$G$42,L696)*SQRT(INDEX($I$5:$I$42,L696)),2)</f>
        <v>9170.2000000000007</v>
      </c>
      <c r="AF696" s="14">
        <f t="shared" si="189"/>
        <v>20378</v>
      </c>
      <c r="AG696" s="14">
        <f t="shared" si="190"/>
        <v>10189</v>
      </c>
      <c r="AH696" s="14">
        <f t="shared" si="191"/>
        <v>91702</v>
      </c>
      <c r="AJ696" s="14">
        <f t="shared" si="195"/>
        <v>85558</v>
      </c>
      <c r="AK696" s="14">
        <f t="shared" si="196"/>
        <v>42774</v>
      </c>
      <c r="AL696" s="14">
        <f t="shared" si="197"/>
        <v>384943</v>
      </c>
    </row>
    <row r="697" spans="11:38" ht="16.5" x14ac:dyDescent="0.2">
      <c r="K697" s="13">
        <v>694</v>
      </c>
      <c r="L697" s="13">
        <f t="shared" si="183"/>
        <v>34</v>
      </c>
      <c r="M697" s="13">
        <f t="shared" si="184"/>
        <v>2</v>
      </c>
      <c r="N697" s="14">
        <f t="shared" si="185"/>
        <v>1102018</v>
      </c>
      <c r="O697" s="14" t="str">
        <f t="shared" si="186"/>
        <v>噬日1突</v>
      </c>
      <c r="P697" s="29" t="s">
        <v>341</v>
      </c>
      <c r="Q697" s="14">
        <f t="shared" si="187"/>
        <v>2</v>
      </c>
      <c r="R697" s="14">
        <f t="shared" si="188"/>
        <v>1</v>
      </c>
      <c r="S697" s="14" t="s">
        <v>39</v>
      </c>
      <c r="T697" s="14">
        <f>ROUND(((IF(Q697=1,INDEX(新属性投放!$J$14:$J$34,卡牌属性!R697),INDEX(新属性投放!$J$42:$J$62,卡牌属性!R697)))*INDEX($G$5:$G$42,L697)+IF(Q697=1,INDEX(新属性投放!R$20:R$23,卡牌属性!M697-1),INDEX(新属性投放!R$25:R$28,卡牌属性!M697-1)))/SQRT(INDEX($I$5:$I$42,L697)),2)</f>
        <v>350</v>
      </c>
      <c r="U697" s="29" t="s">
        <v>178</v>
      </c>
      <c r="V697" s="14">
        <f>ROUND((IF(Q697=1,INDEX(新属性投放!$K$14:$K$34,卡牌属性!R697),INDEX(新属性投放!$K$42:$K$62,卡牌属性!R697))+IF(Q697=1,INDEX(新属性投放!S$20:S$23,卡牌属性!M697-1),INDEX(新属性投放!S$25:S$28,卡牌属性!M697-1)))*INDEX($G$5:$G$42,L697),2)</f>
        <v>100</v>
      </c>
      <c r="W697" s="29" t="s">
        <v>179</v>
      </c>
      <c r="X697" s="14">
        <f>ROUND((IF(Q697=1,INDEX(新属性投放!$L$14:$L$34,卡牌属性!R697),INDEX(新属性投放!$L$42:$L$62,卡牌属性!R697))*INDEX($G$5:$G$42,L697)+IF(Q697=1,INDEX(新属性投放!T$20:T$23,卡牌属性!M697-1),INDEX(新属性投放!T$25:T$28,卡牌属性!M697-1)))*SQRT(INDEX($I$5:$I$42,L697)),2)</f>
        <v>750</v>
      </c>
      <c r="Y697" s="29" t="s">
        <v>177</v>
      </c>
      <c r="Z697" s="14">
        <f>ROUND(IF(Q697=1,INDEX(新属性投放!$D$14:$D$34,卡牌属性!R697),INDEX(新属性投放!$D$42:$D$62,卡牌属性!R697))*INDEX($G$5:$G$42,L697)/SQRT(INDEX($I$5:$I$42,L697)),2)</f>
        <v>10</v>
      </c>
      <c r="AA697" s="29" t="s">
        <v>178</v>
      </c>
      <c r="AB697" s="14">
        <f>ROUND(IF(Q697=1,INDEX(新属性投放!$E$14:$E$34,卡牌属性!R697),INDEX(新属性投放!$E$42:$E$62,卡牌属性!R697))*INDEX($G$5:$G$42,L697),2)</f>
        <v>5</v>
      </c>
      <c r="AC697" s="29" t="s">
        <v>179</v>
      </c>
      <c r="AD697" s="14">
        <f>ROUND(IF(Q697=1,INDEX(新属性投放!$F$14:$F$34,卡牌属性!R697),INDEX(新属性投放!$F$42:$F$62,卡牌属性!R697))*INDEX($G$5:$G$42,L697)*SQRT(INDEX($I$5:$I$42,L697)),2)</f>
        <v>45</v>
      </c>
      <c r="AF697" s="14">
        <f t="shared" si="189"/>
        <v>100</v>
      </c>
      <c r="AG697" s="14">
        <f t="shared" si="190"/>
        <v>50</v>
      </c>
      <c r="AH697" s="14">
        <f t="shared" si="191"/>
        <v>450</v>
      </c>
      <c r="AJ697" s="14">
        <f>AF697</f>
        <v>100</v>
      </c>
      <c r="AK697" s="14">
        <f>AG697</f>
        <v>50</v>
      </c>
      <c r="AL697" s="14">
        <f>AH697</f>
        <v>450</v>
      </c>
    </row>
    <row r="698" spans="11:38" ht="16.5" x14ac:dyDescent="0.2">
      <c r="K698" s="13">
        <v>695</v>
      </c>
      <c r="L698" s="13">
        <f t="shared" si="183"/>
        <v>34</v>
      </c>
      <c r="M698" s="13">
        <f t="shared" si="184"/>
        <v>2</v>
      </c>
      <c r="N698" s="14">
        <f t="shared" si="185"/>
        <v>1102018</v>
      </c>
      <c r="O698" s="14" t="str">
        <f t="shared" si="186"/>
        <v>噬日2突</v>
      </c>
      <c r="P698" s="29" t="s">
        <v>341</v>
      </c>
      <c r="Q698" s="14">
        <f t="shared" si="187"/>
        <v>2</v>
      </c>
      <c r="R698" s="14">
        <f t="shared" si="188"/>
        <v>2</v>
      </c>
      <c r="S698" s="14" t="s">
        <v>39</v>
      </c>
      <c r="T698" s="14">
        <f>ROUND(((IF(Q698=1,INDEX(新属性投放!$J$14:$J$34,卡牌属性!R698),INDEX(新属性投放!$J$42:$J$62,卡牌属性!R698)))*INDEX($G$5:$G$42,L698)+IF(Q698=1,INDEX(新属性投放!R$20:R$23,卡牌属性!M698-1),INDEX(新属性投放!R$25:R$28,卡牌属性!M698-1)))/SQRT(INDEX($I$5:$I$42,L698)),2)</f>
        <v>465</v>
      </c>
      <c r="U698" s="29" t="s">
        <v>178</v>
      </c>
      <c r="V698" s="14">
        <f>ROUND((IF(Q698=1,INDEX(新属性投放!$K$14:$K$34,卡牌属性!R698),INDEX(新属性投放!$K$42:$K$62,卡牌属性!R698))+IF(Q698=1,INDEX(新属性投放!S$20:S$23,卡牌属性!M698-1),INDEX(新属性投放!S$25:S$28,卡牌属性!M698-1)))*INDEX($G$5:$G$42,L698),2)</f>
        <v>155</v>
      </c>
      <c r="W698" s="29" t="s">
        <v>179</v>
      </c>
      <c r="X698" s="14">
        <f>ROUND((IF(Q698=1,INDEX(新属性投放!$L$14:$L$34,卡牌属性!R698),INDEX(新属性投放!$L$42:$L$62,卡牌属性!R698))*INDEX($G$5:$G$42,L698)+IF(Q698=1,INDEX(新属性投放!T$20:T$23,卡牌属性!M698-1),INDEX(新属性投放!T$25:T$28,卡牌属性!M698-1)))*SQRT(INDEX($I$5:$I$42,L698)),2)</f>
        <v>1380</v>
      </c>
      <c r="Y698" s="29" t="s">
        <v>177</v>
      </c>
      <c r="Z698" s="14">
        <f>ROUND(IF(Q698=1,INDEX(新属性投放!$D$14:$D$34,卡牌属性!R698),INDEX(新属性投放!$D$42:$D$62,卡牌属性!R698))*INDEX($G$5:$G$42,L698)/SQRT(INDEX($I$5:$I$42,L698)),2)</f>
        <v>10</v>
      </c>
      <c r="AA698" s="29" t="s">
        <v>178</v>
      </c>
      <c r="AB698" s="14">
        <f>ROUND(IF(Q698=1,INDEX(新属性投放!$E$14:$E$34,卡牌属性!R698),INDEX(新属性投放!$E$42:$E$62,卡牌属性!R698))*INDEX($G$5:$G$42,L698),2)</f>
        <v>5</v>
      </c>
      <c r="AC698" s="29" t="s">
        <v>179</v>
      </c>
      <c r="AD698" s="14">
        <f>ROUND(IF(Q698=1,INDEX(新属性投放!$F$14:$F$34,卡牌属性!R698),INDEX(新属性投放!$F$42:$F$62,卡牌属性!R698))*INDEX($G$5:$G$42,L698)*SQRT(INDEX($I$5:$I$42,L698)),2)</f>
        <v>45</v>
      </c>
      <c r="AF698" s="14">
        <f t="shared" si="189"/>
        <v>100</v>
      </c>
      <c r="AG698" s="14">
        <f t="shared" si="190"/>
        <v>50</v>
      </c>
      <c r="AH698" s="14">
        <f t="shared" si="191"/>
        <v>450</v>
      </c>
      <c r="AJ698" s="14">
        <f t="shared" ref="AJ698:AJ717" si="198">AJ697+AF698</f>
        <v>200</v>
      </c>
      <c r="AK698" s="14">
        <f t="shared" ref="AK698:AK717" si="199">AK697+AG698</f>
        <v>100</v>
      </c>
      <c r="AL698" s="14">
        <f t="shared" ref="AL698:AL717" si="200">AL697+AH698</f>
        <v>900</v>
      </c>
    </row>
    <row r="699" spans="11:38" ht="16.5" x14ac:dyDescent="0.2">
      <c r="K699" s="13">
        <v>696</v>
      </c>
      <c r="L699" s="13">
        <f t="shared" si="183"/>
        <v>34</v>
      </c>
      <c r="M699" s="13">
        <f t="shared" si="184"/>
        <v>2</v>
      </c>
      <c r="N699" s="14">
        <f t="shared" si="185"/>
        <v>1102018</v>
      </c>
      <c r="O699" s="14" t="str">
        <f t="shared" si="186"/>
        <v>噬日3突</v>
      </c>
      <c r="P699" s="29" t="s">
        <v>341</v>
      </c>
      <c r="Q699" s="14">
        <f t="shared" si="187"/>
        <v>2</v>
      </c>
      <c r="R699" s="14">
        <f t="shared" si="188"/>
        <v>3</v>
      </c>
      <c r="S699" s="14" t="s">
        <v>39</v>
      </c>
      <c r="T699" s="14">
        <f>ROUND(((IF(Q699=1,INDEX(新属性投放!$J$14:$J$34,卡牌属性!R699),INDEX(新属性投放!$J$42:$J$62,卡牌属性!R699)))*INDEX($G$5:$G$42,L699)+IF(Q699=1,INDEX(新属性投放!R$20:R$23,卡牌属性!M699-1),INDEX(新属性投放!R$25:R$28,卡牌属性!M699-1)))/SQRT(INDEX($I$5:$I$42,L699)),2)</f>
        <v>590</v>
      </c>
      <c r="U699" s="29" t="s">
        <v>178</v>
      </c>
      <c r="V699" s="14">
        <f>ROUND((IF(Q699=1,INDEX(新属性投放!$K$14:$K$34,卡牌属性!R699),INDEX(新属性投放!$K$42:$K$62,卡牌属性!R699))+IF(Q699=1,INDEX(新属性投放!S$20:S$23,卡牌属性!M699-1),INDEX(新属性投放!S$25:S$28,卡牌属性!M699-1)))*INDEX($G$5:$G$42,L699),2)</f>
        <v>218</v>
      </c>
      <c r="W699" s="29" t="s">
        <v>179</v>
      </c>
      <c r="X699" s="14">
        <f>ROUND((IF(Q699=1,INDEX(新属性投放!$L$14:$L$34,卡牌属性!R699),INDEX(新属性投放!$L$42:$L$62,卡牌属性!R699))*INDEX($G$5:$G$42,L699)+IF(Q699=1,INDEX(新属性投放!T$20:T$23,卡牌属性!M699-1),INDEX(新属性投放!T$25:T$28,卡牌属性!M699-1)))*SQRT(INDEX($I$5:$I$42,L699)),2)</f>
        <v>2055</v>
      </c>
      <c r="Y699" s="29" t="s">
        <v>177</v>
      </c>
      <c r="Z699" s="14">
        <f>ROUND(IF(Q699=1,INDEX(新属性投放!$D$14:$D$34,卡牌属性!R699),INDEX(新属性投放!$D$42:$D$62,卡牌属性!R699))*INDEX($G$5:$G$42,L699)/SQRT(INDEX($I$5:$I$42,L699)),2)</f>
        <v>15</v>
      </c>
      <c r="AA699" s="29" t="s">
        <v>178</v>
      </c>
      <c r="AB699" s="14">
        <f>ROUND(IF(Q699=1,INDEX(新属性投放!$E$14:$E$34,卡牌属性!R699),INDEX(新属性投放!$E$42:$E$62,卡牌属性!R699))*INDEX($G$5:$G$42,L699),2)</f>
        <v>7.5</v>
      </c>
      <c r="AC699" s="29" t="s">
        <v>179</v>
      </c>
      <c r="AD699" s="14">
        <f>ROUND(IF(Q699=1,INDEX(新属性投放!$F$14:$F$34,卡牌属性!R699),INDEX(新属性投放!$F$42:$F$62,卡牌属性!R699))*INDEX($G$5:$G$42,L699)*SQRT(INDEX($I$5:$I$42,L699)),2)</f>
        <v>67</v>
      </c>
      <c r="AF699" s="14">
        <f t="shared" si="189"/>
        <v>150</v>
      </c>
      <c r="AG699" s="14">
        <f t="shared" si="190"/>
        <v>75</v>
      </c>
      <c r="AH699" s="14">
        <f t="shared" si="191"/>
        <v>670</v>
      </c>
      <c r="AJ699" s="14">
        <f t="shared" si="198"/>
        <v>350</v>
      </c>
      <c r="AK699" s="14">
        <f t="shared" si="199"/>
        <v>175</v>
      </c>
      <c r="AL699" s="14">
        <f t="shared" si="200"/>
        <v>1570</v>
      </c>
    </row>
    <row r="700" spans="11:38" ht="16.5" x14ac:dyDescent="0.2">
      <c r="K700" s="13">
        <v>697</v>
      </c>
      <c r="L700" s="13">
        <f t="shared" si="183"/>
        <v>34</v>
      </c>
      <c r="M700" s="13">
        <f t="shared" si="184"/>
        <v>2</v>
      </c>
      <c r="N700" s="14">
        <f t="shared" si="185"/>
        <v>1102018</v>
      </c>
      <c r="O700" s="14" t="str">
        <f t="shared" si="186"/>
        <v>噬日4突</v>
      </c>
      <c r="P700" s="29" t="s">
        <v>341</v>
      </c>
      <c r="Q700" s="14">
        <f t="shared" si="187"/>
        <v>2</v>
      </c>
      <c r="R700" s="14">
        <f t="shared" si="188"/>
        <v>4</v>
      </c>
      <c r="S700" s="14" t="s">
        <v>39</v>
      </c>
      <c r="T700" s="14">
        <f>ROUND(((IF(Q700=1,INDEX(新属性投放!$J$14:$J$34,卡牌属性!R700),INDEX(新属性投放!$J$42:$J$62,卡牌属性!R700)))*INDEX($G$5:$G$42,L700)+IF(Q700=1,INDEX(新属性投放!R$20:R$23,卡牌属性!M700-1),INDEX(新属性投放!R$25:R$28,卡牌属性!M700-1)))/SQRT(INDEX($I$5:$I$42,L700)),2)</f>
        <v>778</v>
      </c>
      <c r="U700" s="29" t="s">
        <v>178</v>
      </c>
      <c r="V700" s="14">
        <f>ROUND((IF(Q700=1,INDEX(新属性投放!$K$14:$K$34,卡牌属性!R700),INDEX(新属性投放!$K$42:$K$62,卡牌属性!R700))+IF(Q700=1,INDEX(新属性投放!S$20:S$23,卡牌属性!M700-1),INDEX(新属性投放!S$25:S$28,卡牌属性!M700-1)))*INDEX($G$5:$G$42,L700),2)</f>
        <v>312</v>
      </c>
      <c r="W700" s="29" t="s">
        <v>179</v>
      </c>
      <c r="X700" s="14">
        <f>ROUND((IF(Q700=1,INDEX(新属性投放!$L$14:$L$34,卡牌属性!R700),INDEX(新属性投放!$L$42:$L$62,卡牌属性!R700))*INDEX($G$5:$G$42,L700)+IF(Q700=1,INDEX(新属性投放!T$20:T$23,卡牌属性!M700-1),INDEX(新属性投放!T$25:T$28,卡牌属性!M700-1)))*SQRT(INDEX($I$5:$I$42,L700)),2)</f>
        <v>3067</v>
      </c>
      <c r="Y700" s="29" t="s">
        <v>177</v>
      </c>
      <c r="Z700" s="14">
        <f>ROUND(IF(Q700=1,INDEX(新属性投放!$D$14:$D$34,卡牌属性!R700),INDEX(新属性投放!$D$42:$D$62,卡牌属性!R700))*INDEX($G$5:$G$42,L700)/SQRT(INDEX($I$5:$I$42,L700)),2)</f>
        <v>20</v>
      </c>
      <c r="AA700" s="29" t="s">
        <v>178</v>
      </c>
      <c r="AB700" s="14">
        <f>ROUND(IF(Q700=1,INDEX(新属性投放!$E$14:$E$34,卡牌属性!R700),INDEX(新属性投放!$E$42:$E$62,卡牌属性!R700))*INDEX($G$5:$G$42,L700),2)</f>
        <v>10</v>
      </c>
      <c r="AC700" s="29" t="s">
        <v>179</v>
      </c>
      <c r="AD700" s="14">
        <f>ROUND(IF(Q700=1,INDEX(新属性投放!$F$14:$F$34,卡牌属性!R700),INDEX(新属性投放!$F$42:$F$62,卡牌属性!R700))*INDEX($G$5:$G$42,L700)*SQRT(INDEX($I$5:$I$42,L700)),2)</f>
        <v>90</v>
      </c>
      <c r="AF700" s="14">
        <f t="shared" si="189"/>
        <v>200</v>
      </c>
      <c r="AG700" s="14">
        <f t="shared" si="190"/>
        <v>100</v>
      </c>
      <c r="AH700" s="14">
        <f t="shared" si="191"/>
        <v>900</v>
      </c>
      <c r="AJ700" s="14">
        <f t="shared" si="198"/>
        <v>550</v>
      </c>
      <c r="AK700" s="14">
        <f t="shared" si="199"/>
        <v>275</v>
      </c>
      <c r="AL700" s="14">
        <f t="shared" si="200"/>
        <v>2470</v>
      </c>
    </row>
    <row r="701" spans="11:38" ht="16.5" x14ac:dyDescent="0.2">
      <c r="K701" s="13">
        <v>698</v>
      </c>
      <c r="L701" s="13">
        <f t="shared" si="183"/>
        <v>34</v>
      </c>
      <c r="M701" s="13">
        <f t="shared" si="184"/>
        <v>2</v>
      </c>
      <c r="N701" s="14">
        <f t="shared" si="185"/>
        <v>1102018</v>
      </c>
      <c r="O701" s="14" t="str">
        <f t="shared" si="186"/>
        <v>噬日5突</v>
      </c>
      <c r="P701" s="29" t="s">
        <v>341</v>
      </c>
      <c r="Q701" s="14">
        <f t="shared" si="187"/>
        <v>2</v>
      </c>
      <c r="R701" s="14">
        <f t="shared" si="188"/>
        <v>5</v>
      </c>
      <c r="S701" s="14" t="s">
        <v>39</v>
      </c>
      <c r="T701" s="14">
        <f>ROUND(((IF(Q701=1,INDEX(新属性投放!$J$14:$J$34,卡牌属性!R701),INDEX(新属性投放!$J$42:$J$62,卡牌属性!R701)))*INDEX($G$5:$G$42,L701)+IF(Q701=1,INDEX(新属性投放!R$20:R$23,卡牌属性!M701-1),INDEX(新属性投放!R$25:R$28,卡牌属性!M701-1)))/SQRT(INDEX($I$5:$I$42,L701)),2)</f>
        <v>1028</v>
      </c>
      <c r="U701" s="29" t="s">
        <v>178</v>
      </c>
      <c r="V701" s="14">
        <f>ROUND((IF(Q701=1,INDEX(新属性投放!$K$14:$K$34,卡牌属性!R701),INDEX(新属性投放!$K$42:$K$62,卡牌属性!R701))+IF(Q701=1,INDEX(新属性投放!S$20:S$23,卡牌属性!M701-1),INDEX(新属性投放!S$25:S$28,卡牌属性!M701-1)))*INDEX($G$5:$G$42,L701),2)</f>
        <v>437</v>
      </c>
      <c r="W701" s="29" t="s">
        <v>179</v>
      </c>
      <c r="X701" s="14">
        <f>ROUND((IF(Q701=1,INDEX(新属性投放!$L$14:$L$34,卡牌属性!R701),INDEX(新属性投放!$L$42:$L$62,卡牌属性!R701))*INDEX($G$5:$G$42,L701)+IF(Q701=1,INDEX(新属性投放!T$20:T$23,卡牌属性!M701-1),INDEX(新属性投放!T$25:T$28,卡牌属性!M701-1)))*SQRT(INDEX($I$5:$I$42,L701)),2)</f>
        <v>4417</v>
      </c>
      <c r="Y701" s="29" t="s">
        <v>177</v>
      </c>
      <c r="Z701" s="14">
        <f>ROUND(IF(Q701=1,INDEX(新属性投放!$D$14:$D$34,卡牌属性!R701),INDEX(新属性投放!$D$42:$D$62,卡牌属性!R701))*INDEX($G$5:$G$42,L701)/SQRT(INDEX($I$5:$I$42,L701)),2)</f>
        <v>25</v>
      </c>
      <c r="AA701" s="29" t="s">
        <v>178</v>
      </c>
      <c r="AB701" s="14">
        <f>ROUND(IF(Q701=1,INDEX(新属性投放!$E$14:$E$34,卡牌属性!R701),INDEX(新属性投放!$E$42:$E$62,卡牌属性!R701))*INDEX($G$5:$G$42,L701),2)</f>
        <v>12.5</v>
      </c>
      <c r="AC701" s="29" t="s">
        <v>179</v>
      </c>
      <c r="AD701" s="14">
        <f>ROUND(IF(Q701=1,INDEX(新属性投放!$F$14:$F$34,卡牌属性!R701),INDEX(新属性投放!$F$42:$F$62,卡牌属性!R701))*INDEX($G$5:$G$42,L701)*SQRT(INDEX($I$5:$I$42,L701)),2)</f>
        <v>112</v>
      </c>
      <c r="AF701" s="14">
        <f t="shared" si="189"/>
        <v>250</v>
      </c>
      <c r="AG701" s="14">
        <f t="shared" si="190"/>
        <v>125</v>
      </c>
      <c r="AH701" s="14">
        <f t="shared" si="191"/>
        <v>1120</v>
      </c>
      <c r="AJ701" s="14">
        <f t="shared" si="198"/>
        <v>800</v>
      </c>
      <c r="AK701" s="14">
        <f t="shared" si="199"/>
        <v>400</v>
      </c>
      <c r="AL701" s="14">
        <f t="shared" si="200"/>
        <v>3590</v>
      </c>
    </row>
    <row r="702" spans="11:38" ht="16.5" x14ac:dyDescent="0.2">
      <c r="K702" s="13">
        <v>699</v>
      </c>
      <c r="L702" s="13">
        <f t="shared" si="183"/>
        <v>34</v>
      </c>
      <c r="M702" s="13">
        <f t="shared" si="184"/>
        <v>2</v>
      </c>
      <c r="N702" s="14">
        <f t="shared" si="185"/>
        <v>1102018</v>
      </c>
      <c r="O702" s="14" t="str">
        <f t="shared" si="186"/>
        <v>噬日6突</v>
      </c>
      <c r="P702" s="29" t="s">
        <v>341</v>
      </c>
      <c r="Q702" s="14">
        <f t="shared" si="187"/>
        <v>2</v>
      </c>
      <c r="R702" s="14">
        <f t="shared" si="188"/>
        <v>6</v>
      </c>
      <c r="S702" s="14" t="s">
        <v>39</v>
      </c>
      <c r="T702" s="14">
        <f>ROUND(((IF(Q702=1,INDEX(新属性投放!$J$14:$J$34,卡牌属性!R702),INDEX(新属性投放!$J$42:$J$62,卡牌属性!R702)))*INDEX($G$5:$G$42,L702)+IF(Q702=1,INDEX(新属性投放!R$20:R$23,卡牌属性!M702-1),INDEX(新属性投放!R$25:R$28,卡牌属性!M702-1)))/SQRT(INDEX($I$5:$I$42,L702)),2)</f>
        <v>1341</v>
      </c>
      <c r="U702" s="29" t="s">
        <v>178</v>
      </c>
      <c r="V702" s="14">
        <f>ROUND((IF(Q702=1,INDEX(新属性投放!$K$14:$K$34,卡牌属性!R702),INDEX(新属性投放!$K$42:$K$62,卡牌属性!R702))+IF(Q702=1,INDEX(新属性投放!S$20:S$23,卡牌属性!M702-1),INDEX(新属性投放!S$25:S$28,卡牌属性!M702-1)))*INDEX($G$5:$G$42,L702),2)</f>
        <v>593</v>
      </c>
      <c r="W702" s="29" t="s">
        <v>179</v>
      </c>
      <c r="X702" s="14">
        <f>ROUND((IF(Q702=1,INDEX(新属性投放!$L$14:$L$34,卡牌属性!R702),INDEX(新属性投放!$L$42:$L$62,卡牌属性!R702))*INDEX($G$5:$G$42,L702)+IF(Q702=1,INDEX(新属性投放!T$20:T$23,卡牌属性!M702-1),INDEX(新属性投放!T$25:T$28,卡牌属性!M702-1)))*SQRT(INDEX($I$5:$I$42,L702)),2)</f>
        <v>6104</v>
      </c>
      <c r="Y702" s="29" t="s">
        <v>177</v>
      </c>
      <c r="Z702" s="14">
        <f>ROUND(IF(Q702=1,INDEX(新属性投放!$D$14:$D$34,卡牌属性!R702),INDEX(新属性投放!$D$42:$D$62,卡牌属性!R702))*INDEX($G$5:$G$42,L702)/SQRT(INDEX($I$5:$I$42,L702)),2)</f>
        <v>30</v>
      </c>
      <c r="AA702" s="29" t="s">
        <v>178</v>
      </c>
      <c r="AB702" s="14">
        <f>ROUND(IF(Q702=1,INDEX(新属性投放!$E$14:$E$34,卡牌属性!R702),INDEX(新属性投放!$E$42:$E$62,卡牌属性!R702))*INDEX($G$5:$G$42,L702),2)</f>
        <v>15</v>
      </c>
      <c r="AC702" s="29" t="s">
        <v>179</v>
      </c>
      <c r="AD702" s="14">
        <f>ROUND(IF(Q702=1,INDEX(新属性投放!$F$14:$F$34,卡牌属性!R702),INDEX(新属性投放!$F$42:$F$62,卡牌属性!R702))*INDEX($G$5:$G$42,L702)*SQRT(INDEX($I$5:$I$42,L702)),2)</f>
        <v>135</v>
      </c>
      <c r="AF702" s="14">
        <f t="shared" si="189"/>
        <v>300</v>
      </c>
      <c r="AG702" s="14">
        <f t="shared" si="190"/>
        <v>150</v>
      </c>
      <c r="AH702" s="14">
        <f t="shared" si="191"/>
        <v>1350</v>
      </c>
      <c r="AJ702" s="14">
        <f t="shared" si="198"/>
        <v>1100</v>
      </c>
      <c r="AK702" s="14">
        <f t="shared" si="199"/>
        <v>550</v>
      </c>
      <c r="AL702" s="14">
        <f t="shared" si="200"/>
        <v>4940</v>
      </c>
    </row>
    <row r="703" spans="11:38" ht="16.5" x14ac:dyDescent="0.2">
      <c r="K703" s="13">
        <v>700</v>
      </c>
      <c r="L703" s="13">
        <f t="shared" si="183"/>
        <v>34</v>
      </c>
      <c r="M703" s="13">
        <f t="shared" si="184"/>
        <v>2</v>
      </c>
      <c r="N703" s="14">
        <f t="shared" si="185"/>
        <v>1102018</v>
      </c>
      <c r="O703" s="14" t="str">
        <f t="shared" si="186"/>
        <v>噬日7突</v>
      </c>
      <c r="P703" s="29" t="s">
        <v>341</v>
      </c>
      <c r="Q703" s="14">
        <f t="shared" si="187"/>
        <v>2</v>
      </c>
      <c r="R703" s="14">
        <f t="shared" si="188"/>
        <v>7</v>
      </c>
      <c r="S703" s="14" t="s">
        <v>39</v>
      </c>
      <c r="T703" s="14">
        <f>ROUND(((IF(Q703=1,INDEX(新属性投放!$J$14:$J$34,卡牌属性!R703),INDEX(新属性投放!$J$42:$J$62,卡牌属性!R703)))*INDEX($G$5:$G$42,L703)+IF(Q703=1,INDEX(新属性投放!R$20:R$23,卡牌属性!M703-1),INDEX(新属性投放!R$25:R$28,卡牌属性!M703-1)))/SQRT(INDEX($I$5:$I$42,L703)),2)</f>
        <v>1716</v>
      </c>
      <c r="U703" s="29" t="s">
        <v>178</v>
      </c>
      <c r="V703" s="14">
        <f>ROUND((IF(Q703=1,INDEX(新属性投放!$K$14:$K$34,卡牌属性!R703),INDEX(新属性投放!$K$42:$K$62,卡牌属性!R703))+IF(Q703=1,INDEX(新属性投放!S$20:S$23,卡牌属性!M703-1),INDEX(新属性投放!S$25:S$28,卡牌属性!M703-1)))*INDEX($G$5:$G$42,L703),2)</f>
        <v>781</v>
      </c>
      <c r="W703" s="29" t="s">
        <v>179</v>
      </c>
      <c r="X703" s="14">
        <f>ROUND((IF(Q703=1,INDEX(新属性投放!$L$14:$L$34,卡牌属性!R703),INDEX(新属性投放!$L$42:$L$62,卡牌属性!R703))*INDEX($G$5:$G$42,L703)+IF(Q703=1,INDEX(新属性投放!T$20:T$23,卡牌属性!M703-1),INDEX(新属性投放!T$25:T$28,卡牌属性!M703-1)))*SQRT(INDEX($I$5:$I$42,L703)),2)</f>
        <v>8129</v>
      </c>
      <c r="Y703" s="29" t="s">
        <v>177</v>
      </c>
      <c r="Z703" s="14">
        <f>ROUND(IF(Q703=1,INDEX(新属性投放!$D$14:$D$34,卡牌属性!R703),INDEX(新属性投放!$D$42:$D$62,卡牌属性!R703))*INDEX($G$5:$G$42,L703)/SQRT(INDEX($I$5:$I$42,L703)),2)</f>
        <v>35</v>
      </c>
      <c r="AA703" s="29" t="s">
        <v>178</v>
      </c>
      <c r="AB703" s="14">
        <f>ROUND(IF(Q703=1,INDEX(新属性投放!$E$14:$E$34,卡牌属性!R703),INDEX(新属性投放!$E$42:$E$62,卡牌属性!R703))*INDEX($G$5:$G$42,L703),2)</f>
        <v>17.5</v>
      </c>
      <c r="AC703" s="29" t="s">
        <v>179</v>
      </c>
      <c r="AD703" s="14">
        <f>ROUND(IF(Q703=1,INDEX(新属性投放!$F$14:$F$34,卡牌属性!R703),INDEX(新属性投放!$F$42:$F$62,卡牌属性!R703))*INDEX($G$5:$G$42,L703)*SQRT(INDEX($I$5:$I$42,L703)),2)</f>
        <v>157</v>
      </c>
      <c r="AF703" s="14">
        <f t="shared" si="189"/>
        <v>350</v>
      </c>
      <c r="AG703" s="14">
        <f t="shared" si="190"/>
        <v>175</v>
      </c>
      <c r="AH703" s="14">
        <f t="shared" si="191"/>
        <v>1570</v>
      </c>
      <c r="AJ703" s="14">
        <f t="shared" si="198"/>
        <v>1450</v>
      </c>
      <c r="AK703" s="14">
        <f t="shared" si="199"/>
        <v>725</v>
      </c>
      <c r="AL703" s="14">
        <f t="shared" si="200"/>
        <v>6510</v>
      </c>
    </row>
    <row r="704" spans="11:38" ht="16.5" x14ac:dyDescent="0.2">
      <c r="K704" s="13">
        <v>701</v>
      </c>
      <c r="L704" s="13">
        <f t="shared" si="183"/>
        <v>34</v>
      </c>
      <c r="M704" s="13">
        <f t="shared" si="184"/>
        <v>2</v>
      </c>
      <c r="N704" s="14">
        <f t="shared" si="185"/>
        <v>1102018</v>
      </c>
      <c r="O704" s="14" t="str">
        <f t="shared" si="186"/>
        <v>噬日8突</v>
      </c>
      <c r="P704" s="29" t="s">
        <v>341</v>
      </c>
      <c r="Q704" s="14">
        <f t="shared" si="187"/>
        <v>2</v>
      </c>
      <c r="R704" s="14">
        <f t="shared" si="188"/>
        <v>8</v>
      </c>
      <c r="S704" s="14" t="s">
        <v>39</v>
      </c>
      <c r="T704" s="14">
        <f>ROUND(((IF(Q704=1,INDEX(新属性投放!$J$14:$J$34,卡牌属性!R704),INDEX(新属性投放!$J$42:$J$62,卡牌属性!R704)))*INDEX($G$5:$G$42,L704)+IF(Q704=1,INDEX(新属性投放!R$20:R$23,卡牌属性!M704-1),INDEX(新属性投放!R$25:R$28,卡牌属性!M704-1)))/SQRT(INDEX($I$5:$I$42,L704)),2)</f>
        <v>2154</v>
      </c>
      <c r="U704" s="29" t="s">
        <v>178</v>
      </c>
      <c r="V704" s="14">
        <f>ROUND((IF(Q704=1,INDEX(新属性投放!$K$14:$K$34,卡牌属性!R704),INDEX(新属性投放!$K$42:$K$62,卡牌属性!R704))+IF(Q704=1,INDEX(新属性投放!S$20:S$23,卡牌属性!M704-1),INDEX(新属性投放!S$25:S$28,卡牌属性!M704-1)))*INDEX($G$5:$G$42,L704),2)</f>
        <v>1000</v>
      </c>
      <c r="W704" s="29" t="s">
        <v>179</v>
      </c>
      <c r="X704" s="14">
        <f>ROUND((IF(Q704=1,INDEX(新属性投放!$L$14:$L$34,卡牌属性!R704),INDEX(新属性投放!$L$42:$L$62,卡牌属性!R704))*INDEX($G$5:$G$42,L704)+IF(Q704=1,INDEX(新属性投放!T$20:T$23,卡牌属性!M704-1),INDEX(新属性投放!T$25:T$28,卡牌属性!M704-1)))*SQRT(INDEX($I$5:$I$42,L704)),2)</f>
        <v>10491</v>
      </c>
      <c r="Y704" s="29" t="s">
        <v>177</v>
      </c>
      <c r="Z704" s="14">
        <f>ROUND(IF(Q704=1,INDEX(新属性投放!$D$14:$D$34,卡牌属性!R704),INDEX(新属性投放!$D$42:$D$62,卡牌属性!R704))*INDEX($G$5:$G$42,L704)/SQRT(INDEX($I$5:$I$42,L704)),2)</f>
        <v>45</v>
      </c>
      <c r="AA704" s="29" t="s">
        <v>178</v>
      </c>
      <c r="AB704" s="14">
        <f>ROUND(IF(Q704=1,INDEX(新属性投放!$E$14:$E$34,卡牌属性!R704),INDEX(新属性投放!$E$42:$E$62,卡牌属性!R704))*INDEX($G$5:$G$42,L704),2)</f>
        <v>22.5</v>
      </c>
      <c r="AC704" s="29" t="s">
        <v>179</v>
      </c>
      <c r="AD704" s="14">
        <f>ROUND(IF(Q704=1,INDEX(新属性投放!$F$14:$F$34,卡牌属性!R704),INDEX(新属性投放!$F$42:$F$62,卡牌属性!R704))*INDEX($G$5:$G$42,L704)*SQRT(INDEX($I$5:$I$42,L704)),2)</f>
        <v>202</v>
      </c>
      <c r="AF704" s="14">
        <f t="shared" si="189"/>
        <v>450</v>
      </c>
      <c r="AG704" s="14">
        <f t="shared" si="190"/>
        <v>225</v>
      </c>
      <c r="AH704" s="14">
        <f t="shared" si="191"/>
        <v>2020</v>
      </c>
      <c r="AJ704" s="14">
        <f t="shared" si="198"/>
        <v>1900</v>
      </c>
      <c r="AK704" s="14">
        <f t="shared" si="199"/>
        <v>950</v>
      </c>
      <c r="AL704" s="14">
        <f t="shared" si="200"/>
        <v>8530</v>
      </c>
    </row>
    <row r="705" spans="11:38" ht="16.5" x14ac:dyDescent="0.2">
      <c r="K705" s="13">
        <v>702</v>
      </c>
      <c r="L705" s="13">
        <f t="shared" si="183"/>
        <v>34</v>
      </c>
      <c r="M705" s="13">
        <f t="shared" si="184"/>
        <v>2</v>
      </c>
      <c r="N705" s="14">
        <f t="shared" si="185"/>
        <v>1102018</v>
      </c>
      <c r="O705" s="14" t="str">
        <f t="shared" si="186"/>
        <v>噬日9突</v>
      </c>
      <c r="P705" s="29" t="s">
        <v>341</v>
      </c>
      <c r="Q705" s="14">
        <f t="shared" si="187"/>
        <v>2</v>
      </c>
      <c r="R705" s="14">
        <f t="shared" si="188"/>
        <v>9</v>
      </c>
      <c r="S705" s="14" t="s">
        <v>39</v>
      </c>
      <c r="T705" s="14">
        <f>ROUND(((IF(Q705=1,INDEX(新属性投放!$J$14:$J$34,卡牌属性!R705),INDEX(新属性投放!$J$42:$J$62,卡牌属性!R705)))*INDEX($G$5:$G$42,L705)+IF(Q705=1,INDEX(新属性投放!R$20:R$23,卡牌属性!M705-1),INDEX(新属性投放!R$25:R$28,卡牌属性!M705-1)))/SQRT(INDEX($I$5:$I$42,L705)),2)</f>
        <v>2717</v>
      </c>
      <c r="U705" s="29" t="s">
        <v>178</v>
      </c>
      <c r="V705" s="14">
        <f>ROUND((IF(Q705=1,INDEX(新属性投放!$K$14:$K$34,卡牌属性!R705),INDEX(新属性投放!$K$42:$K$62,卡牌属性!R705))+IF(Q705=1,INDEX(新属性投放!S$20:S$23,卡牌属性!M705-1),INDEX(新属性投放!S$25:S$28,卡牌属性!M705-1)))*INDEX($G$5:$G$42,L705),2)</f>
        <v>1281</v>
      </c>
      <c r="W705" s="29" t="s">
        <v>179</v>
      </c>
      <c r="X705" s="14">
        <f>ROUND((IF(Q705=1,INDEX(新属性投放!$L$14:$L$34,卡牌属性!R705),INDEX(新属性投放!$L$42:$L$62,卡牌属性!R705))*INDEX($G$5:$G$42,L705)+IF(Q705=1,INDEX(新属性投放!T$20:T$23,卡牌属性!M705-1),INDEX(新属性投放!T$25:T$28,卡牌属性!M705-1)))*SQRT(INDEX($I$5:$I$42,L705)),2)</f>
        <v>13528</v>
      </c>
      <c r="Y705" s="29" t="s">
        <v>177</v>
      </c>
      <c r="Z705" s="14">
        <f>ROUND(IF(Q705=1,INDEX(新属性投放!$D$14:$D$34,卡牌属性!R705),INDEX(新属性投放!$D$42:$D$62,卡牌属性!R705))*INDEX($G$5:$G$42,L705)/SQRT(INDEX($I$5:$I$42,L705)),2)</f>
        <v>60.05</v>
      </c>
      <c r="AA705" s="29" t="s">
        <v>178</v>
      </c>
      <c r="AB705" s="14">
        <f>ROUND(IF(Q705=1,INDEX(新属性投放!$E$14:$E$34,卡牌属性!R705),INDEX(新属性投放!$E$42:$E$62,卡牌属性!R705))*INDEX($G$5:$G$42,L705),2)</f>
        <v>30.03</v>
      </c>
      <c r="AC705" s="29" t="s">
        <v>179</v>
      </c>
      <c r="AD705" s="14">
        <f>ROUND(IF(Q705=1,INDEX(新属性投放!$F$14:$F$34,卡牌属性!R705),INDEX(新属性投放!$F$42:$F$62,卡牌属性!R705))*INDEX($G$5:$G$42,L705)*SQRT(INDEX($I$5:$I$42,L705)),2)</f>
        <v>270</v>
      </c>
      <c r="AF705" s="14">
        <f t="shared" si="189"/>
        <v>600</v>
      </c>
      <c r="AG705" s="14">
        <f t="shared" si="190"/>
        <v>300</v>
      </c>
      <c r="AH705" s="14">
        <f t="shared" si="191"/>
        <v>2700</v>
      </c>
      <c r="AJ705" s="14">
        <f t="shared" si="198"/>
        <v>2500</v>
      </c>
      <c r="AK705" s="14">
        <f t="shared" si="199"/>
        <v>1250</v>
      </c>
      <c r="AL705" s="14">
        <f t="shared" si="200"/>
        <v>11230</v>
      </c>
    </row>
    <row r="706" spans="11:38" ht="16.5" x14ac:dyDescent="0.2">
      <c r="K706" s="13">
        <v>703</v>
      </c>
      <c r="L706" s="13">
        <f t="shared" si="183"/>
        <v>34</v>
      </c>
      <c r="M706" s="13">
        <f t="shared" si="184"/>
        <v>2</v>
      </c>
      <c r="N706" s="14">
        <f t="shared" si="185"/>
        <v>1102018</v>
      </c>
      <c r="O706" s="14" t="str">
        <f t="shared" si="186"/>
        <v>噬日10突</v>
      </c>
      <c r="P706" s="29" t="s">
        <v>341</v>
      </c>
      <c r="Q706" s="14">
        <f t="shared" si="187"/>
        <v>2</v>
      </c>
      <c r="R706" s="14">
        <f t="shared" si="188"/>
        <v>10</v>
      </c>
      <c r="S706" s="14" t="s">
        <v>39</v>
      </c>
      <c r="T706" s="14">
        <f>ROUND(((IF(Q706=1,INDEX(新属性投放!$J$14:$J$34,卡牌属性!R706),INDEX(新属性投放!$J$42:$J$62,卡牌属性!R706)))*INDEX($G$5:$G$42,L706)+IF(Q706=1,INDEX(新属性投放!R$20:R$23,卡牌属性!M706-1),INDEX(新属性投放!R$25:R$28,卡牌属性!M706-1)))/SQRT(INDEX($I$5:$I$42,L706)),2)</f>
        <v>3467.5</v>
      </c>
      <c r="U706" s="29" t="s">
        <v>178</v>
      </c>
      <c r="V706" s="14">
        <f>ROUND((IF(Q706=1,INDEX(新属性投放!$K$14:$K$34,卡牌属性!R706),INDEX(新属性投放!$K$42:$K$62,卡牌属性!R706))+IF(Q706=1,INDEX(新属性投放!S$20:S$23,卡牌属性!M706-1),INDEX(新属性投放!S$25:S$28,卡牌属性!M706-1)))*INDEX($G$5:$G$42,L706),2)</f>
        <v>1656.25</v>
      </c>
      <c r="W706" s="29" t="s">
        <v>179</v>
      </c>
      <c r="X706" s="14">
        <f>ROUND((IF(Q706=1,INDEX(新属性投放!$L$14:$L$34,卡牌属性!R706),INDEX(新属性投放!$L$42:$L$62,卡牌属性!R706))*INDEX($G$5:$G$42,L706)+IF(Q706=1,INDEX(新属性投放!T$20:T$23,卡牌属性!M706-1),INDEX(新属性投放!T$25:T$28,卡牌属性!M706-1)))*SQRT(INDEX($I$5:$I$42,L706)),2)</f>
        <v>17578</v>
      </c>
      <c r="Y706" s="29" t="s">
        <v>177</v>
      </c>
      <c r="Z706" s="14">
        <f>ROUND(IF(Q706=1,INDEX(新属性投放!$D$14:$D$34,卡牌属性!R706),INDEX(新属性投放!$D$42:$D$62,卡牌属性!R706))*INDEX($G$5:$G$42,L706)/SQRT(INDEX($I$5:$I$42,L706)),2)</f>
        <v>78.5</v>
      </c>
      <c r="AA706" s="29" t="s">
        <v>178</v>
      </c>
      <c r="AB706" s="14">
        <f>ROUND(IF(Q706=1,INDEX(新属性投放!$E$14:$E$34,卡牌属性!R706),INDEX(新属性投放!$E$42:$E$62,卡牌属性!R706))*INDEX($G$5:$G$42,L706),2)</f>
        <v>39.25</v>
      </c>
      <c r="AC706" s="29" t="s">
        <v>179</v>
      </c>
      <c r="AD706" s="14">
        <f>ROUND(IF(Q706=1,INDEX(新属性投放!$F$14:$F$34,卡牌属性!R706),INDEX(新属性投放!$F$42:$F$62,卡牌属性!R706))*INDEX($G$5:$G$42,L706)*SQRT(INDEX($I$5:$I$42,L706)),2)</f>
        <v>353</v>
      </c>
      <c r="AF706" s="14">
        <f t="shared" si="189"/>
        <v>785</v>
      </c>
      <c r="AG706" s="14">
        <f t="shared" si="190"/>
        <v>392</v>
      </c>
      <c r="AH706" s="14">
        <f t="shared" si="191"/>
        <v>3530</v>
      </c>
      <c r="AJ706" s="14">
        <f t="shared" si="198"/>
        <v>3285</v>
      </c>
      <c r="AK706" s="14">
        <f t="shared" si="199"/>
        <v>1642</v>
      </c>
      <c r="AL706" s="14">
        <f t="shared" si="200"/>
        <v>14760</v>
      </c>
    </row>
    <row r="707" spans="11:38" ht="16.5" x14ac:dyDescent="0.2">
      <c r="K707" s="13">
        <v>704</v>
      </c>
      <c r="L707" s="13">
        <f t="shared" si="183"/>
        <v>34</v>
      </c>
      <c r="M707" s="13">
        <f t="shared" si="184"/>
        <v>2</v>
      </c>
      <c r="N707" s="14">
        <f t="shared" si="185"/>
        <v>1102018</v>
      </c>
      <c r="O707" s="14" t="str">
        <f t="shared" si="186"/>
        <v>噬日11突</v>
      </c>
      <c r="P707" s="29" t="s">
        <v>341</v>
      </c>
      <c r="Q707" s="14">
        <f t="shared" si="187"/>
        <v>2</v>
      </c>
      <c r="R707" s="14">
        <f t="shared" si="188"/>
        <v>11</v>
      </c>
      <c r="S707" s="14" t="s">
        <v>39</v>
      </c>
      <c r="T707" s="14">
        <f>ROUND(((IF(Q707=1,INDEX(新属性投放!$J$14:$J$34,卡牌属性!R707),INDEX(新属性投放!$J$42:$J$62,卡牌属性!R707)))*INDEX($G$5:$G$42,L707)+IF(Q707=1,INDEX(新属性投放!R$20:R$23,卡牌属性!M707-1),INDEX(新属性投放!R$25:R$28,卡牌属性!M707-1)))/SQRT(INDEX($I$5:$I$42,L707)),2)</f>
        <v>4448.5</v>
      </c>
      <c r="U707" s="29" t="s">
        <v>178</v>
      </c>
      <c r="V707" s="14">
        <f>ROUND((IF(Q707=1,INDEX(新属性投放!$K$14:$K$34,卡牌属性!R707),INDEX(新属性投放!$K$42:$K$62,卡牌属性!R707))+IF(Q707=1,INDEX(新属性投放!S$20:S$23,卡牌属性!M707-1),INDEX(新属性投放!S$25:S$28,卡牌属性!M707-1)))*INDEX($G$5:$G$42,L707),2)</f>
        <v>2146.75</v>
      </c>
      <c r="W707" s="29" t="s">
        <v>179</v>
      </c>
      <c r="X707" s="14">
        <f>ROUND((IF(Q707=1,INDEX(新属性投放!$L$14:$L$34,卡牌属性!R707),INDEX(新属性投放!$L$42:$L$62,卡牌属性!R707))*INDEX($G$5:$G$42,L707)+IF(Q707=1,INDEX(新属性投放!T$20:T$23,卡牌属性!M707-1),INDEX(新属性投放!T$25:T$28,卡牌属性!M707-1)))*SQRT(INDEX($I$5:$I$42,L707)),2)</f>
        <v>22872</v>
      </c>
      <c r="Y707" s="29" t="s">
        <v>177</v>
      </c>
      <c r="Z707" s="14">
        <f>ROUND(IF(Q707=1,INDEX(新属性投放!$D$14:$D$34,卡牌属性!R707),INDEX(新属性投放!$D$42:$D$62,卡牌属性!R707))*INDEX($G$5:$G$42,L707)/SQRT(INDEX($I$5:$I$42,L707)),2)</f>
        <v>103.34</v>
      </c>
      <c r="AA707" s="29" t="s">
        <v>178</v>
      </c>
      <c r="AB707" s="14">
        <f>ROUND(IF(Q707=1,INDEX(新属性投放!$E$14:$E$34,卡牌属性!R707),INDEX(新属性投放!$E$42:$E$62,卡牌属性!R707))*INDEX($G$5:$G$42,L707),2)</f>
        <v>51.67</v>
      </c>
      <c r="AC707" s="29" t="s">
        <v>179</v>
      </c>
      <c r="AD707" s="14">
        <f>ROUND(IF(Q707=1,INDEX(新属性投放!$F$14:$F$34,卡牌属性!R707),INDEX(新属性投放!$F$42:$F$62,卡牌属性!R707))*INDEX($G$5:$G$42,L707)*SQRT(INDEX($I$5:$I$42,L707)),2)</f>
        <v>465</v>
      </c>
      <c r="AF707" s="14">
        <f t="shared" si="189"/>
        <v>1033</v>
      </c>
      <c r="AG707" s="14">
        <f t="shared" si="190"/>
        <v>516</v>
      </c>
      <c r="AH707" s="14">
        <f t="shared" si="191"/>
        <v>4650</v>
      </c>
      <c r="AJ707" s="14">
        <f t="shared" si="198"/>
        <v>4318</v>
      </c>
      <c r="AK707" s="14">
        <f t="shared" si="199"/>
        <v>2158</v>
      </c>
      <c r="AL707" s="14">
        <f t="shared" si="200"/>
        <v>19410</v>
      </c>
    </row>
    <row r="708" spans="11:38" ht="16.5" x14ac:dyDescent="0.2">
      <c r="K708" s="13">
        <v>705</v>
      </c>
      <c r="L708" s="13">
        <f t="shared" si="183"/>
        <v>34</v>
      </c>
      <c r="M708" s="13">
        <f t="shared" si="184"/>
        <v>2</v>
      </c>
      <c r="N708" s="14">
        <f t="shared" si="185"/>
        <v>1102018</v>
      </c>
      <c r="O708" s="14" t="str">
        <f t="shared" si="186"/>
        <v>噬日12突</v>
      </c>
      <c r="P708" s="29" t="s">
        <v>341</v>
      </c>
      <c r="Q708" s="14">
        <f t="shared" si="187"/>
        <v>2</v>
      </c>
      <c r="R708" s="14">
        <f t="shared" si="188"/>
        <v>12</v>
      </c>
      <c r="S708" s="14" t="s">
        <v>39</v>
      </c>
      <c r="T708" s="14">
        <f>ROUND(((IF(Q708=1,INDEX(新属性投放!$J$14:$J$34,卡牌属性!R708),INDEX(新属性投放!$J$42:$J$62,卡牌属性!R708)))*INDEX($G$5:$G$42,L708)+IF(Q708=1,INDEX(新属性投放!R$20:R$23,卡牌属性!M708-1),INDEX(新属性投放!R$25:R$28,卡牌属性!M708-1)))/SQRT(INDEX($I$5:$I$42,L708)),2)</f>
        <v>5739.9</v>
      </c>
      <c r="U708" s="29" t="s">
        <v>178</v>
      </c>
      <c r="V708" s="14">
        <f>ROUND((IF(Q708=1,INDEX(新属性投放!$K$14:$K$34,卡牌属性!R708),INDEX(新属性投放!$K$42:$K$62,卡牌属性!R708))+IF(Q708=1,INDEX(新属性投放!S$20:S$23,卡牌属性!M708-1),INDEX(新属性投放!S$25:S$28,卡牌属性!M708-1)))*INDEX($G$5:$G$42,L708),2)</f>
        <v>2792.45</v>
      </c>
      <c r="W708" s="29" t="s">
        <v>179</v>
      </c>
      <c r="X708" s="14">
        <f>ROUND((IF(Q708=1,INDEX(新属性投放!$L$14:$L$34,卡牌属性!R708),INDEX(新属性投放!$L$42:$L$62,卡牌属性!R708))*INDEX($G$5:$G$42,L708)+IF(Q708=1,INDEX(新属性投放!T$20:T$23,卡牌属性!M708-1),INDEX(新属性投放!T$25:T$28,卡牌属性!M708-1)))*SQRT(INDEX($I$5:$I$42,L708)),2)</f>
        <v>29844</v>
      </c>
      <c r="Y708" s="29" t="s">
        <v>177</v>
      </c>
      <c r="Z708" s="14">
        <f>ROUND(IF(Q708=1,INDEX(新属性投放!$D$14:$D$34,卡牌属性!R708),INDEX(新属性投放!$D$42:$D$62,卡牌属性!R708))*INDEX($G$5:$G$42,L708)/SQRT(INDEX($I$5:$I$42,L708)),2)</f>
        <v>135.62</v>
      </c>
      <c r="AA708" s="29" t="s">
        <v>178</v>
      </c>
      <c r="AB708" s="14">
        <f>ROUND(IF(Q708=1,INDEX(新属性投放!$E$14:$E$34,卡牌属性!R708),INDEX(新属性投放!$E$42:$E$62,卡牌属性!R708))*INDEX($G$5:$G$42,L708),2)</f>
        <v>67.81</v>
      </c>
      <c r="AC708" s="29" t="s">
        <v>179</v>
      </c>
      <c r="AD708" s="14">
        <f>ROUND(IF(Q708=1,INDEX(新属性投放!$F$14:$F$34,卡牌属性!R708),INDEX(新属性投放!$F$42:$F$62,卡牌属性!R708))*INDEX($G$5:$G$42,L708)*SQRT(INDEX($I$5:$I$42,L708)),2)</f>
        <v>610</v>
      </c>
      <c r="AF708" s="14">
        <f t="shared" si="189"/>
        <v>1356</v>
      </c>
      <c r="AG708" s="14">
        <f t="shared" si="190"/>
        <v>678</v>
      </c>
      <c r="AH708" s="14">
        <f t="shared" si="191"/>
        <v>6100</v>
      </c>
      <c r="AJ708" s="14">
        <f t="shared" si="198"/>
        <v>5674</v>
      </c>
      <c r="AK708" s="14">
        <f t="shared" si="199"/>
        <v>2836</v>
      </c>
      <c r="AL708" s="14">
        <f t="shared" si="200"/>
        <v>25510</v>
      </c>
    </row>
    <row r="709" spans="11:38" ht="16.5" x14ac:dyDescent="0.2">
      <c r="K709" s="13">
        <v>706</v>
      </c>
      <c r="L709" s="13">
        <f t="shared" ref="L709:L759" si="201">MATCH(K709-1,$F$4:$F$41,1)</f>
        <v>34</v>
      </c>
      <c r="M709" s="13">
        <f t="shared" ref="M709:M772" si="202">INDEX($D$5:$D$42,L709)</f>
        <v>2</v>
      </c>
      <c r="N709" s="14">
        <f t="shared" ref="N709:N763" si="203">INDEX($A$4:$A$42,L709+1)</f>
        <v>1102018</v>
      </c>
      <c r="O709" s="14" t="str">
        <f t="shared" ref="O709:O763" si="204">INDEX($B$4:$B$42,MATCH(N709,$A$4:$A$42,0))&amp;R709&amp;"突"</f>
        <v>噬日13突</v>
      </c>
      <c r="P709" s="29" t="s">
        <v>341</v>
      </c>
      <c r="Q709" s="14">
        <f t="shared" ref="Q709:Q763" si="205">INDEX($C$4:$C$42,L709+1)</f>
        <v>2</v>
      </c>
      <c r="R709" s="14">
        <f t="shared" ref="R709:R763" si="206">K709-INDEX($F$4:$F$42,L709)</f>
        <v>13</v>
      </c>
      <c r="S709" s="14" t="s">
        <v>39</v>
      </c>
      <c r="T709" s="14">
        <f>ROUND(((IF(Q709=1,INDEX(新属性投放!$J$14:$J$34,卡牌属性!R709),INDEX(新属性投放!$J$42:$J$62,卡牌属性!R709)))*INDEX($G$5:$G$42,L709)+IF(Q709=1,INDEX(新属性投放!R$20:R$23,卡牌属性!M709-1),INDEX(新属性投放!R$25:R$28,卡牌属性!M709-1)))/SQRT(INDEX($I$5:$I$42,L709)),2)</f>
        <v>7435.1</v>
      </c>
      <c r="U709" s="29" t="s">
        <v>178</v>
      </c>
      <c r="V709" s="14">
        <f>ROUND((IF(Q709=1,INDEX(新属性投放!$K$14:$K$34,卡牌属性!R709),INDEX(新属性投放!$K$42:$K$62,卡牌属性!R709))+IF(Q709=1,INDEX(新属性投放!S$20:S$23,卡牌属性!M709-1),INDEX(新属性投放!S$25:S$28,卡牌属性!M709-1)))*INDEX($G$5:$G$42,L709),2)</f>
        <v>3640.55</v>
      </c>
      <c r="W709" s="29" t="s">
        <v>179</v>
      </c>
      <c r="X709" s="14">
        <f>ROUND((IF(Q709=1,INDEX(新属性投放!$L$14:$L$34,卡牌属性!R709),INDEX(新属性投放!$L$42:$L$62,卡牌属性!R709))*INDEX($G$5:$G$42,L709)+IF(Q709=1,INDEX(新属性投放!T$20:T$23,卡牌属性!M709-1),INDEX(新属性投放!T$25:T$28,卡牌属性!M709-1)))*SQRT(INDEX($I$5:$I$42,L709)),2)</f>
        <v>38995</v>
      </c>
      <c r="Y709" s="29" t="s">
        <v>177</v>
      </c>
      <c r="Z709" s="14">
        <f>ROUND(IF(Q709=1,INDEX(新属性投放!$D$14:$D$34,卡牌属性!R709),INDEX(新属性投放!$D$42:$D$62,卡牌属性!R709))*INDEX($G$5:$G$42,L709)/SQRT(INDEX($I$5:$I$42,L709)),2)</f>
        <v>178</v>
      </c>
      <c r="AA709" s="29" t="s">
        <v>178</v>
      </c>
      <c r="AB709" s="14">
        <f>ROUND(IF(Q709=1,INDEX(新属性投放!$E$14:$E$34,卡牌属性!R709),INDEX(新属性投放!$E$42:$E$62,卡牌属性!R709))*INDEX($G$5:$G$42,L709),2)</f>
        <v>89</v>
      </c>
      <c r="AC709" s="29" t="s">
        <v>179</v>
      </c>
      <c r="AD709" s="14">
        <f>ROUND(IF(Q709=1,INDEX(新属性投放!$F$14:$F$34,卡牌属性!R709),INDEX(新属性投放!$F$42:$F$62,卡牌属性!R709))*INDEX($G$5:$G$42,L709)*SQRT(INDEX($I$5:$I$42,L709)),2)</f>
        <v>801</v>
      </c>
      <c r="AF709" s="14">
        <f t="shared" ref="AF709:AF759" si="207">INT(Z709*AF$2*10)</f>
        <v>1780</v>
      </c>
      <c r="AG709" s="14">
        <f t="shared" ref="AG709:AG759" si="208">INT(AB709*AF$2*10)</f>
        <v>890</v>
      </c>
      <c r="AH709" s="14">
        <f t="shared" ref="AH709:AH759" si="209">INT(AD709*AF$2*10)</f>
        <v>8010</v>
      </c>
      <c r="AJ709" s="14">
        <f t="shared" si="198"/>
        <v>7454</v>
      </c>
      <c r="AK709" s="14">
        <f t="shared" si="199"/>
        <v>3726</v>
      </c>
      <c r="AL709" s="14">
        <f t="shared" si="200"/>
        <v>33520</v>
      </c>
    </row>
    <row r="710" spans="11:38" ht="16.5" x14ac:dyDescent="0.2">
      <c r="K710" s="13">
        <v>707</v>
      </c>
      <c r="L710" s="13">
        <f t="shared" si="201"/>
        <v>34</v>
      </c>
      <c r="M710" s="13">
        <f t="shared" si="202"/>
        <v>2</v>
      </c>
      <c r="N710" s="14">
        <f t="shared" si="203"/>
        <v>1102018</v>
      </c>
      <c r="O710" s="14" t="str">
        <f t="shared" si="204"/>
        <v>噬日14突</v>
      </c>
      <c r="P710" s="29" t="s">
        <v>341</v>
      </c>
      <c r="Q710" s="14">
        <f t="shared" si="205"/>
        <v>2</v>
      </c>
      <c r="R710" s="14">
        <f t="shared" si="206"/>
        <v>14</v>
      </c>
      <c r="S710" s="14" t="s">
        <v>39</v>
      </c>
      <c r="T710" s="14">
        <f>ROUND(((IF(Q710=1,INDEX(新属性投放!$J$14:$J$34,卡牌属性!R710),INDEX(新属性投放!$J$42:$J$62,卡牌属性!R710)))*INDEX($G$5:$G$42,L710)+IF(Q710=1,INDEX(新属性投放!R$20:R$23,卡牌属性!M710-1),INDEX(新属性投放!R$25:R$28,卡牌属性!M710-1)))/SQRT(INDEX($I$5:$I$42,L710)),2)</f>
        <v>9660.1</v>
      </c>
      <c r="U710" s="29" t="s">
        <v>178</v>
      </c>
      <c r="V710" s="14">
        <f>ROUND((IF(Q710=1,INDEX(新属性投放!$K$14:$K$34,卡牌属性!R710),INDEX(新属性投放!$K$42:$K$62,卡牌属性!R710))+IF(Q710=1,INDEX(新属性投放!S$20:S$23,卡牌属性!M710-1),INDEX(新属性投放!S$25:S$28,卡牌属性!M710-1)))*INDEX($G$5:$G$42,L710),2)</f>
        <v>4753.55</v>
      </c>
      <c r="W710" s="29" t="s">
        <v>179</v>
      </c>
      <c r="X710" s="14">
        <f>ROUND((IF(Q710=1,INDEX(新属性投放!$L$14:$L$34,卡牌属性!R710),INDEX(新属性投放!$L$42:$L$62,卡牌属性!R710))*INDEX($G$5:$G$42,L710)+IF(Q710=1,INDEX(新属性投放!T$20:T$23,卡牌属性!M710-1),INDEX(新属性投放!T$25:T$28,卡牌属性!M710-1)))*SQRT(INDEX($I$5:$I$42,L710)),2)</f>
        <v>51010</v>
      </c>
      <c r="Y710" s="29" t="s">
        <v>177</v>
      </c>
      <c r="Z710" s="14">
        <f>ROUND(IF(Q710=1,INDEX(新属性投放!$D$14:$D$34,卡牌属性!R710),INDEX(新属性投放!$D$42:$D$62,卡牌属性!R710))*INDEX($G$5:$G$42,L710)/SQRT(INDEX($I$5:$I$42,L710)),2)</f>
        <v>233.63</v>
      </c>
      <c r="AA710" s="29" t="s">
        <v>178</v>
      </c>
      <c r="AB710" s="14">
        <f>ROUND(IF(Q710=1,INDEX(新属性投放!$E$14:$E$34,卡牌属性!R710),INDEX(新属性投放!$E$42:$E$62,卡牌属性!R710))*INDEX($G$5:$G$42,L710),2)</f>
        <v>116.82</v>
      </c>
      <c r="AC710" s="29" t="s">
        <v>179</v>
      </c>
      <c r="AD710" s="14">
        <f>ROUND(IF(Q710=1,INDEX(新属性投放!$F$14:$F$34,卡牌属性!R710),INDEX(新属性投放!$F$42:$F$62,卡牌属性!R710))*INDEX($G$5:$G$42,L710)*SQRT(INDEX($I$5:$I$42,L710)),2)</f>
        <v>1051</v>
      </c>
      <c r="AF710" s="14">
        <f t="shared" si="207"/>
        <v>2336</v>
      </c>
      <c r="AG710" s="14">
        <f t="shared" si="208"/>
        <v>1168</v>
      </c>
      <c r="AH710" s="14">
        <f t="shared" si="209"/>
        <v>10510</v>
      </c>
      <c r="AJ710" s="14">
        <f t="shared" si="198"/>
        <v>9790</v>
      </c>
      <c r="AK710" s="14">
        <f t="shared" si="199"/>
        <v>4894</v>
      </c>
      <c r="AL710" s="14">
        <f t="shared" si="200"/>
        <v>44030</v>
      </c>
    </row>
    <row r="711" spans="11:38" ht="16.5" x14ac:dyDescent="0.2">
      <c r="K711" s="13">
        <v>708</v>
      </c>
      <c r="L711" s="13">
        <f t="shared" si="201"/>
        <v>34</v>
      </c>
      <c r="M711" s="13">
        <f t="shared" si="202"/>
        <v>2</v>
      </c>
      <c r="N711" s="14">
        <f t="shared" si="203"/>
        <v>1102018</v>
      </c>
      <c r="O711" s="14" t="str">
        <f t="shared" si="204"/>
        <v>噬日15突</v>
      </c>
      <c r="P711" s="29" t="s">
        <v>341</v>
      </c>
      <c r="Q711" s="14">
        <f t="shared" si="205"/>
        <v>2</v>
      </c>
      <c r="R711" s="14">
        <f t="shared" si="206"/>
        <v>15</v>
      </c>
      <c r="S711" s="14" t="s">
        <v>39</v>
      </c>
      <c r="T711" s="14">
        <f>ROUND(((IF(Q711=1,INDEX(新属性投放!$J$14:$J$34,卡牌属性!R711),INDEX(新属性投放!$J$42:$J$62,卡牌属性!R711)))*INDEX($G$5:$G$42,L711)+IF(Q711=1,INDEX(新属性投放!R$20:R$23,卡牌属性!M711-1),INDEX(新属性投放!R$25:R$28,卡牌属性!M711-1)))/SQRT(INDEX($I$5:$I$42,L711)),2)</f>
        <v>12580.4</v>
      </c>
      <c r="U711" s="29" t="s">
        <v>178</v>
      </c>
      <c r="V711" s="14">
        <f>ROUND((IF(Q711=1,INDEX(新属性投放!$K$14:$K$34,卡牌属性!R711),INDEX(新属性投放!$K$42:$K$62,卡牌属性!R711))+IF(Q711=1,INDEX(新属性投放!S$20:S$23,卡牌属性!M711-1),INDEX(新属性投放!S$25:S$28,卡牌属性!M711-1)))*INDEX($G$5:$G$42,L711),2)</f>
        <v>6213.7</v>
      </c>
      <c r="W711" s="29" t="s">
        <v>179</v>
      </c>
      <c r="X711" s="14">
        <f>ROUND((IF(Q711=1,INDEX(新属性投放!$L$14:$L$34,卡牌属性!R711),INDEX(新属性投放!$L$42:$L$62,卡牌属性!R711))*INDEX($G$5:$G$42,L711)+IF(Q711=1,INDEX(新属性投放!T$20:T$23,卡牌属性!M711-1),INDEX(新属性投放!T$25:T$28,卡牌属性!M711-1)))*SQRT(INDEX($I$5:$I$42,L711)),2)</f>
        <v>66776</v>
      </c>
      <c r="Y711" s="29" t="s">
        <v>177</v>
      </c>
      <c r="Z711" s="14">
        <f>ROUND(IF(Q711=1,INDEX(新属性投放!$D$14:$D$34,卡牌属性!R711),INDEX(新属性投放!$D$42:$D$62,卡牌属性!R711))*INDEX($G$5:$G$42,L711)/SQRT(INDEX($I$5:$I$42,L711)),2)</f>
        <v>306.64</v>
      </c>
      <c r="AA711" s="29" t="s">
        <v>178</v>
      </c>
      <c r="AB711" s="14">
        <f>ROUND(IF(Q711=1,INDEX(新属性投放!$E$14:$E$34,卡牌属性!R711),INDEX(新属性投放!$E$42:$E$62,卡牌属性!R711))*INDEX($G$5:$G$42,L711),2)</f>
        <v>153.32</v>
      </c>
      <c r="AC711" s="29" t="s">
        <v>179</v>
      </c>
      <c r="AD711" s="14">
        <f>ROUND(IF(Q711=1,INDEX(新属性投放!$F$14:$F$34,卡牌属性!R711),INDEX(新属性投放!$F$42:$F$62,卡牌属性!R711))*INDEX($G$5:$G$42,L711)*SQRT(INDEX($I$5:$I$42,L711)),2)</f>
        <v>1379</v>
      </c>
      <c r="AF711" s="14">
        <f t="shared" si="207"/>
        <v>3066</v>
      </c>
      <c r="AG711" s="14">
        <f t="shared" si="208"/>
        <v>1533</v>
      </c>
      <c r="AH711" s="14">
        <f t="shared" si="209"/>
        <v>13790</v>
      </c>
      <c r="AJ711" s="14">
        <f t="shared" si="198"/>
        <v>12856</v>
      </c>
      <c r="AK711" s="14">
        <f t="shared" si="199"/>
        <v>6427</v>
      </c>
      <c r="AL711" s="14">
        <f t="shared" si="200"/>
        <v>57820</v>
      </c>
    </row>
    <row r="712" spans="11:38" ht="16.5" x14ac:dyDescent="0.2">
      <c r="K712" s="13">
        <v>709</v>
      </c>
      <c r="L712" s="13">
        <f t="shared" si="201"/>
        <v>34</v>
      </c>
      <c r="M712" s="13">
        <f t="shared" si="202"/>
        <v>2</v>
      </c>
      <c r="N712" s="14">
        <f t="shared" si="203"/>
        <v>1102018</v>
      </c>
      <c r="O712" s="14" t="str">
        <f t="shared" si="204"/>
        <v>噬日16突</v>
      </c>
      <c r="P712" s="29" t="s">
        <v>341</v>
      </c>
      <c r="Q712" s="14">
        <f t="shared" si="205"/>
        <v>2</v>
      </c>
      <c r="R712" s="14">
        <f t="shared" si="206"/>
        <v>16</v>
      </c>
      <c r="S712" s="14" t="s">
        <v>39</v>
      </c>
      <c r="T712" s="14">
        <f>ROUND(((IF(Q712=1,INDEX(新属性投放!$J$14:$J$34,卡牌属性!R712),INDEX(新属性投放!$J$42:$J$62,卡牌属性!R712)))*INDEX($G$5:$G$42,L712)+IF(Q712=1,INDEX(新属性投放!R$20:R$23,卡牌属性!M712-1),INDEX(新属性投放!R$25:R$28,卡牌属性!M712-1)))/SQRT(INDEX($I$5:$I$42,L712)),2)</f>
        <v>16413.8</v>
      </c>
      <c r="U712" s="29" t="s">
        <v>178</v>
      </c>
      <c r="V712" s="14">
        <f>ROUND((IF(Q712=1,INDEX(新属性投放!$K$14:$K$34,卡牌属性!R712),INDEX(新属性投放!$K$42:$K$62,卡牌属性!R712))+IF(Q712=1,INDEX(新属性投放!S$20:S$23,卡牌属性!M712-1),INDEX(新属性投放!S$25:S$28,卡牌属性!M712-1)))*INDEX($G$5:$G$42,L712),2)</f>
        <v>8129.9</v>
      </c>
      <c r="W712" s="29" t="s">
        <v>179</v>
      </c>
      <c r="X712" s="14">
        <f>ROUND((IF(Q712=1,INDEX(新属性投放!$L$14:$L$34,卡牌属性!R712),INDEX(新属性投放!$L$42:$L$62,卡牌属性!R712))*INDEX($G$5:$G$42,L712)+IF(Q712=1,INDEX(新属性投放!T$20:T$23,卡牌属性!M712-1),INDEX(新属性投放!T$25:T$28,卡牌属性!M712-1)))*SQRT(INDEX($I$5:$I$42,L712)),2)</f>
        <v>87469</v>
      </c>
      <c r="Y712" s="29" t="s">
        <v>177</v>
      </c>
      <c r="Z712" s="14">
        <f>ROUND(IF(Q712=1,INDEX(新属性投放!$D$14:$D$34,卡牌属性!R712),INDEX(新属性投放!$D$42:$D$62,卡牌属性!R712))*INDEX($G$5:$G$42,L712)/SQRT(INDEX($I$5:$I$42,L712)),2)</f>
        <v>402.47</v>
      </c>
      <c r="AA712" s="29" t="s">
        <v>178</v>
      </c>
      <c r="AB712" s="14">
        <f>ROUND(IF(Q712=1,INDEX(新属性投放!$E$14:$E$34,卡牌属性!R712),INDEX(新属性投放!$E$42:$E$62,卡牌属性!R712))*INDEX($G$5:$G$42,L712),2)</f>
        <v>201.24</v>
      </c>
      <c r="AC712" s="29" t="s">
        <v>179</v>
      </c>
      <c r="AD712" s="14">
        <f>ROUND(IF(Q712=1,INDEX(新属性投放!$F$14:$F$34,卡牌属性!R712),INDEX(新属性投放!$F$42:$F$62,卡牌属性!R712))*INDEX($G$5:$G$42,L712)*SQRT(INDEX($I$5:$I$42,L712)),2)</f>
        <v>1811</v>
      </c>
      <c r="AF712" s="14">
        <f t="shared" si="207"/>
        <v>4024</v>
      </c>
      <c r="AG712" s="14">
        <f t="shared" si="208"/>
        <v>2012</v>
      </c>
      <c r="AH712" s="14">
        <f t="shared" si="209"/>
        <v>18110</v>
      </c>
      <c r="AJ712" s="14">
        <f t="shared" si="198"/>
        <v>16880</v>
      </c>
      <c r="AK712" s="14">
        <f t="shared" si="199"/>
        <v>8439</v>
      </c>
      <c r="AL712" s="14">
        <f t="shared" si="200"/>
        <v>75930</v>
      </c>
    </row>
    <row r="713" spans="11:38" ht="16.5" x14ac:dyDescent="0.2">
      <c r="K713" s="13">
        <v>710</v>
      </c>
      <c r="L713" s="13">
        <f t="shared" si="201"/>
        <v>34</v>
      </c>
      <c r="M713" s="13">
        <f t="shared" si="202"/>
        <v>2</v>
      </c>
      <c r="N713" s="14">
        <f t="shared" si="203"/>
        <v>1102018</v>
      </c>
      <c r="O713" s="14" t="str">
        <f t="shared" si="204"/>
        <v>噬日17突</v>
      </c>
      <c r="P713" s="29" t="s">
        <v>341</v>
      </c>
      <c r="Q713" s="14">
        <f t="shared" si="205"/>
        <v>2</v>
      </c>
      <c r="R713" s="14">
        <f t="shared" si="206"/>
        <v>17</v>
      </c>
      <c r="S713" s="14" t="s">
        <v>39</v>
      </c>
      <c r="T713" s="14">
        <f>ROUND(((IF(Q713=1,INDEX(新属性投放!$J$14:$J$34,卡牌属性!R713),INDEX(新属性投放!$J$42:$J$62,卡牌属性!R713)))*INDEX($G$5:$G$42,L713)+IF(Q713=1,INDEX(新属性投放!R$20:R$23,卡牌属性!M713-1),INDEX(新属性投放!R$25:R$28,卡牌属性!M713-1)))/SQRT(INDEX($I$5:$I$42,L713)),2)</f>
        <v>21444.5</v>
      </c>
      <c r="U713" s="29" t="s">
        <v>178</v>
      </c>
      <c r="V713" s="14">
        <f>ROUND((IF(Q713=1,INDEX(新属性投放!$K$14:$K$34,卡牌属性!R713),INDEX(新属性投放!$K$42:$K$62,卡牌属性!R713))+IF(Q713=1,INDEX(新属性投放!S$20:S$23,卡牌属性!M713-1),INDEX(新属性投放!S$25:S$28,卡牌属性!M713-1)))*INDEX($G$5:$G$42,L713),2)</f>
        <v>10645.25</v>
      </c>
      <c r="W713" s="29" t="s">
        <v>179</v>
      </c>
      <c r="X713" s="14">
        <f>ROUND((IF(Q713=1,INDEX(新属性投放!$L$14:$L$34,卡牌属性!R713),INDEX(新属性投放!$L$42:$L$62,卡牌属性!R713))*INDEX($G$5:$G$42,L713)+IF(Q713=1,INDEX(新属性投放!T$20:T$23,卡牌属性!M713-1),INDEX(新属性投放!T$25:T$28,卡牌属性!M713-1)))*SQRT(INDEX($I$5:$I$42,L713)),2)</f>
        <v>114633</v>
      </c>
      <c r="Y713" s="29" t="s">
        <v>177</v>
      </c>
      <c r="Z713" s="14">
        <f>ROUND(IF(Q713=1,INDEX(新属性投放!$D$14:$D$34,卡牌属性!R713),INDEX(新属性投放!$D$42:$D$62,卡牌属性!R713))*INDEX($G$5:$G$42,L713)/SQRT(INDEX($I$5:$I$42,L713)),2)</f>
        <v>528.24</v>
      </c>
      <c r="AA713" s="29" t="s">
        <v>178</v>
      </c>
      <c r="AB713" s="14">
        <f>ROUND(IF(Q713=1,INDEX(新属性投放!$E$14:$E$34,卡牌属性!R713),INDEX(新属性投放!$E$42:$E$62,卡牌属性!R713))*INDEX($G$5:$G$42,L713),2)</f>
        <v>264.12</v>
      </c>
      <c r="AC713" s="29" t="s">
        <v>179</v>
      </c>
      <c r="AD713" s="14">
        <f>ROUND(IF(Q713=1,INDEX(新属性投放!$F$14:$F$34,卡牌属性!R713),INDEX(新属性投放!$F$42:$F$62,卡牌属性!R713))*INDEX($G$5:$G$42,L713)*SQRT(INDEX($I$5:$I$42,L713)),2)</f>
        <v>2377</v>
      </c>
      <c r="AF713" s="14">
        <f t="shared" si="207"/>
        <v>5282</v>
      </c>
      <c r="AG713" s="14">
        <f t="shared" si="208"/>
        <v>2641</v>
      </c>
      <c r="AH713" s="14">
        <f t="shared" si="209"/>
        <v>23770</v>
      </c>
      <c r="AJ713" s="14">
        <f t="shared" si="198"/>
        <v>22162</v>
      </c>
      <c r="AK713" s="14">
        <f t="shared" si="199"/>
        <v>11080</v>
      </c>
      <c r="AL713" s="14">
        <f t="shared" si="200"/>
        <v>99700</v>
      </c>
    </row>
    <row r="714" spans="11:38" ht="16.5" x14ac:dyDescent="0.2">
      <c r="K714" s="13">
        <v>711</v>
      </c>
      <c r="L714" s="13">
        <f t="shared" si="201"/>
        <v>34</v>
      </c>
      <c r="M714" s="13">
        <f t="shared" si="202"/>
        <v>2</v>
      </c>
      <c r="N714" s="14">
        <f t="shared" si="203"/>
        <v>1102018</v>
      </c>
      <c r="O714" s="14" t="str">
        <f t="shared" si="204"/>
        <v>噬日18突</v>
      </c>
      <c r="P714" s="29" t="s">
        <v>341</v>
      </c>
      <c r="Q714" s="14">
        <f t="shared" si="205"/>
        <v>2</v>
      </c>
      <c r="R714" s="14">
        <f t="shared" si="206"/>
        <v>18</v>
      </c>
      <c r="S714" s="14" t="s">
        <v>39</v>
      </c>
      <c r="T714" s="14">
        <f>ROUND(((IF(Q714=1,INDEX(新属性投放!$J$14:$J$34,卡牌属性!R714),INDEX(新属性投放!$J$42:$J$62,卡牌属性!R714)))*INDEX($G$5:$G$42,L714)+IF(Q714=1,INDEX(新属性投放!R$20:R$23,卡牌属性!M714-1),INDEX(新属性投放!R$25:R$28,卡牌属性!M714-1)))/SQRT(INDEX($I$5:$I$42,L714)),2)</f>
        <v>28047.9</v>
      </c>
      <c r="U714" s="29" t="s">
        <v>178</v>
      </c>
      <c r="V714" s="14">
        <f>ROUND((IF(Q714=1,INDEX(新属性投放!$K$14:$K$34,卡牌属性!R714),INDEX(新属性投放!$K$42:$K$62,卡牌属性!R714))+IF(Q714=1,INDEX(新属性投放!S$20:S$23,卡牌属性!M714-1),INDEX(新属性投放!S$25:S$28,卡牌属性!M714-1)))*INDEX($G$5:$G$42,L714),2)</f>
        <v>13946.45</v>
      </c>
      <c r="W714" s="29" t="s">
        <v>179</v>
      </c>
      <c r="X714" s="14">
        <f>ROUND((IF(Q714=1,INDEX(新属性投放!$L$14:$L$34,卡牌属性!R714),INDEX(新属性投放!$L$42:$L$62,卡牌属性!R714))*INDEX($G$5:$G$42,L714)+IF(Q714=1,INDEX(新属性投放!T$20:T$23,卡牌属性!M714-1),INDEX(新属性投放!T$25:T$28,卡牌属性!M714-1)))*SQRT(INDEX($I$5:$I$42,L714)),2)</f>
        <v>150292</v>
      </c>
      <c r="Y714" s="29" t="s">
        <v>177</v>
      </c>
      <c r="Z714" s="14">
        <f>ROUND(IF(Q714=1,INDEX(新属性投放!$D$14:$D$34,卡牌属性!R714),INDEX(新属性投放!$D$42:$D$62,卡牌属性!R714))*INDEX($G$5:$G$42,L714)/SQRT(INDEX($I$5:$I$42,L714)),2)</f>
        <v>693.32</v>
      </c>
      <c r="AA714" s="29" t="s">
        <v>178</v>
      </c>
      <c r="AB714" s="14">
        <f>ROUND(IF(Q714=1,INDEX(新属性投放!$E$14:$E$34,卡牌属性!R714),INDEX(新属性投放!$E$42:$E$62,卡牌属性!R714))*INDEX($G$5:$G$42,L714),2)</f>
        <v>346.66</v>
      </c>
      <c r="AC714" s="29" t="s">
        <v>179</v>
      </c>
      <c r="AD714" s="14">
        <f>ROUND(IF(Q714=1,INDEX(新属性投放!$F$14:$F$34,卡牌属性!R714),INDEX(新属性投放!$F$42:$F$62,卡牌属性!R714))*INDEX($G$5:$G$42,L714)*SQRT(INDEX($I$5:$I$42,L714)),2)</f>
        <v>3119</v>
      </c>
      <c r="AF714" s="14">
        <f t="shared" si="207"/>
        <v>6933</v>
      </c>
      <c r="AG714" s="14">
        <f t="shared" si="208"/>
        <v>3466</v>
      </c>
      <c r="AH714" s="14">
        <f t="shared" si="209"/>
        <v>31190</v>
      </c>
      <c r="AJ714" s="14">
        <f t="shared" si="198"/>
        <v>29095</v>
      </c>
      <c r="AK714" s="14">
        <f t="shared" si="199"/>
        <v>14546</v>
      </c>
      <c r="AL714" s="14">
        <f t="shared" si="200"/>
        <v>130890</v>
      </c>
    </row>
    <row r="715" spans="11:38" ht="16.5" x14ac:dyDescent="0.2">
      <c r="K715" s="13">
        <v>712</v>
      </c>
      <c r="L715" s="13">
        <f t="shared" si="201"/>
        <v>34</v>
      </c>
      <c r="M715" s="13">
        <f t="shared" si="202"/>
        <v>2</v>
      </c>
      <c r="N715" s="14">
        <f t="shared" si="203"/>
        <v>1102018</v>
      </c>
      <c r="O715" s="14" t="str">
        <f t="shared" si="204"/>
        <v>噬日19突</v>
      </c>
      <c r="P715" s="29" t="s">
        <v>341</v>
      </c>
      <c r="Q715" s="14">
        <f t="shared" si="205"/>
        <v>2</v>
      </c>
      <c r="R715" s="14">
        <f t="shared" si="206"/>
        <v>19</v>
      </c>
      <c r="S715" s="14" t="s">
        <v>39</v>
      </c>
      <c r="T715" s="14">
        <f>ROUND(((IF(Q715=1,INDEX(新属性投放!$J$14:$J$34,卡牌属性!R715),INDEX(新属性投放!$J$42:$J$62,卡牌属性!R715)))*INDEX($G$5:$G$42,L715)+IF(Q715=1,INDEX(新属性投放!R$20:R$23,卡牌属性!M715-1),INDEX(新属性投放!R$25:R$28,卡牌属性!M715-1)))/SQRT(INDEX($I$5:$I$42,L715)),2)</f>
        <v>36714.1</v>
      </c>
      <c r="U715" s="29" t="s">
        <v>178</v>
      </c>
      <c r="V715" s="14">
        <f>ROUND((IF(Q715=1,INDEX(新属性投放!$K$14:$K$34,卡牌属性!R715),INDEX(新属性投放!$K$42:$K$62,卡牌属性!R715))+IF(Q715=1,INDEX(新属性投放!S$20:S$23,卡牌属性!M715-1),INDEX(新属性投放!S$25:S$28,卡牌属性!M715-1)))*INDEX($G$5:$G$42,L715),2)</f>
        <v>18280.05</v>
      </c>
      <c r="W715" s="29" t="s">
        <v>179</v>
      </c>
      <c r="X715" s="14">
        <f>ROUND((IF(Q715=1,INDEX(新属性投放!$L$14:$L$34,卡牌属性!R715),INDEX(新属性投放!$L$42:$L$62,卡牌属性!R715))*INDEX($G$5:$G$42,L715)+IF(Q715=1,INDEX(新属性投放!T$20:T$23,卡牌属性!M715-1),INDEX(新属性投放!T$25:T$28,卡牌属性!M715-1)))*SQRT(INDEX($I$5:$I$42,L715)),2)</f>
        <v>197079</v>
      </c>
      <c r="Y715" s="29" t="s">
        <v>177</v>
      </c>
      <c r="Z715" s="14">
        <f>ROUND(IF(Q715=1,INDEX(新属性投放!$D$14:$D$34,卡牌属性!R715),INDEX(新属性投放!$D$42:$D$62,卡牌属性!R715))*INDEX($G$5:$G$42,L715)/SQRT(INDEX($I$5:$I$42,L715)),2)</f>
        <v>909.98</v>
      </c>
      <c r="AA715" s="29" t="s">
        <v>178</v>
      </c>
      <c r="AB715" s="14">
        <f>ROUND(IF(Q715=1,INDEX(新属性投放!$E$14:$E$34,卡牌属性!R715),INDEX(新属性投放!$E$42:$E$62,卡牌属性!R715))*INDEX($G$5:$G$42,L715),2)</f>
        <v>454.99</v>
      </c>
      <c r="AC715" s="29" t="s">
        <v>179</v>
      </c>
      <c r="AD715" s="14">
        <f>ROUND(IF(Q715=1,INDEX(新属性投放!$F$14:$F$34,卡牌属性!R715),INDEX(新属性投放!$F$42:$F$62,卡牌属性!R715))*INDEX($G$5:$G$42,L715)*SQRT(INDEX($I$5:$I$42,L715)),2)</f>
        <v>4094</v>
      </c>
      <c r="AF715" s="14">
        <f t="shared" si="207"/>
        <v>9099</v>
      </c>
      <c r="AG715" s="14">
        <f t="shared" si="208"/>
        <v>4549</v>
      </c>
      <c r="AH715" s="14">
        <f t="shared" si="209"/>
        <v>40940</v>
      </c>
      <c r="AJ715" s="14">
        <f t="shared" si="198"/>
        <v>38194</v>
      </c>
      <c r="AK715" s="14">
        <f t="shared" si="199"/>
        <v>19095</v>
      </c>
      <c r="AL715" s="14">
        <f t="shared" si="200"/>
        <v>171830</v>
      </c>
    </row>
    <row r="716" spans="11:38" ht="16.5" x14ac:dyDescent="0.2">
      <c r="K716" s="13">
        <v>713</v>
      </c>
      <c r="L716" s="13">
        <f t="shared" si="201"/>
        <v>34</v>
      </c>
      <c r="M716" s="13">
        <f t="shared" si="202"/>
        <v>2</v>
      </c>
      <c r="N716" s="14">
        <f t="shared" si="203"/>
        <v>1102018</v>
      </c>
      <c r="O716" s="14" t="str">
        <f t="shared" si="204"/>
        <v>噬日20突</v>
      </c>
      <c r="P716" s="29" t="s">
        <v>341</v>
      </c>
      <c r="Q716" s="14">
        <f t="shared" si="205"/>
        <v>2</v>
      </c>
      <c r="R716" s="14">
        <f t="shared" si="206"/>
        <v>20</v>
      </c>
      <c r="S716" s="14" t="s">
        <v>39</v>
      </c>
      <c r="T716" s="14">
        <f>ROUND(((IF(Q716=1,INDEX(新属性投放!$J$14:$J$34,卡牌属性!R716),INDEX(新属性投放!$J$42:$J$62,卡牌属性!R716)))*INDEX($G$5:$G$42,L716)+IF(Q716=1,INDEX(新属性投放!R$20:R$23,卡牌属性!M716-1),INDEX(新属性投放!R$25:R$28,卡牌属性!M716-1)))/SQRT(INDEX($I$5:$I$42,L716)),2)</f>
        <v>48088.9</v>
      </c>
      <c r="U716" s="29" t="s">
        <v>178</v>
      </c>
      <c r="V716" s="14">
        <f>ROUND((IF(Q716=1,INDEX(新属性投放!$K$14:$K$34,卡牌属性!R716),INDEX(新属性投放!$K$42:$K$62,卡牌属性!R716))+IF(Q716=1,INDEX(新属性投放!S$20:S$23,卡牌属性!M716-1),INDEX(新属性投放!S$25:S$28,卡牌属性!M716-1)))*INDEX($G$5:$G$42,L716),2)</f>
        <v>23966.95</v>
      </c>
      <c r="W716" s="29" t="s">
        <v>179</v>
      </c>
      <c r="X716" s="14">
        <f>ROUND((IF(Q716=1,INDEX(新属性投放!$L$14:$L$34,卡牌属性!R716),INDEX(新属性投放!$L$42:$L$62,卡牌属性!R716))*INDEX($G$5:$G$42,L716)+IF(Q716=1,INDEX(新属性投放!T$20:T$23,卡牌属性!M716-1),INDEX(新属性投放!T$25:T$28,卡牌属性!M716-1)))*SQRT(INDEX($I$5:$I$42,L716)),2)</f>
        <v>258494</v>
      </c>
      <c r="Y716" s="29" t="s">
        <v>177</v>
      </c>
      <c r="Z716" s="14">
        <f>ROUND(IF(Q716=1,INDEX(新属性投放!$D$14:$D$34,卡牌属性!R716),INDEX(新属性投放!$D$42:$D$62,卡牌属性!R716))*INDEX($G$5:$G$42,L716)/SQRT(INDEX($I$5:$I$42,L716)),2)</f>
        <v>1194.3499999999999</v>
      </c>
      <c r="AA716" s="29" t="s">
        <v>178</v>
      </c>
      <c r="AB716" s="14">
        <f>ROUND(IF(Q716=1,INDEX(新属性投放!$E$14:$E$34,卡牌属性!R716),INDEX(新属性投放!$E$42:$E$62,卡牌属性!R716))*INDEX($G$5:$G$42,L716),2)</f>
        <v>597.17999999999995</v>
      </c>
      <c r="AC716" s="29" t="s">
        <v>179</v>
      </c>
      <c r="AD716" s="14">
        <f>ROUND(IF(Q716=1,INDEX(新属性投放!$F$14:$F$34,卡牌属性!R716),INDEX(新属性投放!$F$42:$F$62,卡牌属性!R716))*INDEX($G$5:$G$42,L716)*SQRT(INDEX($I$5:$I$42,L716)),2)</f>
        <v>5374</v>
      </c>
      <c r="AF716" s="14">
        <f t="shared" si="207"/>
        <v>11943</v>
      </c>
      <c r="AG716" s="14">
        <f t="shared" si="208"/>
        <v>5971</v>
      </c>
      <c r="AH716" s="14">
        <f t="shared" si="209"/>
        <v>53740</v>
      </c>
      <c r="AJ716" s="14">
        <f t="shared" si="198"/>
        <v>50137</v>
      </c>
      <c r="AK716" s="14">
        <f t="shared" si="199"/>
        <v>25066</v>
      </c>
      <c r="AL716" s="14">
        <f t="shared" si="200"/>
        <v>225570</v>
      </c>
    </row>
    <row r="717" spans="11:38" ht="16.5" x14ac:dyDescent="0.2">
      <c r="K717" s="13">
        <v>714</v>
      </c>
      <c r="L717" s="13">
        <f t="shared" si="201"/>
        <v>34</v>
      </c>
      <c r="M717" s="13">
        <f t="shared" si="202"/>
        <v>2</v>
      </c>
      <c r="N717" s="14">
        <f t="shared" si="203"/>
        <v>1102018</v>
      </c>
      <c r="O717" s="14" t="str">
        <f t="shared" si="204"/>
        <v>噬日21突</v>
      </c>
      <c r="P717" s="29" t="s">
        <v>341</v>
      </c>
      <c r="Q717" s="14">
        <f t="shared" si="205"/>
        <v>2</v>
      </c>
      <c r="R717" s="14">
        <f t="shared" si="206"/>
        <v>21</v>
      </c>
      <c r="S717" s="14" t="s">
        <v>39</v>
      </c>
      <c r="T717" s="14">
        <f>ROUND(((IF(Q717=1,INDEX(新属性投放!$J$14:$J$34,卡牌属性!R717),INDEX(新属性投放!$J$42:$J$62,卡牌属性!R717)))*INDEX($G$5:$G$42,L717)+IF(Q717=1,INDEX(新属性投放!R$20:R$23,卡牌属性!M717-1),INDEX(新属性投放!R$25:R$28,卡牌属性!M717-1)))/SQRT(INDEX($I$5:$I$42,L717)),2)</f>
        <v>63018.400000000001</v>
      </c>
      <c r="U717" s="29" t="s">
        <v>178</v>
      </c>
      <c r="V717" s="14">
        <f>ROUND((IF(Q717=1,INDEX(新属性投放!$K$14:$K$34,卡牌属性!R717),INDEX(新属性投放!$K$42:$K$62,卡牌属性!R717))+IF(Q717=1,INDEX(新属性投放!S$20:S$23,卡牌属性!M717-1),INDEX(新属性投放!S$25:S$28,卡牌属性!M717-1)))*INDEX($G$5:$G$42,L717),2)</f>
        <v>31431.7</v>
      </c>
      <c r="W717" s="29" t="s">
        <v>179</v>
      </c>
      <c r="X717" s="14">
        <f>ROUND((IF(Q717=1,INDEX(新属性投放!$L$14:$L$34,卡牌属性!R717),INDEX(新属性投放!$L$42:$L$62,卡牌属性!R717))*INDEX($G$5:$G$42,L717)+IF(Q717=1,INDEX(新属性投放!T$20:T$23,卡牌属性!M717-1),INDEX(新属性投放!T$25:T$28,卡牌属性!M717-1)))*SQRT(INDEX($I$5:$I$42,L717)),2)</f>
        <v>339108</v>
      </c>
      <c r="Y717" s="29" t="s">
        <v>177</v>
      </c>
      <c r="Z717" s="14">
        <f>ROUND(IF(Q717=1,INDEX(新属性投放!$D$14:$D$34,卡牌属性!R717),INDEX(新属性投放!$D$42:$D$62,卡牌属性!R717))*INDEX($G$5:$G$42,L717)/SQRT(INDEX($I$5:$I$42,L717)),2)</f>
        <v>1567.59</v>
      </c>
      <c r="AA717" s="29" t="s">
        <v>178</v>
      </c>
      <c r="AB717" s="14">
        <f>ROUND(IF(Q717=1,INDEX(新属性投放!$E$14:$E$34,卡牌属性!R717),INDEX(新属性投放!$E$42:$E$62,卡牌属性!R717))*INDEX($G$5:$G$42,L717),2)</f>
        <v>783.8</v>
      </c>
      <c r="AC717" s="29" t="s">
        <v>179</v>
      </c>
      <c r="AD717" s="14">
        <f>ROUND(IF(Q717=1,INDEX(新属性投放!$F$14:$F$34,卡牌属性!R717),INDEX(新属性投放!$F$42:$F$62,卡牌属性!R717))*INDEX($G$5:$G$42,L717)*SQRT(INDEX($I$5:$I$42,L717)),2)</f>
        <v>7054</v>
      </c>
      <c r="AF717" s="14">
        <f t="shared" si="207"/>
        <v>15675</v>
      </c>
      <c r="AG717" s="14">
        <f t="shared" si="208"/>
        <v>7838</v>
      </c>
      <c r="AH717" s="14">
        <f t="shared" si="209"/>
        <v>70540</v>
      </c>
      <c r="AJ717" s="14">
        <f t="shared" si="198"/>
        <v>65812</v>
      </c>
      <c r="AK717" s="14">
        <f t="shared" si="199"/>
        <v>32904</v>
      </c>
      <c r="AL717" s="14">
        <f t="shared" si="200"/>
        <v>296110</v>
      </c>
    </row>
    <row r="718" spans="11:38" ht="16.5" x14ac:dyDescent="0.2">
      <c r="K718" s="13">
        <v>715</v>
      </c>
      <c r="L718" s="13">
        <f t="shared" si="201"/>
        <v>35</v>
      </c>
      <c r="M718" s="13">
        <f t="shared" si="202"/>
        <v>2</v>
      </c>
      <c r="N718" s="14">
        <f t="shared" si="203"/>
        <v>1102019</v>
      </c>
      <c r="O718" s="14" t="str">
        <f t="shared" si="204"/>
        <v>食火蜥1突</v>
      </c>
      <c r="P718" s="29" t="s">
        <v>341</v>
      </c>
      <c r="Q718" s="14">
        <f t="shared" si="205"/>
        <v>2</v>
      </c>
      <c r="R718" s="14">
        <f t="shared" si="206"/>
        <v>1</v>
      </c>
      <c r="S718" s="14" t="s">
        <v>39</v>
      </c>
      <c r="T718" s="14">
        <f>ROUND(((IF(Q718=1,INDEX(新属性投放!$J$14:$J$34,卡牌属性!R718),INDEX(新属性投放!$J$42:$J$62,卡牌属性!R718)))*INDEX($G$5:$G$42,L718)+IF(Q718=1,INDEX(新属性投放!R$20:R$23,卡牌属性!M718-1),INDEX(新属性投放!R$25:R$28,卡牌属性!M718-1)))/SQRT(INDEX($I$5:$I$42,L718)),2)</f>
        <v>350</v>
      </c>
      <c r="U718" s="29" t="s">
        <v>178</v>
      </c>
      <c r="V718" s="14">
        <f>ROUND((IF(Q718=1,INDEX(新属性投放!$K$14:$K$34,卡牌属性!R718),INDEX(新属性投放!$K$42:$K$62,卡牌属性!R718))+IF(Q718=1,INDEX(新属性投放!S$20:S$23,卡牌属性!M718-1),INDEX(新属性投放!S$25:S$28,卡牌属性!M718-1)))*INDEX($G$5:$G$42,L718),2)</f>
        <v>100</v>
      </c>
      <c r="W718" s="29" t="s">
        <v>179</v>
      </c>
      <c r="X718" s="14">
        <f>ROUND((IF(Q718=1,INDEX(新属性投放!$L$14:$L$34,卡牌属性!R718),INDEX(新属性投放!$L$42:$L$62,卡牌属性!R718))*INDEX($G$5:$G$42,L718)+IF(Q718=1,INDEX(新属性投放!T$20:T$23,卡牌属性!M718-1),INDEX(新属性投放!T$25:T$28,卡牌属性!M718-1)))*SQRT(INDEX($I$5:$I$42,L718)),2)</f>
        <v>750</v>
      </c>
      <c r="Y718" s="29" t="s">
        <v>177</v>
      </c>
      <c r="Z718" s="14">
        <f>ROUND(IF(Q718=1,INDEX(新属性投放!$D$14:$D$34,卡牌属性!R718),INDEX(新属性投放!$D$42:$D$62,卡牌属性!R718))*INDEX($G$5:$G$42,L718)/SQRT(INDEX($I$5:$I$42,L718)),2)</f>
        <v>10</v>
      </c>
      <c r="AA718" s="29" t="s">
        <v>178</v>
      </c>
      <c r="AB718" s="14">
        <f>ROUND(IF(Q718=1,INDEX(新属性投放!$E$14:$E$34,卡牌属性!R718),INDEX(新属性投放!$E$42:$E$62,卡牌属性!R718))*INDEX($G$5:$G$42,L718),2)</f>
        <v>5</v>
      </c>
      <c r="AC718" s="29" t="s">
        <v>179</v>
      </c>
      <c r="AD718" s="14">
        <f>ROUND(IF(Q718=1,INDEX(新属性投放!$F$14:$F$34,卡牌属性!R718),INDEX(新属性投放!$F$42:$F$62,卡牌属性!R718))*INDEX($G$5:$G$42,L718)*SQRT(INDEX($I$5:$I$42,L718)),2)</f>
        <v>45</v>
      </c>
      <c r="AF718" s="14">
        <f t="shared" si="207"/>
        <v>100</v>
      </c>
      <c r="AG718" s="14">
        <f t="shared" si="208"/>
        <v>50</v>
      </c>
      <c r="AH718" s="14">
        <f t="shared" si="209"/>
        <v>450</v>
      </c>
      <c r="AJ718" s="14">
        <f>AF718</f>
        <v>100</v>
      </c>
      <c r="AK718" s="14">
        <f>AG718</f>
        <v>50</v>
      </c>
      <c r="AL718" s="14">
        <f>AH718</f>
        <v>450</v>
      </c>
    </row>
    <row r="719" spans="11:38" ht="16.5" x14ac:dyDescent="0.2">
      <c r="K719" s="13">
        <v>716</v>
      </c>
      <c r="L719" s="13">
        <f t="shared" si="201"/>
        <v>35</v>
      </c>
      <c r="M719" s="13">
        <f t="shared" si="202"/>
        <v>2</v>
      </c>
      <c r="N719" s="14">
        <f t="shared" si="203"/>
        <v>1102019</v>
      </c>
      <c r="O719" s="14" t="str">
        <f t="shared" si="204"/>
        <v>食火蜥2突</v>
      </c>
      <c r="P719" s="29" t="s">
        <v>341</v>
      </c>
      <c r="Q719" s="14">
        <f t="shared" si="205"/>
        <v>2</v>
      </c>
      <c r="R719" s="14">
        <f t="shared" si="206"/>
        <v>2</v>
      </c>
      <c r="S719" s="14" t="s">
        <v>39</v>
      </c>
      <c r="T719" s="14">
        <f>ROUND(((IF(Q719=1,INDEX(新属性投放!$J$14:$J$34,卡牌属性!R719),INDEX(新属性投放!$J$42:$J$62,卡牌属性!R719)))*INDEX($G$5:$G$42,L719)+IF(Q719=1,INDEX(新属性投放!R$20:R$23,卡牌属性!M719-1),INDEX(新属性投放!R$25:R$28,卡牌属性!M719-1)))/SQRT(INDEX($I$5:$I$42,L719)),2)</f>
        <v>465</v>
      </c>
      <c r="U719" s="29" t="s">
        <v>178</v>
      </c>
      <c r="V719" s="14">
        <f>ROUND((IF(Q719=1,INDEX(新属性投放!$K$14:$K$34,卡牌属性!R719),INDEX(新属性投放!$K$42:$K$62,卡牌属性!R719))+IF(Q719=1,INDEX(新属性投放!S$20:S$23,卡牌属性!M719-1),INDEX(新属性投放!S$25:S$28,卡牌属性!M719-1)))*INDEX($G$5:$G$42,L719),2)</f>
        <v>155</v>
      </c>
      <c r="W719" s="29" t="s">
        <v>179</v>
      </c>
      <c r="X719" s="14">
        <f>ROUND((IF(Q719=1,INDEX(新属性投放!$L$14:$L$34,卡牌属性!R719),INDEX(新属性投放!$L$42:$L$62,卡牌属性!R719))*INDEX($G$5:$G$42,L719)+IF(Q719=1,INDEX(新属性投放!T$20:T$23,卡牌属性!M719-1),INDEX(新属性投放!T$25:T$28,卡牌属性!M719-1)))*SQRT(INDEX($I$5:$I$42,L719)),2)</f>
        <v>1380</v>
      </c>
      <c r="Y719" s="29" t="s">
        <v>177</v>
      </c>
      <c r="Z719" s="14">
        <f>ROUND(IF(Q719=1,INDEX(新属性投放!$D$14:$D$34,卡牌属性!R719),INDEX(新属性投放!$D$42:$D$62,卡牌属性!R719))*INDEX($G$5:$G$42,L719)/SQRT(INDEX($I$5:$I$42,L719)),2)</f>
        <v>10</v>
      </c>
      <c r="AA719" s="29" t="s">
        <v>178</v>
      </c>
      <c r="AB719" s="14">
        <f>ROUND(IF(Q719=1,INDEX(新属性投放!$E$14:$E$34,卡牌属性!R719),INDEX(新属性投放!$E$42:$E$62,卡牌属性!R719))*INDEX($G$5:$G$42,L719),2)</f>
        <v>5</v>
      </c>
      <c r="AC719" s="29" t="s">
        <v>179</v>
      </c>
      <c r="AD719" s="14">
        <f>ROUND(IF(Q719=1,INDEX(新属性投放!$F$14:$F$34,卡牌属性!R719),INDEX(新属性投放!$F$42:$F$62,卡牌属性!R719))*INDEX($G$5:$G$42,L719)*SQRT(INDEX($I$5:$I$42,L719)),2)</f>
        <v>45</v>
      </c>
      <c r="AF719" s="14">
        <f t="shared" si="207"/>
        <v>100</v>
      </c>
      <c r="AG719" s="14">
        <f t="shared" si="208"/>
        <v>50</v>
      </c>
      <c r="AH719" s="14">
        <f t="shared" si="209"/>
        <v>450</v>
      </c>
      <c r="AJ719" s="14">
        <f t="shared" ref="AJ719:AJ738" si="210">AJ718+AF719</f>
        <v>200</v>
      </c>
      <c r="AK719" s="14">
        <f t="shared" ref="AK719:AK738" si="211">AK718+AG719</f>
        <v>100</v>
      </c>
      <c r="AL719" s="14">
        <f t="shared" ref="AL719:AL738" si="212">AL718+AH719</f>
        <v>900</v>
      </c>
    </row>
    <row r="720" spans="11:38" ht="16.5" x14ac:dyDescent="0.2">
      <c r="K720" s="13">
        <v>717</v>
      </c>
      <c r="L720" s="13">
        <f t="shared" si="201"/>
        <v>35</v>
      </c>
      <c r="M720" s="13">
        <f t="shared" si="202"/>
        <v>2</v>
      </c>
      <c r="N720" s="14">
        <f t="shared" si="203"/>
        <v>1102019</v>
      </c>
      <c r="O720" s="14" t="str">
        <f t="shared" si="204"/>
        <v>食火蜥3突</v>
      </c>
      <c r="P720" s="29" t="s">
        <v>341</v>
      </c>
      <c r="Q720" s="14">
        <f t="shared" si="205"/>
        <v>2</v>
      </c>
      <c r="R720" s="14">
        <f t="shared" si="206"/>
        <v>3</v>
      </c>
      <c r="S720" s="14" t="s">
        <v>39</v>
      </c>
      <c r="T720" s="14">
        <f>ROUND(((IF(Q720=1,INDEX(新属性投放!$J$14:$J$34,卡牌属性!R720),INDEX(新属性投放!$J$42:$J$62,卡牌属性!R720)))*INDEX($G$5:$G$42,L720)+IF(Q720=1,INDEX(新属性投放!R$20:R$23,卡牌属性!M720-1),INDEX(新属性投放!R$25:R$28,卡牌属性!M720-1)))/SQRT(INDEX($I$5:$I$42,L720)),2)</f>
        <v>590</v>
      </c>
      <c r="U720" s="29" t="s">
        <v>178</v>
      </c>
      <c r="V720" s="14">
        <f>ROUND((IF(Q720=1,INDEX(新属性投放!$K$14:$K$34,卡牌属性!R720),INDEX(新属性投放!$K$42:$K$62,卡牌属性!R720))+IF(Q720=1,INDEX(新属性投放!S$20:S$23,卡牌属性!M720-1),INDEX(新属性投放!S$25:S$28,卡牌属性!M720-1)))*INDEX($G$5:$G$42,L720),2)</f>
        <v>218</v>
      </c>
      <c r="W720" s="29" t="s">
        <v>179</v>
      </c>
      <c r="X720" s="14">
        <f>ROUND((IF(Q720=1,INDEX(新属性投放!$L$14:$L$34,卡牌属性!R720),INDEX(新属性投放!$L$42:$L$62,卡牌属性!R720))*INDEX($G$5:$G$42,L720)+IF(Q720=1,INDEX(新属性投放!T$20:T$23,卡牌属性!M720-1),INDEX(新属性投放!T$25:T$28,卡牌属性!M720-1)))*SQRT(INDEX($I$5:$I$42,L720)),2)</f>
        <v>2055</v>
      </c>
      <c r="Y720" s="29" t="s">
        <v>177</v>
      </c>
      <c r="Z720" s="14">
        <f>ROUND(IF(Q720=1,INDEX(新属性投放!$D$14:$D$34,卡牌属性!R720),INDEX(新属性投放!$D$42:$D$62,卡牌属性!R720))*INDEX($G$5:$G$42,L720)/SQRT(INDEX($I$5:$I$42,L720)),2)</f>
        <v>15</v>
      </c>
      <c r="AA720" s="29" t="s">
        <v>178</v>
      </c>
      <c r="AB720" s="14">
        <f>ROUND(IF(Q720=1,INDEX(新属性投放!$E$14:$E$34,卡牌属性!R720),INDEX(新属性投放!$E$42:$E$62,卡牌属性!R720))*INDEX($G$5:$G$42,L720),2)</f>
        <v>7.5</v>
      </c>
      <c r="AC720" s="29" t="s">
        <v>179</v>
      </c>
      <c r="AD720" s="14">
        <f>ROUND(IF(Q720=1,INDEX(新属性投放!$F$14:$F$34,卡牌属性!R720),INDEX(新属性投放!$F$42:$F$62,卡牌属性!R720))*INDEX($G$5:$G$42,L720)*SQRT(INDEX($I$5:$I$42,L720)),2)</f>
        <v>67</v>
      </c>
      <c r="AF720" s="14">
        <f t="shared" si="207"/>
        <v>150</v>
      </c>
      <c r="AG720" s="14">
        <f t="shared" si="208"/>
        <v>75</v>
      </c>
      <c r="AH720" s="14">
        <f t="shared" si="209"/>
        <v>670</v>
      </c>
      <c r="AJ720" s="14">
        <f t="shared" si="210"/>
        <v>350</v>
      </c>
      <c r="AK720" s="14">
        <f t="shared" si="211"/>
        <v>175</v>
      </c>
      <c r="AL720" s="14">
        <f t="shared" si="212"/>
        <v>1570</v>
      </c>
    </row>
    <row r="721" spans="11:38" ht="16.5" x14ac:dyDescent="0.2">
      <c r="K721" s="13">
        <v>718</v>
      </c>
      <c r="L721" s="13">
        <f t="shared" si="201"/>
        <v>35</v>
      </c>
      <c r="M721" s="13">
        <f t="shared" si="202"/>
        <v>2</v>
      </c>
      <c r="N721" s="14">
        <f t="shared" si="203"/>
        <v>1102019</v>
      </c>
      <c r="O721" s="14" t="str">
        <f t="shared" si="204"/>
        <v>食火蜥4突</v>
      </c>
      <c r="P721" s="29" t="s">
        <v>341</v>
      </c>
      <c r="Q721" s="14">
        <f t="shared" si="205"/>
        <v>2</v>
      </c>
      <c r="R721" s="14">
        <f t="shared" si="206"/>
        <v>4</v>
      </c>
      <c r="S721" s="14" t="s">
        <v>39</v>
      </c>
      <c r="T721" s="14">
        <f>ROUND(((IF(Q721=1,INDEX(新属性投放!$J$14:$J$34,卡牌属性!R721),INDEX(新属性投放!$J$42:$J$62,卡牌属性!R721)))*INDEX($G$5:$G$42,L721)+IF(Q721=1,INDEX(新属性投放!R$20:R$23,卡牌属性!M721-1),INDEX(新属性投放!R$25:R$28,卡牌属性!M721-1)))/SQRT(INDEX($I$5:$I$42,L721)),2)</f>
        <v>778</v>
      </c>
      <c r="U721" s="29" t="s">
        <v>178</v>
      </c>
      <c r="V721" s="14">
        <f>ROUND((IF(Q721=1,INDEX(新属性投放!$K$14:$K$34,卡牌属性!R721),INDEX(新属性投放!$K$42:$K$62,卡牌属性!R721))+IF(Q721=1,INDEX(新属性投放!S$20:S$23,卡牌属性!M721-1),INDEX(新属性投放!S$25:S$28,卡牌属性!M721-1)))*INDEX($G$5:$G$42,L721),2)</f>
        <v>312</v>
      </c>
      <c r="W721" s="29" t="s">
        <v>179</v>
      </c>
      <c r="X721" s="14">
        <f>ROUND((IF(Q721=1,INDEX(新属性投放!$L$14:$L$34,卡牌属性!R721),INDEX(新属性投放!$L$42:$L$62,卡牌属性!R721))*INDEX($G$5:$G$42,L721)+IF(Q721=1,INDEX(新属性投放!T$20:T$23,卡牌属性!M721-1),INDEX(新属性投放!T$25:T$28,卡牌属性!M721-1)))*SQRT(INDEX($I$5:$I$42,L721)),2)</f>
        <v>3067</v>
      </c>
      <c r="Y721" s="29" t="s">
        <v>177</v>
      </c>
      <c r="Z721" s="14">
        <f>ROUND(IF(Q721=1,INDEX(新属性投放!$D$14:$D$34,卡牌属性!R721),INDEX(新属性投放!$D$42:$D$62,卡牌属性!R721))*INDEX($G$5:$G$42,L721)/SQRT(INDEX($I$5:$I$42,L721)),2)</f>
        <v>20</v>
      </c>
      <c r="AA721" s="29" t="s">
        <v>178</v>
      </c>
      <c r="AB721" s="14">
        <f>ROUND(IF(Q721=1,INDEX(新属性投放!$E$14:$E$34,卡牌属性!R721),INDEX(新属性投放!$E$42:$E$62,卡牌属性!R721))*INDEX($G$5:$G$42,L721),2)</f>
        <v>10</v>
      </c>
      <c r="AC721" s="29" t="s">
        <v>179</v>
      </c>
      <c r="AD721" s="14">
        <f>ROUND(IF(Q721=1,INDEX(新属性投放!$F$14:$F$34,卡牌属性!R721),INDEX(新属性投放!$F$42:$F$62,卡牌属性!R721))*INDEX($G$5:$G$42,L721)*SQRT(INDEX($I$5:$I$42,L721)),2)</f>
        <v>90</v>
      </c>
      <c r="AF721" s="14">
        <f t="shared" si="207"/>
        <v>200</v>
      </c>
      <c r="AG721" s="14">
        <f t="shared" si="208"/>
        <v>100</v>
      </c>
      <c r="AH721" s="14">
        <f t="shared" si="209"/>
        <v>900</v>
      </c>
      <c r="AJ721" s="14">
        <f t="shared" si="210"/>
        <v>550</v>
      </c>
      <c r="AK721" s="14">
        <f t="shared" si="211"/>
        <v>275</v>
      </c>
      <c r="AL721" s="14">
        <f t="shared" si="212"/>
        <v>2470</v>
      </c>
    </row>
    <row r="722" spans="11:38" ht="16.5" x14ac:dyDescent="0.2">
      <c r="K722" s="13">
        <v>719</v>
      </c>
      <c r="L722" s="13">
        <f t="shared" si="201"/>
        <v>35</v>
      </c>
      <c r="M722" s="13">
        <f t="shared" si="202"/>
        <v>2</v>
      </c>
      <c r="N722" s="14">
        <f t="shared" si="203"/>
        <v>1102019</v>
      </c>
      <c r="O722" s="14" t="str">
        <f t="shared" si="204"/>
        <v>食火蜥5突</v>
      </c>
      <c r="P722" s="29" t="s">
        <v>341</v>
      </c>
      <c r="Q722" s="14">
        <f t="shared" si="205"/>
        <v>2</v>
      </c>
      <c r="R722" s="14">
        <f t="shared" si="206"/>
        <v>5</v>
      </c>
      <c r="S722" s="14" t="s">
        <v>39</v>
      </c>
      <c r="T722" s="14">
        <f>ROUND(((IF(Q722=1,INDEX(新属性投放!$J$14:$J$34,卡牌属性!R722),INDEX(新属性投放!$J$42:$J$62,卡牌属性!R722)))*INDEX($G$5:$G$42,L722)+IF(Q722=1,INDEX(新属性投放!R$20:R$23,卡牌属性!M722-1),INDEX(新属性投放!R$25:R$28,卡牌属性!M722-1)))/SQRT(INDEX($I$5:$I$42,L722)),2)</f>
        <v>1028</v>
      </c>
      <c r="U722" s="29" t="s">
        <v>178</v>
      </c>
      <c r="V722" s="14">
        <f>ROUND((IF(Q722=1,INDEX(新属性投放!$K$14:$K$34,卡牌属性!R722),INDEX(新属性投放!$K$42:$K$62,卡牌属性!R722))+IF(Q722=1,INDEX(新属性投放!S$20:S$23,卡牌属性!M722-1),INDEX(新属性投放!S$25:S$28,卡牌属性!M722-1)))*INDEX($G$5:$G$42,L722),2)</f>
        <v>437</v>
      </c>
      <c r="W722" s="29" t="s">
        <v>179</v>
      </c>
      <c r="X722" s="14">
        <f>ROUND((IF(Q722=1,INDEX(新属性投放!$L$14:$L$34,卡牌属性!R722),INDEX(新属性投放!$L$42:$L$62,卡牌属性!R722))*INDEX($G$5:$G$42,L722)+IF(Q722=1,INDEX(新属性投放!T$20:T$23,卡牌属性!M722-1),INDEX(新属性投放!T$25:T$28,卡牌属性!M722-1)))*SQRT(INDEX($I$5:$I$42,L722)),2)</f>
        <v>4417</v>
      </c>
      <c r="Y722" s="29" t="s">
        <v>177</v>
      </c>
      <c r="Z722" s="14">
        <f>ROUND(IF(Q722=1,INDEX(新属性投放!$D$14:$D$34,卡牌属性!R722),INDEX(新属性投放!$D$42:$D$62,卡牌属性!R722))*INDEX($G$5:$G$42,L722)/SQRT(INDEX($I$5:$I$42,L722)),2)</f>
        <v>25</v>
      </c>
      <c r="AA722" s="29" t="s">
        <v>178</v>
      </c>
      <c r="AB722" s="14">
        <f>ROUND(IF(Q722=1,INDEX(新属性投放!$E$14:$E$34,卡牌属性!R722),INDEX(新属性投放!$E$42:$E$62,卡牌属性!R722))*INDEX($G$5:$G$42,L722),2)</f>
        <v>12.5</v>
      </c>
      <c r="AC722" s="29" t="s">
        <v>179</v>
      </c>
      <c r="AD722" s="14">
        <f>ROUND(IF(Q722=1,INDEX(新属性投放!$F$14:$F$34,卡牌属性!R722),INDEX(新属性投放!$F$42:$F$62,卡牌属性!R722))*INDEX($G$5:$G$42,L722)*SQRT(INDEX($I$5:$I$42,L722)),2)</f>
        <v>112</v>
      </c>
      <c r="AF722" s="14">
        <f t="shared" si="207"/>
        <v>250</v>
      </c>
      <c r="AG722" s="14">
        <f t="shared" si="208"/>
        <v>125</v>
      </c>
      <c r="AH722" s="14">
        <f t="shared" si="209"/>
        <v>1120</v>
      </c>
      <c r="AJ722" s="14">
        <f t="shared" si="210"/>
        <v>800</v>
      </c>
      <c r="AK722" s="14">
        <f t="shared" si="211"/>
        <v>400</v>
      </c>
      <c r="AL722" s="14">
        <f t="shared" si="212"/>
        <v>3590</v>
      </c>
    </row>
    <row r="723" spans="11:38" ht="16.5" x14ac:dyDescent="0.2">
      <c r="K723" s="13">
        <v>720</v>
      </c>
      <c r="L723" s="13">
        <f t="shared" si="201"/>
        <v>35</v>
      </c>
      <c r="M723" s="13">
        <f t="shared" si="202"/>
        <v>2</v>
      </c>
      <c r="N723" s="14">
        <f t="shared" si="203"/>
        <v>1102019</v>
      </c>
      <c r="O723" s="14" t="str">
        <f t="shared" si="204"/>
        <v>食火蜥6突</v>
      </c>
      <c r="P723" s="29" t="s">
        <v>341</v>
      </c>
      <c r="Q723" s="14">
        <f t="shared" si="205"/>
        <v>2</v>
      </c>
      <c r="R723" s="14">
        <f t="shared" si="206"/>
        <v>6</v>
      </c>
      <c r="S723" s="14" t="s">
        <v>39</v>
      </c>
      <c r="T723" s="14">
        <f>ROUND(((IF(Q723=1,INDEX(新属性投放!$J$14:$J$34,卡牌属性!R723),INDEX(新属性投放!$J$42:$J$62,卡牌属性!R723)))*INDEX($G$5:$G$42,L723)+IF(Q723=1,INDEX(新属性投放!R$20:R$23,卡牌属性!M723-1),INDEX(新属性投放!R$25:R$28,卡牌属性!M723-1)))/SQRT(INDEX($I$5:$I$42,L723)),2)</f>
        <v>1341</v>
      </c>
      <c r="U723" s="29" t="s">
        <v>178</v>
      </c>
      <c r="V723" s="14">
        <f>ROUND((IF(Q723=1,INDEX(新属性投放!$K$14:$K$34,卡牌属性!R723),INDEX(新属性投放!$K$42:$K$62,卡牌属性!R723))+IF(Q723=1,INDEX(新属性投放!S$20:S$23,卡牌属性!M723-1),INDEX(新属性投放!S$25:S$28,卡牌属性!M723-1)))*INDEX($G$5:$G$42,L723),2)</f>
        <v>593</v>
      </c>
      <c r="W723" s="29" t="s">
        <v>179</v>
      </c>
      <c r="X723" s="14">
        <f>ROUND((IF(Q723=1,INDEX(新属性投放!$L$14:$L$34,卡牌属性!R723),INDEX(新属性投放!$L$42:$L$62,卡牌属性!R723))*INDEX($G$5:$G$42,L723)+IF(Q723=1,INDEX(新属性投放!T$20:T$23,卡牌属性!M723-1),INDEX(新属性投放!T$25:T$28,卡牌属性!M723-1)))*SQRT(INDEX($I$5:$I$42,L723)),2)</f>
        <v>6104</v>
      </c>
      <c r="Y723" s="29" t="s">
        <v>177</v>
      </c>
      <c r="Z723" s="14">
        <f>ROUND(IF(Q723=1,INDEX(新属性投放!$D$14:$D$34,卡牌属性!R723),INDEX(新属性投放!$D$42:$D$62,卡牌属性!R723))*INDEX($G$5:$G$42,L723)/SQRT(INDEX($I$5:$I$42,L723)),2)</f>
        <v>30</v>
      </c>
      <c r="AA723" s="29" t="s">
        <v>178</v>
      </c>
      <c r="AB723" s="14">
        <f>ROUND(IF(Q723=1,INDEX(新属性投放!$E$14:$E$34,卡牌属性!R723),INDEX(新属性投放!$E$42:$E$62,卡牌属性!R723))*INDEX($G$5:$G$42,L723),2)</f>
        <v>15</v>
      </c>
      <c r="AC723" s="29" t="s">
        <v>179</v>
      </c>
      <c r="AD723" s="14">
        <f>ROUND(IF(Q723=1,INDEX(新属性投放!$F$14:$F$34,卡牌属性!R723),INDEX(新属性投放!$F$42:$F$62,卡牌属性!R723))*INDEX($G$5:$G$42,L723)*SQRT(INDEX($I$5:$I$42,L723)),2)</f>
        <v>135</v>
      </c>
      <c r="AF723" s="14">
        <f t="shared" si="207"/>
        <v>300</v>
      </c>
      <c r="AG723" s="14">
        <f t="shared" si="208"/>
        <v>150</v>
      </c>
      <c r="AH723" s="14">
        <f t="shared" si="209"/>
        <v>1350</v>
      </c>
      <c r="AJ723" s="14">
        <f t="shared" si="210"/>
        <v>1100</v>
      </c>
      <c r="AK723" s="14">
        <f t="shared" si="211"/>
        <v>550</v>
      </c>
      <c r="AL723" s="14">
        <f t="shared" si="212"/>
        <v>4940</v>
      </c>
    </row>
    <row r="724" spans="11:38" ht="16.5" x14ac:dyDescent="0.2">
      <c r="K724" s="13">
        <v>721</v>
      </c>
      <c r="L724" s="13">
        <f t="shared" si="201"/>
        <v>35</v>
      </c>
      <c r="M724" s="13">
        <f t="shared" si="202"/>
        <v>2</v>
      </c>
      <c r="N724" s="14">
        <f t="shared" si="203"/>
        <v>1102019</v>
      </c>
      <c r="O724" s="14" t="str">
        <f t="shared" si="204"/>
        <v>食火蜥7突</v>
      </c>
      <c r="P724" s="29" t="s">
        <v>341</v>
      </c>
      <c r="Q724" s="14">
        <f t="shared" si="205"/>
        <v>2</v>
      </c>
      <c r="R724" s="14">
        <f t="shared" si="206"/>
        <v>7</v>
      </c>
      <c r="S724" s="14" t="s">
        <v>39</v>
      </c>
      <c r="T724" s="14">
        <f>ROUND(((IF(Q724=1,INDEX(新属性投放!$J$14:$J$34,卡牌属性!R724),INDEX(新属性投放!$J$42:$J$62,卡牌属性!R724)))*INDEX($G$5:$G$42,L724)+IF(Q724=1,INDEX(新属性投放!R$20:R$23,卡牌属性!M724-1),INDEX(新属性投放!R$25:R$28,卡牌属性!M724-1)))/SQRT(INDEX($I$5:$I$42,L724)),2)</f>
        <v>1716</v>
      </c>
      <c r="U724" s="29" t="s">
        <v>178</v>
      </c>
      <c r="V724" s="14">
        <f>ROUND((IF(Q724=1,INDEX(新属性投放!$K$14:$K$34,卡牌属性!R724),INDEX(新属性投放!$K$42:$K$62,卡牌属性!R724))+IF(Q724=1,INDEX(新属性投放!S$20:S$23,卡牌属性!M724-1),INDEX(新属性投放!S$25:S$28,卡牌属性!M724-1)))*INDEX($G$5:$G$42,L724),2)</f>
        <v>781</v>
      </c>
      <c r="W724" s="29" t="s">
        <v>179</v>
      </c>
      <c r="X724" s="14">
        <f>ROUND((IF(Q724=1,INDEX(新属性投放!$L$14:$L$34,卡牌属性!R724),INDEX(新属性投放!$L$42:$L$62,卡牌属性!R724))*INDEX($G$5:$G$42,L724)+IF(Q724=1,INDEX(新属性投放!T$20:T$23,卡牌属性!M724-1),INDEX(新属性投放!T$25:T$28,卡牌属性!M724-1)))*SQRT(INDEX($I$5:$I$42,L724)),2)</f>
        <v>8129</v>
      </c>
      <c r="Y724" s="29" t="s">
        <v>177</v>
      </c>
      <c r="Z724" s="14">
        <f>ROUND(IF(Q724=1,INDEX(新属性投放!$D$14:$D$34,卡牌属性!R724),INDEX(新属性投放!$D$42:$D$62,卡牌属性!R724))*INDEX($G$5:$G$42,L724)/SQRT(INDEX($I$5:$I$42,L724)),2)</f>
        <v>35</v>
      </c>
      <c r="AA724" s="29" t="s">
        <v>178</v>
      </c>
      <c r="AB724" s="14">
        <f>ROUND(IF(Q724=1,INDEX(新属性投放!$E$14:$E$34,卡牌属性!R724),INDEX(新属性投放!$E$42:$E$62,卡牌属性!R724))*INDEX($G$5:$G$42,L724),2)</f>
        <v>17.5</v>
      </c>
      <c r="AC724" s="29" t="s">
        <v>179</v>
      </c>
      <c r="AD724" s="14">
        <f>ROUND(IF(Q724=1,INDEX(新属性投放!$F$14:$F$34,卡牌属性!R724),INDEX(新属性投放!$F$42:$F$62,卡牌属性!R724))*INDEX($G$5:$G$42,L724)*SQRT(INDEX($I$5:$I$42,L724)),2)</f>
        <v>157</v>
      </c>
      <c r="AF724" s="14">
        <f t="shared" si="207"/>
        <v>350</v>
      </c>
      <c r="AG724" s="14">
        <f t="shared" si="208"/>
        <v>175</v>
      </c>
      <c r="AH724" s="14">
        <f t="shared" si="209"/>
        <v>1570</v>
      </c>
      <c r="AJ724" s="14">
        <f t="shared" si="210"/>
        <v>1450</v>
      </c>
      <c r="AK724" s="14">
        <f t="shared" si="211"/>
        <v>725</v>
      </c>
      <c r="AL724" s="14">
        <f t="shared" si="212"/>
        <v>6510</v>
      </c>
    </row>
    <row r="725" spans="11:38" ht="16.5" x14ac:dyDescent="0.2">
      <c r="K725" s="13">
        <v>722</v>
      </c>
      <c r="L725" s="13">
        <f t="shared" si="201"/>
        <v>35</v>
      </c>
      <c r="M725" s="13">
        <f t="shared" si="202"/>
        <v>2</v>
      </c>
      <c r="N725" s="14">
        <f t="shared" si="203"/>
        <v>1102019</v>
      </c>
      <c r="O725" s="14" t="str">
        <f t="shared" si="204"/>
        <v>食火蜥8突</v>
      </c>
      <c r="P725" s="29" t="s">
        <v>341</v>
      </c>
      <c r="Q725" s="14">
        <f t="shared" si="205"/>
        <v>2</v>
      </c>
      <c r="R725" s="14">
        <f t="shared" si="206"/>
        <v>8</v>
      </c>
      <c r="S725" s="14" t="s">
        <v>39</v>
      </c>
      <c r="T725" s="14">
        <f>ROUND(((IF(Q725=1,INDEX(新属性投放!$J$14:$J$34,卡牌属性!R725),INDEX(新属性投放!$J$42:$J$62,卡牌属性!R725)))*INDEX($G$5:$G$42,L725)+IF(Q725=1,INDEX(新属性投放!R$20:R$23,卡牌属性!M725-1),INDEX(新属性投放!R$25:R$28,卡牌属性!M725-1)))/SQRT(INDEX($I$5:$I$42,L725)),2)</f>
        <v>2154</v>
      </c>
      <c r="U725" s="29" t="s">
        <v>178</v>
      </c>
      <c r="V725" s="14">
        <f>ROUND((IF(Q725=1,INDEX(新属性投放!$K$14:$K$34,卡牌属性!R725),INDEX(新属性投放!$K$42:$K$62,卡牌属性!R725))+IF(Q725=1,INDEX(新属性投放!S$20:S$23,卡牌属性!M725-1),INDEX(新属性投放!S$25:S$28,卡牌属性!M725-1)))*INDEX($G$5:$G$42,L725),2)</f>
        <v>1000</v>
      </c>
      <c r="W725" s="29" t="s">
        <v>179</v>
      </c>
      <c r="X725" s="14">
        <f>ROUND((IF(Q725=1,INDEX(新属性投放!$L$14:$L$34,卡牌属性!R725),INDEX(新属性投放!$L$42:$L$62,卡牌属性!R725))*INDEX($G$5:$G$42,L725)+IF(Q725=1,INDEX(新属性投放!T$20:T$23,卡牌属性!M725-1),INDEX(新属性投放!T$25:T$28,卡牌属性!M725-1)))*SQRT(INDEX($I$5:$I$42,L725)),2)</f>
        <v>10491</v>
      </c>
      <c r="Y725" s="29" t="s">
        <v>177</v>
      </c>
      <c r="Z725" s="14">
        <f>ROUND(IF(Q725=1,INDEX(新属性投放!$D$14:$D$34,卡牌属性!R725),INDEX(新属性投放!$D$42:$D$62,卡牌属性!R725))*INDEX($G$5:$G$42,L725)/SQRT(INDEX($I$5:$I$42,L725)),2)</f>
        <v>45</v>
      </c>
      <c r="AA725" s="29" t="s">
        <v>178</v>
      </c>
      <c r="AB725" s="14">
        <f>ROUND(IF(Q725=1,INDEX(新属性投放!$E$14:$E$34,卡牌属性!R725),INDEX(新属性投放!$E$42:$E$62,卡牌属性!R725))*INDEX($G$5:$G$42,L725),2)</f>
        <v>22.5</v>
      </c>
      <c r="AC725" s="29" t="s">
        <v>179</v>
      </c>
      <c r="AD725" s="14">
        <f>ROUND(IF(Q725=1,INDEX(新属性投放!$F$14:$F$34,卡牌属性!R725),INDEX(新属性投放!$F$42:$F$62,卡牌属性!R725))*INDEX($G$5:$G$42,L725)*SQRT(INDEX($I$5:$I$42,L725)),2)</f>
        <v>202</v>
      </c>
      <c r="AF725" s="14">
        <f t="shared" si="207"/>
        <v>450</v>
      </c>
      <c r="AG725" s="14">
        <f t="shared" si="208"/>
        <v>225</v>
      </c>
      <c r="AH725" s="14">
        <f t="shared" si="209"/>
        <v>2020</v>
      </c>
      <c r="AJ725" s="14">
        <f t="shared" si="210"/>
        <v>1900</v>
      </c>
      <c r="AK725" s="14">
        <f t="shared" si="211"/>
        <v>950</v>
      </c>
      <c r="AL725" s="14">
        <f t="shared" si="212"/>
        <v>8530</v>
      </c>
    </row>
    <row r="726" spans="11:38" ht="16.5" x14ac:dyDescent="0.2">
      <c r="K726" s="13">
        <v>723</v>
      </c>
      <c r="L726" s="13">
        <f t="shared" si="201"/>
        <v>35</v>
      </c>
      <c r="M726" s="13">
        <f t="shared" si="202"/>
        <v>2</v>
      </c>
      <c r="N726" s="14">
        <f t="shared" si="203"/>
        <v>1102019</v>
      </c>
      <c r="O726" s="14" t="str">
        <f t="shared" si="204"/>
        <v>食火蜥9突</v>
      </c>
      <c r="P726" s="29" t="s">
        <v>341</v>
      </c>
      <c r="Q726" s="14">
        <f t="shared" si="205"/>
        <v>2</v>
      </c>
      <c r="R726" s="14">
        <f t="shared" si="206"/>
        <v>9</v>
      </c>
      <c r="S726" s="14" t="s">
        <v>39</v>
      </c>
      <c r="T726" s="14">
        <f>ROUND(((IF(Q726=1,INDEX(新属性投放!$J$14:$J$34,卡牌属性!R726),INDEX(新属性投放!$J$42:$J$62,卡牌属性!R726)))*INDEX($G$5:$G$42,L726)+IF(Q726=1,INDEX(新属性投放!R$20:R$23,卡牌属性!M726-1),INDEX(新属性投放!R$25:R$28,卡牌属性!M726-1)))/SQRT(INDEX($I$5:$I$42,L726)),2)</f>
        <v>2717</v>
      </c>
      <c r="U726" s="29" t="s">
        <v>178</v>
      </c>
      <c r="V726" s="14">
        <f>ROUND((IF(Q726=1,INDEX(新属性投放!$K$14:$K$34,卡牌属性!R726),INDEX(新属性投放!$K$42:$K$62,卡牌属性!R726))+IF(Q726=1,INDEX(新属性投放!S$20:S$23,卡牌属性!M726-1),INDEX(新属性投放!S$25:S$28,卡牌属性!M726-1)))*INDEX($G$5:$G$42,L726),2)</f>
        <v>1281</v>
      </c>
      <c r="W726" s="29" t="s">
        <v>179</v>
      </c>
      <c r="X726" s="14">
        <f>ROUND((IF(Q726=1,INDEX(新属性投放!$L$14:$L$34,卡牌属性!R726),INDEX(新属性投放!$L$42:$L$62,卡牌属性!R726))*INDEX($G$5:$G$42,L726)+IF(Q726=1,INDEX(新属性投放!T$20:T$23,卡牌属性!M726-1),INDEX(新属性投放!T$25:T$28,卡牌属性!M726-1)))*SQRT(INDEX($I$5:$I$42,L726)),2)</f>
        <v>13528</v>
      </c>
      <c r="Y726" s="29" t="s">
        <v>177</v>
      </c>
      <c r="Z726" s="14">
        <f>ROUND(IF(Q726=1,INDEX(新属性投放!$D$14:$D$34,卡牌属性!R726),INDEX(新属性投放!$D$42:$D$62,卡牌属性!R726))*INDEX($G$5:$G$42,L726)/SQRT(INDEX($I$5:$I$42,L726)),2)</f>
        <v>60.05</v>
      </c>
      <c r="AA726" s="29" t="s">
        <v>178</v>
      </c>
      <c r="AB726" s="14">
        <f>ROUND(IF(Q726=1,INDEX(新属性投放!$E$14:$E$34,卡牌属性!R726),INDEX(新属性投放!$E$42:$E$62,卡牌属性!R726))*INDEX($G$5:$G$42,L726),2)</f>
        <v>30.03</v>
      </c>
      <c r="AC726" s="29" t="s">
        <v>179</v>
      </c>
      <c r="AD726" s="14">
        <f>ROUND(IF(Q726=1,INDEX(新属性投放!$F$14:$F$34,卡牌属性!R726),INDEX(新属性投放!$F$42:$F$62,卡牌属性!R726))*INDEX($G$5:$G$42,L726)*SQRT(INDEX($I$5:$I$42,L726)),2)</f>
        <v>270</v>
      </c>
      <c r="AF726" s="14">
        <f t="shared" si="207"/>
        <v>600</v>
      </c>
      <c r="AG726" s="14">
        <f t="shared" si="208"/>
        <v>300</v>
      </c>
      <c r="AH726" s="14">
        <f t="shared" si="209"/>
        <v>2700</v>
      </c>
      <c r="AJ726" s="14">
        <f t="shared" si="210"/>
        <v>2500</v>
      </c>
      <c r="AK726" s="14">
        <f t="shared" si="211"/>
        <v>1250</v>
      </c>
      <c r="AL726" s="14">
        <f t="shared" si="212"/>
        <v>11230</v>
      </c>
    </row>
    <row r="727" spans="11:38" ht="16.5" x14ac:dyDescent="0.2">
      <c r="K727" s="13">
        <v>724</v>
      </c>
      <c r="L727" s="13">
        <f t="shared" si="201"/>
        <v>35</v>
      </c>
      <c r="M727" s="13">
        <f t="shared" si="202"/>
        <v>2</v>
      </c>
      <c r="N727" s="14">
        <f t="shared" si="203"/>
        <v>1102019</v>
      </c>
      <c r="O727" s="14" t="str">
        <f t="shared" si="204"/>
        <v>食火蜥10突</v>
      </c>
      <c r="P727" s="29" t="s">
        <v>341</v>
      </c>
      <c r="Q727" s="14">
        <f t="shared" si="205"/>
        <v>2</v>
      </c>
      <c r="R727" s="14">
        <f t="shared" si="206"/>
        <v>10</v>
      </c>
      <c r="S727" s="14" t="s">
        <v>39</v>
      </c>
      <c r="T727" s="14">
        <f>ROUND(((IF(Q727=1,INDEX(新属性投放!$J$14:$J$34,卡牌属性!R727),INDEX(新属性投放!$J$42:$J$62,卡牌属性!R727)))*INDEX($G$5:$G$42,L727)+IF(Q727=1,INDEX(新属性投放!R$20:R$23,卡牌属性!M727-1),INDEX(新属性投放!R$25:R$28,卡牌属性!M727-1)))/SQRT(INDEX($I$5:$I$42,L727)),2)</f>
        <v>3467.5</v>
      </c>
      <c r="U727" s="29" t="s">
        <v>178</v>
      </c>
      <c r="V727" s="14">
        <f>ROUND((IF(Q727=1,INDEX(新属性投放!$K$14:$K$34,卡牌属性!R727),INDEX(新属性投放!$K$42:$K$62,卡牌属性!R727))+IF(Q727=1,INDEX(新属性投放!S$20:S$23,卡牌属性!M727-1),INDEX(新属性投放!S$25:S$28,卡牌属性!M727-1)))*INDEX($G$5:$G$42,L727),2)</f>
        <v>1656.25</v>
      </c>
      <c r="W727" s="29" t="s">
        <v>179</v>
      </c>
      <c r="X727" s="14">
        <f>ROUND((IF(Q727=1,INDEX(新属性投放!$L$14:$L$34,卡牌属性!R727),INDEX(新属性投放!$L$42:$L$62,卡牌属性!R727))*INDEX($G$5:$G$42,L727)+IF(Q727=1,INDEX(新属性投放!T$20:T$23,卡牌属性!M727-1),INDEX(新属性投放!T$25:T$28,卡牌属性!M727-1)))*SQRT(INDEX($I$5:$I$42,L727)),2)</f>
        <v>17578</v>
      </c>
      <c r="Y727" s="29" t="s">
        <v>177</v>
      </c>
      <c r="Z727" s="14">
        <f>ROUND(IF(Q727=1,INDEX(新属性投放!$D$14:$D$34,卡牌属性!R727),INDEX(新属性投放!$D$42:$D$62,卡牌属性!R727))*INDEX($G$5:$G$42,L727)/SQRT(INDEX($I$5:$I$42,L727)),2)</f>
        <v>78.5</v>
      </c>
      <c r="AA727" s="29" t="s">
        <v>178</v>
      </c>
      <c r="AB727" s="14">
        <f>ROUND(IF(Q727=1,INDEX(新属性投放!$E$14:$E$34,卡牌属性!R727),INDEX(新属性投放!$E$42:$E$62,卡牌属性!R727))*INDEX($G$5:$G$42,L727),2)</f>
        <v>39.25</v>
      </c>
      <c r="AC727" s="29" t="s">
        <v>179</v>
      </c>
      <c r="AD727" s="14">
        <f>ROUND(IF(Q727=1,INDEX(新属性投放!$F$14:$F$34,卡牌属性!R727),INDEX(新属性投放!$F$42:$F$62,卡牌属性!R727))*INDEX($G$5:$G$42,L727)*SQRT(INDEX($I$5:$I$42,L727)),2)</f>
        <v>353</v>
      </c>
      <c r="AF727" s="14">
        <f t="shared" si="207"/>
        <v>785</v>
      </c>
      <c r="AG727" s="14">
        <f t="shared" si="208"/>
        <v>392</v>
      </c>
      <c r="AH727" s="14">
        <f t="shared" si="209"/>
        <v>3530</v>
      </c>
      <c r="AJ727" s="14">
        <f t="shared" si="210"/>
        <v>3285</v>
      </c>
      <c r="AK727" s="14">
        <f t="shared" si="211"/>
        <v>1642</v>
      </c>
      <c r="AL727" s="14">
        <f t="shared" si="212"/>
        <v>14760</v>
      </c>
    </row>
    <row r="728" spans="11:38" ht="16.5" x14ac:dyDescent="0.2">
      <c r="K728" s="13">
        <v>725</v>
      </c>
      <c r="L728" s="13">
        <f t="shared" si="201"/>
        <v>35</v>
      </c>
      <c r="M728" s="13">
        <f t="shared" si="202"/>
        <v>2</v>
      </c>
      <c r="N728" s="14">
        <f t="shared" si="203"/>
        <v>1102019</v>
      </c>
      <c r="O728" s="14" t="str">
        <f t="shared" si="204"/>
        <v>食火蜥11突</v>
      </c>
      <c r="P728" s="29" t="s">
        <v>341</v>
      </c>
      <c r="Q728" s="14">
        <f t="shared" si="205"/>
        <v>2</v>
      </c>
      <c r="R728" s="14">
        <f t="shared" si="206"/>
        <v>11</v>
      </c>
      <c r="S728" s="14" t="s">
        <v>39</v>
      </c>
      <c r="T728" s="14">
        <f>ROUND(((IF(Q728=1,INDEX(新属性投放!$J$14:$J$34,卡牌属性!R728),INDEX(新属性投放!$J$42:$J$62,卡牌属性!R728)))*INDEX($G$5:$G$42,L728)+IF(Q728=1,INDEX(新属性投放!R$20:R$23,卡牌属性!M728-1),INDEX(新属性投放!R$25:R$28,卡牌属性!M728-1)))/SQRT(INDEX($I$5:$I$42,L728)),2)</f>
        <v>4448.5</v>
      </c>
      <c r="U728" s="29" t="s">
        <v>178</v>
      </c>
      <c r="V728" s="14">
        <f>ROUND((IF(Q728=1,INDEX(新属性投放!$K$14:$K$34,卡牌属性!R728),INDEX(新属性投放!$K$42:$K$62,卡牌属性!R728))+IF(Q728=1,INDEX(新属性投放!S$20:S$23,卡牌属性!M728-1),INDEX(新属性投放!S$25:S$28,卡牌属性!M728-1)))*INDEX($G$5:$G$42,L728),2)</f>
        <v>2146.75</v>
      </c>
      <c r="W728" s="29" t="s">
        <v>179</v>
      </c>
      <c r="X728" s="14">
        <f>ROUND((IF(Q728=1,INDEX(新属性投放!$L$14:$L$34,卡牌属性!R728),INDEX(新属性投放!$L$42:$L$62,卡牌属性!R728))*INDEX($G$5:$G$42,L728)+IF(Q728=1,INDEX(新属性投放!T$20:T$23,卡牌属性!M728-1),INDEX(新属性投放!T$25:T$28,卡牌属性!M728-1)))*SQRT(INDEX($I$5:$I$42,L728)),2)</f>
        <v>22872</v>
      </c>
      <c r="Y728" s="29" t="s">
        <v>177</v>
      </c>
      <c r="Z728" s="14">
        <f>ROUND(IF(Q728=1,INDEX(新属性投放!$D$14:$D$34,卡牌属性!R728),INDEX(新属性投放!$D$42:$D$62,卡牌属性!R728))*INDEX($G$5:$G$42,L728)/SQRT(INDEX($I$5:$I$42,L728)),2)</f>
        <v>103.34</v>
      </c>
      <c r="AA728" s="29" t="s">
        <v>178</v>
      </c>
      <c r="AB728" s="14">
        <f>ROUND(IF(Q728=1,INDEX(新属性投放!$E$14:$E$34,卡牌属性!R728),INDEX(新属性投放!$E$42:$E$62,卡牌属性!R728))*INDEX($G$5:$G$42,L728),2)</f>
        <v>51.67</v>
      </c>
      <c r="AC728" s="29" t="s">
        <v>179</v>
      </c>
      <c r="AD728" s="14">
        <f>ROUND(IF(Q728=1,INDEX(新属性投放!$F$14:$F$34,卡牌属性!R728),INDEX(新属性投放!$F$42:$F$62,卡牌属性!R728))*INDEX($G$5:$G$42,L728)*SQRT(INDEX($I$5:$I$42,L728)),2)</f>
        <v>465</v>
      </c>
      <c r="AF728" s="14">
        <f t="shared" si="207"/>
        <v>1033</v>
      </c>
      <c r="AG728" s="14">
        <f t="shared" si="208"/>
        <v>516</v>
      </c>
      <c r="AH728" s="14">
        <f t="shared" si="209"/>
        <v>4650</v>
      </c>
      <c r="AJ728" s="14">
        <f t="shared" si="210"/>
        <v>4318</v>
      </c>
      <c r="AK728" s="14">
        <f t="shared" si="211"/>
        <v>2158</v>
      </c>
      <c r="AL728" s="14">
        <f t="shared" si="212"/>
        <v>19410</v>
      </c>
    </row>
    <row r="729" spans="11:38" ht="16.5" x14ac:dyDescent="0.2">
      <c r="K729" s="13">
        <v>726</v>
      </c>
      <c r="L729" s="13">
        <f t="shared" si="201"/>
        <v>35</v>
      </c>
      <c r="M729" s="13">
        <f t="shared" si="202"/>
        <v>2</v>
      </c>
      <c r="N729" s="14">
        <f t="shared" si="203"/>
        <v>1102019</v>
      </c>
      <c r="O729" s="14" t="str">
        <f t="shared" si="204"/>
        <v>食火蜥12突</v>
      </c>
      <c r="P729" s="29" t="s">
        <v>341</v>
      </c>
      <c r="Q729" s="14">
        <f t="shared" si="205"/>
        <v>2</v>
      </c>
      <c r="R729" s="14">
        <f t="shared" si="206"/>
        <v>12</v>
      </c>
      <c r="S729" s="14" t="s">
        <v>39</v>
      </c>
      <c r="T729" s="14">
        <f>ROUND(((IF(Q729=1,INDEX(新属性投放!$J$14:$J$34,卡牌属性!R729),INDEX(新属性投放!$J$42:$J$62,卡牌属性!R729)))*INDEX($G$5:$G$42,L729)+IF(Q729=1,INDEX(新属性投放!R$20:R$23,卡牌属性!M729-1),INDEX(新属性投放!R$25:R$28,卡牌属性!M729-1)))/SQRT(INDEX($I$5:$I$42,L729)),2)</f>
        <v>5739.9</v>
      </c>
      <c r="U729" s="29" t="s">
        <v>178</v>
      </c>
      <c r="V729" s="14">
        <f>ROUND((IF(Q729=1,INDEX(新属性投放!$K$14:$K$34,卡牌属性!R729),INDEX(新属性投放!$K$42:$K$62,卡牌属性!R729))+IF(Q729=1,INDEX(新属性投放!S$20:S$23,卡牌属性!M729-1),INDEX(新属性投放!S$25:S$28,卡牌属性!M729-1)))*INDEX($G$5:$G$42,L729),2)</f>
        <v>2792.45</v>
      </c>
      <c r="W729" s="29" t="s">
        <v>179</v>
      </c>
      <c r="X729" s="14">
        <f>ROUND((IF(Q729=1,INDEX(新属性投放!$L$14:$L$34,卡牌属性!R729),INDEX(新属性投放!$L$42:$L$62,卡牌属性!R729))*INDEX($G$5:$G$42,L729)+IF(Q729=1,INDEX(新属性投放!T$20:T$23,卡牌属性!M729-1),INDEX(新属性投放!T$25:T$28,卡牌属性!M729-1)))*SQRT(INDEX($I$5:$I$42,L729)),2)</f>
        <v>29844</v>
      </c>
      <c r="Y729" s="29" t="s">
        <v>177</v>
      </c>
      <c r="Z729" s="14">
        <f>ROUND(IF(Q729=1,INDEX(新属性投放!$D$14:$D$34,卡牌属性!R729),INDEX(新属性投放!$D$42:$D$62,卡牌属性!R729))*INDEX($G$5:$G$42,L729)/SQRT(INDEX($I$5:$I$42,L729)),2)</f>
        <v>135.62</v>
      </c>
      <c r="AA729" s="29" t="s">
        <v>178</v>
      </c>
      <c r="AB729" s="14">
        <f>ROUND(IF(Q729=1,INDEX(新属性投放!$E$14:$E$34,卡牌属性!R729),INDEX(新属性投放!$E$42:$E$62,卡牌属性!R729))*INDEX($G$5:$G$42,L729),2)</f>
        <v>67.81</v>
      </c>
      <c r="AC729" s="29" t="s">
        <v>179</v>
      </c>
      <c r="AD729" s="14">
        <f>ROUND(IF(Q729=1,INDEX(新属性投放!$F$14:$F$34,卡牌属性!R729),INDEX(新属性投放!$F$42:$F$62,卡牌属性!R729))*INDEX($G$5:$G$42,L729)*SQRT(INDEX($I$5:$I$42,L729)),2)</f>
        <v>610</v>
      </c>
      <c r="AF729" s="14">
        <f t="shared" si="207"/>
        <v>1356</v>
      </c>
      <c r="AG729" s="14">
        <f t="shared" si="208"/>
        <v>678</v>
      </c>
      <c r="AH729" s="14">
        <f t="shared" si="209"/>
        <v>6100</v>
      </c>
      <c r="AJ729" s="14">
        <f t="shared" si="210"/>
        <v>5674</v>
      </c>
      <c r="AK729" s="14">
        <f t="shared" si="211"/>
        <v>2836</v>
      </c>
      <c r="AL729" s="14">
        <f t="shared" si="212"/>
        <v>25510</v>
      </c>
    </row>
    <row r="730" spans="11:38" ht="16.5" x14ac:dyDescent="0.2">
      <c r="K730" s="13">
        <v>727</v>
      </c>
      <c r="L730" s="13">
        <f t="shared" si="201"/>
        <v>35</v>
      </c>
      <c r="M730" s="13">
        <f t="shared" si="202"/>
        <v>2</v>
      </c>
      <c r="N730" s="14">
        <f t="shared" si="203"/>
        <v>1102019</v>
      </c>
      <c r="O730" s="14" t="str">
        <f t="shared" si="204"/>
        <v>食火蜥13突</v>
      </c>
      <c r="P730" s="29" t="s">
        <v>341</v>
      </c>
      <c r="Q730" s="14">
        <f t="shared" si="205"/>
        <v>2</v>
      </c>
      <c r="R730" s="14">
        <f t="shared" si="206"/>
        <v>13</v>
      </c>
      <c r="S730" s="14" t="s">
        <v>39</v>
      </c>
      <c r="T730" s="14">
        <f>ROUND(((IF(Q730=1,INDEX(新属性投放!$J$14:$J$34,卡牌属性!R730),INDEX(新属性投放!$J$42:$J$62,卡牌属性!R730)))*INDEX($G$5:$G$42,L730)+IF(Q730=1,INDEX(新属性投放!R$20:R$23,卡牌属性!M730-1),INDEX(新属性投放!R$25:R$28,卡牌属性!M730-1)))/SQRT(INDEX($I$5:$I$42,L730)),2)</f>
        <v>7435.1</v>
      </c>
      <c r="U730" s="29" t="s">
        <v>178</v>
      </c>
      <c r="V730" s="14">
        <f>ROUND((IF(Q730=1,INDEX(新属性投放!$K$14:$K$34,卡牌属性!R730),INDEX(新属性投放!$K$42:$K$62,卡牌属性!R730))+IF(Q730=1,INDEX(新属性投放!S$20:S$23,卡牌属性!M730-1),INDEX(新属性投放!S$25:S$28,卡牌属性!M730-1)))*INDEX($G$5:$G$42,L730),2)</f>
        <v>3640.55</v>
      </c>
      <c r="W730" s="29" t="s">
        <v>179</v>
      </c>
      <c r="X730" s="14">
        <f>ROUND((IF(Q730=1,INDEX(新属性投放!$L$14:$L$34,卡牌属性!R730),INDEX(新属性投放!$L$42:$L$62,卡牌属性!R730))*INDEX($G$5:$G$42,L730)+IF(Q730=1,INDEX(新属性投放!T$20:T$23,卡牌属性!M730-1),INDEX(新属性投放!T$25:T$28,卡牌属性!M730-1)))*SQRT(INDEX($I$5:$I$42,L730)),2)</f>
        <v>38995</v>
      </c>
      <c r="Y730" s="29" t="s">
        <v>177</v>
      </c>
      <c r="Z730" s="14">
        <f>ROUND(IF(Q730=1,INDEX(新属性投放!$D$14:$D$34,卡牌属性!R730),INDEX(新属性投放!$D$42:$D$62,卡牌属性!R730))*INDEX($G$5:$G$42,L730)/SQRT(INDEX($I$5:$I$42,L730)),2)</f>
        <v>178</v>
      </c>
      <c r="AA730" s="29" t="s">
        <v>178</v>
      </c>
      <c r="AB730" s="14">
        <f>ROUND(IF(Q730=1,INDEX(新属性投放!$E$14:$E$34,卡牌属性!R730),INDEX(新属性投放!$E$42:$E$62,卡牌属性!R730))*INDEX($G$5:$G$42,L730),2)</f>
        <v>89</v>
      </c>
      <c r="AC730" s="29" t="s">
        <v>179</v>
      </c>
      <c r="AD730" s="14">
        <f>ROUND(IF(Q730=1,INDEX(新属性投放!$F$14:$F$34,卡牌属性!R730),INDEX(新属性投放!$F$42:$F$62,卡牌属性!R730))*INDEX($G$5:$G$42,L730)*SQRT(INDEX($I$5:$I$42,L730)),2)</f>
        <v>801</v>
      </c>
      <c r="AF730" s="14">
        <f t="shared" si="207"/>
        <v>1780</v>
      </c>
      <c r="AG730" s="14">
        <f t="shared" si="208"/>
        <v>890</v>
      </c>
      <c r="AH730" s="14">
        <f t="shared" si="209"/>
        <v>8010</v>
      </c>
      <c r="AJ730" s="14">
        <f t="shared" si="210"/>
        <v>7454</v>
      </c>
      <c r="AK730" s="14">
        <f t="shared" si="211"/>
        <v>3726</v>
      </c>
      <c r="AL730" s="14">
        <f t="shared" si="212"/>
        <v>33520</v>
      </c>
    </row>
    <row r="731" spans="11:38" ht="16.5" x14ac:dyDescent="0.2">
      <c r="K731" s="13">
        <v>728</v>
      </c>
      <c r="L731" s="13">
        <f t="shared" si="201"/>
        <v>35</v>
      </c>
      <c r="M731" s="13">
        <f t="shared" si="202"/>
        <v>2</v>
      </c>
      <c r="N731" s="14">
        <f t="shared" si="203"/>
        <v>1102019</v>
      </c>
      <c r="O731" s="14" t="str">
        <f t="shared" si="204"/>
        <v>食火蜥14突</v>
      </c>
      <c r="P731" s="29" t="s">
        <v>341</v>
      </c>
      <c r="Q731" s="14">
        <f t="shared" si="205"/>
        <v>2</v>
      </c>
      <c r="R731" s="14">
        <f t="shared" si="206"/>
        <v>14</v>
      </c>
      <c r="S731" s="14" t="s">
        <v>39</v>
      </c>
      <c r="T731" s="14">
        <f>ROUND(((IF(Q731=1,INDEX(新属性投放!$J$14:$J$34,卡牌属性!R731),INDEX(新属性投放!$J$42:$J$62,卡牌属性!R731)))*INDEX($G$5:$G$42,L731)+IF(Q731=1,INDEX(新属性投放!R$20:R$23,卡牌属性!M731-1),INDEX(新属性投放!R$25:R$28,卡牌属性!M731-1)))/SQRT(INDEX($I$5:$I$42,L731)),2)</f>
        <v>9660.1</v>
      </c>
      <c r="U731" s="29" t="s">
        <v>178</v>
      </c>
      <c r="V731" s="14">
        <f>ROUND((IF(Q731=1,INDEX(新属性投放!$K$14:$K$34,卡牌属性!R731),INDEX(新属性投放!$K$42:$K$62,卡牌属性!R731))+IF(Q731=1,INDEX(新属性投放!S$20:S$23,卡牌属性!M731-1),INDEX(新属性投放!S$25:S$28,卡牌属性!M731-1)))*INDEX($G$5:$G$42,L731),2)</f>
        <v>4753.55</v>
      </c>
      <c r="W731" s="29" t="s">
        <v>179</v>
      </c>
      <c r="X731" s="14">
        <f>ROUND((IF(Q731=1,INDEX(新属性投放!$L$14:$L$34,卡牌属性!R731),INDEX(新属性投放!$L$42:$L$62,卡牌属性!R731))*INDEX($G$5:$G$42,L731)+IF(Q731=1,INDEX(新属性投放!T$20:T$23,卡牌属性!M731-1),INDEX(新属性投放!T$25:T$28,卡牌属性!M731-1)))*SQRT(INDEX($I$5:$I$42,L731)),2)</f>
        <v>51010</v>
      </c>
      <c r="Y731" s="29" t="s">
        <v>177</v>
      </c>
      <c r="Z731" s="14">
        <f>ROUND(IF(Q731=1,INDEX(新属性投放!$D$14:$D$34,卡牌属性!R731),INDEX(新属性投放!$D$42:$D$62,卡牌属性!R731))*INDEX($G$5:$G$42,L731)/SQRT(INDEX($I$5:$I$42,L731)),2)</f>
        <v>233.63</v>
      </c>
      <c r="AA731" s="29" t="s">
        <v>178</v>
      </c>
      <c r="AB731" s="14">
        <f>ROUND(IF(Q731=1,INDEX(新属性投放!$E$14:$E$34,卡牌属性!R731),INDEX(新属性投放!$E$42:$E$62,卡牌属性!R731))*INDEX($G$5:$G$42,L731),2)</f>
        <v>116.82</v>
      </c>
      <c r="AC731" s="29" t="s">
        <v>179</v>
      </c>
      <c r="AD731" s="14">
        <f>ROUND(IF(Q731=1,INDEX(新属性投放!$F$14:$F$34,卡牌属性!R731),INDEX(新属性投放!$F$42:$F$62,卡牌属性!R731))*INDEX($G$5:$G$42,L731)*SQRT(INDEX($I$5:$I$42,L731)),2)</f>
        <v>1051</v>
      </c>
      <c r="AF731" s="14">
        <f t="shared" si="207"/>
        <v>2336</v>
      </c>
      <c r="AG731" s="14">
        <f t="shared" si="208"/>
        <v>1168</v>
      </c>
      <c r="AH731" s="14">
        <f t="shared" si="209"/>
        <v>10510</v>
      </c>
      <c r="AJ731" s="14">
        <f t="shared" si="210"/>
        <v>9790</v>
      </c>
      <c r="AK731" s="14">
        <f t="shared" si="211"/>
        <v>4894</v>
      </c>
      <c r="AL731" s="14">
        <f t="shared" si="212"/>
        <v>44030</v>
      </c>
    </row>
    <row r="732" spans="11:38" ht="16.5" x14ac:dyDescent="0.2">
      <c r="K732" s="13">
        <v>729</v>
      </c>
      <c r="L732" s="13">
        <f t="shared" si="201"/>
        <v>35</v>
      </c>
      <c r="M732" s="13">
        <f t="shared" si="202"/>
        <v>2</v>
      </c>
      <c r="N732" s="14">
        <f t="shared" si="203"/>
        <v>1102019</v>
      </c>
      <c r="O732" s="14" t="str">
        <f t="shared" si="204"/>
        <v>食火蜥15突</v>
      </c>
      <c r="P732" s="29" t="s">
        <v>341</v>
      </c>
      <c r="Q732" s="14">
        <f t="shared" si="205"/>
        <v>2</v>
      </c>
      <c r="R732" s="14">
        <f t="shared" si="206"/>
        <v>15</v>
      </c>
      <c r="S732" s="14" t="s">
        <v>39</v>
      </c>
      <c r="T732" s="14">
        <f>ROUND(((IF(Q732=1,INDEX(新属性投放!$J$14:$J$34,卡牌属性!R732),INDEX(新属性投放!$J$42:$J$62,卡牌属性!R732)))*INDEX($G$5:$G$42,L732)+IF(Q732=1,INDEX(新属性投放!R$20:R$23,卡牌属性!M732-1),INDEX(新属性投放!R$25:R$28,卡牌属性!M732-1)))/SQRT(INDEX($I$5:$I$42,L732)),2)</f>
        <v>12580.4</v>
      </c>
      <c r="U732" s="29" t="s">
        <v>178</v>
      </c>
      <c r="V732" s="14">
        <f>ROUND((IF(Q732=1,INDEX(新属性投放!$K$14:$K$34,卡牌属性!R732),INDEX(新属性投放!$K$42:$K$62,卡牌属性!R732))+IF(Q732=1,INDEX(新属性投放!S$20:S$23,卡牌属性!M732-1),INDEX(新属性投放!S$25:S$28,卡牌属性!M732-1)))*INDEX($G$5:$G$42,L732),2)</f>
        <v>6213.7</v>
      </c>
      <c r="W732" s="29" t="s">
        <v>179</v>
      </c>
      <c r="X732" s="14">
        <f>ROUND((IF(Q732=1,INDEX(新属性投放!$L$14:$L$34,卡牌属性!R732),INDEX(新属性投放!$L$42:$L$62,卡牌属性!R732))*INDEX($G$5:$G$42,L732)+IF(Q732=1,INDEX(新属性投放!T$20:T$23,卡牌属性!M732-1),INDEX(新属性投放!T$25:T$28,卡牌属性!M732-1)))*SQRT(INDEX($I$5:$I$42,L732)),2)</f>
        <v>66776</v>
      </c>
      <c r="Y732" s="29" t="s">
        <v>177</v>
      </c>
      <c r="Z732" s="14">
        <f>ROUND(IF(Q732=1,INDEX(新属性投放!$D$14:$D$34,卡牌属性!R732),INDEX(新属性投放!$D$42:$D$62,卡牌属性!R732))*INDEX($G$5:$G$42,L732)/SQRT(INDEX($I$5:$I$42,L732)),2)</f>
        <v>306.64</v>
      </c>
      <c r="AA732" s="29" t="s">
        <v>178</v>
      </c>
      <c r="AB732" s="14">
        <f>ROUND(IF(Q732=1,INDEX(新属性投放!$E$14:$E$34,卡牌属性!R732),INDEX(新属性投放!$E$42:$E$62,卡牌属性!R732))*INDEX($G$5:$G$42,L732),2)</f>
        <v>153.32</v>
      </c>
      <c r="AC732" s="29" t="s">
        <v>179</v>
      </c>
      <c r="AD732" s="14">
        <f>ROUND(IF(Q732=1,INDEX(新属性投放!$F$14:$F$34,卡牌属性!R732),INDEX(新属性投放!$F$42:$F$62,卡牌属性!R732))*INDEX($G$5:$G$42,L732)*SQRT(INDEX($I$5:$I$42,L732)),2)</f>
        <v>1379</v>
      </c>
      <c r="AF732" s="14">
        <f t="shared" si="207"/>
        <v>3066</v>
      </c>
      <c r="AG732" s="14">
        <f t="shared" si="208"/>
        <v>1533</v>
      </c>
      <c r="AH732" s="14">
        <f t="shared" si="209"/>
        <v>13790</v>
      </c>
      <c r="AJ732" s="14">
        <f t="shared" si="210"/>
        <v>12856</v>
      </c>
      <c r="AK732" s="14">
        <f t="shared" si="211"/>
        <v>6427</v>
      </c>
      <c r="AL732" s="14">
        <f t="shared" si="212"/>
        <v>57820</v>
      </c>
    </row>
    <row r="733" spans="11:38" ht="16.5" x14ac:dyDescent="0.2">
      <c r="K733" s="13">
        <v>730</v>
      </c>
      <c r="L733" s="13">
        <f t="shared" si="201"/>
        <v>35</v>
      </c>
      <c r="M733" s="13">
        <f t="shared" si="202"/>
        <v>2</v>
      </c>
      <c r="N733" s="14">
        <f t="shared" si="203"/>
        <v>1102019</v>
      </c>
      <c r="O733" s="14" t="str">
        <f t="shared" si="204"/>
        <v>食火蜥16突</v>
      </c>
      <c r="P733" s="29" t="s">
        <v>341</v>
      </c>
      <c r="Q733" s="14">
        <f t="shared" si="205"/>
        <v>2</v>
      </c>
      <c r="R733" s="14">
        <f t="shared" si="206"/>
        <v>16</v>
      </c>
      <c r="S733" s="14" t="s">
        <v>39</v>
      </c>
      <c r="T733" s="14">
        <f>ROUND(((IF(Q733=1,INDEX(新属性投放!$J$14:$J$34,卡牌属性!R733),INDEX(新属性投放!$J$42:$J$62,卡牌属性!R733)))*INDEX($G$5:$G$42,L733)+IF(Q733=1,INDEX(新属性投放!R$20:R$23,卡牌属性!M733-1),INDEX(新属性投放!R$25:R$28,卡牌属性!M733-1)))/SQRT(INDEX($I$5:$I$42,L733)),2)</f>
        <v>16413.8</v>
      </c>
      <c r="U733" s="29" t="s">
        <v>178</v>
      </c>
      <c r="V733" s="14">
        <f>ROUND((IF(Q733=1,INDEX(新属性投放!$K$14:$K$34,卡牌属性!R733),INDEX(新属性投放!$K$42:$K$62,卡牌属性!R733))+IF(Q733=1,INDEX(新属性投放!S$20:S$23,卡牌属性!M733-1),INDEX(新属性投放!S$25:S$28,卡牌属性!M733-1)))*INDEX($G$5:$G$42,L733),2)</f>
        <v>8129.9</v>
      </c>
      <c r="W733" s="29" t="s">
        <v>179</v>
      </c>
      <c r="X733" s="14">
        <f>ROUND((IF(Q733=1,INDEX(新属性投放!$L$14:$L$34,卡牌属性!R733),INDEX(新属性投放!$L$42:$L$62,卡牌属性!R733))*INDEX($G$5:$G$42,L733)+IF(Q733=1,INDEX(新属性投放!T$20:T$23,卡牌属性!M733-1),INDEX(新属性投放!T$25:T$28,卡牌属性!M733-1)))*SQRT(INDEX($I$5:$I$42,L733)),2)</f>
        <v>87469</v>
      </c>
      <c r="Y733" s="29" t="s">
        <v>177</v>
      </c>
      <c r="Z733" s="14">
        <f>ROUND(IF(Q733=1,INDEX(新属性投放!$D$14:$D$34,卡牌属性!R733),INDEX(新属性投放!$D$42:$D$62,卡牌属性!R733))*INDEX($G$5:$G$42,L733)/SQRT(INDEX($I$5:$I$42,L733)),2)</f>
        <v>402.47</v>
      </c>
      <c r="AA733" s="29" t="s">
        <v>178</v>
      </c>
      <c r="AB733" s="14">
        <f>ROUND(IF(Q733=1,INDEX(新属性投放!$E$14:$E$34,卡牌属性!R733),INDEX(新属性投放!$E$42:$E$62,卡牌属性!R733))*INDEX($G$5:$G$42,L733),2)</f>
        <v>201.24</v>
      </c>
      <c r="AC733" s="29" t="s">
        <v>179</v>
      </c>
      <c r="AD733" s="14">
        <f>ROUND(IF(Q733=1,INDEX(新属性投放!$F$14:$F$34,卡牌属性!R733),INDEX(新属性投放!$F$42:$F$62,卡牌属性!R733))*INDEX($G$5:$G$42,L733)*SQRT(INDEX($I$5:$I$42,L733)),2)</f>
        <v>1811</v>
      </c>
      <c r="AF733" s="14">
        <f t="shared" si="207"/>
        <v>4024</v>
      </c>
      <c r="AG733" s="14">
        <f t="shared" si="208"/>
        <v>2012</v>
      </c>
      <c r="AH733" s="14">
        <f t="shared" si="209"/>
        <v>18110</v>
      </c>
      <c r="AJ733" s="14">
        <f t="shared" si="210"/>
        <v>16880</v>
      </c>
      <c r="AK733" s="14">
        <f t="shared" si="211"/>
        <v>8439</v>
      </c>
      <c r="AL733" s="14">
        <f t="shared" si="212"/>
        <v>75930</v>
      </c>
    </row>
    <row r="734" spans="11:38" ht="16.5" x14ac:dyDescent="0.2">
      <c r="K734" s="13">
        <v>731</v>
      </c>
      <c r="L734" s="13">
        <f t="shared" si="201"/>
        <v>35</v>
      </c>
      <c r="M734" s="13">
        <f t="shared" si="202"/>
        <v>2</v>
      </c>
      <c r="N734" s="14">
        <f t="shared" si="203"/>
        <v>1102019</v>
      </c>
      <c r="O734" s="14" t="str">
        <f t="shared" si="204"/>
        <v>食火蜥17突</v>
      </c>
      <c r="P734" s="29" t="s">
        <v>341</v>
      </c>
      <c r="Q734" s="14">
        <f t="shared" si="205"/>
        <v>2</v>
      </c>
      <c r="R734" s="14">
        <f t="shared" si="206"/>
        <v>17</v>
      </c>
      <c r="S734" s="14" t="s">
        <v>39</v>
      </c>
      <c r="T734" s="14">
        <f>ROUND(((IF(Q734=1,INDEX(新属性投放!$J$14:$J$34,卡牌属性!R734),INDEX(新属性投放!$J$42:$J$62,卡牌属性!R734)))*INDEX($G$5:$G$42,L734)+IF(Q734=1,INDEX(新属性投放!R$20:R$23,卡牌属性!M734-1),INDEX(新属性投放!R$25:R$28,卡牌属性!M734-1)))/SQRT(INDEX($I$5:$I$42,L734)),2)</f>
        <v>21444.5</v>
      </c>
      <c r="U734" s="29" t="s">
        <v>178</v>
      </c>
      <c r="V734" s="14">
        <f>ROUND((IF(Q734=1,INDEX(新属性投放!$K$14:$K$34,卡牌属性!R734),INDEX(新属性投放!$K$42:$K$62,卡牌属性!R734))+IF(Q734=1,INDEX(新属性投放!S$20:S$23,卡牌属性!M734-1),INDEX(新属性投放!S$25:S$28,卡牌属性!M734-1)))*INDEX($G$5:$G$42,L734),2)</f>
        <v>10645.25</v>
      </c>
      <c r="W734" s="29" t="s">
        <v>179</v>
      </c>
      <c r="X734" s="14">
        <f>ROUND((IF(Q734=1,INDEX(新属性投放!$L$14:$L$34,卡牌属性!R734),INDEX(新属性投放!$L$42:$L$62,卡牌属性!R734))*INDEX($G$5:$G$42,L734)+IF(Q734=1,INDEX(新属性投放!T$20:T$23,卡牌属性!M734-1),INDEX(新属性投放!T$25:T$28,卡牌属性!M734-1)))*SQRT(INDEX($I$5:$I$42,L734)),2)</f>
        <v>114633</v>
      </c>
      <c r="Y734" s="29" t="s">
        <v>177</v>
      </c>
      <c r="Z734" s="14">
        <f>ROUND(IF(Q734=1,INDEX(新属性投放!$D$14:$D$34,卡牌属性!R734),INDEX(新属性投放!$D$42:$D$62,卡牌属性!R734))*INDEX($G$5:$G$42,L734)/SQRT(INDEX($I$5:$I$42,L734)),2)</f>
        <v>528.24</v>
      </c>
      <c r="AA734" s="29" t="s">
        <v>178</v>
      </c>
      <c r="AB734" s="14">
        <f>ROUND(IF(Q734=1,INDEX(新属性投放!$E$14:$E$34,卡牌属性!R734),INDEX(新属性投放!$E$42:$E$62,卡牌属性!R734))*INDEX($G$5:$G$42,L734),2)</f>
        <v>264.12</v>
      </c>
      <c r="AC734" s="29" t="s">
        <v>179</v>
      </c>
      <c r="AD734" s="14">
        <f>ROUND(IF(Q734=1,INDEX(新属性投放!$F$14:$F$34,卡牌属性!R734),INDEX(新属性投放!$F$42:$F$62,卡牌属性!R734))*INDEX($G$5:$G$42,L734)*SQRT(INDEX($I$5:$I$42,L734)),2)</f>
        <v>2377</v>
      </c>
      <c r="AF734" s="14">
        <f t="shared" si="207"/>
        <v>5282</v>
      </c>
      <c r="AG734" s="14">
        <f t="shared" si="208"/>
        <v>2641</v>
      </c>
      <c r="AH734" s="14">
        <f t="shared" si="209"/>
        <v>23770</v>
      </c>
      <c r="AJ734" s="14">
        <f t="shared" si="210"/>
        <v>22162</v>
      </c>
      <c r="AK734" s="14">
        <f t="shared" si="211"/>
        <v>11080</v>
      </c>
      <c r="AL734" s="14">
        <f t="shared" si="212"/>
        <v>99700</v>
      </c>
    </row>
    <row r="735" spans="11:38" ht="16.5" x14ac:dyDescent="0.2">
      <c r="K735" s="13">
        <v>732</v>
      </c>
      <c r="L735" s="13">
        <f t="shared" si="201"/>
        <v>35</v>
      </c>
      <c r="M735" s="13">
        <f t="shared" si="202"/>
        <v>2</v>
      </c>
      <c r="N735" s="14">
        <f t="shared" si="203"/>
        <v>1102019</v>
      </c>
      <c r="O735" s="14" t="str">
        <f t="shared" si="204"/>
        <v>食火蜥18突</v>
      </c>
      <c r="P735" s="29" t="s">
        <v>341</v>
      </c>
      <c r="Q735" s="14">
        <f t="shared" si="205"/>
        <v>2</v>
      </c>
      <c r="R735" s="14">
        <f t="shared" si="206"/>
        <v>18</v>
      </c>
      <c r="S735" s="14" t="s">
        <v>39</v>
      </c>
      <c r="T735" s="14">
        <f>ROUND(((IF(Q735=1,INDEX(新属性投放!$J$14:$J$34,卡牌属性!R735),INDEX(新属性投放!$J$42:$J$62,卡牌属性!R735)))*INDEX($G$5:$G$42,L735)+IF(Q735=1,INDEX(新属性投放!R$20:R$23,卡牌属性!M735-1),INDEX(新属性投放!R$25:R$28,卡牌属性!M735-1)))/SQRT(INDEX($I$5:$I$42,L735)),2)</f>
        <v>28047.9</v>
      </c>
      <c r="U735" s="29" t="s">
        <v>178</v>
      </c>
      <c r="V735" s="14">
        <f>ROUND((IF(Q735=1,INDEX(新属性投放!$K$14:$K$34,卡牌属性!R735),INDEX(新属性投放!$K$42:$K$62,卡牌属性!R735))+IF(Q735=1,INDEX(新属性投放!S$20:S$23,卡牌属性!M735-1),INDEX(新属性投放!S$25:S$28,卡牌属性!M735-1)))*INDEX($G$5:$G$42,L735),2)</f>
        <v>13946.45</v>
      </c>
      <c r="W735" s="29" t="s">
        <v>179</v>
      </c>
      <c r="X735" s="14">
        <f>ROUND((IF(Q735=1,INDEX(新属性投放!$L$14:$L$34,卡牌属性!R735),INDEX(新属性投放!$L$42:$L$62,卡牌属性!R735))*INDEX($G$5:$G$42,L735)+IF(Q735=1,INDEX(新属性投放!T$20:T$23,卡牌属性!M735-1),INDEX(新属性投放!T$25:T$28,卡牌属性!M735-1)))*SQRT(INDEX($I$5:$I$42,L735)),2)</f>
        <v>150292</v>
      </c>
      <c r="Y735" s="29" t="s">
        <v>177</v>
      </c>
      <c r="Z735" s="14">
        <f>ROUND(IF(Q735=1,INDEX(新属性投放!$D$14:$D$34,卡牌属性!R735),INDEX(新属性投放!$D$42:$D$62,卡牌属性!R735))*INDEX($G$5:$G$42,L735)/SQRT(INDEX($I$5:$I$42,L735)),2)</f>
        <v>693.32</v>
      </c>
      <c r="AA735" s="29" t="s">
        <v>178</v>
      </c>
      <c r="AB735" s="14">
        <f>ROUND(IF(Q735=1,INDEX(新属性投放!$E$14:$E$34,卡牌属性!R735),INDEX(新属性投放!$E$42:$E$62,卡牌属性!R735))*INDEX($G$5:$G$42,L735),2)</f>
        <v>346.66</v>
      </c>
      <c r="AC735" s="29" t="s">
        <v>179</v>
      </c>
      <c r="AD735" s="14">
        <f>ROUND(IF(Q735=1,INDEX(新属性投放!$F$14:$F$34,卡牌属性!R735),INDEX(新属性投放!$F$42:$F$62,卡牌属性!R735))*INDEX($G$5:$G$42,L735)*SQRT(INDEX($I$5:$I$42,L735)),2)</f>
        <v>3119</v>
      </c>
      <c r="AF735" s="14">
        <f t="shared" si="207"/>
        <v>6933</v>
      </c>
      <c r="AG735" s="14">
        <f t="shared" si="208"/>
        <v>3466</v>
      </c>
      <c r="AH735" s="14">
        <f t="shared" si="209"/>
        <v>31190</v>
      </c>
      <c r="AJ735" s="14">
        <f t="shared" si="210"/>
        <v>29095</v>
      </c>
      <c r="AK735" s="14">
        <f t="shared" si="211"/>
        <v>14546</v>
      </c>
      <c r="AL735" s="14">
        <f t="shared" si="212"/>
        <v>130890</v>
      </c>
    </row>
    <row r="736" spans="11:38" ht="16.5" x14ac:dyDescent="0.2">
      <c r="K736" s="13">
        <v>733</v>
      </c>
      <c r="L736" s="13">
        <f t="shared" si="201"/>
        <v>35</v>
      </c>
      <c r="M736" s="13">
        <f t="shared" si="202"/>
        <v>2</v>
      </c>
      <c r="N736" s="14">
        <f t="shared" si="203"/>
        <v>1102019</v>
      </c>
      <c r="O736" s="14" t="str">
        <f t="shared" si="204"/>
        <v>食火蜥19突</v>
      </c>
      <c r="P736" s="29" t="s">
        <v>341</v>
      </c>
      <c r="Q736" s="14">
        <f t="shared" si="205"/>
        <v>2</v>
      </c>
      <c r="R736" s="14">
        <f t="shared" si="206"/>
        <v>19</v>
      </c>
      <c r="S736" s="14" t="s">
        <v>39</v>
      </c>
      <c r="T736" s="14">
        <f>ROUND(((IF(Q736=1,INDEX(新属性投放!$J$14:$J$34,卡牌属性!R736),INDEX(新属性投放!$J$42:$J$62,卡牌属性!R736)))*INDEX($G$5:$G$42,L736)+IF(Q736=1,INDEX(新属性投放!R$20:R$23,卡牌属性!M736-1),INDEX(新属性投放!R$25:R$28,卡牌属性!M736-1)))/SQRT(INDEX($I$5:$I$42,L736)),2)</f>
        <v>36714.1</v>
      </c>
      <c r="U736" s="29" t="s">
        <v>178</v>
      </c>
      <c r="V736" s="14">
        <f>ROUND((IF(Q736=1,INDEX(新属性投放!$K$14:$K$34,卡牌属性!R736),INDEX(新属性投放!$K$42:$K$62,卡牌属性!R736))+IF(Q736=1,INDEX(新属性投放!S$20:S$23,卡牌属性!M736-1),INDEX(新属性投放!S$25:S$28,卡牌属性!M736-1)))*INDEX($G$5:$G$42,L736),2)</f>
        <v>18280.05</v>
      </c>
      <c r="W736" s="29" t="s">
        <v>179</v>
      </c>
      <c r="X736" s="14">
        <f>ROUND((IF(Q736=1,INDEX(新属性投放!$L$14:$L$34,卡牌属性!R736),INDEX(新属性投放!$L$42:$L$62,卡牌属性!R736))*INDEX($G$5:$G$42,L736)+IF(Q736=1,INDEX(新属性投放!T$20:T$23,卡牌属性!M736-1),INDEX(新属性投放!T$25:T$28,卡牌属性!M736-1)))*SQRT(INDEX($I$5:$I$42,L736)),2)</f>
        <v>197079</v>
      </c>
      <c r="Y736" s="29" t="s">
        <v>177</v>
      </c>
      <c r="Z736" s="14">
        <f>ROUND(IF(Q736=1,INDEX(新属性投放!$D$14:$D$34,卡牌属性!R736),INDEX(新属性投放!$D$42:$D$62,卡牌属性!R736))*INDEX($G$5:$G$42,L736)/SQRT(INDEX($I$5:$I$42,L736)),2)</f>
        <v>909.98</v>
      </c>
      <c r="AA736" s="29" t="s">
        <v>178</v>
      </c>
      <c r="AB736" s="14">
        <f>ROUND(IF(Q736=1,INDEX(新属性投放!$E$14:$E$34,卡牌属性!R736),INDEX(新属性投放!$E$42:$E$62,卡牌属性!R736))*INDEX($G$5:$G$42,L736),2)</f>
        <v>454.99</v>
      </c>
      <c r="AC736" s="29" t="s">
        <v>179</v>
      </c>
      <c r="AD736" s="14">
        <f>ROUND(IF(Q736=1,INDEX(新属性投放!$F$14:$F$34,卡牌属性!R736),INDEX(新属性投放!$F$42:$F$62,卡牌属性!R736))*INDEX($G$5:$G$42,L736)*SQRT(INDEX($I$5:$I$42,L736)),2)</f>
        <v>4094</v>
      </c>
      <c r="AF736" s="14">
        <f t="shared" si="207"/>
        <v>9099</v>
      </c>
      <c r="AG736" s="14">
        <f t="shared" si="208"/>
        <v>4549</v>
      </c>
      <c r="AH736" s="14">
        <f t="shared" si="209"/>
        <v>40940</v>
      </c>
      <c r="AJ736" s="14">
        <f t="shared" si="210"/>
        <v>38194</v>
      </c>
      <c r="AK736" s="14">
        <f t="shared" si="211"/>
        <v>19095</v>
      </c>
      <c r="AL736" s="14">
        <f t="shared" si="212"/>
        <v>171830</v>
      </c>
    </row>
    <row r="737" spans="11:38" ht="16.5" x14ac:dyDescent="0.2">
      <c r="K737" s="13">
        <v>734</v>
      </c>
      <c r="L737" s="13">
        <f t="shared" si="201"/>
        <v>35</v>
      </c>
      <c r="M737" s="13">
        <f t="shared" si="202"/>
        <v>2</v>
      </c>
      <c r="N737" s="14">
        <f t="shared" si="203"/>
        <v>1102019</v>
      </c>
      <c r="O737" s="14" t="str">
        <f t="shared" si="204"/>
        <v>食火蜥20突</v>
      </c>
      <c r="P737" s="29" t="s">
        <v>341</v>
      </c>
      <c r="Q737" s="14">
        <f t="shared" si="205"/>
        <v>2</v>
      </c>
      <c r="R737" s="14">
        <f t="shared" si="206"/>
        <v>20</v>
      </c>
      <c r="S737" s="14" t="s">
        <v>39</v>
      </c>
      <c r="T737" s="14">
        <f>ROUND(((IF(Q737=1,INDEX(新属性投放!$J$14:$J$34,卡牌属性!R737),INDEX(新属性投放!$J$42:$J$62,卡牌属性!R737)))*INDEX($G$5:$G$42,L737)+IF(Q737=1,INDEX(新属性投放!R$20:R$23,卡牌属性!M737-1),INDEX(新属性投放!R$25:R$28,卡牌属性!M737-1)))/SQRT(INDEX($I$5:$I$42,L737)),2)</f>
        <v>48088.9</v>
      </c>
      <c r="U737" s="29" t="s">
        <v>178</v>
      </c>
      <c r="V737" s="14">
        <f>ROUND((IF(Q737=1,INDEX(新属性投放!$K$14:$K$34,卡牌属性!R737),INDEX(新属性投放!$K$42:$K$62,卡牌属性!R737))+IF(Q737=1,INDEX(新属性投放!S$20:S$23,卡牌属性!M737-1),INDEX(新属性投放!S$25:S$28,卡牌属性!M737-1)))*INDEX($G$5:$G$42,L737),2)</f>
        <v>23966.95</v>
      </c>
      <c r="W737" s="29" t="s">
        <v>179</v>
      </c>
      <c r="X737" s="14">
        <f>ROUND((IF(Q737=1,INDEX(新属性投放!$L$14:$L$34,卡牌属性!R737),INDEX(新属性投放!$L$42:$L$62,卡牌属性!R737))*INDEX($G$5:$G$42,L737)+IF(Q737=1,INDEX(新属性投放!T$20:T$23,卡牌属性!M737-1),INDEX(新属性投放!T$25:T$28,卡牌属性!M737-1)))*SQRT(INDEX($I$5:$I$42,L737)),2)</f>
        <v>258494</v>
      </c>
      <c r="Y737" s="29" t="s">
        <v>177</v>
      </c>
      <c r="Z737" s="14">
        <f>ROUND(IF(Q737=1,INDEX(新属性投放!$D$14:$D$34,卡牌属性!R737),INDEX(新属性投放!$D$42:$D$62,卡牌属性!R737))*INDEX($G$5:$G$42,L737)/SQRT(INDEX($I$5:$I$42,L737)),2)</f>
        <v>1194.3499999999999</v>
      </c>
      <c r="AA737" s="29" t="s">
        <v>178</v>
      </c>
      <c r="AB737" s="14">
        <f>ROUND(IF(Q737=1,INDEX(新属性投放!$E$14:$E$34,卡牌属性!R737),INDEX(新属性投放!$E$42:$E$62,卡牌属性!R737))*INDEX($G$5:$G$42,L737),2)</f>
        <v>597.17999999999995</v>
      </c>
      <c r="AC737" s="29" t="s">
        <v>179</v>
      </c>
      <c r="AD737" s="14">
        <f>ROUND(IF(Q737=1,INDEX(新属性投放!$F$14:$F$34,卡牌属性!R737),INDEX(新属性投放!$F$42:$F$62,卡牌属性!R737))*INDEX($G$5:$G$42,L737)*SQRT(INDEX($I$5:$I$42,L737)),2)</f>
        <v>5374</v>
      </c>
      <c r="AF737" s="14">
        <f t="shared" si="207"/>
        <v>11943</v>
      </c>
      <c r="AG737" s="14">
        <f t="shared" si="208"/>
        <v>5971</v>
      </c>
      <c r="AH737" s="14">
        <f t="shared" si="209"/>
        <v>53740</v>
      </c>
      <c r="AJ737" s="14">
        <f t="shared" si="210"/>
        <v>50137</v>
      </c>
      <c r="AK737" s="14">
        <f t="shared" si="211"/>
        <v>25066</v>
      </c>
      <c r="AL737" s="14">
        <f t="shared" si="212"/>
        <v>225570</v>
      </c>
    </row>
    <row r="738" spans="11:38" ht="16.5" x14ac:dyDescent="0.2">
      <c r="K738" s="13">
        <v>735</v>
      </c>
      <c r="L738" s="13">
        <f t="shared" si="201"/>
        <v>35</v>
      </c>
      <c r="M738" s="13">
        <f t="shared" si="202"/>
        <v>2</v>
      </c>
      <c r="N738" s="14">
        <f t="shared" si="203"/>
        <v>1102019</v>
      </c>
      <c r="O738" s="14" t="str">
        <f t="shared" si="204"/>
        <v>食火蜥21突</v>
      </c>
      <c r="P738" s="29" t="s">
        <v>341</v>
      </c>
      <c r="Q738" s="14">
        <f t="shared" si="205"/>
        <v>2</v>
      </c>
      <c r="R738" s="14">
        <f t="shared" si="206"/>
        <v>21</v>
      </c>
      <c r="S738" s="14" t="s">
        <v>39</v>
      </c>
      <c r="T738" s="14">
        <f>ROUND(((IF(Q738=1,INDEX(新属性投放!$J$14:$J$34,卡牌属性!R738),INDEX(新属性投放!$J$42:$J$62,卡牌属性!R738)))*INDEX($G$5:$G$42,L738)+IF(Q738=1,INDEX(新属性投放!R$20:R$23,卡牌属性!M738-1),INDEX(新属性投放!R$25:R$28,卡牌属性!M738-1)))/SQRT(INDEX($I$5:$I$42,L738)),2)</f>
        <v>63018.400000000001</v>
      </c>
      <c r="U738" s="29" t="s">
        <v>178</v>
      </c>
      <c r="V738" s="14">
        <f>ROUND((IF(Q738=1,INDEX(新属性投放!$K$14:$K$34,卡牌属性!R738),INDEX(新属性投放!$K$42:$K$62,卡牌属性!R738))+IF(Q738=1,INDEX(新属性投放!S$20:S$23,卡牌属性!M738-1),INDEX(新属性投放!S$25:S$28,卡牌属性!M738-1)))*INDEX($G$5:$G$42,L738),2)</f>
        <v>31431.7</v>
      </c>
      <c r="W738" s="29" t="s">
        <v>179</v>
      </c>
      <c r="X738" s="14">
        <f>ROUND((IF(Q738=1,INDEX(新属性投放!$L$14:$L$34,卡牌属性!R738),INDEX(新属性投放!$L$42:$L$62,卡牌属性!R738))*INDEX($G$5:$G$42,L738)+IF(Q738=1,INDEX(新属性投放!T$20:T$23,卡牌属性!M738-1),INDEX(新属性投放!T$25:T$28,卡牌属性!M738-1)))*SQRT(INDEX($I$5:$I$42,L738)),2)</f>
        <v>339108</v>
      </c>
      <c r="Y738" s="29" t="s">
        <v>177</v>
      </c>
      <c r="Z738" s="14">
        <f>ROUND(IF(Q738=1,INDEX(新属性投放!$D$14:$D$34,卡牌属性!R738),INDEX(新属性投放!$D$42:$D$62,卡牌属性!R738))*INDEX($G$5:$G$42,L738)/SQRT(INDEX($I$5:$I$42,L738)),2)</f>
        <v>1567.59</v>
      </c>
      <c r="AA738" s="29" t="s">
        <v>178</v>
      </c>
      <c r="AB738" s="14">
        <f>ROUND(IF(Q738=1,INDEX(新属性投放!$E$14:$E$34,卡牌属性!R738),INDEX(新属性投放!$E$42:$E$62,卡牌属性!R738))*INDEX($G$5:$G$42,L738),2)</f>
        <v>783.8</v>
      </c>
      <c r="AC738" s="29" t="s">
        <v>179</v>
      </c>
      <c r="AD738" s="14">
        <f>ROUND(IF(Q738=1,INDEX(新属性投放!$F$14:$F$34,卡牌属性!R738),INDEX(新属性投放!$F$42:$F$62,卡牌属性!R738))*INDEX($G$5:$G$42,L738)*SQRT(INDEX($I$5:$I$42,L738)),2)</f>
        <v>7054</v>
      </c>
      <c r="AF738" s="14">
        <f t="shared" si="207"/>
        <v>15675</v>
      </c>
      <c r="AG738" s="14">
        <f t="shared" si="208"/>
        <v>7838</v>
      </c>
      <c r="AH738" s="14">
        <f t="shared" si="209"/>
        <v>70540</v>
      </c>
      <c r="AJ738" s="14">
        <f t="shared" si="210"/>
        <v>65812</v>
      </c>
      <c r="AK738" s="14">
        <f t="shared" si="211"/>
        <v>32904</v>
      </c>
      <c r="AL738" s="14">
        <f t="shared" si="212"/>
        <v>296110</v>
      </c>
    </row>
    <row r="739" spans="11:38" ht="16.5" x14ac:dyDescent="0.2">
      <c r="K739" s="13">
        <v>736</v>
      </c>
      <c r="L739" s="13">
        <f t="shared" si="201"/>
        <v>36</v>
      </c>
      <c r="M739" s="13">
        <f t="shared" si="202"/>
        <v>3</v>
      </c>
      <c r="N739" s="14">
        <f t="shared" si="203"/>
        <v>1102020</v>
      </c>
      <c r="O739" s="14" t="str">
        <f t="shared" si="204"/>
        <v>高顺1突</v>
      </c>
      <c r="P739" s="29" t="s">
        <v>341</v>
      </c>
      <c r="Q739" s="14">
        <f t="shared" si="205"/>
        <v>2</v>
      </c>
      <c r="R739" s="14">
        <f t="shared" si="206"/>
        <v>1</v>
      </c>
      <c r="S739" s="14" t="s">
        <v>39</v>
      </c>
      <c r="T739" s="14">
        <f>ROUND(((IF(Q739=1,INDEX(新属性投放!$J$14:$J$34,卡牌属性!R739),INDEX(新属性投放!$J$42:$J$62,卡牌属性!R739)))*INDEX($G$5:$G$42,L739)+IF(Q739=1,INDEX(新属性投放!R$20:R$23,卡牌属性!M739-1),INDEX(新属性投放!R$25:R$28,卡牌属性!M739-1)))/SQRT(INDEX($I$5:$I$42,L739)),2)</f>
        <v>480</v>
      </c>
      <c r="U739" s="29" t="s">
        <v>178</v>
      </c>
      <c r="V739" s="14">
        <f>ROUND((IF(Q739=1,INDEX(新属性投放!$K$14:$K$34,卡牌属性!R739),INDEX(新属性投放!$K$42:$K$62,卡牌属性!R739))+IF(Q739=1,INDEX(新属性投放!S$20:S$23,卡牌属性!M739-1),INDEX(新属性投放!S$25:S$28,卡牌属性!M739-1)))*INDEX($G$5:$G$42,L739),2)</f>
        <v>115</v>
      </c>
      <c r="W739" s="29" t="s">
        <v>179</v>
      </c>
      <c r="X739" s="14">
        <f>ROUND((IF(Q739=1,INDEX(新属性投放!$L$14:$L$34,卡牌属性!R739),INDEX(新属性投放!$L$42:$L$62,卡牌属性!R739))*INDEX($G$5:$G$42,L739)+IF(Q739=1,INDEX(新属性投放!T$20:T$23,卡牌属性!M739-1),INDEX(新属性投放!T$25:T$28,卡牌属性!M739-1)))*SQRT(INDEX($I$5:$I$42,L739)),2)</f>
        <v>1317.5</v>
      </c>
      <c r="Y739" s="29" t="s">
        <v>177</v>
      </c>
      <c r="Z739" s="14">
        <f>ROUND(IF(Q739=1,INDEX(新属性投放!$D$14:$D$34,卡牌属性!R739),INDEX(新属性投放!$D$42:$D$62,卡牌属性!R739))*INDEX($G$5:$G$42,L739)/SQRT(INDEX($I$5:$I$42,L739)),2)</f>
        <v>11.5</v>
      </c>
      <c r="AA739" s="29" t="s">
        <v>178</v>
      </c>
      <c r="AB739" s="14">
        <f>ROUND(IF(Q739=1,INDEX(新属性投放!$E$14:$E$34,卡牌属性!R739),INDEX(新属性投放!$E$42:$E$62,卡牌属性!R739))*INDEX($G$5:$G$42,L739),2)</f>
        <v>5.75</v>
      </c>
      <c r="AC739" s="29" t="s">
        <v>179</v>
      </c>
      <c r="AD739" s="14">
        <f>ROUND(IF(Q739=1,INDEX(新属性投放!$F$14:$F$34,卡牌属性!R739),INDEX(新属性投放!$F$42:$F$62,卡牌属性!R739))*INDEX($G$5:$G$42,L739)*SQRT(INDEX($I$5:$I$42,L739)),2)</f>
        <v>51.75</v>
      </c>
      <c r="AF739" s="14">
        <f t="shared" si="207"/>
        <v>115</v>
      </c>
      <c r="AG739" s="14">
        <f t="shared" si="208"/>
        <v>57</v>
      </c>
      <c r="AH739" s="14">
        <f t="shared" si="209"/>
        <v>517</v>
      </c>
      <c r="AJ739" s="14">
        <f>AF739</f>
        <v>115</v>
      </c>
      <c r="AK739" s="14">
        <f>AG739</f>
        <v>57</v>
      </c>
      <c r="AL739" s="14">
        <f>AH739</f>
        <v>517</v>
      </c>
    </row>
    <row r="740" spans="11:38" ht="16.5" x14ac:dyDescent="0.2">
      <c r="K740" s="13">
        <v>737</v>
      </c>
      <c r="L740" s="13">
        <f t="shared" si="201"/>
        <v>36</v>
      </c>
      <c r="M740" s="13">
        <f t="shared" si="202"/>
        <v>3</v>
      </c>
      <c r="N740" s="14">
        <f t="shared" si="203"/>
        <v>1102020</v>
      </c>
      <c r="O740" s="14" t="str">
        <f t="shared" si="204"/>
        <v>高顺2突</v>
      </c>
      <c r="P740" s="29" t="s">
        <v>341</v>
      </c>
      <c r="Q740" s="14">
        <f t="shared" si="205"/>
        <v>2</v>
      </c>
      <c r="R740" s="14">
        <f t="shared" si="206"/>
        <v>2</v>
      </c>
      <c r="S740" s="14" t="s">
        <v>39</v>
      </c>
      <c r="T740" s="14">
        <f>ROUND(((IF(Q740=1,INDEX(新属性投放!$J$14:$J$34,卡牌属性!R740),INDEX(新属性投放!$J$42:$J$62,卡牌属性!R740)))*INDEX($G$5:$G$42,L740)+IF(Q740=1,INDEX(新属性投放!R$20:R$23,卡牌属性!M740-1),INDEX(新属性投放!R$25:R$28,卡牌属性!M740-1)))/SQRT(INDEX($I$5:$I$42,L740)),2)</f>
        <v>612.25</v>
      </c>
      <c r="U740" s="29" t="s">
        <v>178</v>
      </c>
      <c r="V740" s="14">
        <f>ROUND((IF(Q740=1,INDEX(新属性投放!$K$14:$K$34,卡牌属性!R740),INDEX(新属性投放!$K$42:$K$62,卡牌属性!R740))+IF(Q740=1,INDEX(新属性投放!S$20:S$23,卡牌属性!M740-1),INDEX(新属性投放!S$25:S$28,卡牌属性!M740-1)))*INDEX($G$5:$G$42,L740),2)</f>
        <v>178.25</v>
      </c>
      <c r="W740" s="29" t="s">
        <v>179</v>
      </c>
      <c r="X740" s="14">
        <f>ROUND((IF(Q740=1,INDEX(新属性投放!$L$14:$L$34,卡牌属性!R740),INDEX(新属性投放!$L$42:$L$62,卡牌属性!R740))*INDEX($G$5:$G$42,L740)+IF(Q740=1,INDEX(新属性投放!T$20:T$23,卡牌属性!M740-1),INDEX(新属性投放!T$25:T$28,卡牌属性!M740-1)))*SQRT(INDEX($I$5:$I$42,L740)),2)</f>
        <v>2042</v>
      </c>
      <c r="Y740" s="29" t="s">
        <v>177</v>
      </c>
      <c r="Z740" s="14">
        <f>ROUND(IF(Q740=1,INDEX(新属性投放!$D$14:$D$34,卡牌属性!R740),INDEX(新属性投放!$D$42:$D$62,卡牌属性!R740))*INDEX($G$5:$G$42,L740)/SQRT(INDEX($I$5:$I$42,L740)),2)</f>
        <v>11.5</v>
      </c>
      <c r="AA740" s="29" t="s">
        <v>178</v>
      </c>
      <c r="AB740" s="14">
        <f>ROUND(IF(Q740=1,INDEX(新属性投放!$E$14:$E$34,卡牌属性!R740),INDEX(新属性投放!$E$42:$E$62,卡牌属性!R740))*INDEX($G$5:$G$42,L740),2)</f>
        <v>5.75</v>
      </c>
      <c r="AC740" s="29" t="s">
        <v>179</v>
      </c>
      <c r="AD740" s="14">
        <f>ROUND(IF(Q740=1,INDEX(新属性投放!$F$14:$F$34,卡牌属性!R740),INDEX(新属性投放!$F$42:$F$62,卡牌属性!R740))*INDEX($G$5:$G$42,L740)*SQRT(INDEX($I$5:$I$42,L740)),2)</f>
        <v>51.75</v>
      </c>
      <c r="AF740" s="14">
        <f t="shared" si="207"/>
        <v>115</v>
      </c>
      <c r="AG740" s="14">
        <f t="shared" si="208"/>
        <v>57</v>
      </c>
      <c r="AH740" s="14">
        <f t="shared" si="209"/>
        <v>517</v>
      </c>
      <c r="AJ740" s="14">
        <f t="shared" ref="AJ740:AJ759" si="213">AJ739+AF740</f>
        <v>230</v>
      </c>
      <c r="AK740" s="14">
        <f t="shared" ref="AK740:AK759" si="214">AK739+AG740</f>
        <v>114</v>
      </c>
      <c r="AL740" s="14">
        <f t="shared" ref="AL740:AL759" si="215">AL739+AH740</f>
        <v>1034</v>
      </c>
    </row>
    <row r="741" spans="11:38" ht="16.5" x14ac:dyDescent="0.2">
      <c r="K741" s="13">
        <v>738</v>
      </c>
      <c r="L741" s="13">
        <f t="shared" si="201"/>
        <v>36</v>
      </c>
      <c r="M741" s="13">
        <f t="shared" si="202"/>
        <v>3</v>
      </c>
      <c r="N741" s="14">
        <f t="shared" si="203"/>
        <v>1102020</v>
      </c>
      <c r="O741" s="14" t="str">
        <f t="shared" si="204"/>
        <v>高顺3突</v>
      </c>
      <c r="P741" s="29" t="s">
        <v>341</v>
      </c>
      <c r="Q741" s="14">
        <f t="shared" si="205"/>
        <v>2</v>
      </c>
      <c r="R741" s="14">
        <f t="shared" si="206"/>
        <v>3</v>
      </c>
      <c r="S741" s="14" t="s">
        <v>39</v>
      </c>
      <c r="T741" s="14">
        <f>ROUND(((IF(Q741=1,INDEX(新属性投放!$J$14:$J$34,卡牌属性!R741),INDEX(新属性投放!$J$42:$J$62,卡牌属性!R741)))*INDEX($G$5:$G$42,L741)+IF(Q741=1,INDEX(新属性投放!R$20:R$23,卡牌属性!M741-1),INDEX(新属性投放!R$25:R$28,卡牌属性!M741-1)))/SQRT(INDEX($I$5:$I$42,L741)),2)</f>
        <v>756</v>
      </c>
      <c r="U741" s="29" t="s">
        <v>178</v>
      </c>
      <c r="V741" s="14">
        <f>ROUND((IF(Q741=1,INDEX(新属性投放!$K$14:$K$34,卡牌属性!R741),INDEX(新属性投放!$K$42:$K$62,卡牌属性!R741))+IF(Q741=1,INDEX(新属性投放!S$20:S$23,卡牌属性!M741-1),INDEX(新属性投放!S$25:S$28,卡牌属性!M741-1)))*INDEX($G$5:$G$42,L741),2)</f>
        <v>250.7</v>
      </c>
      <c r="W741" s="29" t="s">
        <v>179</v>
      </c>
      <c r="X741" s="14">
        <f>ROUND((IF(Q741=1,INDEX(新属性投放!$L$14:$L$34,卡牌属性!R741),INDEX(新属性投放!$L$42:$L$62,卡牌属性!R741))*INDEX($G$5:$G$42,L741)+IF(Q741=1,INDEX(新属性投放!T$20:T$23,卡牌属性!M741-1),INDEX(新属性投放!T$25:T$28,卡牌属性!M741-1)))*SQRT(INDEX($I$5:$I$42,L741)),2)</f>
        <v>2818.25</v>
      </c>
      <c r="Y741" s="29" t="s">
        <v>177</v>
      </c>
      <c r="Z741" s="14">
        <f>ROUND(IF(Q741=1,INDEX(新属性投放!$D$14:$D$34,卡牌属性!R741),INDEX(新属性投放!$D$42:$D$62,卡牌属性!R741))*INDEX($G$5:$G$42,L741)/SQRT(INDEX($I$5:$I$42,L741)),2)</f>
        <v>17.25</v>
      </c>
      <c r="AA741" s="29" t="s">
        <v>178</v>
      </c>
      <c r="AB741" s="14">
        <f>ROUND(IF(Q741=1,INDEX(新属性投放!$E$14:$E$34,卡牌属性!R741),INDEX(新属性投放!$E$42:$E$62,卡牌属性!R741))*INDEX($G$5:$G$42,L741),2)</f>
        <v>8.6300000000000008</v>
      </c>
      <c r="AC741" s="29" t="s">
        <v>179</v>
      </c>
      <c r="AD741" s="14">
        <f>ROUND(IF(Q741=1,INDEX(新属性投放!$F$14:$F$34,卡牌属性!R741),INDEX(新属性投放!$F$42:$F$62,卡牌属性!R741))*INDEX($G$5:$G$42,L741)*SQRT(INDEX($I$5:$I$42,L741)),2)</f>
        <v>77.05</v>
      </c>
      <c r="AF741" s="14">
        <f t="shared" si="207"/>
        <v>172</v>
      </c>
      <c r="AG741" s="14">
        <f t="shared" si="208"/>
        <v>86</v>
      </c>
      <c r="AH741" s="14">
        <f t="shared" si="209"/>
        <v>770</v>
      </c>
      <c r="AJ741" s="14">
        <f t="shared" si="213"/>
        <v>402</v>
      </c>
      <c r="AK741" s="14">
        <f t="shared" si="214"/>
        <v>200</v>
      </c>
      <c r="AL741" s="14">
        <f t="shared" si="215"/>
        <v>1804</v>
      </c>
    </row>
    <row r="742" spans="11:38" ht="16.5" x14ac:dyDescent="0.2">
      <c r="K742" s="13">
        <v>739</v>
      </c>
      <c r="L742" s="13">
        <f t="shared" si="201"/>
        <v>36</v>
      </c>
      <c r="M742" s="13">
        <f t="shared" si="202"/>
        <v>3</v>
      </c>
      <c r="N742" s="14">
        <f t="shared" si="203"/>
        <v>1102020</v>
      </c>
      <c r="O742" s="14" t="str">
        <f t="shared" si="204"/>
        <v>高顺4突</v>
      </c>
      <c r="P742" s="29" t="s">
        <v>341</v>
      </c>
      <c r="Q742" s="14">
        <f t="shared" si="205"/>
        <v>2</v>
      </c>
      <c r="R742" s="14">
        <f t="shared" si="206"/>
        <v>4</v>
      </c>
      <c r="S742" s="14" t="s">
        <v>39</v>
      </c>
      <c r="T742" s="14">
        <f>ROUND(((IF(Q742=1,INDEX(新属性投放!$J$14:$J$34,卡牌属性!R742),INDEX(新属性投放!$J$42:$J$62,卡牌属性!R742)))*INDEX($G$5:$G$42,L742)+IF(Q742=1,INDEX(新属性投放!R$20:R$23,卡牌属性!M742-1),INDEX(新属性投放!R$25:R$28,卡牌属性!M742-1)))/SQRT(INDEX($I$5:$I$42,L742)),2)</f>
        <v>972.2</v>
      </c>
      <c r="U742" s="29" t="s">
        <v>178</v>
      </c>
      <c r="V742" s="14">
        <f>ROUND((IF(Q742=1,INDEX(新属性投放!$K$14:$K$34,卡牌属性!R742),INDEX(新属性投放!$K$42:$K$62,卡牌属性!R742))+IF(Q742=1,INDEX(新属性投放!S$20:S$23,卡牌属性!M742-1),INDEX(新属性投放!S$25:S$28,卡牌属性!M742-1)))*INDEX($G$5:$G$42,L742),2)</f>
        <v>358.8</v>
      </c>
      <c r="W742" s="29" t="s">
        <v>179</v>
      </c>
      <c r="X742" s="14">
        <f>ROUND((IF(Q742=1,INDEX(新属性投放!$L$14:$L$34,卡牌属性!R742),INDEX(新属性投放!$L$42:$L$62,卡牌属性!R742))*INDEX($G$5:$G$42,L742)+IF(Q742=1,INDEX(新属性投放!T$20:T$23,卡牌属性!M742-1),INDEX(新属性投放!T$25:T$28,卡牌属性!M742-1)))*SQRT(INDEX($I$5:$I$42,L742)),2)</f>
        <v>3982.05</v>
      </c>
      <c r="Y742" s="29" t="s">
        <v>177</v>
      </c>
      <c r="Z742" s="14">
        <f>ROUND(IF(Q742=1,INDEX(新属性投放!$D$14:$D$34,卡牌属性!R742),INDEX(新属性投放!$D$42:$D$62,卡牌属性!R742))*INDEX($G$5:$G$42,L742)/SQRT(INDEX($I$5:$I$42,L742)),2)</f>
        <v>23</v>
      </c>
      <c r="AA742" s="29" t="s">
        <v>178</v>
      </c>
      <c r="AB742" s="14">
        <f>ROUND(IF(Q742=1,INDEX(新属性投放!$E$14:$E$34,卡牌属性!R742),INDEX(新属性投放!$E$42:$E$62,卡牌属性!R742))*INDEX($G$5:$G$42,L742),2)</f>
        <v>11.5</v>
      </c>
      <c r="AC742" s="29" t="s">
        <v>179</v>
      </c>
      <c r="AD742" s="14">
        <f>ROUND(IF(Q742=1,INDEX(新属性投放!$F$14:$F$34,卡牌属性!R742),INDEX(新属性投放!$F$42:$F$62,卡牌属性!R742))*INDEX($G$5:$G$42,L742)*SQRT(INDEX($I$5:$I$42,L742)),2)</f>
        <v>103.5</v>
      </c>
      <c r="AF742" s="14">
        <f t="shared" si="207"/>
        <v>230</v>
      </c>
      <c r="AG742" s="14">
        <f t="shared" si="208"/>
        <v>115</v>
      </c>
      <c r="AH742" s="14">
        <f t="shared" si="209"/>
        <v>1035</v>
      </c>
      <c r="AJ742" s="14">
        <f t="shared" si="213"/>
        <v>632</v>
      </c>
      <c r="AK742" s="14">
        <f t="shared" si="214"/>
        <v>315</v>
      </c>
      <c r="AL742" s="14">
        <f t="shared" si="215"/>
        <v>2839</v>
      </c>
    </row>
    <row r="743" spans="11:38" ht="16.5" x14ac:dyDescent="0.2">
      <c r="K743" s="13">
        <v>740</v>
      </c>
      <c r="L743" s="13">
        <f t="shared" si="201"/>
        <v>36</v>
      </c>
      <c r="M743" s="13">
        <f t="shared" si="202"/>
        <v>3</v>
      </c>
      <c r="N743" s="14">
        <f t="shared" si="203"/>
        <v>1102020</v>
      </c>
      <c r="O743" s="14" t="str">
        <f t="shared" si="204"/>
        <v>高顺5突</v>
      </c>
      <c r="P743" s="29" t="s">
        <v>341</v>
      </c>
      <c r="Q743" s="14">
        <f t="shared" si="205"/>
        <v>2</v>
      </c>
      <c r="R743" s="14">
        <f t="shared" si="206"/>
        <v>5</v>
      </c>
      <c r="S743" s="14" t="s">
        <v>39</v>
      </c>
      <c r="T743" s="14">
        <f>ROUND(((IF(Q743=1,INDEX(新属性投放!$J$14:$J$34,卡牌属性!R743),INDEX(新属性投放!$J$42:$J$62,卡牌属性!R743)))*INDEX($G$5:$G$42,L743)+IF(Q743=1,INDEX(新属性投放!R$20:R$23,卡牌属性!M743-1),INDEX(新属性投放!R$25:R$28,卡牌属性!M743-1)))/SQRT(INDEX($I$5:$I$42,L743)),2)</f>
        <v>1259.7</v>
      </c>
      <c r="U743" s="29" t="s">
        <v>178</v>
      </c>
      <c r="V743" s="14">
        <f>ROUND((IF(Q743=1,INDEX(新属性投放!$K$14:$K$34,卡牌属性!R743),INDEX(新属性投放!$K$42:$K$62,卡牌属性!R743))+IF(Q743=1,INDEX(新属性投放!S$20:S$23,卡牌属性!M743-1),INDEX(新属性投放!S$25:S$28,卡牌属性!M743-1)))*INDEX($G$5:$G$42,L743),2)</f>
        <v>502.55</v>
      </c>
      <c r="W743" s="29" t="s">
        <v>179</v>
      </c>
      <c r="X743" s="14">
        <f>ROUND((IF(Q743=1,INDEX(新属性投放!$L$14:$L$34,卡牌属性!R743),INDEX(新属性投放!$L$42:$L$62,卡牌属性!R743))*INDEX($G$5:$G$42,L743)+IF(Q743=1,INDEX(新属性投放!T$20:T$23,卡牌属性!M743-1),INDEX(新属性投放!T$25:T$28,卡牌属性!M743-1)))*SQRT(INDEX($I$5:$I$42,L743)),2)</f>
        <v>5534.55</v>
      </c>
      <c r="Y743" s="29" t="s">
        <v>177</v>
      </c>
      <c r="Z743" s="14">
        <f>ROUND(IF(Q743=1,INDEX(新属性投放!$D$14:$D$34,卡牌属性!R743),INDEX(新属性投放!$D$42:$D$62,卡牌属性!R743))*INDEX($G$5:$G$42,L743)/SQRT(INDEX($I$5:$I$42,L743)),2)</f>
        <v>28.75</v>
      </c>
      <c r="AA743" s="29" t="s">
        <v>178</v>
      </c>
      <c r="AB743" s="14">
        <f>ROUND(IF(Q743=1,INDEX(新属性投放!$E$14:$E$34,卡牌属性!R743),INDEX(新属性投放!$E$42:$E$62,卡牌属性!R743))*INDEX($G$5:$G$42,L743),2)</f>
        <v>14.38</v>
      </c>
      <c r="AC743" s="29" t="s">
        <v>179</v>
      </c>
      <c r="AD743" s="14">
        <f>ROUND(IF(Q743=1,INDEX(新属性投放!$F$14:$F$34,卡牌属性!R743),INDEX(新属性投放!$F$42:$F$62,卡牌属性!R743))*INDEX($G$5:$G$42,L743)*SQRT(INDEX($I$5:$I$42,L743)),2)</f>
        <v>128.80000000000001</v>
      </c>
      <c r="AF743" s="14">
        <f t="shared" si="207"/>
        <v>287</v>
      </c>
      <c r="AG743" s="14">
        <f t="shared" si="208"/>
        <v>143</v>
      </c>
      <c r="AH743" s="14">
        <f t="shared" si="209"/>
        <v>1288</v>
      </c>
      <c r="AJ743" s="14">
        <f t="shared" si="213"/>
        <v>919</v>
      </c>
      <c r="AK743" s="14">
        <f t="shared" si="214"/>
        <v>458</v>
      </c>
      <c r="AL743" s="14">
        <f t="shared" si="215"/>
        <v>4127</v>
      </c>
    </row>
    <row r="744" spans="11:38" ht="16.5" x14ac:dyDescent="0.2">
      <c r="K744" s="13">
        <v>741</v>
      </c>
      <c r="L744" s="13">
        <f t="shared" si="201"/>
        <v>36</v>
      </c>
      <c r="M744" s="13">
        <f t="shared" si="202"/>
        <v>3</v>
      </c>
      <c r="N744" s="14">
        <f t="shared" si="203"/>
        <v>1102020</v>
      </c>
      <c r="O744" s="14" t="str">
        <f t="shared" si="204"/>
        <v>高顺6突</v>
      </c>
      <c r="P744" s="29" t="s">
        <v>341</v>
      </c>
      <c r="Q744" s="14">
        <f t="shared" si="205"/>
        <v>2</v>
      </c>
      <c r="R744" s="14">
        <f t="shared" si="206"/>
        <v>6</v>
      </c>
      <c r="S744" s="14" t="s">
        <v>39</v>
      </c>
      <c r="T744" s="14">
        <f>ROUND(((IF(Q744=1,INDEX(新属性投放!$J$14:$J$34,卡牌属性!R744),INDEX(新属性投放!$J$42:$J$62,卡牌属性!R744)))*INDEX($G$5:$G$42,L744)+IF(Q744=1,INDEX(新属性投放!R$20:R$23,卡牌属性!M744-1),INDEX(新属性投放!R$25:R$28,卡牌属性!M744-1)))/SQRT(INDEX($I$5:$I$42,L744)),2)</f>
        <v>1619.65</v>
      </c>
      <c r="U744" s="29" t="s">
        <v>178</v>
      </c>
      <c r="V744" s="14">
        <f>ROUND((IF(Q744=1,INDEX(新属性投放!$K$14:$K$34,卡牌属性!R744),INDEX(新属性投放!$K$42:$K$62,卡牌属性!R744))+IF(Q744=1,INDEX(新属性投放!S$20:S$23,卡牌属性!M744-1),INDEX(新属性投放!S$25:S$28,卡牌属性!M744-1)))*INDEX($G$5:$G$42,L744),2)</f>
        <v>681.95</v>
      </c>
      <c r="W744" s="29" t="s">
        <v>179</v>
      </c>
      <c r="X744" s="14">
        <f>ROUND((IF(Q744=1,INDEX(新属性投放!$L$14:$L$34,卡牌属性!R744),INDEX(新属性投放!$L$42:$L$62,卡牌属性!R744))*INDEX($G$5:$G$42,L744)+IF(Q744=1,INDEX(新属性投放!T$20:T$23,卡牌属性!M744-1),INDEX(新属性投放!T$25:T$28,卡牌属性!M744-1)))*SQRT(INDEX($I$5:$I$42,L744)),2)</f>
        <v>7474.6</v>
      </c>
      <c r="Y744" s="29" t="s">
        <v>177</v>
      </c>
      <c r="Z744" s="14">
        <f>ROUND(IF(Q744=1,INDEX(新属性投放!$D$14:$D$34,卡牌属性!R744),INDEX(新属性投放!$D$42:$D$62,卡牌属性!R744))*INDEX($G$5:$G$42,L744)/SQRT(INDEX($I$5:$I$42,L744)),2)</f>
        <v>34.5</v>
      </c>
      <c r="AA744" s="29" t="s">
        <v>178</v>
      </c>
      <c r="AB744" s="14">
        <f>ROUND(IF(Q744=1,INDEX(新属性投放!$E$14:$E$34,卡牌属性!R744),INDEX(新属性投放!$E$42:$E$62,卡牌属性!R744))*INDEX($G$5:$G$42,L744),2)</f>
        <v>17.25</v>
      </c>
      <c r="AC744" s="29" t="s">
        <v>179</v>
      </c>
      <c r="AD744" s="14">
        <f>ROUND(IF(Q744=1,INDEX(新属性投放!$F$14:$F$34,卡牌属性!R744),INDEX(新属性投放!$F$42:$F$62,卡牌属性!R744))*INDEX($G$5:$G$42,L744)*SQRT(INDEX($I$5:$I$42,L744)),2)</f>
        <v>155.25</v>
      </c>
      <c r="AF744" s="14">
        <f t="shared" si="207"/>
        <v>345</v>
      </c>
      <c r="AG744" s="14">
        <f t="shared" si="208"/>
        <v>172</v>
      </c>
      <c r="AH744" s="14">
        <f t="shared" si="209"/>
        <v>1552</v>
      </c>
      <c r="AJ744" s="14">
        <f t="shared" si="213"/>
        <v>1264</v>
      </c>
      <c r="AK744" s="14">
        <f t="shared" si="214"/>
        <v>630</v>
      </c>
      <c r="AL744" s="14">
        <f t="shared" si="215"/>
        <v>5679</v>
      </c>
    </row>
    <row r="745" spans="11:38" ht="16.5" x14ac:dyDescent="0.2">
      <c r="K745" s="13">
        <v>742</v>
      </c>
      <c r="L745" s="13">
        <f t="shared" si="201"/>
        <v>36</v>
      </c>
      <c r="M745" s="13">
        <f t="shared" si="202"/>
        <v>3</v>
      </c>
      <c r="N745" s="14">
        <f t="shared" si="203"/>
        <v>1102020</v>
      </c>
      <c r="O745" s="14" t="str">
        <f t="shared" si="204"/>
        <v>高顺7突</v>
      </c>
      <c r="P745" s="29" t="s">
        <v>341</v>
      </c>
      <c r="Q745" s="14">
        <f t="shared" si="205"/>
        <v>2</v>
      </c>
      <c r="R745" s="14">
        <f t="shared" si="206"/>
        <v>7</v>
      </c>
      <c r="S745" s="14" t="s">
        <v>39</v>
      </c>
      <c r="T745" s="14">
        <f>ROUND(((IF(Q745=1,INDEX(新属性投放!$J$14:$J$34,卡牌属性!R745),INDEX(新属性投放!$J$42:$J$62,卡牌属性!R745)))*INDEX($G$5:$G$42,L745)+IF(Q745=1,INDEX(新属性投放!R$20:R$23,卡牌属性!M745-1),INDEX(新属性投放!R$25:R$28,卡牌属性!M745-1)))/SQRT(INDEX($I$5:$I$42,L745)),2)</f>
        <v>2050.9</v>
      </c>
      <c r="U745" s="29" t="s">
        <v>178</v>
      </c>
      <c r="V745" s="14">
        <f>ROUND((IF(Q745=1,INDEX(新属性投放!$K$14:$K$34,卡牌属性!R745),INDEX(新属性投放!$K$42:$K$62,卡牌属性!R745))+IF(Q745=1,INDEX(新属性投放!S$20:S$23,卡牌属性!M745-1),INDEX(新属性投放!S$25:S$28,卡牌属性!M745-1)))*INDEX($G$5:$G$42,L745),2)</f>
        <v>898.15</v>
      </c>
      <c r="W745" s="29" t="s">
        <v>179</v>
      </c>
      <c r="X745" s="14">
        <f>ROUND((IF(Q745=1,INDEX(新属性投放!$L$14:$L$34,卡牌属性!R745),INDEX(新属性投放!$L$42:$L$62,卡牌属性!R745))*INDEX($G$5:$G$42,L745)+IF(Q745=1,INDEX(新属性投放!T$20:T$23,卡牌属性!M745-1),INDEX(新属性投放!T$25:T$28,卡牌属性!M745-1)))*SQRT(INDEX($I$5:$I$42,L745)),2)</f>
        <v>9803.35</v>
      </c>
      <c r="Y745" s="29" t="s">
        <v>177</v>
      </c>
      <c r="Z745" s="14">
        <f>ROUND(IF(Q745=1,INDEX(新属性投放!$D$14:$D$34,卡牌属性!R745),INDEX(新属性投放!$D$42:$D$62,卡牌属性!R745))*INDEX($G$5:$G$42,L745)/SQRT(INDEX($I$5:$I$42,L745)),2)</f>
        <v>40.25</v>
      </c>
      <c r="AA745" s="29" t="s">
        <v>178</v>
      </c>
      <c r="AB745" s="14">
        <f>ROUND(IF(Q745=1,INDEX(新属性投放!$E$14:$E$34,卡牌属性!R745),INDEX(新属性投放!$E$42:$E$62,卡牌属性!R745))*INDEX($G$5:$G$42,L745),2)</f>
        <v>20.13</v>
      </c>
      <c r="AC745" s="29" t="s">
        <v>179</v>
      </c>
      <c r="AD745" s="14">
        <f>ROUND(IF(Q745=1,INDEX(新属性投放!$F$14:$F$34,卡牌属性!R745),INDEX(新属性投放!$F$42:$F$62,卡牌属性!R745))*INDEX($G$5:$G$42,L745)*SQRT(INDEX($I$5:$I$42,L745)),2)</f>
        <v>180.55</v>
      </c>
      <c r="AF745" s="14">
        <f t="shared" si="207"/>
        <v>402</v>
      </c>
      <c r="AG745" s="14">
        <f t="shared" si="208"/>
        <v>201</v>
      </c>
      <c r="AH745" s="14">
        <f t="shared" si="209"/>
        <v>1805</v>
      </c>
      <c r="AJ745" s="14">
        <f t="shared" si="213"/>
        <v>1666</v>
      </c>
      <c r="AK745" s="14">
        <f t="shared" si="214"/>
        <v>831</v>
      </c>
      <c r="AL745" s="14">
        <f t="shared" si="215"/>
        <v>7484</v>
      </c>
    </row>
    <row r="746" spans="11:38" ht="16.5" x14ac:dyDescent="0.2">
      <c r="K746" s="13">
        <v>743</v>
      </c>
      <c r="L746" s="13">
        <f t="shared" si="201"/>
        <v>36</v>
      </c>
      <c r="M746" s="13">
        <f t="shared" si="202"/>
        <v>3</v>
      </c>
      <c r="N746" s="14">
        <f t="shared" si="203"/>
        <v>1102020</v>
      </c>
      <c r="O746" s="14" t="str">
        <f t="shared" si="204"/>
        <v>高顺8突</v>
      </c>
      <c r="P746" s="29" t="s">
        <v>341</v>
      </c>
      <c r="Q746" s="14">
        <f t="shared" si="205"/>
        <v>2</v>
      </c>
      <c r="R746" s="14">
        <f t="shared" si="206"/>
        <v>8</v>
      </c>
      <c r="S746" s="14" t="s">
        <v>39</v>
      </c>
      <c r="T746" s="14">
        <f>ROUND(((IF(Q746=1,INDEX(新属性投放!$J$14:$J$34,卡牌属性!R746),INDEX(新属性投放!$J$42:$J$62,卡牌属性!R746)))*INDEX($G$5:$G$42,L746)+IF(Q746=1,INDEX(新属性投放!R$20:R$23,卡牌属性!M746-1),INDEX(新属性投放!R$25:R$28,卡牌属性!M746-1)))/SQRT(INDEX($I$5:$I$42,L746)),2)</f>
        <v>2554.6</v>
      </c>
      <c r="U746" s="29" t="s">
        <v>178</v>
      </c>
      <c r="V746" s="14">
        <f>ROUND((IF(Q746=1,INDEX(新属性投放!$K$14:$K$34,卡牌属性!R746),INDEX(新属性投放!$K$42:$K$62,卡牌属性!R746))+IF(Q746=1,INDEX(新属性投放!S$20:S$23,卡牌属性!M746-1),INDEX(新属性投放!S$25:S$28,卡牌属性!M746-1)))*INDEX($G$5:$G$42,L746),2)</f>
        <v>1150</v>
      </c>
      <c r="W746" s="29" t="s">
        <v>179</v>
      </c>
      <c r="X746" s="14">
        <f>ROUND((IF(Q746=1,INDEX(新属性投放!$L$14:$L$34,卡牌属性!R746),INDEX(新属性投放!$L$42:$L$62,卡牌属性!R746))*INDEX($G$5:$G$42,L746)+IF(Q746=1,INDEX(新属性投放!T$20:T$23,卡牌属性!M746-1),INDEX(新属性投放!T$25:T$28,卡牌属性!M746-1)))*SQRT(INDEX($I$5:$I$42,L746)),2)</f>
        <v>12519.65</v>
      </c>
      <c r="Y746" s="29" t="s">
        <v>177</v>
      </c>
      <c r="Z746" s="14">
        <f>ROUND(IF(Q746=1,INDEX(新属性投放!$D$14:$D$34,卡牌属性!R746),INDEX(新属性投放!$D$42:$D$62,卡牌属性!R746))*INDEX($G$5:$G$42,L746)/SQRT(INDEX($I$5:$I$42,L746)),2)</f>
        <v>51.75</v>
      </c>
      <c r="AA746" s="29" t="s">
        <v>178</v>
      </c>
      <c r="AB746" s="14">
        <f>ROUND(IF(Q746=1,INDEX(新属性投放!$E$14:$E$34,卡牌属性!R746),INDEX(新属性投放!$E$42:$E$62,卡牌属性!R746))*INDEX($G$5:$G$42,L746),2)</f>
        <v>25.88</v>
      </c>
      <c r="AC746" s="29" t="s">
        <v>179</v>
      </c>
      <c r="AD746" s="14">
        <f>ROUND(IF(Q746=1,INDEX(新属性投放!$F$14:$F$34,卡牌属性!R746),INDEX(新属性投放!$F$42:$F$62,卡牌属性!R746))*INDEX($G$5:$G$42,L746)*SQRT(INDEX($I$5:$I$42,L746)),2)</f>
        <v>232.3</v>
      </c>
      <c r="AF746" s="14">
        <f t="shared" si="207"/>
        <v>517</v>
      </c>
      <c r="AG746" s="14">
        <f t="shared" si="208"/>
        <v>258</v>
      </c>
      <c r="AH746" s="14">
        <f t="shared" si="209"/>
        <v>2323</v>
      </c>
      <c r="AJ746" s="14">
        <f t="shared" si="213"/>
        <v>2183</v>
      </c>
      <c r="AK746" s="14">
        <f t="shared" si="214"/>
        <v>1089</v>
      </c>
      <c r="AL746" s="14">
        <f t="shared" si="215"/>
        <v>9807</v>
      </c>
    </row>
    <row r="747" spans="11:38" ht="16.5" x14ac:dyDescent="0.2">
      <c r="K747" s="13">
        <v>744</v>
      </c>
      <c r="L747" s="13">
        <f t="shared" si="201"/>
        <v>36</v>
      </c>
      <c r="M747" s="13">
        <f t="shared" si="202"/>
        <v>3</v>
      </c>
      <c r="N747" s="14">
        <f t="shared" si="203"/>
        <v>1102020</v>
      </c>
      <c r="O747" s="14" t="str">
        <f t="shared" si="204"/>
        <v>高顺9突</v>
      </c>
      <c r="P747" s="29" t="s">
        <v>341</v>
      </c>
      <c r="Q747" s="14">
        <f t="shared" si="205"/>
        <v>2</v>
      </c>
      <c r="R747" s="14">
        <f t="shared" si="206"/>
        <v>9</v>
      </c>
      <c r="S747" s="14" t="s">
        <v>39</v>
      </c>
      <c r="T747" s="14">
        <f>ROUND(((IF(Q747=1,INDEX(新属性投放!$J$14:$J$34,卡牌属性!R747),INDEX(新属性投放!$J$42:$J$62,卡牌属性!R747)))*INDEX($G$5:$G$42,L747)+IF(Q747=1,INDEX(新属性投放!R$20:R$23,卡牌属性!M747-1),INDEX(新属性投放!R$25:R$28,卡牌属性!M747-1)))/SQRT(INDEX($I$5:$I$42,L747)),2)</f>
        <v>3202.05</v>
      </c>
      <c r="U747" s="29" t="s">
        <v>178</v>
      </c>
      <c r="V747" s="14">
        <f>ROUND((IF(Q747=1,INDEX(新属性投放!$K$14:$K$34,卡牌属性!R747),INDEX(新属性投放!$K$42:$K$62,卡牌属性!R747))+IF(Q747=1,INDEX(新属性投放!S$20:S$23,卡牌属性!M747-1),INDEX(新属性投放!S$25:S$28,卡牌属性!M747-1)))*INDEX($G$5:$G$42,L747),2)</f>
        <v>1473.15</v>
      </c>
      <c r="W747" s="29" t="s">
        <v>179</v>
      </c>
      <c r="X747" s="14">
        <f>ROUND((IF(Q747=1,INDEX(新属性投放!$L$14:$L$34,卡牌属性!R747),INDEX(新属性投放!$L$42:$L$62,卡牌属性!R747))*INDEX($G$5:$G$42,L747)+IF(Q747=1,INDEX(新属性投放!T$20:T$23,卡牌属性!M747-1),INDEX(新属性投放!T$25:T$28,卡牌属性!M747-1)))*SQRT(INDEX($I$5:$I$42,L747)),2)</f>
        <v>16012.2</v>
      </c>
      <c r="Y747" s="29" t="s">
        <v>177</v>
      </c>
      <c r="Z747" s="14">
        <f>ROUND(IF(Q747=1,INDEX(新属性投放!$D$14:$D$34,卡牌属性!R747),INDEX(新属性投放!$D$42:$D$62,卡牌属性!R747))*INDEX($G$5:$G$42,L747)/SQRT(INDEX($I$5:$I$42,L747)),2)</f>
        <v>69.06</v>
      </c>
      <c r="AA747" s="29" t="s">
        <v>178</v>
      </c>
      <c r="AB747" s="14">
        <f>ROUND(IF(Q747=1,INDEX(新属性投放!$E$14:$E$34,卡牌属性!R747),INDEX(新属性投放!$E$42:$E$62,卡牌属性!R747))*INDEX($G$5:$G$42,L747),2)</f>
        <v>34.53</v>
      </c>
      <c r="AC747" s="29" t="s">
        <v>179</v>
      </c>
      <c r="AD747" s="14">
        <f>ROUND(IF(Q747=1,INDEX(新属性投放!$F$14:$F$34,卡牌属性!R747),INDEX(新属性投放!$F$42:$F$62,卡牌属性!R747))*INDEX($G$5:$G$42,L747)*SQRT(INDEX($I$5:$I$42,L747)),2)</f>
        <v>310.5</v>
      </c>
      <c r="AF747" s="14">
        <f t="shared" si="207"/>
        <v>690</v>
      </c>
      <c r="AG747" s="14">
        <f t="shared" si="208"/>
        <v>345</v>
      </c>
      <c r="AH747" s="14">
        <f t="shared" si="209"/>
        <v>3105</v>
      </c>
      <c r="AJ747" s="14">
        <f t="shared" si="213"/>
        <v>2873</v>
      </c>
      <c r="AK747" s="14">
        <f t="shared" si="214"/>
        <v>1434</v>
      </c>
      <c r="AL747" s="14">
        <f t="shared" si="215"/>
        <v>12912</v>
      </c>
    </row>
    <row r="748" spans="11:38" ht="16.5" x14ac:dyDescent="0.2">
      <c r="K748" s="13">
        <v>745</v>
      </c>
      <c r="L748" s="13">
        <f t="shared" si="201"/>
        <v>36</v>
      </c>
      <c r="M748" s="13">
        <f t="shared" si="202"/>
        <v>3</v>
      </c>
      <c r="N748" s="14">
        <f t="shared" si="203"/>
        <v>1102020</v>
      </c>
      <c r="O748" s="14" t="str">
        <f t="shared" si="204"/>
        <v>高顺10突</v>
      </c>
      <c r="P748" s="29" t="s">
        <v>341</v>
      </c>
      <c r="Q748" s="14">
        <f t="shared" si="205"/>
        <v>2</v>
      </c>
      <c r="R748" s="14">
        <f t="shared" si="206"/>
        <v>10</v>
      </c>
      <c r="S748" s="14" t="s">
        <v>39</v>
      </c>
      <c r="T748" s="14">
        <f>ROUND(((IF(Q748=1,INDEX(新属性投放!$J$14:$J$34,卡牌属性!R748),INDEX(新属性投放!$J$42:$J$62,卡牌属性!R748)))*INDEX($G$5:$G$42,L748)+IF(Q748=1,INDEX(新属性投放!R$20:R$23,卡牌属性!M748-1),INDEX(新属性投放!R$25:R$28,卡牌属性!M748-1)))/SQRT(INDEX($I$5:$I$42,L748)),2)</f>
        <v>4065.13</v>
      </c>
      <c r="U748" s="29" t="s">
        <v>178</v>
      </c>
      <c r="V748" s="14">
        <f>ROUND((IF(Q748=1,INDEX(新属性投放!$K$14:$K$34,卡牌属性!R748),INDEX(新属性投放!$K$42:$K$62,卡牌属性!R748))+IF(Q748=1,INDEX(新属性投放!S$20:S$23,卡牌属性!M748-1),INDEX(新属性投放!S$25:S$28,卡牌属性!M748-1)))*INDEX($G$5:$G$42,L748),2)</f>
        <v>1904.69</v>
      </c>
      <c r="W748" s="29" t="s">
        <v>179</v>
      </c>
      <c r="X748" s="14">
        <f>ROUND((IF(Q748=1,INDEX(新属性投放!$L$14:$L$34,卡牌属性!R748),INDEX(新属性投放!$L$42:$L$62,卡牌属性!R748))*INDEX($G$5:$G$42,L748)+IF(Q748=1,INDEX(新属性投放!T$20:T$23,卡牌属性!M748-1),INDEX(新属性投放!T$25:T$28,卡牌属性!M748-1)))*SQRT(INDEX($I$5:$I$42,L748)),2)</f>
        <v>20669.7</v>
      </c>
      <c r="Y748" s="29" t="s">
        <v>177</v>
      </c>
      <c r="Z748" s="14">
        <f>ROUND(IF(Q748=1,INDEX(新属性投放!$D$14:$D$34,卡牌属性!R748),INDEX(新属性投放!$D$42:$D$62,卡牌属性!R748))*INDEX($G$5:$G$42,L748)/SQRT(INDEX($I$5:$I$42,L748)),2)</f>
        <v>90.28</v>
      </c>
      <c r="AA748" s="29" t="s">
        <v>178</v>
      </c>
      <c r="AB748" s="14">
        <f>ROUND(IF(Q748=1,INDEX(新属性投放!$E$14:$E$34,卡牌属性!R748),INDEX(新属性投放!$E$42:$E$62,卡牌属性!R748))*INDEX($G$5:$G$42,L748),2)</f>
        <v>45.14</v>
      </c>
      <c r="AC748" s="29" t="s">
        <v>179</v>
      </c>
      <c r="AD748" s="14">
        <f>ROUND(IF(Q748=1,INDEX(新属性投放!$F$14:$F$34,卡牌属性!R748),INDEX(新属性投放!$F$42:$F$62,卡牌属性!R748))*INDEX($G$5:$G$42,L748)*SQRT(INDEX($I$5:$I$42,L748)),2)</f>
        <v>405.95</v>
      </c>
      <c r="AF748" s="14">
        <f t="shared" si="207"/>
        <v>902</v>
      </c>
      <c r="AG748" s="14">
        <f t="shared" si="208"/>
        <v>451</v>
      </c>
      <c r="AH748" s="14">
        <f t="shared" si="209"/>
        <v>4059</v>
      </c>
      <c r="AJ748" s="14">
        <f t="shared" si="213"/>
        <v>3775</v>
      </c>
      <c r="AK748" s="14">
        <f t="shared" si="214"/>
        <v>1885</v>
      </c>
      <c r="AL748" s="14">
        <f t="shared" si="215"/>
        <v>16971</v>
      </c>
    </row>
    <row r="749" spans="11:38" ht="16.5" x14ac:dyDescent="0.2">
      <c r="K749" s="13">
        <v>746</v>
      </c>
      <c r="L749" s="13">
        <f t="shared" si="201"/>
        <v>36</v>
      </c>
      <c r="M749" s="13">
        <f t="shared" si="202"/>
        <v>3</v>
      </c>
      <c r="N749" s="14">
        <f t="shared" si="203"/>
        <v>1102020</v>
      </c>
      <c r="O749" s="14" t="str">
        <f t="shared" si="204"/>
        <v>高顺11突</v>
      </c>
      <c r="P749" s="29" t="s">
        <v>341</v>
      </c>
      <c r="Q749" s="14">
        <f t="shared" si="205"/>
        <v>2</v>
      </c>
      <c r="R749" s="14">
        <f t="shared" si="206"/>
        <v>11</v>
      </c>
      <c r="S749" s="14" t="s">
        <v>39</v>
      </c>
      <c r="T749" s="14">
        <f>ROUND(((IF(Q749=1,INDEX(新属性投放!$J$14:$J$34,卡牌属性!R749),INDEX(新属性投放!$J$42:$J$62,卡牌属性!R749)))*INDEX($G$5:$G$42,L749)+IF(Q749=1,INDEX(新属性投放!R$20:R$23,卡牌属性!M749-1),INDEX(新属性投放!R$25:R$28,卡牌属性!M749-1)))/SQRT(INDEX($I$5:$I$42,L749)),2)</f>
        <v>5193.28</v>
      </c>
      <c r="U749" s="29" t="s">
        <v>178</v>
      </c>
      <c r="V749" s="14">
        <f>ROUND((IF(Q749=1,INDEX(新属性投放!$K$14:$K$34,卡牌属性!R749),INDEX(新属性投放!$K$42:$K$62,卡牌属性!R749))+IF(Q749=1,INDEX(新属性投放!S$20:S$23,卡牌属性!M749-1),INDEX(新属性投放!S$25:S$28,卡牌属性!M749-1)))*INDEX($G$5:$G$42,L749),2)</f>
        <v>2468.7600000000002</v>
      </c>
      <c r="W749" s="29" t="s">
        <v>179</v>
      </c>
      <c r="X749" s="14">
        <f>ROUND((IF(Q749=1,INDEX(新属性投放!$L$14:$L$34,卡牌属性!R749),INDEX(新属性投放!$L$42:$L$62,卡牌属性!R749))*INDEX($G$5:$G$42,L749)+IF(Q749=1,INDEX(新属性投放!T$20:T$23,卡牌属性!M749-1),INDEX(新属性投放!T$25:T$28,卡牌属性!M749-1)))*SQRT(INDEX($I$5:$I$42,L749)),2)</f>
        <v>26757.8</v>
      </c>
      <c r="Y749" s="29" t="s">
        <v>177</v>
      </c>
      <c r="Z749" s="14">
        <f>ROUND(IF(Q749=1,INDEX(新属性投放!$D$14:$D$34,卡牌属性!R749),INDEX(新属性投放!$D$42:$D$62,卡牌属性!R749))*INDEX($G$5:$G$42,L749)/SQRT(INDEX($I$5:$I$42,L749)),2)</f>
        <v>118.84</v>
      </c>
      <c r="AA749" s="29" t="s">
        <v>178</v>
      </c>
      <c r="AB749" s="14">
        <f>ROUND(IF(Q749=1,INDEX(新属性投放!$E$14:$E$34,卡牌属性!R749),INDEX(新属性投放!$E$42:$E$62,卡牌属性!R749))*INDEX($G$5:$G$42,L749),2)</f>
        <v>59.42</v>
      </c>
      <c r="AC749" s="29" t="s">
        <v>179</v>
      </c>
      <c r="AD749" s="14">
        <f>ROUND(IF(Q749=1,INDEX(新属性投放!$F$14:$F$34,卡牌属性!R749),INDEX(新属性投放!$F$42:$F$62,卡牌属性!R749))*INDEX($G$5:$G$42,L749)*SQRT(INDEX($I$5:$I$42,L749)),2)</f>
        <v>534.75</v>
      </c>
      <c r="AF749" s="14">
        <f t="shared" si="207"/>
        <v>1188</v>
      </c>
      <c r="AG749" s="14">
        <f t="shared" si="208"/>
        <v>594</v>
      </c>
      <c r="AH749" s="14">
        <f t="shared" si="209"/>
        <v>5347</v>
      </c>
      <c r="AJ749" s="14">
        <f t="shared" si="213"/>
        <v>4963</v>
      </c>
      <c r="AK749" s="14">
        <f t="shared" si="214"/>
        <v>2479</v>
      </c>
      <c r="AL749" s="14">
        <f t="shared" si="215"/>
        <v>22318</v>
      </c>
    </row>
    <row r="750" spans="11:38" ht="16.5" x14ac:dyDescent="0.2">
      <c r="K750" s="13">
        <v>747</v>
      </c>
      <c r="L750" s="13">
        <f t="shared" si="201"/>
        <v>36</v>
      </c>
      <c r="M750" s="13">
        <f t="shared" si="202"/>
        <v>3</v>
      </c>
      <c r="N750" s="14">
        <f t="shared" si="203"/>
        <v>1102020</v>
      </c>
      <c r="O750" s="14" t="str">
        <f t="shared" si="204"/>
        <v>高顺12突</v>
      </c>
      <c r="P750" s="29" t="s">
        <v>341</v>
      </c>
      <c r="Q750" s="14">
        <f t="shared" si="205"/>
        <v>2</v>
      </c>
      <c r="R750" s="14">
        <f t="shared" si="206"/>
        <v>12</v>
      </c>
      <c r="S750" s="14" t="s">
        <v>39</v>
      </c>
      <c r="T750" s="14">
        <f>ROUND(((IF(Q750=1,INDEX(新属性投放!$J$14:$J$34,卡牌属性!R750),INDEX(新属性投放!$J$42:$J$62,卡牌属性!R750)))*INDEX($G$5:$G$42,L750)+IF(Q750=1,INDEX(新属性投放!R$20:R$23,卡牌属性!M750-1),INDEX(新属性投放!R$25:R$28,卡牌属性!M750-1)))/SQRT(INDEX($I$5:$I$42,L750)),2)</f>
        <v>6678.39</v>
      </c>
      <c r="U750" s="29" t="s">
        <v>178</v>
      </c>
      <c r="V750" s="14">
        <f>ROUND((IF(Q750=1,INDEX(新属性投放!$K$14:$K$34,卡牌属性!R750),INDEX(新属性投放!$K$42:$K$62,卡牌属性!R750))+IF(Q750=1,INDEX(新属性投放!S$20:S$23,卡牌属性!M750-1),INDEX(新属性投放!S$25:S$28,卡牌属性!M750-1)))*INDEX($G$5:$G$42,L750),2)</f>
        <v>3211.32</v>
      </c>
      <c r="W750" s="29" t="s">
        <v>179</v>
      </c>
      <c r="X750" s="14">
        <f>ROUND((IF(Q750=1,INDEX(新属性投放!$L$14:$L$34,卡牌属性!R750),INDEX(新属性投放!$L$42:$L$62,卡牌属性!R750))*INDEX($G$5:$G$42,L750)+IF(Q750=1,INDEX(新属性投放!T$20:T$23,卡牌属性!M750-1),INDEX(新属性投放!T$25:T$28,卡牌属性!M750-1)))*SQRT(INDEX($I$5:$I$42,L750)),2)</f>
        <v>34775.599999999999</v>
      </c>
      <c r="Y750" s="29" t="s">
        <v>177</v>
      </c>
      <c r="Z750" s="14">
        <f>ROUND(IF(Q750=1,INDEX(新属性投放!$D$14:$D$34,卡牌属性!R750),INDEX(新属性投放!$D$42:$D$62,卡牌属性!R750))*INDEX($G$5:$G$42,L750)/SQRT(INDEX($I$5:$I$42,L750)),2)</f>
        <v>155.96</v>
      </c>
      <c r="AA750" s="29" t="s">
        <v>178</v>
      </c>
      <c r="AB750" s="14">
        <f>ROUND(IF(Q750=1,INDEX(新属性投放!$E$14:$E$34,卡牌属性!R750),INDEX(新属性投放!$E$42:$E$62,卡牌属性!R750))*INDEX($G$5:$G$42,L750),2)</f>
        <v>77.98</v>
      </c>
      <c r="AC750" s="29" t="s">
        <v>179</v>
      </c>
      <c r="AD750" s="14">
        <f>ROUND(IF(Q750=1,INDEX(新属性投放!$F$14:$F$34,卡牌属性!R750),INDEX(新属性投放!$F$42:$F$62,卡牌属性!R750))*INDEX($G$5:$G$42,L750)*SQRT(INDEX($I$5:$I$42,L750)),2)</f>
        <v>701.5</v>
      </c>
      <c r="AF750" s="14">
        <f t="shared" si="207"/>
        <v>1559</v>
      </c>
      <c r="AG750" s="14">
        <f t="shared" si="208"/>
        <v>779</v>
      </c>
      <c r="AH750" s="14">
        <f t="shared" si="209"/>
        <v>7015</v>
      </c>
      <c r="AJ750" s="14">
        <f t="shared" si="213"/>
        <v>6522</v>
      </c>
      <c r="AK750" s="14">
        <f t="shared" si="214"/>
        <v>3258</v>
      </c>
      <c r="AL750" s="14">
        <f t="shared" si="215"/>
        <v>29333</v>
      </c>
    </row>
    <row r="751" spans="11:38" ht="16.5" x14ac:dyDescent="0.2">
      <c r="K751" s="13">
        <v>748</v>
      </c>
      <c r="L751" s="13">
        <f t="shared" si="201"/>
        <v>36</v>
      </c>
      <c r="M751" s="13">
        <f t="shared" si="202"/>
        <v>3</v>
      </c>
      <c r="N751" s="14">
        <f t="shared" si="203"/>
        <v>1102020</v>
      </c>
      <c r="O751" s="14" t="str">
        <f t="shared" si="204"/>
        <v>高顺13突</v>
      </c>
      <c r="P751" s="29" t="s">
        <v>341</v>
      </c>
      <c r="Q751" s="14">
        <f t="shared" si="205"/>
        <v>2</v>
      </c>
      <c r="R751" s="14">
        <f t="shared" si="206"/>
        <v>13</v>
      </c>
      <c r="S751" s="14" t="s">
        <v>39</v>
      </c>
      <c r="T751" s="14">
        <f>ROUND(((IF(Q751=1,INDEX(新属性投放!$J$14:$J$34,卡牌属性!R751),INDEX(新属性投放!$J$42:$J$62,卡牌属性!R751)))*INDEX($G$5:$G$42,L751)+IF(Q751=1,INDEX(新属性投放!R$20:R$23,卡牌属性!M751-1),INDEX(新属性投放!R$25:R$28,卡牌属性!M751-1)))/SQRT(INDEX($I$5:$I$42,L751)),2)</f>
        <v>8627.8700000000008</v>
      </c>
      <c r="U751" s="29" t="s">
        <v>178</v>
      </c>
      <c r="V751" s="14">
        <f>ROUND((IF(Q751=1,INDEX(新属性投放!$K$14:$K$34,卡牌属性!R751),INDEX(新属性投放!$K$42:$K$62,卡牌属性!R751))+IF(Q751=1,INDEX(新属性投放!S$20:S$23,卡牌属性!M751-1),INDEX(新属性投放!S$25:S$28,卡牌属性!M751-1)))*INDEX($G$5:$G$42,L751),2)</f>
        <v>4186.63</v>
      </c>
      <c r="W751" s="29" t="s">
        <v>179</v>
      </c>
      <c r="X751" s="14">
        <f>ROUND((IF(Q751=1,INDEX(新属性投放!$L$14:$L$34,卡牌属性!R751),INDEX(新属性投放!$L$42:$L$62,卡牌属性!R751))*INDEX($G$5:$G$42,L751)+IF(Q751=1,INDEX(新属性投放!T$20:T$23,卡牌属性!M751-1),INDEX(新属性投放!T$25:T$28,卡牌属性!M751-1)))*SQRT(INDEX($I$5:$I$42,L751)),2)</f>
        <v>45299.25</v>
      </c>
      <c r="Y751" s="29" t="s">
        <v>177</v>
      </c>
      <c r="Z751" s="14">
        <f>ROUND(IF(Q751=1,INDEX(新属性投放!$D$14:$D$34,卡牌属性!R751),INDEX(新属性投放!$D$42:$D$62,卡牌属性!R751))*INDEX($G$5:$G$42,L751)/SQRT(INDEX($I$5:$I$42,L751)),2)</f>
        <v>204.7</v>
      </c>
      <c r="AA751" s="29" t="s">
        <v>178</v>
      </c>
      <c r="AB751" s="14">
        <f>ROUND(IF(Q751=1,INDEX(新属性投放!$E$14:$E$34,卡牌属性!R751),INDEX(新属性投放!$E$42:$E$62,卡牌属性!R751))*INDEX($G$5:$G$42,L751),2)</f>
        <v>102.35</v>
      </c>
      <c r="AC751" s="29" t="s">
        <v>179</v>
      </c>
      <c r="AD751" s="14">
        <f>ROUND(IF(Q751=1,INDEX(新属性投放!$F$14:$F$34,卡牌属性!R751),INDEX(新属性投放!$F$42:$F$62,卡牌属性!R751))*INDEX($G$5:$G$42,L751)*SQRT(INDEX($I$5:$I$42,L751)),2)</f>
        <v>921.15</v>
      </c>
      <c r="AF751" s="14">
        <f t="shared" si="207"/>
        <v>2047</v>
      </c>
      <c r="AG751" s="14">
        <f t="shared" si="208"/>
        <v>1023</v>
      </c>
      <c r="AH751" s="14">
        <f t="shared" si="209"/>
        <v>9211</v>
      </c>
      <c r="AJ751" s="14">
        <f t="shared" si="213"/>
        <v>8569</v>
      </c>
      <c r="AK751" s="14">
        <f t="shared" si="214"/>
        <v>4281</v>
      </c>
      <c r="AL751" s="14">
        <f t="shared" si="215"/>
        <v>38544</v>
      </c>
    </row>
    <row r="752" spans="11:38" ht="16.5" x14ac:dyDescent="0.2">
      <c r="K752" s="13">
        <v>749</v>
      </c>
      <c r="L752" s="13">
        <f t="shared" si="201"/>
        <v>36</v>
      </c>
      <c r="M752" s="13">
        <f t="shared" si="202"/>
        <v>3</v>
      </c>
      <c r="N752" s="14">
        <f t="shared" si="203"/>
        <v>1102020</v>
      </c>
      <c r="O752" s="14" t="str">
        <f t="shared" si="204"/>
        <v>高顺14突</v>
      </c>
      <c r="P752" s="29" t="s">
        <v>341</v>
      </c>
      <c r="Q752" s="14">
        <f t="shared" si="205"/>
        <v>2</v>
      </c>
      <c r="R752" s="14">
        <f t="shared" si="206"/>
        <v>14</v>
      </c>
      <c r="S752" s="14" t="s">
        <v>39</v>
      </c>
      <c r="T752" s="14">
        <f>ROUND(((IF(Q752=1,INDEX(新属性投放!$J$14:$J$34,卡牌属性!R752),INDEX(新属性投放!$J$42:$J$62,卡牌属性!R752)))*INDEX($G$5:$G$42,L752)+IF(Q752=1,INDEX(新属性投放!R$20:R$23,卡牌属性!M752-1),INDEX(新属性投放!R$25:R$28,卡牌属性!M752-1)))/SQRT(INDEX($I$5:$I$42,L752)),2)</f>
        <v>11186.62</v>
      </c>
      <c r="U752" s="29" t="s">
        <v>178</v>
      </c>
      <c r="V752" s="14">
        <f>ROUND((IF(Q752=1,INDEX(新属性投放!$K$14:$K$34,卡牌属性!R752),INDEX(新属性投放!$K$42:$K$62,卡牌属性!R752))+IF(Q752=1,INDEX(新属性投放!S$20:S$23,卡牌属性!M752-1),INDEX(新属性投放!S$25:S$28,卡牌属性!M752-1)))*INDEX($G$5:$G$42,L752),2)</f>
        <v>5466.58</v>
      </c>
      <c r="W752" s="29" t="s">
        <v>179</v>
      </c>
      <c r="X752" s="14">
        <f>ROUND((IF(Q752=1,INDEX(新属性投放!$L$14:$L$34,卡牌属性!R752),INDEX(新属性投放!$L$42:$L$62,卡牌属性!R752))*INDEX($G$5:$G$42,L752)+IF(Q752=1,INDEX(新属性投放!T$20:T$23,卡牌属性!M752-1),INDEX(新属性投放!T$25:T$28,卡牌属性!M752-1)))*SQRT(INDEX($I$5:$I$42,L752)),2)</f>
        <v>59116.5</v>
      </c>
      <c r="Y752" s="29" t="s">
        <v>177</v>
      </c>
      <c r="Z752" s="14">
        <f>ROUND(IF(Q752=1,INDEX(新属性投放!$D$14:$D$34,卡牌属性!R752),INDEX(新属性投放!$D$42:$D$62,卡牌属性!R752))*INDEX($G$5:$G$42,L752)/SQRT(INDEX($I$5:$I$42,L752)),2)</f>
        <v>268.67</v>
      </c>
      <c r="AA752" s="29" t="s">
        <v>178</v>
      </c>
      <c r="AB752" s="14">
        <f>ROUND(IF(Q752=1,INDEX(新属性投放!$E$14:$E$34,卡牌属性!R752),INDEX(新属性投放!$E$42:$E$62,卡牌属性!R752))*INDEX($G$5:$G$42,L752),2)</f>
        <v>134.34</v>
      </c>
      <c r="AC752" s="29" t="s">
        <v>179</v>
      </c>
      <c r="AD752" s="14">
        <f>ROUND(IF(Q752=1,INDEX(新属性投放!$F$14:$F$34,卡牌属性!R752),INDEX(新属性投放!$F$42:$F$62,卡牌属性!R752))*INDEX($G$5:$G$42,L752)*SQRT(INDEX($I$5:$I$42,L752)),2)</f>
        <v>1208.6500000000001</v>
      </c>
      <c r="AF752" s="14">
        <f t="shared" si="207"/>
        <v>2686</v>
      </c>
      <c r="AG752" s="14">
        <f t="shared" si="208"/>
        <v>1343</v>
      </c>
      <c r="AH752" s="14">
        <f t="shared" si="209"/>
        <v>12086</v>
      </c>
      <c r="AJ752" s="14">
        <f t="shared" si="213"/>
        <v>11255</v>
      </c>
      <c r="AK752" s="14">
        <f t="shared" si="214"/>
        <v>5624</v>
      </c>
      <c r="AL752" s="14">
        <f t="shared" si="215"/>
        <v>50630</v>
      </c>
    </row>
    <row r="753" spans="11:38" ht="16.5" x14ac:dyDescent="0.2">
      <c r="K753" s="13">
        <v>750</v>
      </c>
      <c r="L753" s="13">
        <f t="shared" si="201"/>
        <v>36</v>
      </c>
      <c r="M753" s="13">
        <f t="shared" si="202"/>
        <v>3</v>
      </c>
      <c r="N753" s="14">
        <f t="shared" si="203"/>
        <v>1102020</v>
      </c>
      <c r="O753" s="14" t="str">
        <f t="shared" si="204"/>
        <v>高顺15突</v>
      </c>
      <c r="P753" s="29" t="s">
        <v>341</v>
      </c>
      <c r="Q753" s="14">
        <f t="shared" si="205"/>
        <v>2</v>
      </c>
      <c r="R753" s="14">
        <f t="shared" si="206"/>
        <v>15</v>
      </c>
      <c r="S753" s="14" t="s">
        <v>39</v>
      </c>
      <c r="T753" s="14">
        <f>ROUND(((IF(Q753=1,INDEX(新属性投放!$J$14:$J$34,卡牌属性!R753),INDEX(新属性投放!$J$42:$J$62,卡牌属性!R753)))*INDEX($G$5:$G$42,L753)+IF(Q753=1,INDEX(新属性投放!R$20:R$23,卡牌属性!M753-1),INDEX(新属性投放!R$25:R$28,卡牌属性!M753-1)))/SQRT(INDEX($I$5:$I$42,L753)),2)</f>
        <v>14544.96</v>
      </c>
      <c r="U753" s="29" t="s">
        <v>178</v>
      </c>
      <c r="V753" s="14">
        <f>ROUND((IF(Q753=1,INDEX(新属性投放!$K$14:$K$34,卡牌属性!R753),INDEX(新属性投放!$K$42:$K$62,卡牌属性!R753))+IF(Q753=1,INDEX(新属性投放!S$20:S$23,卡牌属性!M753-1),INDEX(新属性投放!S$25:S$28,卡牌属性!M753-1)))*INDEX($G$5:$G$42,L753),2)</f>
        <v>7145.76</v>
      </c>
      <c r="W753" s="29" t="s">
        <v>179</v>
      </c>
      <c r="X753" s="14">
        <f>ROUND((IF(Q753=1,INDEX(新属性投放!$L$14:$L$34,卡牌属性!R753),INDEX(新属性投放!$L$42:$L$62,卡牌属性!R753))*INDEX($G$5:$G$42,L753)+IF(Q753=1,INDEX(新属性投放!T$20:T$23,卡牌属性!M753-1),INDEX(新属性投放!T$25:T$28,卡牌属性!M753-1)))*SQRT(INDEX($I$5:$I$42,L753)),2)</f>
        <v>77247.399999999994</v>
      </c>
      <c r="Y753" s="29" t="s">
        <v>177</v>
      </c>
      <c r="Z753" s="14">
        <f>ROUND(IF(Q753=1,INDEX(新属性投放!$D$14:$D$34,卡牌属性!R753),INDEX(新属性投放!$D$42:$D$62,卡牌属性!R753))*INDEX($G$5:$G$42,L753)/SQRT(INDEX($I$5:$I$42,L753)),2)</f>
        <v>352.64</v>
      </c>
      <c r="AA753" s="29" t="s">
        <v>178</v>
      </c>
      <c r="AB753" s="14">
        <f>ROUND(IF(Q753=1,INDEX(新属性投放!$E$14:$E$34,卡牌属性!R753),INDEX(新属性投放!$E$42:$E$62,卡牌属性!R753))*INDEX($G$5:$G$42,L753),2)</f>
        <v>176.32</v>
      </c>
      <c r="AC753" s="29" t="s">
        <v>179</v>
      </c>
      <c r="AD753" s="14">
        <f>ROUND(IF(Q753=1,INDEX(新属性投放!$F$14:$F$34,卡牌属性!R753),INDEX(新属性投放!$F$42:$F$62,卡牌属性!R753))*INDEX($G$5:$G$42,L753)*SQRT(INDEX($I$5:$I$42,L753)),2)</f>
        <v>1585.85</v>
      </c>
      <c r="AF753" s="14">
        <f t="shared" si="207"/>
        <v>3526</v>
      </c>
      <c r="AG753" s="14">
        <f t="shared" si="208"/>
        <v>1763</v>
      </c>
      <c r="AH753" s="14">
        <f t="shared" si="209"/>
        <v>15858</v>
      </c>
      <c r="AJ753" s="14">
        <f t="shared" si="213"/>
        <v>14781</v>
      </c>
      <c r="AK753" s="14">
        <f t="shared" si="214"/>
        <v>7387</v>
      </c>
      <c r="AL753" s="14">
        <f t="shared" si="215"/>
        <v>66488</v>
      </c>
    </row>
    <row r="754" spans="11:38" ht="16.5" x14ac:dyDescent="0.2">
      <c r="K754" s="13">
        <v>751</v>
      </c>
      <c r="L754" s="13">
        <f t="shared" si="201"/>
        <v>36</v>
      </c>
      <c r="M754" s="13">
        <f t="shared" si="202"/>
        <v>3</v>
      </c>
      <c r="N754" s="14">
        <f t="shared" si="203"/>
        <v>1102020</v>
      </c>
      <c r="O754" s="14" t="str">
        <f t="shared" si="204"/>
        <v>高顺16突</v>
      </c>
      <c r="P754" s="29" t="s">
        <v>341</v>
      </c>
      <c r="Q754" s="14">
        <f t="shared" si="205"/>
        <v>2</v>
      </c>
      <c r="R754" s="14">
        <f t="shared" si="206"/>
        <v>16</v>
      </c>
      <c r="S754" s="14" t="s">
        <v>39</v>
      </c>
      <c r="T754" s="14">
        <f>ROUND(((IF(Q754=1,INDEX(新属性投放!$J$14:$J$34,卡牌属性!R754),INDEX(新属性投放!$J$42:$J$62,卡牌属性!R754)))*INDEX($G$5:$G$42,L754)+IF(Q754=1,INDEX(新属性投放!R$20:R$23,卡牌属性!M754-1),INDEX(新属性投放!R$25:R$28,卡牌属性!M754-1)))/SQRT(INDEX($I$5:$I$42,L754)),2)</f>
        <v>18953.37</v>
      </c>
      <c r="U754" s="29" t="s">
        <v>178</v>
      </c>
      <c r="V754" s="14">
        <f>ROUND((IF(Q754=1,INDEX(新属性投放!$K$14:$K$34,卡牌属性!R754),INDEX(新属性投放!$K$42:$K$62,卡牌属性!R754))+IF(Q754=1,INDEX(新属性投放!S$20:S$23,卡牌属性!M754-1),INDEX(新属性投放!S$25:S$28,卡牌属性!M754-1)))*INDEX($G$5:$G$42,L754),2)</f>
        <v>9349.39</v>
      </c>
      <c r="W754" s="29" t="s">
        <v>179</v>
      </c>
      <c r="X754" s="14">
        <f>ROUND((IF(Q754=1,INDEX(新属性投放!$L$14:$L$34,卡牌属性!R754),INDEX(新属性投放!$L$42:$L$62,卡牌属性!R754))*INDEX($G$5:$G$42,L754)+IF(Q754=1,INDEX(新属性投放!T$20:T$23,卡牌属性!M754-1),INDEX(新属性投放!T$25:T$28,卡牌属性!M754-1)))*SQRT(INDEX($I$5:$I$42,L754)),2)</f>
        <v>101044.35</v>
      </c>
      <c r="Y754" s="29" t="s">
        <v>177</v>
      </c>
      <c r="Z754" s="14">
        <f>ROUND(IF(Q754=1,INDEX(新属性投放!$D$14:$D$34,卡牌属性!R754),INDEX(新属性投放!$D$42:$D$62,卡牌属性!R754))*INDEX($G$5:$G$42,L754)/SQRT(INDEX($I$5:$I$42,L754)),2)</f>
        <v>462.84</v>
      </c>
      <c r="AA754" s="29" t="s">
        <v>178</v>
      </c>
      <c r="AB754" s="14">
        <f>ROUND(IF(Q754=1,INDEX(新属性投放!$E$14:$E$34,卡牌属性!R754),INDEX(新属性投放!$E$42:$E$62,卡牌属性!R754))*INDEX($G$5:$G$42,L754),2)</f>
        <v>231.42</v>
      </c>
      <c r="AC754" s="29" t="s">
        <v>179</v>
      </c>
      <c r="AD754" s="14">
        <f>ROUND(IF(Q754=1,INDEX(新属性投放!$F$14:$F$34,卡牌属性!R754),INDEX(新属性投放!$F$42:$F$62,卡牌属性!R754))*INDEX($G$5:$G$42,L754)*SQRT(INDEX($I$5:$I$42,L754)),2)</f>
        <v>2082.65</v>
      </c>
      <c r="AF754" s="14">
        <f t="shared" si="207"/>
        <v>4628</v>
      </c>
      <c r="AG754" s="14">
        <f t="shared" si="208"/>
        <v>2314</v>
      </c>
      <c r="AH754" s="14">
        <f t="shared" si="209"/>
        <v>20826</v>
      </c>
      <c r="AJ754" s="14">
        <f t="shared" si="213"/>
        <v>19409</v>
      </c>
      <c r="AK754" s="14">
        <f t="shared" si="214"/>
        <v>9701</v>
      </c>
      <c r="AL754" s="14">
        <f t="shared" si="215"/>
        <v>87314</v>
      </c>
    </row>
    <row r="755" spans="11:38" ht="16.5" x14ac:dyDescent="0.2">
      <c r="K755" s="13">
        <v>752</v>
      </c>
      <c r="L755" s="13">
        <f t="shared" si="201"/>
        <v>36</v>
      </c>
      <c r="M755" s="13">
        <f t="shared" si="202"/>
        <v>3</v>
      </c>
      <c r="N755" s="14">
        <f t="shared" si="203"/>
        <v>1102020</v>
      </c>
      <c r="O755" s="14" t="str">
        <f t="shared" si="204"/>
        <v>高顺17突</v>
      </c>
      <c r="P755" s="29" t="s">
        <v>341</v>
      </c>
      <c r="Q755" s="14">
        <f t="shared" si="205"/>
        <v>2</v>
      </c>
      <c r="R755" s="14">
        <f t="shared" si="206"/>
        <v>17</v>
      </c>
      <c r="S755" s="14" t="s">
        <v>39</v>
      </c>
      <c r="T755" s="14">
        <f>ROUND(((IF(Q755=1,INDEX(新属性投放!$J$14:$J$34,卡牌属性!R755),INDEX(新属性投放!$J$42:$J$62,卡牌属性!R755)))*INDEX($G$5:$G$42,L755)+IF(Q755=1,INDEX(新属性投放!R$20:R$23,卡牌属性!M755-1),INDEX(新属性投放!R$25:R$28,卡牌属性!M755-1)))/SQRT(INDEX($I$5:$I$42,L755)),2)</f>
        <v>24738.68</v>
      </c>
      <c r="U755" s="29" t="s">
        <v>178</v>
      </c>
      <c r="V755" s="14">
        <f>ROUND((IF(Q755=1,INDEX(新属性投放!$K$14:$K$34,卡牌属性!R755),INDEX(新属性投放!$K$42:$K$62,卡牌属性!R755))+IF(Q755=1,INDEX(新属性投放!S$20:S$23,卡牌属性!M755-1),INDEX(新属性投放!S$25:S$28,卡牌属性!M755-1)))*INDEX($G$5:$G$42,L755),2)</f>
        <v>12242.04</v>
      </c>
      <c r="W755" s="29" t="s">
        <v>179</v>
      </c>
      <c r="X755" s="14">
        <f>ROUND((IF(Q755=1,INDEX(新属性投放!$L$14:$L$34,卡牌属性!R755),INDEX(新属性投放!$L$42:$L$62,卡牌属性!R755))*INDEX($G$5:$G$42,L755)+IF(Q755=1,INDEX(新属性投放!T$20:T$23,卡牌属性!M755-1),INDEX(新属性投放!T$25:T$28,卡牌属性!M755-1)))*SQRT(INDEX($I$5:$I$42,L755)),2)</f>
        <v>132282.95000000001</v>
      </c>
      <c r="Y755" s="29" t="s">
        <v>177</v>
      </c>
      <c r="Z755" s="14">
        <f>ROUND(IF(Q755=1,INDEX(新属性投放!$D$14:$D$34,卡牌属性!R755),INDEX(新属性投放!$D$42:$D$62,卡牌属性!R755))*INDEX($G$5:$G$42,L755)/SQRT(INDEX($I$5:$I$42,L755)),2)</f>
        <v>607.48</v>
      </c>
      <c r="AA755" s="29" t="s">
        <v>178</v>
      </c>
      <c r="AB755" s="14">
        <f>ROUND(IF(Q755=1,INDEX(新属性投放!$E$14:$E$34,卡牌属性!R755),INDEX(新属性投放!$E$42:$E$62,卡牌属性!R755))*INDEX($G$5:$G$42,L755),2)</f>
        <v>303.74</v>
      </c>
      <c r="AC755" s="29" t="s">
        <v>179</v>
      </c>
      <c r="AD755" s="14">
        <f>ROUND(IF(Q755=1,INDEX(新属性投放!$F$14:$F$34,卡牌属性!R755),INDEX(新属性投放!$F$42:$F$62,卡牌属性!R755))*INDEX($G$5:$G$42,L755)*SQRT(INDEX($I$5:$I$42,L755)),2)</f>
        <v>2733.55</v>
      </c>
      <c r="AF755" s="14">
        <f t="shared" si="207"/>
        <v>6074</v>
      </c>
      <c r="AG755" s="14">
        <f t="shared" si="208"/>
        <v>3037</v>
      </c>
      <c r="AH755" s="14">
        <f t="shared" si="209"/>
        <v>27335</v>
      </c>
      <c r="AJ755" s="14">
        <f t="shared" si="213"/>
        <v>25483</v>
      </c>
      <c r="AK755" s="14">
        <f t="shared" si="214"/>
        <v>12738</v>
      </c>
      <c r="AL755" s="14">
        <f t="shared" si="215"/>
        <v>114649</v>
      </c>
    </row>
    <row r="756" spans="11:38" ht="16.5" x14ac:dyDescent="0.2">
      <c r="K756" s="13">
        <v>753</v>
      </c>
      <c r="L756" s="13">
        <f t="shared" si="201"/>
        <v>36</v>
      </c>
      <c r="M756" s="13">
        <f t="shared" si="202"/>
        <v>3</v>
      </c>
      <c r="N756" s="14">
        <f t="shared" si="203"/>
        <v>1102020</v>
      </c>
      <c r="O756" s="14" t="str">
        <f t="shared" si="204"/>
        <v>高顺18突</v>
      </c>
      <c r="P756" s="29" t="s">
        <v>341</v>
      </c>
      <c r="Q756" s="14">
        <f t="shared" si="205"/>
        <v>2</v>
      </c>
      <c r="R756" s="14">
        <f t="shared" si="206"/>
        <v>18</v>
      </c>
      <c r="S756" s="14" t="s">
        <v>39</v>
      </c>
      <c r="T756" s="14">
        <f>ROUND(((IF(Q756=1,INDEX(新属性投放!$J$14:$J$34,卡牌属性!R756),INDEX(新属性投放!$J$42:$J$62,卡牌属性!R756)))*INDEX($G$5:$G$42,L756)+IF(Q756=1,INDEX(新属性投放!R$20:R$23,卡牌属性!M756-1),INDEX(新属性投放!R$25:R$28,卡牌属性!M756-1)))/SQRT(INDEX($I$5:$I$42,L756)),2)</f>
        <v>32332.59</v>
      </c>
      <c r="U756" s="29" t="s">
        <v>178</v>
      </c>
      <c r="V756" s="14">
        <f>ROUND((IF(Q756=1,INDEX(新属性投放!$K$14:$K$34,卡牌属性!R756),INDEX(新属性投放!$K$42:$K$62,卡牌属性!R756))+IF(Q756=1,INDEX(新属性投放!S$20:S$23,卡牌属性!M756-1),INDEX(新属性投放!S$25:S$28,卡牌属性!M756-1)))*INDEX($G$5:$G$42,L756),2)</f>
        <v>16038.42</v>
      </c>
      <c r="W756" s="29" t="s">
        <v>179</v>
      </c>
      <c r="X756" s="14">
        <f>ROUND((IF(Q756=1,INDEX(新属性投放!$L$14:$L$34,卡牌属性!R756),INDEX(新属性投放!$L$42:$L$62,卡牌属性!R756))*INDEX($G$5:$G$42,L756)+IF(Q756=1,INDEX(新属性投放!T$20:T$23,卡牌属性!M756-1),INDEX(新属性投放!T$25:T$28,卡牌属性!M756-1)))*SQRT(INDEX($I$5:$I$42,L756)),2)</f>
        <v>173290.8</v>
      </c>
      <c r="Y756" s="29" t="s">
        <v>177</v>
      </c>
      <c r="Z756" s="14">
        <f>ROUND(IF(Q756=1,INDEX(新属性投放!$D$14:$D$34,卡牌属性!R756),INDEX(新属性投放!$D$42:$D$62,卡牌属性!R756))*INDEX($G$5:$G$42,L756)/SQRT(INDEX($I$5:$I$42,L756)),2)</f>
        <v>797.32</v>
      </c>
      <c r="AA756" s="29" t="s">
        <v>178</v>
      </c>
      <c r="AB756" s="14">
        <f>ROUND(IF(Q756=1,INDEX(新属性投放!$E$14:$E$34,卡牌属性!R756),INDEX(新属性投放!$E$42:$E$62,卡牌属性!R756))*INDEX($G$5:$G$42,L756),2)</f>
        <v>398.66</v>
      </c>
      <c r="AC756" s="29" t="s">
        <v>179</v>
      </c>
      <c r="AD756" s="14">
        <f>ROUND(IF(Q756=1,INDEX(新属性投放!$F$14:$F$34,卡牌属性!R756),INDEX(新属性投放!$F$42:$F$62,卡牌属性!R756))*INDEX($G$5:$G$42,L756)*SQRT(INDEX($I$5:$I$42,L756)),2)</f>
        <v>3586.85</v>
      </c>
      <c r="AF756" s="14">
        <f t="shared" si="207"/>
        <v>7973</v>
      </c>
      <c r="AG756" s="14">
        <f t="shared" si="208"/>
        <v>3986</v>
      </c>
      <c r="AH756" s="14">
        <f t="shared" si="209"/>
        <v>35868</v>
      </c>
      <c r="AJ756" s="14">
        <f t="shared" si="213"/>
        <v>33456</v>
      </c>
      <c r="AK756" s="14">
        <f t="shared" si="214"/>
        <v>16724</v>
      </c>
      <c r="AL756" s="14">
        <f t="shared" si="215"/>
        <v>150517</v>
      </c>
    </row>
    <row r="757" spans="11:38" ht="16.5" x14ac:dyDescent="0.2">
      <c r="K757" s="13">
        <v>754</v>
      </c>
      <c r="L757" s="13">
        <f t="shared" si="201"/>
        <v>36</v>
      </c>
      <c r="M757" s="13">
        <f t="shared" si="202"/>
        <v>3</v>
      </c>
      <c r="N757" s="14">
        <f t="shared" si="203"/>
        <v>1102020</v>
      </c>
      <c r="O757" s="14" t="str">
        <f t="shared" si="204"/>
        <v>高顺19突</v>
      </c>
      <c r="P757" s="29" t="s">
        <v>341</v>
      </c>
      <c r="Q757" s="14">
        <f t="shared" si="205"/>
        <v>2</v>
      </c>
      <c r="R757" s="14">
        <f t="shared" si="206"/>
        <v>19</v>
      </c>
      <c r="S757" s="14" t="s">
        <v>39</v>
      </c>
      <c r="T757" s="14">
        <f>ROUND(((IF(Q757=1,INDEX(新属性投放!$J$14:$J$34,卡牌属性!R757),INDEX(新属性投放!$J$42:$J$62,卡牌属性!R757)))*INDEX($G$5:$G$42,L757)+IF(Q757=1,INDEX(新属性投放!R$20:R$23,卡牌属性!M757-1),INDEX(新属性投放!R$25:R$28,卡牌属性!M757-1)))/SQRT(INDEX($I$5:$I$42,L757)),2)</f>
        <v>42298.720000000001</v>
      </c>
      <c r="U757" s="29" t="s">
        <v>178</v>
      </c>
      <c r="V757" s="14">
        <f>ROUND((IF(Q757=1,INDEX(新属性投放!$K$14:$K$34,卡牌属性!R757),INDEX(新属性投放!$K$42:$K$62,卡牌属性!R757))+IF(Q757=1,INDEX(新属性投放!S$20:S$23,卡牌属性!M757-1),INDEX(新属性投放!S$25:S$28,卡牌属性!M757-1)))*INDEX($G$5:$G$42,L757),2)</f>
        <v>21022.06</v>
      </c>
      <c r="W757" s="29" t="s">
        <v>179</v>
      </c>
      <c r="X757" s="14">
        <f>ROUND((IF(Q757=1,INDEX(新属性投放!$L$14:$L$34,卡牌属性!R757),INDEX(新属性投放!$L$42:$L$62,卡牌属性!R757))*INDEX($G$5:$G$42,L757)+IF(Q757=1,INDEX(新属性投放!T$20:T$23,卡牌属性!M757-1),INDEX(新属性投放!T$25:T$28,卡牌属性!M757-1)))*SQRT(INDEX($I$5:$I$42,L757)),2)</f>
        <v>227095.85</v>
      </c>
      <c r="Y757" s="29" t="s">
        <v>177</v>
      </c>
      <c r="Z757" s="14">
        <f>ROUND(IF(Q757=1,INDEX(新属性投放!$D$14:$D$34,卡牌属性!R757),INDEX(新属性投放!$D$42:$D$62,卡牌属性!R757))*INDEX($G$5:$G$42,L757)/SQRT(INDEX($I$5:$I$42,L757)),2)</f>
        <v>1046.48</v>
      </c>
      <c r="AA757" s="29" t="s">
        <v>178</v>
      </c>
      <c r="AB757" s="14">
        <f>ROUND(IF(Q757=1,INDEX(新属性投放!$E$14:$E$34,卡牌属性!R757),INDEX(新属性投放!$E$42:$E$62,卡牌属性!R757))*INDEX($G$5:$G$42,L757),2)</f>
        <v>523.24</v>
      </c>
      <c r="AC757" s="29" t="s">
        <v>179</v>
      </c>
      <c r="AD757" s="14">
        <f>ROUND(IF(Q757=1,INDEX(新属性投放!$F$14:$F$34,卡牌属性!R757),INDEX(新属性投放!$F$42:$F$62,卡牌属性!R757))*INDEX($G$5:$G$42,L757)*SQRT(INDEX($I$5:$I$42,L757)),2)</f>
        <v>4708.1000000000004</v>
      </c>
      <c r="AF757" s="14">
        <f t="shared" si="207"/>
        <v>10464</v>
      </c>
      <c r="AG757" s="14">
        <f t="shared" si="208"/>
        <v>5232</v>
      </c>
      <c r="AH757" s="14">
        <f t="shared" si="209"/>
        <v>47081</v>
      </c>
      <c r="AJ757" s="14">
        <f t="shared" si="213"/>
        <v>43920</v>
      </c>
      <c r="AK757" s="14">
        <f t="shared" si="214"/>
        <v>21956</v>
      </c>
      <c r="AL757" s="14">
        <f t="shared" si="215"/>
        <v>197598</v>
      </c>
    </row>
    <row r="758" spans="11:38" ht="16.5" x14ac:dyDescent="0.2">
      <c r="K758" s="13">
        <v>755</v>
      </c>
      <c r="L758" s="13">
        <f t="shared" si="201"/>
        <v>36</v>
      </c>
      <c r="M758" s="13">
        <f t="shared" si="202"/>
        <v>3</v>
      </c>
      <c r="N758" s="14">
        <f t="shared" si="203"/>
        <v>1102020</v>
      </c>
      <c r="O758" s="14" t="str">
        <f t="shared" si="204"/>
        <v>高顺20突</v>
      </c>
      <c r="P758" s="29" t="s">
        <v>341</v>
      </c>
      <c r="Q758" s="14">
        <f t="shared" si="205"/>
        <v>2</v>
      </c>
      <c r="R758" s="14">
        <f t="shared" si="206"/>
        <v>20</v>
      </c>
      <c r="S758" s="14" t="s">
        <v>39</v>
      </c>
      <c r="T758" s="14">
        <f>ROUND(((IF(Q758=1,INDEX(新属性投放!$J$14:$J$34,卡牌属性!R758),INDEX(新属性投放!$J$42:$J$62,卡牌属性!R758)))*INDEX($G$5:$G$42,L758)+IF(Q758=1,INDEX(新属性投放!R$20:R$23,卡牌属性!M758-1),INDEX(新属性投放!R$25:R$28,卡牌属性!M758-1)))/SQRT(INDEX($I$5:$I$42,L758)),2)</f>
        <v>55379.74</v>
      </c>
      <c r="U758" s="29" t="s">
        <v>178</v>
      </c>
      <c r="V758" s="14">
        <f>ROUND((IF(Q758=1,INDEX(新属性投放!$K$14:$K$34,卡牌属性!R758),INDEX(新属性投放!$K$42:$K$62,卡牌属性!R758))+IF(Q758=1,INDEX(新属性投放!S$20:S$23,卡牌属性!M758-1),INDEX(新属性投放!S$25:S$28,卡牌属性!M758-1)))*INDEX($G$5:$G$42,L758),2)</f>
        <v>27561.99</v>
      </c>
      <c r="W758" s="29" t="s">
        <v>179</v>
      </c>
      <c r="X758" s="14">
        <f>ROUND((IF(Q758=1,INDEX(新属性投放!$L$14:$L$34,卡牌属性!R758),INDEX(新属性投放!$L$42:$L$62,卡牌属性!R758))*INDEX($G$5:$G$42,L758)+IF(Q758=1,INDEX(新属性投放!T$20:T$23,卡牌属性!M758-1),INDEX(新属性投放!T$25:T$28,卡牌属性!M758-1)))*SQRT(INDEX($I$5:$I$42,L758)),2)</f>
        <v>297723.09999999998</v>
      </c>
      <c r="Y758" s="29" t="s">
        <v>177</v>
      </c>
      <c r="Z758" s="14">
        <f>ROUND(IF(Q758=1,INDEX(新属性投放!$D$14:$D$34,卡牌属性!R758),INDEX(新属性投放!$D$42:$D$62,卡牌属性!R758))*INDEX($G$5:$G$42,L758)/SQRT(INDEX($I$5:$I$42,L758)),2)</f>
        <v>1373.5</v>
      </c>
      <c r="AA758" s="29" t="s">
        <v>178</v>
      </c>
      <c r="AB758" s="14">
        <f>ROUND(IF(Q758=1,INDEX(新属性投放!$E$14:$E$34,卡牌属性!R758),INDEX(新属性投放!$E$42:$E$62,卡牌属性!R758))*INDEX($G$5:$G$42,L758),2)</f>
        <v>686.75</v>
      </c>
      <c r="AC758" s="29" t="s">
        <v>179</v>
      </c>
      <c r="AD758" s="14">
        <f>ROUND(IF(Q758=1,INDEX(新属性投放!$F$14:$F$34,卡牌属性!R758),INDEX(新属性投放!$F$42:$F$62,卡牌属性!R758))*INDEX($G$5:$G$42,L758)*SQRT(INDEX($I$5:$I$42,L758)),2)</f>
        <v>6180.1</v>
      </c>
      <c r="AF758" s="14">
        <f t="shared" si="207"/>
        <v>13735</v>
      </c>
      <c r="AG758" s="14">
        <f t="shared" si="208"/>
        <v>6867</v>
      </c>
      <c r="AH758" s="14">
        <f t="shared" si="209"/>
        <v>61801</v>
      </c>
      <c r="AJ758" s="14">
        <f t="shared" si="213"/>
        <v>57655</v>
      </c>
      <c r="AK758" s="14">
        <f t="shared" si="214"/>
        <v>28823</v>
      </c>
      <c r="AL758" s="14">
        <f t="shared" si="215"/>
        <v>259399</v>
      </c>
    </row>
    <row r="759" spans="11:38" ht="16.5" x14ac:dyDescent="0.2">
      <c r="K759" s="13">
        <v>756</v>
      </c>
      <c r="L759" s="13">
        <f t="shared" si="201"/>
        <v>36</v>
      </c>
      <c r="M759" s="13">
        <f t="shared" si="202"/>
        <v>3</v>
      </c>
      <c r="N759" s="14">
        <f t="shared" si="203"/>
        <v>1102020</v>
      </c>
      <c r="O759" s="14" t="str">
        <f t="shared" si="204"/>
        <v>高顺21突</v>
      </c>
      <c r="P759" s="29" t="s">
        <v>341</v>
      </c>
      <c r="Q759" s="14">
        <f t="shared" si="205"/>
        <v>2</v>
      </c>
      <c r="R759" s="14">
        <f t="shared" si="206"/>
        <v>21</v>
      </c>
      <c r="S759" s="14" t="s">
        <v>39</v>
      </c>
      <c r="T759" s="14">
        <f>ROUND(((IF(Q759=1,INDEX(新属性投放!$J$14:$J$34,卡牌属性!R759),INDEX(新属性投放!$J$42:$J$62,卡牌属性!R759)))*INDEX($G$5:$G$42,L759)+IF(Q759=1,INDEX(新属性投放!R$20:R$23,卡牌属性!M759-1),INDEX(新属性投放!R$25:R$28,卡牌属性!M759-1)))/SQRT(INDEX($I$5:$I$42,L759)),2)</f>
        <v>72548.66</v>
      </c>
      <c r="U759" s="29" t="s">
        <v>178</v>
      </c>
      <c r="V759" s="14">
        <f>ROUND((IF(Q759=1,INDEX(新属性投放!$K$14:$K$34,卡牌属性!R759),INDEX(新属性投放!$K$42:$K$62,卡牌属性!R759))+IF(Q759=1,INDEX(新属性投放!S$20:S$23,卡牌属性!M759-1),INDEX(新属性投放!S$25:S$28,卡牌属性!M759-1)))*INDEX($G$5:$G$42,L759),2)</f>
        <v>36146.46</v>
      </c>
      <c r="W759" s="29" t="s">
        <v>179</v>
      </c>
      <c r="X759" s="14">
        <f>ROUND((IF(Q759=1,INDEX(新属性投放!$L$14:$L$34,卡牌属性!R759),INDEX(新属性投放!$L$42:$L$62,卡牌属性!R759))*INDEX($G$5:$G$42,L759)+IF(Q759=1,INDEX(新属性投放!T$20:T$23,卡牌属性!M759-1),INDEX(新属性投放!T$25:T$28,卡牌属性!M759-1)))*SQRT(INDEX($I$5:$I$42,L759)),2)</f>
        <v>390429.2</v>
      </c>
      <c r="Y759" s="29" t="s">
        <v>177</v>
      </c>
      <c r="Z759" s="14">
        <f>ROUND(IF(Q759=1,INDEX(新属性投放!$D$14:$D$34,卡牌属性!R759),INDEX(新属性投放!$D$42:$D$62,卡牌属性!R759))*INDEX($G$5:$G$42,L759)/SQRT(INDEX($I$5:$I$42,L759)),2)</f>
        <v>1802.73</v>
      </c>
      <c r="AA759" s="29" t="s">
        <v>178</v>
      </c>
      <c r="AB759" s="14">
        <f>ROUND(IF(Q759=1,INDEX(新属性投放!$E$14:$E$34,卡牌属性!R759),INDEX(新属性投放!$E$42:$E$62,卡牌属性!R759))*INDEX($G$5:$G$42,L759),2)</f>
        <v>901.36</v>
      </c>
      <c r="AC759" s="29" t="s">
        <v>179</v>
      </c>
      <c r="AD759" s="14">
        <f>ROUND(IF(Q759=1,INDEX(新属性投放!$F$14:$F$34,卡牌属性!R759),INDEX(新属性投放!$F$42:$F$62,卡牌属性!R759))*INDEX($G$5:$G$42,L759)*SQRT(INDEX($I$5:$I$42,L759)),2)</f>
        <v>8112.1</v>
      </c>
      <c r="AF759" s="14">
        <f t="shared" si="207"/>
        <v>18027</v>
      </c>
      <c r="AG759" s="14">
        <f t="shared" si="208"/>
        <v>9013</v>
      </c>
      <c r="AH759" s="14">
        <f t="shared" si="209"/>
        <v>81121</v>
      </c>
      <c r="AJ759" s="14">
        <f t="shared" si="213"/>
        <v>75682</v>
      </c>
      <c r="AK759" s="14">
        <f t="shared" si="214"/>
        <v>37836</v>
      </c>
      <c r="AL759" s="14">
        <f t="shared" si="215"/>
        <v>340520</v>
      </c>
    </row>
    <row r="760" spans="11:38" ht="16.5" x14ac:dyDescent="0.2">
      <c r="K760" s="13">
        <v>757</v>
      </c>
      <c r="L760" s="13">
        <f>MATCH(K760-1,$F$4:$F$41,1)</f>
        <v>37</v>
      </c>
      <c r="M760" s="13">
        <f t="shared" si="202"/>
        <v>3</v>
      </c>
      <c r="N760" s="14">
        <f t="shared" si="203"/>
        <v>1102021</v>
      </c>
      <c r="O760" s="14" t="str">
        <f t="shared" si="204"/>
        <v>烈风螳螂1突</v>
      </c>
      <c r="P760" s="29" t="s">
        <v>341</v>
      </c>
      <c r="Q760" s="14">
        <f t="shared" si="205"/>
        <v>2</v>
      </c>
      <c r="R760" s="14">
        <f t="shared" si="206"/>
        <v>1</v>
      </c>
      <c r="S760" s="14" t="s">
        <v>39</v>
      </c>
      <c r="T760" s="14">
        <f>ROUND(((IF(Q760=1,INDEX(新属性投放!$J$14:$J$34,卡牌属性!R760),INDEX(新属性投放!$J$42:$J$62,卡牌属性!R760)))*INDEX($G$5:$G$42,L760)+IF(Q760=1,INDEX(新属性投放!R$20:R$23,卡牌属性!M760-1),INDEX(新属性投放!R$25:R$28,卡牌属性!M760-1)))/SQRT(INDEX($I$5:$I$42,L760)),2)</f>
        <v>480</v>
      </c>
      <c r="U760" s="29" t="s">
        <v>178</v>
      </c>
      <c r="V760" s="14">
        <f>ROUND((IF(Q760=1,INDEX(新属性投放!$K$14:$K$34,卡牌属性!R760),INDEX(新属性投放!$K$42:$K$62,卡牌属性!R760))+IF(Q760=1,INDEX(新属性投放!S$20:S$23,卡牌属性!M760-1),INDEX(新属性投放!S$25:S$28,卡牌属性!M760-1)))*INDEX($G$5:$G$42,L760),2)</f>
        <v>115</v>
      </c>
      <c r="W760" s="29" t="s">
        <v>179</v>
      </c>
      <c r="X760" s="14">
        <f>ROUND((IF(Q760=1,INDEX(新属性投放!$L$14:$L$34,卡牌属性!R760),INDEX(新属性投放!$L$42:$L$62,卡牌属性!R760))*INDEX($G$5:$G$42,L760)+IF(Q760=1,INDEX(新属性投放!T$20:T$23,卡牌属性!M760-1),INDEX(新属性投放!T$25:T$28,卡牌属性!M760-1)))*SQRT(INDEX($I$5:$I$42,L760)),2)</f>
        <v>1317.5</v>
      </c>
      <c r="Y760" s="29" t="s">
        <v>177</v>
      </c>
      <c r="Z760" s="14">
        <f>ROUND(IF(Q760=1,INDEX(新属性投放!$D$14:$D$34,卡牌属性!R760),INDEX(新属性投放!$D$42:$D$62,卡牌属性!R760))*INDEX($G$5:$G$42,L760)/SQRT(INDEX($I$5:$I$42,L760)),2)</f>
        <v>11.5</v>
      </c>
      <c r="AA760" s="29" t="s">
        <v>178</v>
      </c>
      <c r="AB760" s="14">
        <f>ROUND(IF(Q760=1,INDEX(新属性投放!$E$14:$E$34,卡牌属性!R760),INDEX(新属性投放!$E$42:$E$62,卡牌属性!R760))*INDEX($G$5:$G$42,L760),2)</f>
        <v>5.75</v>
      </c>
      <c r="AC760" s="29" t="s">
        <v>179</v>
      </c>
      <c r="AD760" s="14">
        <f>ROUND(IF(Q760=1,INDEX(新属性投放!$F$14:$F$34,卡牌属性!R760),INDEX(新属性投放!$F$42:$F$62,卡牌属性!R760))*INDEX($G$5:$G$42,L760)*SQRT(INDEX($I$5:$I$42,L760)),2)</f>
        <v>51.75</v>
      </c>
      <c r="AF760" s="14">
        <f>INT(Z760*AF$2*10)</f>
        <v>115</v>
      </c>
      <c r="AG760" s="14">
        <f>INT(AB760*AF$2*10)</f>
        <v>57</v>
      </c>
      <c r="AH760" s="14">
        <f>INT(AD760*AF$2*10)</f>
        <v>517</v>
      </c>
      <c r="AJ760" s="14">
        <f>AF760</f>
        <v>115</v>
      </c>
      <c r="AK760" s="14">
        <f>AG760</f>
        <v>57</v>
      </c>
      <c r="AL760" s="14">
        <f>AH760</f>
        <v>517</v>
      </c>
    </row>
    <row r="761" spans="11:38" ht="16.5" x14ac:dyDescent="0.2">
      <c r="K761" s="13">
        <v>758</v>
      </c>
      <c r="L761" s="13">
        <f>MATCH(K761-1,$F$4:$F$41,1)</f>
        <v>37</v>
      </c>
      <c r="M761" s="13">
        <f t="shared" si="202"/>
        <v>3</v>
      </c>
      <c r="N761" s="14">
        <f t="shared" si="203"/>
        <v>1102021</v>
      </c>
      <c r="O761" s="14" t="str">
        <f t="shared" si="204"/>
        <v>烈风螳螂2突</v>
      </c>
      <c r="P761" s="29" t="s">
        <v>341</v>
      </c>
      <c r="Q761" s="14">
        <f t="shared" si="205"/>
        <v>2</v>
      </c>
      <c r="R761" s="14">
        <f t="shared" si="206"/>
        <v>2</v>
      </c>
      <c r="S761" s="14" t="s">
        <v>39</v>
      </c>
      <c r="T761" s="14">
        <f>ROUND(((IF(Q761=1,INDEX(新属性投放!$J$14:$J$34,卡牌属性!R761),INDEX(新属性投放!$J$42:$J$62,卡牌属性!R761)))*INDEX($G$5:$G$42,L761)+IF(Q761=1,INDEX(新属性投放!R$20:R$23,卡牌属性!M761-1),INDEX(新属性投放!R$25:R$28,卡牌属性!M761-1)))/SQRT(INDEX($I$5:$I$42,L761)),2)</f>
        <v>612.25</v>
      </c>
      <c r="U761" s="29" t="s">
        <v>178</v>
      </c>
      <c r="V761" s="14">
        <f>ROUND((IF(Q761=1,INDEX(新属性投放!$K$14:$K$34,卡牌属性!R761),INDEX(新属性投放!$K$42:$K$62,卡牌属性!R761))+IF(Q761=1,INDEX(新属性投放!S$20:S$23,卡牌属性!M761-1),INDEX(新属性投放!S$25:S$28,卡牌属性!M761-1)))*INDEX($G$5:$G$42,L761),2)</f>
        <v>178.25</v>
      </c>
      <c r="W761" s="29" t="s">
        <v>179</v>
      </c>
      <c r="X761" s="14">
        <f>ROUND((IF(Q761=1,INDEX(新属性投放!$L$14:$L$34,卡牌属性!R761),INDEX(新属性投放!$L$42:$L$62,卡牌属性!R761))*INDEX($G$5:$G$42,L761)+IF(Q761=1,INDEX(新属性投放!T$20:T$23,卡牌属性!M761-1),INDEX(新属性投放!T$25:T$28,卡牌属性!M761-1)))*SQRT(INDEX($I$5:$I$42,L761)),2)</f>
        <v>2042</v>
      </c>
      <c r="Y761" s="29" t="s">
        <v>177</v>
      </c>
      <c r="Z761" s="14">
        <f>ROUND(IF(Q761=1,INDEX(新属性投放!$D$14:$D$34,卡牌属性!R761),INDEX(新属性投放!$D$42:$D$62,卡牌属性!R761))*INDEX($G$5:$G$42,L761)/SQRT(INDEX($I$5:$I$42,L761)),2)</f>
        <v>11.5</v>
      </c>
      <c r="AA761" s="29" t="s">
        <v>178</v>
      </c>
      <c r="AB761" s="14">
        <f>ROUND(IF(Q761=1,INDEX(新属性投放!$E$14:$E$34,卡牌属性!R761),INDEX(新属性投放!$E$42:$E$62,卡牌属性!R761))*INDEX($G$5:$G$42,L761),2)</f>
        <v>5.75</v>
      </c>
      <c r="AC761" s="29" t="s">
        <v>179</v>
      </c>
      <c r="AD761" s="14">
        <f>ROUND(IF(Q761=1,INDEX(新属性投放!$F$14:$F$34,卡牌属性!R761),INDEX(新属性投放!$F$42:$F$62,卡牌属性!R761))*INDEX($G$5:$G$42,L761)*SQRT(INDEX($I$5:$I$42,L761)),2)</f>
        <v>51.75</v>
      </c>
      <c r="AF761" s="14">
        <f>INT(Z761*AF$2*10)</f>
        <v>115</v>
      </c>
      <c r="AG761" s="14">
        <f>INT(AB761*AF$2*10)</f>
        <v>57</v>
      </c>
      <c r="AH761" s="14">
        <f>INT(AD761*AF$2*10)</f>
        <v>517</v>
      </c>
      <c r="AJ761" s="14">
        <f t="shared" ref="AJ761:AJ780" si="216">AJ760+AF761</f>
        <v>230</v>
      </c>
      <c r="AK761" s="14">
        <f t="shared" ref="AK761:AK780" si="217">AK760+AG761</f>
        <v>114</v>
      </c>
      <c r="AL761" s="14">
        <f t="shared" ref="AL761:AL780" si="218">AL760+AH761</f>
        <v>1034</v>
      </c>
    </row>
    <row r="762" spans="11:38" ht="16.5" x14ac:dyDescent="0.2">
      <c r="K762" s="13">
        <v>759</v>
      </c>
      <c r="L762" s="13">
        <f>MATCH(K762-1,$F$4:$F$41,1)</f>
        <v>37</v>
      </c>
      <c r="M762" s="13">
        <f t="shared" si="202"/>
        <v>3</v>
      </c>
      <c r="N762" s="14">
        <f t="shared" si="203"/>
        <v>1102021</v>
      </c>
      <c r="O762" s="14" t="str">
        <f t="shared" si="204"/>
        <v>烈风螳螂3突</v>
      </c>
      <c r="P762" s="29" t="s">
        <v>341</v>
      </c>
      <c r="Q762" s="14">
        <f t="shared" si="205"/>
        <v>2</v>
      </c>
      <c r="R762" s="14">
        <f t="shared" si="206"/>
        <v>3</v>
      </c>
      <c r="S762" s="14" t="s">
        <v>39</v>
      </c>
      <c r="T762" s="14">
        <f>ROUND(((IF(Q762=1,INDEX(新属性投放!$J$14:$J$34,卡牌属性!R762),INDEX(新属性投放!$J$42:$J$62,卡牌属性!R762)))*INDEX($G$5:$G$42,L762)+IF(Q762=1,INDEX(新属性投放!R$20:R$23,卡牌属性!M762-1),INDEX(新属性投放!R$25:R$28,卡牌属性!M762-1)))/SQRT(INDEX($I$5:$I$42,L762)),2)</f>
        <v>756</v>
      </c>
      <c r="U762" s="29" t="s">
        <v>178</v>
      </c>
      <c r="V762" s="14">
        <f>ROUND((IF(Q762=1,INDEX(新属性投放!$K$14:$K$34,卡牌属性!R762),INDEX(新属性投放!$K$42:$K$62,卡牌属性!R762))+IF(Q762=1,INDEX(新属性投放!S$20:S$23,卡牌属性!M762-1),INDEX(新属性投放!S$25:S$28,卡牌属性!M762-1)))*INDEX($G$5:$G$42,L762),2)</f>
        <v>250.7</v>
      </c>
      <c r="W762" s="29" t="s">
        <v>179</v>
      </c>
      <c r="X762" s="14">
        <f>ROUND((IF(Q762=1,INDEX(新属性投放!$L$14:$L$34,卡牌属性!R762),INDEX(新属性投放!$L$42:$L$62,卡牌属性!R762))*INDEX($G$5:$G$42,L762)+IF(Q762=1,INDEX(新属性投放!T$20:T$23,卡牌属性!M762-1),INDEX(新属性投放!T$25:T$28,卡牌属性!M762-1)))*SQRT(INDEX($I$5:$I$42,L762)),2)</f>
        <v>2818.25</v>
      </c>
      <c r="Y762" s="29" t="s">
        <v>177</v>
      </c>
      <c r="Z762" s="14">
        <f>ROUND(IF(Q762=1,INDEX(新属性投放!$D$14:$D$34,卡牌属性!R762),INDEX(新属性投放!$D$42:$D$62,卡牌属性!R762))*INDEX($G$5:$G$42,L762)/SQRT(INDEX($I$5:$I$42,L762)),2)</f>
        <v>17.25</v>
      </c>
      <c r="AA762" s="29" t="s">
        <v>178</v>
      </c>
      <c r="AB762" s="14">
        <f>ROUND(IF(Q762=1,INDEX(新属性投放!$E$14:$E$34,卡牌属性!R762),INDEX(新属性投放!$E$42:$E$62,卡牌属性!R762))*INDEX($G$5:$G$42,L762),2)</f>
        <v>8.6300000000000008</v>
      </c>
      <c r="AC762" s="29" t="s">
        <v>179</v>
      </c>
      <c r="AD762" s="14">
        <f>ROUND(IF(Q762=1,INDEX(新属性投放!$F$14:$F$34,卡牌属性!R762),INDEX(新属性投放!$F$42:$F$62,卡牌属性!R762))*INDEX($G$5:$G$42,L762)*SQRT(INDEX($I$5:$I$42,L762)),2)</f>
        <v>77.05</v>
      </c>
      <c r="AF762" s="14">
        <f>INT(Z762*AF$2*10)</f>
        <v>172</v>
      </c>
      <c r="AG762" s="14">
        <f>INT(AB762*AF$2*10)</f>
        <v>86</v>
      </c>
      <c r="AH762" s="14">
        <f>INT(AD762*AF$2*10)</f>
        <v>770</v>
      </c>
      <c r="AJ762" s="14">
        <f t="shared" si="216"/>
        <v>402</v>
      </c>
      <c r="AK762" s="14">
        <f t="shared" si="217"/>
        <v>200</v>
      </c>
      <c r="AL762" s="14">
        <f t="shared" si="218"/>
        <v>1804</v>
      </c>
    </row>
    <row r="763" spans="11:38" ht="16.5" x14ac:dyDescent="0.2">
      <c r="K763" s="13">
        <v>760</v>
      </c>
      <c r="L763" s="13">
        <f>MATCH(K763-1,$F$4:$F$41,1)</f>
        <v>37</v>
      </c>
      <c r="M763" s="13">
        <f t="shared" si="202"/>
        <v>3</v>
      </c>
      <c r="N763" s="14">
        <f t="shared" si="203"/>
        <v>1102021</v>
      </c>
      <c r="O763" s="14" t="str">
        <f t="shared" si="204"/>
        <v>烈风螳螂4突</v>
      </c>
      <c r="P763" s="29" t="s">
        <v>341</v>
      </c>
      <c r="Q763" s="14">
        <f t="shared" si="205"/>
        <v>2</v>
      </c>
      <c r="R763" s="14">
        <f t="shared" si="206"/>
        <v>4</v>
      </c>
      <c r="S763" s="14" t="s">
        <v>39</v>
      </c>
      <c r="T763" s="14">
        <f>ROUND(((IF(Q763=1,INDEX(新属性投放!$J$14:$J$34,卡牌属性!R763),INDEX(新属性投放!$J$42:$J$62,卡牌属性!R763)))*INDEX($G$5:$G$42,L763)+IF(Q763=1,INDEX(新属性投放!R$20:R$23,卡牌属性!M763-1),INDEX(新属性投放!R$25:R$28,卡牌属性!M763-1)))/SQRT(INDEX($I$5:$I$42,L763)),2)</f>
        <v>972.2</v>
      </c>
      <c r="U763" s="29" t="s">
        <v>178</v>
      </c>
      <c r="V763" s="14">
        <f>ROUND((IF(Q763=1,INDEX(新属性投放!$K$14:$K$34,卡牌属性!R763),INDEX(新属性投放!$K$42:$K$62,卡牌属性!R763))+IF(Q763=1,INDEX(新属性投放!S$20:S$23,卡牌属性!M763-1),INDEX(新属性投放!S$25:S$28,卡牌属性!M763-1)))*INDEX($G$5:$G$42,L763),2)</f>
        <v>358.8</v>
      </c>
      <c r="W763" s="29" t="s">
        <v>179</v>
      </c>
      <c r="X763" s="14">
        <f>ROUND((IF(Q763=1,INDEX(新属性投放!$L$14:$L$34,卡牌属性!R763),INDEX(新属性投放!$L$42:$L$62,卡牌属性!R763))*INDEX($G$5:$G$42,L763)+IF(Q763=1,INDEX(新属性投放!T$20:T$23,卡牌属性!M763-1),INDEX(新属性投放!T$25:T$28,卡牌属性!M763-1)))*SQRT(INDEX($I$5:$I$42,L763)),2)</f>
        <v>3982.05</v>
      </c>
      <c r="Y763" s="29" t="s">
        <v>177</v>
      </c>
      <c r="Z763" s="14">
        <f>ROUND(IF(Q763=1,INDEX(新属性投放!$D$14:$D$34,卡牌属性!R763),INDEX(新属性投放!$D$42:$D$62,卡牌属性!R763))*INDEX($G$5:$G$42,L763)/SQRT(INDEX($I$5:$I$42,L763)),2)</f>
        <v>23</v>
      </c>
      <c r="AA763" s="29" t="s">
        <v>178</v>
      </c>
      <c r="AB763" s="14">
        <f>ROUND(IF(Q763=1,INDEX(新属性投放!$E$14:$E$34,卡牌属性!R763),INDEX(新属性投放!$E$42:$E$62,卡牌属性!R763))*INDEX($G$5:$G$42,L763),2)</f>
        <v>11.5</v>
      </c>
      <c r="AC763" s="29" t="s">
        <v>179</v>
      </c>
      <c r="AD763" s="14">
        <f>ROUND(IF(Q763=1,INDEX(新属性投放!$F$14:$F$34,卡牌属性!R763),INDEX(新属性投放!$F$42:$F$62,卡牌属性!R763))*INDEX($G$5:$G$42,L763)*SQRT(INDEX($I$5:$I$42,L763)),2)</f>
        <v>103.5</v>
      </c>
      <c r="AF763" s="14">
        <f>INT(Z763*AF$2*10)</f>
        <v>230</v>
      </c>
      <c r="AG763" s="14">
        <f>INT(AB763*AF$2*10)</f>
        <v>115</v>
      </c>
      <c r="AH763" s="14">
        <f>INT(AD763*AF$2*10)</f>
        <v>1035</v>
      </c>
      <c r="AJ763" s="14">
        <f t="shared" si="216"/>
        <v>632</v>
      </c>
      <c r="AK763" s="14">
        <f t="shared" si="217"/>
        <v>315</v>
      </c>
      <c r="AL763" s="14">
        <f t="shared" si="218"/>
        <v>2839</v>
      </c>
    </row>
    <row r="764" spans="11:38" ht="16.5" x14ac:dyDescent="0.2">
      <c r="K764" s="13">
        <v>761</v>
      </c>
      <c r="L764" s="13">
        <f t="shared" ref="L764:L781" si="219">MATCH(K764-1,$F$4:$F$41,1)</f>
        <v>37</v>
      </c>
      <c r="M764" s="13">
        <f t="shared" si="202"/>
        <v>3</v>
      </c>
      <c r="N764" s="14">
        <f t="shared" ref="N764:N781" si="220">INDEX($A$4:$A$42,L764+1)</f>
        <v>1102021</v>
      </c>
      <c r="O764" s="14" t="str">
        <f t="shared" ref="O764:O781" si="221">INDEX($B$4:$B$42,MATCH(N764,$A$4:$A$42,0))&amp;R764&amp;"突"</f>
        <v>烈风螳螂5突</v>
      </c>
      <c r="P764" s="29" t="s">
        <v>341</v>
      </c>
      <c r="Q764" s="14">
        <f t="shared" ref="Q764:Q781" si="222">INDEX($C$4:$C$42,L764+1)</f>
        <v>2</v>
      </c>
      <c r="R764" s="14">
        <f t="shared" ref="R764:R781" si="223">K764-INDEX($F$4:$F$42,L764)</f>
        <v>5</v>
      </c>
      <c r="S764" s="14" t="s">
        <v>39</v>
      </c>
      <c r="T764" s="14">
        <f>ROUND(((IF(Q764=1,INDEX(新属性投放!$J$14:$J$34,卡牌属性!R764),INDEX(新属性投放!$J$42:$J$62,卡牌属性!R764)))*INDEX($G$5:$G$42,L764)+IF(Q764=1,INDEX(新属性投放!R$20:R$23,卡牌属性!M764-1),INDEX(新属性投放!R$25:R$28,卡牌属性!M764-1)))/SQRT(INDEX($I$5:$I$42,L764)),2)</f>
        <v>1259.7</v>
      </c>
      <c r="U764" s="29" t="s">
        <v>178</v>
      </c>
      <c r="V764" s="14">
        <f>ROUND((IF(Q764=1,INDEX(新属性投放!$K$14:$K$34,卡牌属性!R764),INDEX(新属性投放!$K$42:$K$62,卡牌属性!R764))+IF(Q764=1,INDEX(新属性投放!S$20:S$23,卡牌属性!M764-1),INDEX(新属性投放!S$25:S$28,卡牌属性!M764-1)))*INDEX($G$5:$G$42,L764),2)</f>
        <v>502.55</v>
      </c>
      <c r="W764" s="29" t="s">
        <v>179</v>
      </c>
      <c r="X764" s="14">
        <f>ROUND((IF(Q764=1,INDEX(新属性投放!$L$14:$L$34,卡牌属性!R764),INDEX(新属性投放!$L$42:$L$62,卡牌属性!R764))*INDEX($G$5:$G$42,L764)+IF(Q764=1,INDEX(新属性投放!T$20:T$23,卡牌属性!M764-1),INDEX(新属性投放!T$25:T$28,卡牌属性!M764-1)))*SQRT(INDEX($I$5:$I$42,L764)),2)</f>
        <v>5534.55</v>
      </c>
      <c r="Y764" s="29" t="s">
        <v>177</v>
      </c>
      <c r="Z764" s="14">
        <f>ROUND(IF(Q764=1,INDEX(新属性投放!$D$14:$D$34,卡牌属性!R764),INDEX(新属性投放!$D$42:$D$62,卡牌属性!R764))*INDEX($G$5:$G$42,L764)/SQRT(INDEX($I$5:$I$42,L764)),2)</f>
        <v>28.75</v>
      </c>
      <c r="AA764" s="29" t="s">
        <v>178</v>
      </c>
      <c r="AB764" s="14">
        <f>ROUND(IF(Q764=1,INDEX(新属性投放!$E$14:$E$34,卡牌属性!R764),INDEX(新属性投放!$E$42:$E$62,卡牌属性!R764))*INDEX($G$5:$G$42,L764),2)</f>
        <v>14.38</v>
      </c>
      <c r="AC764" s="29" t="s">
        <v>179</v>
      </c>
      <c r="AD764" s="14">
        <f>ROUND(IF(Q764=1,INDEX(新属性投放!$F$14:$F$34,卡牌属性!R764),INDEX(新属性投放!$F$42:$F$62,卡牌属性!R764))*INDEX($G$5:$G$42,L764)*SQRT(INDEX($I$5:$I$42,L764)),2)</f>
        <v>128.80000000000001</v>
      </c>
      <c r="AF764" s="14">
        <f t="shared" ref="AF764:AF801" si="224">INT(Z764*AF$2*10)</f>
        <v>287</v>
      </c>
      <c r="AG764" s="14">
        <f t="shared" ref="AG764:AG801" si="225">INT(AB764*AF$2*10)</f>
        <v>143</v>
      </c>
      <c r="AH764" s="14">
        <f t="shared" ref="AH764:AH801" si="226">INT(AD764*AF$2*10)</f>
        <v>1288</v>
      </c>
      <c r="AJ764" s="14">
        <f t="shared" si="216"/>
        <v>919</v>
      </c>
      <c r="AK764" s="14">
        <f t="shared" si="217"/>
        <v>458</v>
      </c>
      <c r="AL764" s="14">
        <f t="shared" si="218"/>
        <v>4127</v>
      </c>
    </row>
    <row r="765" spans="11:38" ht="16.5" x14ac:dyDescent="0.2">
      <c r="K765" s="13">
        <v>762</v>
      </c>
      <c r="L765" s="13">
        <f t="shared" si="219"/>
        <v>37</v>
      </c>
      <c r="M765" s="13">
        <f t="shared" si="202"/>
        <v>3</v>
      </c>
      <c r="N765" s="14">
        <f t="shared" si="220"/>
        <v>1102021</v>
      </c>
      <c r="O765" s="14" t="str">
        <f t="shared" si="221"/>
        <v>烈风螳螂6突</v>
      </c>
      <c r="P765" s="29" t="s">
        <v>341</v>
      </c>
      <c r="Q765" s="14">
        <f t="shared" si="222"/>
        <v>2</v>
      </c>
      <c r="R765" s="14">
        <f t="shared" si="223"/>
        <v>6</v>
      </c>
      <c r="S765" s="14" t="s">
        <v>39</v>
      </c>
      <c r="T765" s="14">
        <f>ROUND(((IF(Q765=1,INDEX(新属性投放!$J$14:$J$34,卡牌属性!R765),INDEX(新属性投放!$J$42:$J$62,卡牌属性!R765)))*INDEX($G$5:$G$42,L765)+IF(Q765=1,INDEX(新属性投放!R$20:R$23,卡牌属性!M765-1),INDEX(新属性投放!R$25:R$28,卡牌属性!M765-1)))/SQRT(INDEX($I$5:$I$42,L765)),2)</f>
        <v>1619.65</v>
      </c>
      <c r="U765" s="29" t="s">
        <v>178</v>
      </c>
      <c r="V765" s="14">
        <f>ROUND((IF(Q765=1,INDEX(新属性投放!$K$14:$K$34,卡牌属性!R765),INDEX(新属性投放!$K$42:$K$62,卡牌属性!R765))+IF(Q765=1,INDEX(新属性投放!S$20:S$23,卡牌属性!M765-1),INDEX(新属性投放!S$25:S$28,卡牌属性!M765-1)))*INDEX($G$5:$G$42,L765),2)</f>
        <v>681.95</v>
      </c>
      <c r="W765" s="29" t="s">
        <v>179</v>
      </c>
      <c r="X765" s="14">
        <f>ROUND((IF(Q765=1,INDEX(新属性投放!$L$14:$L$34,卡牌属性!R765),INDEX(新属性投放!$L$42:$L$62,卡牌属性!R765))*INDEX($G$5:$G$42,L765)+IF(Q765=1,INDEX(新属性投放!T$20:T$23,卡牌属性!M765-1),INDEX(新属性投放!T$25:T$28,卡牌属性!M765-1)))*SQRT(INDEX($I$5:$I$42,L765)),2)</f>
        <v>7474.6</v>
      </c>
      <c r="Y765" s="29" t="s">
        <v>177</v>
      </c>
      <c r="Z765" s="14">
        <f>ROUND(IF(Q765=1,INDEX(新属性投放!$D$14:$D$34,卡牌属性!R765),INDEX(新属性投放!$D$42:$D$62,卡牌属性!R765))*INDEX($G$5:$G$42,L765)/SQRT(INDEX($I$5:$I$42,L765)),2)</f>
        <v>34.5</v>
      </c>
      <c r="AA765" s="29" t="s">
        <v>178</v>
      </c>
      <c r="AB765" s="14">
        <f>ROUND(IF(Q765=1,INDEX(新属性投放!$E$14:$E$34,卡牌属性!R765),INDEX(新属性投放!$E$42:$E$62,卡牌属性!R765))*INDEX($G$5:$G$42,L765),2)</f>
        <v>17.25</v>
      </c>
      <c r="AC765" s="29" t="s">
        <v>179</v>
      </c>
      <c r="AD765" s="14">
        <f>ROUND(IF(Q765=1,INDEX(新属性投放!$F$14:$F$34,卡牌属性!R765),INDEX(新属性投放!$F$42:$F$62,卡牌属性!R765))*INDEX($G$5:$G$42,L765)*SQRT(INDEX($I$5:$I$42,L765)),2)</f>
        <v>155.25</v>
      </c>
      <c r="AF765" s="14">
        <f t="shared" si="224"/>
        <v>345</v>
      </c>
      <c r="AG765" s="14">
        <f t="shared" si="225"/>
        <v>172</v>
      </c>
      <c r="AH765" s="14">
        <f t="shared" si="226"/>
        <v>1552</v>
      </c>
      <c r="AJ765" s="14">
        <f t="shared" si="216"/>
        <v>1264</v>
      </c>
      <c r="AK765" s="14">
        <f t="shared" si="217"/>
        <v>630</v>
      </c>
      <c r="AL765" s="14">
        <f t="shared" si="218"/>
        <v>5679</v>
      </c>
    </row>
    <row r="766" spans="11:38" ht="16.5" x14ac:dyDescent="0.2">
      <c r="K766" s="13">
        <v>763</v>
      </c>
      <c r="L766" s="13">
        <f t="shared" si="219"/>
        <v>37</v>
      </c>
      <c r="M766" s="13">
        <f t="shared" si="202"/>
        <v>3</v>
      </c>
      <c r="N766" s="14">
        <f t="shared" si="220"/>
        <v>1102021</v>
      </c>
      <c r="O766" s="14" t="str">
        <f t="shared" si="221"/>
        <v>烈风螳螂7突</v>
      </c>
      <c r="P766" s="29" t="s">
        <v>341</v>
      </c>
      <c r="Q766" s="14">
        <f t="shared" si="222"/>
        <v>2</v>
      </c>
      <c r="R766" s="14">
        <f t="shared" si="223"/>
        <v>7</v>
      </c>
      <c r="S766" s="14" t="s">
        <v>39</v>
      </c>
      <c r="T766" s="14">
        <f>ROUND(((IF(Q766=1,INDEX(新属性投放!$J$14:$J$34,卡牌属性!R766),INDEX(新属性投放!$J$42:$J$62,卡牌属性!R766)))*INDEX($G$5:$G$42,L766)+IF(Q766=1,INDEX(新属性投放!R$20:R$23,卡牌属性!M766-1),INDEX(新属性投放!R$25:R$28,卡牌属性!M766-1)))/SQRT(INDEX($I$5:$I$42,L766)),2)</f>
        <v>2050.9</v>
      </c>
      <c r="U766" s="29" t="s">
        <v>178</v>
      </c>
      <c r="V766" s="14">
        <f>ROUND((IF(Q766=1,INDEX(新属性投放!$K$14:$K$34,卡牌属性!R766),INDEX(新属性投放!$K$42:$K$62,卡牌属性!R766))+IF(Q766=1,INDEX(新属性投放!S$20:S$23,卡牌属性!M766-1),INDEX(新属性投放!S$25:S$28,卡牌属性!M766-1)))*INDEX($G$5:$G$42,L766),2)</f>
        <v>898.15</v>
      </c>
      <c r="W766" s="29" t="s">
        <v>179</v>
      </c>
      <c r="X766" s="14">
        <f>ROUND((IF(Q766=1,INDEX(新属性投放!$L$14:$L$34,卡牌属性!R766),INDEX(新属性投放!$L$42:$L$62,卡牌属性!R766))*INDEX($G$5:$G$42,L766)+IF(Q766=1,INDEX(新属性投放!T$20:T$23,卡牌属性!M766-1),INDEX(新属性投放!T$25:T$28,卡牌属性!M766-1)))*SQRT(INDEX($I$5:$I$42,L766)),2)</f>
        <v>9803.35</v>
      </c>
      <c r="Y766" s="29" t="s">
        <v>177</v>
      </c>
      <c r="Z766" s="14">
        <f>ROUND(IF(Q766=1,INDEX(新属性投放!$D$14:$D$34,卡牌属性!R766),INDEX(新属性投放!$D$42:$D$62,卡牌属性!R766))*INDEX($G$5:$G$42,L766)/SQRT(INDEX($I$5:$I$42,L766)),2)</f>
        <v>40.25</v>
      </c>
      <c r="AA766" s="29" t="s">
        <v>178</v>
      </c>
      <c r="AB766" s="14">
        <f>ROUND(IF(Q766=1,INDEX(新属性投放!$E$14:$E$34,卡牌属性!R766),INDEX(新属性投放!$E$42:$E$62,卡牌属性!R766))*INDEX($G$5:$G$42,L766),2)</f>
        <v>20.13</v>
      </c>
      <c r="AC766" s="29" t="s">
        <v>179</v>
      </c>
      <c r="AD766" s="14">
        <f>ROUND(IF(Q766=1,INDEX(新属性投放!$F$14:$F$34,卡牌属性!R766),INDEX(新属性投放!$F$42:$F$62,卡牌属性!R766))*INDEX($G$5:$G$42,L766)*SQRT(INDEX($I$5:$I$42,L766)),2)</f>
        <v>180.55</v>
      </c>
      <c r="AF766" s="14">
        <f t="shared" si="224"/>
        <v>402</v>
      </c>
      <c r="AG766" s="14">
        <f t="shared" si="225"/>
        <v>201</v>
      </c>
      <c r="AH766" s="14">
        <f t="shared" si="226"/>
        <v>1805</v>
      </c>
      <c r="AJ766" s="14">
        <f t="shared" si="216"/>
        <v>1666</v>
      </c>
      <c r="AK766" s="14">
        <f t="shared" si="217"/>
        <v>831</v>
      </c>
      <c r="AL766" s="14">
        <f t="shared" si="218"/>
        <v>7484</v>
      </c>
    </row>
    <row r="767" spans="11:38" ht="16.5" x14ac:dyDescent="0.2">
      <c r="K767" s="13">
        <v>764</v>
      </c>
      <c r="L767" s="13">
        <f t="shared" si="219"/>
        <v>37</v>
      </c>
      <c r="M767" s="13">
        <f t="shared" si="202"/>
        <v>3</v>
      </c>
      <c r="N767" s="14">
        <f t="shared" si="220"/>
        <v>1102021</v>
      </c>
      <c r="O767" s="14" t="str">
        <f t="shared" si="221"/>
        <v>烈风螳螂8突</v>
      </c>
      <c r="P767" s="29" t="s">
        <v>341</v>
      </c>
      <c r="Q767" s="14">
        <f t="shared" si="222"/>
        <v>2</v>
      </c>
      <c r="R767" s="14">
        <f t="shared" si="223"/>
        <v>8</v>
      </c>
      <c r="S767" s="14" t="s">
        <v>39</v>
      </c>
      <c r="T767" s="14">
        <f>ROUND(((IF(Q767=1,INDEX(新属性投放!$J$14:$J$34,卡牌属性!R767),INDEX(新属性投放!$J$42:$J$62,卡牌属性!R767)))*INDEX($G$5:$G$42,L767)+IF(Q767=1,INDEX(新属性投放!R$20:R$23,卡牌属性!M767-1),INDEX(新属性投放!R$25:R$28,卡牌属性!M767-1)))/SQRT(INDEX($I$5:$I$42,L767)),2)</f>
        <v>2554.6</v>
      </c>
      <c r="U767" s="29" t="s">
        <v>178</v>
      </c>
      <c r="V767" s="14">
        <f>ROUND((IF(Q767=1,INDEX(新属性投放!$K$14:$K$34,卡牌属性!R767),INDEX(新属性投放!$K$42:$K$62,卡牌属性!R767))+IF(Q767=1,INDEX(新属性投放!S$20:S$23,卡牌属性!M767-1),INDEX(新属性投放!S$25:S$28,卡牌属性!M767-1)))*INDEX($G$5:$G$42,L767),2)</f>
        <v>1150</v>
      </c>
      <c r="W767" s="29" t="s">
        <v>179</v>
      </c>
      <c r="X767" s="14">
        <f>ROUND((IF(Q767=1,INDEX(新属性投放!$L$14:$L$34,卡牌属性!R767),INDEX(新属性投放!$L$42:$L$62,卡牌属性!R767))*INDEX($G$5:$G$42,L767)+IF(Q767=1,INDEX(新属性投放!T$20:T$23,卡牌属性!M767-1),INDEX(新属性投放!T$25:T$28,卡牌属性!M767-1)))*SQRT(INDEX($I$5:$I$42,L767)),2)</f>
        <v>12519.65</v>
      </c>
      <c r="Y767" s="29" t="s">
        <v>177</v>
      </c>
      <c r="Z767" s="14">
        <f>ROUND(IF(Q767=1,INDEX(新属性投放!$D$14:$D$34,卡牌属性!R767),INDEX(新属性投放!$D$42:$D$62,卡牌属性!R767))*INDEX($G$5:$G$42,L767)/SQRT(INDEX($I$5:$I$42,L767)),2)</f>
        <v>51.75</v>
      </c>
      <c r="AA767" s="29" t="s">
        <v>178</v>
      </c>
      <c r="AB767" s="14">
        <f>ROUND(IF(Q767=1,INDEX(新属性投放!$E$14:$E$34,卡牌属性!R767),INDEX(新属性投放!$E$42:$E$62,卡牌属性!R767))*INDEX($G$5:$G$42,L767),2)</f>
        <v>25.88</v>
      </c>
      <c r="AC767" s="29" t="s">
        <v>179</v>
      </c>
      <c r="AD767" s="14">
        <f>ROUND(IF(Q767=1,INDEX(新属性投放!$F$14:$F$34,卡牌属性!R767),INDEX(新属性投放!$F$42:$F$62,卡牌属性!R767))*INDEX($G$5:$G$42,L767)*SQRT(INDEX($I$5:$I$42,L767)),2)</f>
        <v>232.3</v>
      </c>
      <c r="AF767" s="14">
        <f t="shared" si="224"/>
        <v>517</v>
      </c>
      <c r="AG767" s="14">
        <f t="shared" si="225"/>
        <v>258</v>
      </c>
      <c r="AH767" s="14">
        <f t="shared" si="226"/>
        <v>2323</v>
      </c>
      <c r="AJ767" s="14">
        <f t="shared" si="216"/>
        <v>2183</v>
      </c>
      <c r="AK767" s="14">
        <f t="shared" si="217"/>
        <v>1089</v>
      </c>
      <c r="AL767" s="14">
        <f t="shared" si="218"/>
        <v>9807</v>
      </c>
    </row>
    <row r="768" spans="11:38" ht="16.5" x14ac:dyDescent="0.2">
      <c r="K768" s="13">
        <v>765</v>
      </c>
      <c r="L768" s="13">
        <f t="shared" si="219"/>
        <v>37</v>
      </c>
      <c r="M768" s="13">
        <f t="shared" si="202"/>
        <v>3</v>
      </c>
      <c r="N768" s="14">
        <f t="shared" si="220"/>
        <v>1102021</v>
      </c>
      <c r="O768" s="14" t="str">
        <f t="shared" si="221"/>
        <v>烈风螳螂9突</v>
      </c>
      <c r="P768" s="29" t="s">
        <v>341</v>
      </c>
      <c r="Q768" s="14">
        <f t="shared" si="222"/>
        <v>2</v>
      </c>
      <c r="R768" s="14">
        <f t="shared" si="223"/>
        <v>9</v>
      </c>
      <c r="S768" s="14" t="s">
        <v>39</v>
      </c>
      <c r="T768" s="14">
        <f>ROUND(((IF(Q768=1,INDEX(新属性投放!$J$14:$J$34,卡牌属性!R768),INDEX(新属性投放!$J$42:$J$62,卡牌属性!R768)))*INDEX($G$5:$G$42,L768)+IF(Q768=1,INDEX(新属性投放!R$20:R$23,卡牌属性!M768-1),INDEX(新属性投放!R$25:R$28,卡牌属性!M768-1)))/SQRT(INDEX($I$5:$I$42,L768)),2)</f>
        <v>3202.05</v>
      </c>
      <c r="U768" s="29" t="s">
        <v>178</v>
      </c>
      <c r="V768" s="14">
        <f>ROUND((IF(Q768=1,INDEX(新属性投放!$K$14:$K$34,卡牌属性!R768),INDEX(新属性投放!$K$42:$K$62,卡牌属性!R768))+IF(Q768=1,INDEX(新属性投放!S$20:S$23,卡牌属性!M768-1),INDEX(新属性投放!S$25:S$28,卡牌属性!M768-1)))*INDEX($G$5:$G$42,L768),2)</f>
        <v>1473.15</v>
      </c>
      <c r="W768" s="29" t="s">
        <v>179</v>
      </c>
      <c r="X768" s="14">
        <f>ROUND((IF(Q768=1,INDEX(新属性投放!$L$14:$L$34,卡牌属性!R768),INDEX(新属性投放!$L$42:$L$62,卡牌属性!R768))*INDEX($G$5:$G$42,L768)+IF(Q768=1,INDEX(新属性投放!T$20:T$23,卡牌属性!M768-1),INDEX(新属性投放!T$25:T$28,卡牌属性!M768-1)))*SQRT(INDEX($I$5:$I$42,L768)),2)</f>
        <v>16012.2</v>
      </c>
      <c r="Y768" s="29" t="s">
        <v>177</v>
      </c>
      <c r="Z768" s="14">
        <f>ROUND(IF(Q768=1,INDEX(新属性投放!$D$14:$D$34,卡牌属性!R768),INDEX(新属性投放!$D$42:$D$62,卡牌属性!R768))*INDEX($G$5:$G$42,L768)/SQRT(INDEX($I$5:$I$42,L768)),2)</f>
        <v>69.06</v>
      </c>
      <c r="AA768" s="29" t="s">
        <v>178</v>
      </c>
      <c r="AB768" s="14">
        <f>ROUND(IF(Q768=1,INDEX(新属性投放!$E$14:$E$34,卡牌属性!R768),INDEX(新属性投放!$E$42:$E$62,卡牌属性!R768))*INDEX($G$5:$G$42,L768),2)</f>
        <v>34.53</v>
      </c>
      <c r="AC768" s="29" t="s">
        <v>179</v>
      </c>
      <c r="AD768" s="14">
        <f>ROUND(IF(Q768=1,INDEX(新属性投放!$F$14:$F$34,卡牌属性!R768),INDEX(新属性投放!$F$42:$F$62,卡牌属性!R768))*INDEX($G$5:$G$42,L768)*SQRT(INDEX($I$5:$I$42,L768)),2)</f>
        <v>310.5</v>
      </c>
      <c r="AF768" s="14">
        <f t="shared" si="224"/>
        <v>690</v>
      </c>
      <c r="AG768" s="14">
        <f t="shared" si="225"/>
        <v>345</v>
      </c>
      <c r="AH768" s="14">
        <f t="shared" si="226"/>
        <v>3105</v>
      </c>
      <c r="AJ768" s="14">
        <f t="shared" si="216"/>
        <v>2873</v>
      </c>
      <c r="AK768" s="14">
        <f t="shared" si="217"/>
        <v>1434</v>
      </c>
      <c r="AL768" s="14">
        <f t="shared" si="218"/>
        <v>12912</v>
      </c>
    </row>
    <row r="769" spans="11:38" ht="16.5" x14ac:dyDescent="0.2">
      <c r="K769" s="13">
        <v>766</v>
      </c>
      <c r="L769" s="13">
        <f t="shared" si="219"/>
        <v>37</v>
      </c>
      <c r="M769" s="13">
        <f t="shared" si="202"/>
        <v>3</v>
      </c>
      <c r="N769" s="14">
        <f t="shared" si="220"/>
        <v>1102021</v>
      </c>
      <c r="O769" s="14" t="str">
        <f t="shared" si="221"/>
        <v>烈风螳螂10突</v>
      </c>
      <c r="P769" s="29" t="s">
        <v>341</v>
      </c>
      <c r="Q769" s="14">
        <f t="shared" si="222"/>
        <v>2</v>
      </c>
      <c r="R769" s="14">
        <f t="shared" si="223"/>
        <v>10</v>
      </c>
      <c r="S769" s="14" t="s">
        <v>39</v>
      </c>
      <c r="T769" s="14">
        <f>ROUND(((IF(Q769=1,INDEX(新属性投放!$J$14:$J$34,卡牌属性!R769),INDEX(新属性投放!$J$42:$J$62,卡牌属性!R769)))*INDEX($G$5:$G$42,L769)+IF(Q769=1,INDEX(新属性投放!R$20:R$23,卡牌属性!M769-1),INDEX(新属性投放!R$25:R$28,卡牌属性!M769-1)))/SQRT(INDEX($I$5:$I$42,L769)),2)</f>
        <v>4065.13</v>
      </c>
      <c r="U769" s="29" t="s">
        <v>178</v>
      </c>
      <c r="V769" s="14">
        <f>ROUND((IF(Q769=1,INDEX(新属性投放!$K$14:$K$34,卡牌属性!R769),INDEX(新属性投放!$K$42:$K$62,卡牌属性!R769))+IF(Q769=1,INDEX(新属性投放!S$20:S$23,卡牌属性!M769-1),INDEX(新属性投放!S$25:S$28,卡牌属性!M769-1)))*INDEX($G$5:$G$42,L769),2)</f>
        <v>1904.69</v>
      </c>
      <c r="W769" s="29" t="s">
        <v>179</v>
      </c>
      <c r="X769" s="14">
        <f>ROUND((IF(Q769=1,INDEX(新属性投放!$L$14:$L$34,卡牌属性!R769),INDEX(新属性投放!$L$42:$L$62,卡牌属性!R769))*INDEX($G$5:$G$42,L769)+IF(Q769=1,INDEX(新属性投放!T$20:T$23,卡牌属性!M769-1),INDEX(新属性投放!T$25:T$28,卡牌属性!M769-1)))*SQRT(INDEX($I$5:$I$42,L769)),2)</f>
        <v>20669.7</v>
      </c>
      <c r="Y769" s="29" t="s">
        <v>177</v>
      </c>
      <c r="Z769" s="14">
        <f>ROUND(IF(Q769=1,INDEX(新属性投放!$D$14:$D$34,卡牌属性!R769),INDEX(新属性投放!$D$42:$D$62,卡牌属性!R769))*INDEX($G$5:$G$42,L769)/SQRT(INDEX($I$5:$I$42,L769)),2)</f>
        <v>90.28</v>
      </c>
      <c r="AA769" s="29" t="s">
        <v>178</v>
      </c>
      <c r="AB769" s="14">
        <f>ROUND(IF(Q769=1,INDEX(新属性投放!$E$14:$E$34,卡牌属性!R769),INDEX(新属性投放!$E$42:$E$62,卡牌属性!R769))*INDEX($G$5:$G$42,L769),2)</f>
        <v>45.14</v>
      </c>
      <c r="AC769" s="29" t="s">
        <v>179</v>
      </c>
      <c r="AD769" s="14">
        <f>ROUND(IF(Q769=1,INDEX(新属性投放!$F$14:$F$34,卡牌属性!R769),INDEX(新属性投放!$F$42:$F$62,卡牌属性!R769))*INDEX($G$5:$G$42,L769)*SQRT(INDEX($I$5:$I$42,L769)),2)</f>
        <v>405.95</v>
      </c>
      <c r="AF769" s="14">
        <f t="shared" si="224"/>
        <v>902</v>
      </c>
      <c r="AG769" s="14">
        <f t="shared" si="225"/>
        <v>451</v>
      </c>
      <c r="AH769" s="14">
        <f t="shared" si="226"/>
        <v>4059</v>
      </c>
      <c r="AJ769" s="14">
        <f t="shared" si="216"/>
        <v>3775</v>
      </c>
      <c r="AK769" s="14">
        <f t="shared" si="217"/>
        <v>1885</v>
      </c>
      <c r="AL769" s="14">
        <f t="shared" si="218"/>
        <v>16971</v>
      </c>
    </row>
    <row r="770" spans="11:38" ht="16.5" x14ac:dyDescent="0.2">
      <c r="K770" s="13">
        <v>767</v>
      </c>
      <c r="L770" s="13">
        <f t="shared" si="219"/>
        <v>37</v>
      </c>
      <c r="M770" s="13">
        <f t="shared" si="202"/>
        <v>3</v>
      </c>
      <c r="N770" s="14">
        <f t="shared" si="220"/>
        <v>1102021</v>
      </c>
      <c r="O770" s="14" t="str">
        <f t="shared" si="221"/>
        <v>烈风螳螂11突</v>
      </c>
      <c r="P770" s="29" t="s">
        <v>341</v>
      </c>
      <c r="Q770" s="14">
        <f t="shared" si="222"/>
        <v>2</v>
      </c>
      <c r="R770" s="14">
        <f t="shared" si="223"/>
        <v>11</v>
      </c>
      <c r="S770" s="14" t="s">
        <v>39</v>
      </c>
      <c r="T770" s="14">
        <f>ROUND(((IF(Q770=1,INDEX(新属性投放!$J$14:$J$34,卡牌属性!R770),INDEX(新属性投放!$J$42:$J$62,卡牌属性!R770)))*INDEX($G$5:$G$42,L770)+IF(Q770=1,INDEX(新属性投放!R$20:R$23,卡牌属性!M770-1),INDEX(新属性投放!R$25:R$28,卡牌属性!M770-1)))/SQRT(INDEX($I$5:$I$42,L770)),2)</f>
        <v>5193.28</v>
      </c>
      <c r="U770" s="29" t="s">
        <v>178</v>
      </c>
      <c r="V770" s="14">
        <f>ROUND((IF(Q770=1,INDEX(新属性投放!$K$14:$K$34,卡牌属性!R770),INDEX(新属性投放!$K$42:$K$62,卡牌属性!R770))+IF(Q770=1,INDEX(新属性投放!S$20:S$23,卡牌属性!M770-1),INDEX(新属性投放!S$25:S$28,卡牌属性!M770-1)))*INDEX($G$5:$G$42,L770),2)</f>
        <v>2468.7600000000002</v>
      </c>
      <c r="W770" s="29" t="s">
        <v>179</v>
      </c>
      <c r="X770" s="14">
        <f>ROUND((IF(Q770=1,INDEX(新属性投放!$L$14:$L$34,卡牌属性!R770),INDEX(新属性投放!$L$42:$L$62,卡牌属性!R770))*INDEX($G$5:$G$42,L770)+IF(Q770=1,INDEX(新属性投放!T$20:T$23,卡牌属性!M770-1),INDEX(新属性投放!T$25:T$28,卡牌属性!M770-1)))*SQRT(INDEX($I$5:$I$42,L770)),2)</f>
        <v>26757.8</v>
      </c>
      <c r="Y770" s="29" t="s">
        <v>177</v>
      </c>
      <c r="Z770" s="14">
        <f>ROUND(IF(Q770=1,INDEX(新属性投放!$D$14:$D$34,卡牌属性!R770),INDEX(新属性投放!$D$42:$D$62,卡牌属性!R770))*INDEX($G$5:$G$42,L770)/SQRT(INDEX($I$5:$I$42,L770)),2)</f>
        <v>118.84</v>
      </c>
      <c r="AA770" s="29" t="s">
        <v>178</v>
      </c>
      <c r="AB770" s="14">
        <f>ROUND(IF(Q770=1,INDEX(新属性投放!$E$14:$E$34,卡牌属性!R770),INDEX(新属性投放!$E$42:$E$62,卡牌属性!R770))*INDEX($G$5:$G$42,L770),2)</f>
        <v>59.42</v>
      </c>
      <c r="AC770" s="29" t="s">
        <v>179</v>
      </c>
      <c r="AD770" s="14">
        <f>ROUND(IF(Q770=1,INDEX(新属性投放!$F$14:$F$34,卡牌属性!R770),INDEX(新属性投放!$F$42:$F$62,卡牌属性!R770))*INDEX($G$5:$G$42,L770)*SQRT(INDEX($I$5:$I$42,L770)),2)</f>
        <v>534.75</v>
      </c>
      <c r="AF770" s="14">
        <f t="shared" si="224"/>
        <v>1188</v>
      </c>
      <c r="AG770" s="14">
        <f t="shared" si="225"/>
        <v>594</v>
      </c>
      <c r="AH770" s="14">
        <f t="shared" si="226"/>
        <v>5347</v>
      </c>
      <c r="AJ770" s="14">
        <f t="shared" si="216"/>
        <v>4963</v>
      </c>
      <c r="AK770" s="14">
        <f t="shared" si="217"/>
        <v>2479</v>
      </c>
      <c r="AL770" s="14">
        <f t="shared" si="218"/>
        <v>22318</v>
      </c>
    </row>
    <row r="771" spans="11:38" ht="16.5" x14ac:dyDescent="0.2">
      <c r="K771" s="13">
        <v>768</v>
      </c>
      <c r="L771" s="13">
        <f t="shared" si="219"/>
        <v>37</v>
      </c>
      <c r="M771" s="13">
        <f t="shared" si="202"/>
        <v>3</v>
      </c>
      <c r="N771" s="14">
        <f t="shared" si="220"/>
        <v>1102021</v>
      </c>
      <c r="O771" s="14" t="str">
        <f t="shared" si="221"/>
        <v>烈风螳螂12突</v>
      </c>
      <c r="P771" s="29" t="s">
        <v>341</v>
      </c>
      <c r="Q771" s="14">
        <f t="shared" si="222"/>
        <v>2</v>
      </c>
      <c r="R771" s="14">
        <f t="shared" si="223"/>
        <v>12</v>
      </c>
      <c r="S771" s="14" t="s">
        <v>39</v>
      </c>
      <c r="T771" s="14">
        <f>ROUND(((IF(Q771=1,INDEX(新属性投放!$J$14:$J$34,卡牌属性!R771),INDEX(新属性投放!$J$42:$J$62,卡牌属性!R771)))*INDEX($G$5:$G$42,L771)+IF(Q771=1,INDEX(新属性投放!R$20:R$23,卡牌属性!M771-1),INDEX(新属性投放!R$25:R$28,卡牌属性!M771-1)))/SQRT(INDEX($I$5:$I$42,L771)),2)</f>
        <v>6678.39</v>
      </c>
      <c r="U771" s="29" t="s">
        <v>178</v>
      </c>
      <c r="V771" s="14">
        <f>ROUND((IF(Q771=1,INDEX(新属性投放!$K$14:$K$34,卡牌属性!R771),INDEX(新属性投放!$K$42:$K$62,卡牌属性!R771))+IF(Q771=1,INDEX(新属性投放!S$20:S$23,卡牌属性!M771-1),INDEX(新属性投放!S$25:S$28,卡牌属性!M771-1)))*INDEX($G$5:$G$42,L771),2)</f>
        <v>3211.32</v>
      </c>
      <c r="W771" s="29" t="s">
        <v>179</v>
      </c>
      <c r="X771" s="14">
        <f>ROUND((IF(Q771=1,INDEX(新属性投放!$L$14:$L$34,卡牌属性!R771),INDEX(新属性投放!$L$42:$L$62,卡牌属性!R771))*INDEX($G$5:$G$42,L771)+IF(Q771=1,INDEX(新属性投放!T$20:T$23,卡牌属性!M771-1),INDEX(新属性投放!T$25:T$28,卡牌属性!M771-1)))*SQRT(INDEX($I$5:$I$42,L771)),2)</f>
        <v>34775.599999999999</v>
      </c>
      <c r="Y771" s="29" t="s">
        <v>177</v>
      </c>
      <c r="Z771" s="14">
        <f>ROUND(IF(Q771=1,INDEX(新属性投放!$D$14:$D$34,卡牌属性!R771),INDEX(新属性投放!$D$42:$D$62,卡牌属性!R771))*INDEX($G$5:$G$42,L771)/SQRT(INDEX($I$5:$I$42,L771)),2)</f>
        <v>155.96</v>
      </c>
      <c r="AA771" s="29" t="s">
        <v>178</v>
      </c>
      <c r="AB771" s="14">
        <f>ROUND(IF(Q771=1,INDEX(新属性投放!$E$14:$E$34,卡牌属性!R771),INDEX(新属性投放!$E$42:$E$62,卡牌属性!R771))*INDEX($G$5:$G$42,L771),2)</f>
        <v>77.98</v>
      </c>
      <c r="AC771" s="29" t="s">
        <v>179</v>
      </c>
      <c r="AD771" s="14">
        <f>ROUND(IF(Q771=1,INDEX(新属性投放!$F$14:$F$34,卡牌属性!R771),INDEX(新属性投放!$F$42:$F$62,卡牌属性!R771))*INDEX($G$5:$G$42,L771)*SQRT(INDEX($I$5:$I$42,L771)),2)</f>
        <v>701.5</v>
      </c>
      <c r="AF771" s="14">
        <f t="shared" si="224"/>
        <v>1559</v>
      </c>
      <c r="AG771" s="14">
        <f t="shared" si="225"/>
        <v>779</v>
      </c>
      <c r="AH771" s="14">
        <f t="shared" si="226"/>
        <v>7015</v>
      </c>
      <c r="AJ771" s="14">
        <f t="shared" si="216"/>
        <v>6522</v>
      </c>
      <c r="AK771" s="14">
        <f t="shared" si="217"/>
        <v>3258</v>
      </c>
      <c r="AL771" s="14">
        <f t="shared" si="218"/>
        <v>29333</v>
      </c>
    </row>
    <row r="772" spans="11:38" ht="16.5" x14ac:dyDescent="0.2">
      <c r="K772" s="13">
        <v>769</v>
      </c>
      <c r="L772" s="13">
        <f t="shared" si="219"/>
        <v>37</v>
      </c>
      <c r="M772" s="13">
        <f t="shared" si="202"/>
        <v>3</v>
      </c>
      <c r="N772" s="14">
        <f t="shared" si="220"/>
        <v>1102021</v>
      </c>
      <c r="O772" s="14" t="str">
        <f t="shared" si="221"/>
        <v>烈风螳螂13突</v>
      </c>
      <c r="P772" s="29" t="s">
        <v>341</v>
      </c>
      <c r="Q772" s="14">
        <f t="shared" si="222"/>
        <v>2</v>
      </c>
      <c r="R772" s="14">
        <f t="shared" si="223"/>
        <v>13</v>
      </c>
      <c r="S772" s="14" t="s">
        <v>39</v>
      </c>
      <c r="T772" s="14">
        <f>ROUND(((IF(Q772=1,INDEX(新属性投放!$J$14:$J$34,卡牌属性!R772),INDEX(新属性投放!$J$42:$J$62,卡牌属性!R772)))*INDEX($G$5:$G$42,L772)+IF(Q772=1,INDEX(新属性投放!R$20:R$23,卡牌属性!M772-1),INDEX(新属性投放!R$25:R$28,卡牌属性!M772-1)))/SQRT(INDEX($I$5:$I$42,L772)),2)</f>
        <v>8627.8700000000008</v>
      </c>
      <c r="U772" s="29" t="s">
        <v>178</v>
      </c>
      <c r="V772" s="14">
        <f>ROUND((IF(Q772=1,INDEX(新属性投放!$K$14:$K$34,卡牌属性!R772),INDEX(新属性投放!$K$42:$K$62,卡牌属性!R772))+IF(Q772=1,INDEX(新属性投放!S$20:S$23,卡牌属性!M772-1),INDEX(新属性投放!S$25:S$28,卡牌属性!M772-1)))*INDEX($G$5:$G$42,L772),2)</f>
        <v>4186.63</v>
      </c>
      <c r="W772" s="29" t="s">
        <v>179</v>
      </c>
      <c r="X772" s="14">
        <f>ROUND((IF(Q772=1,INDEX(新属性投放!$L$14:$L$34,卡牌属性!R772),INDEX(新属性投放!$L$42:$L$62,卡牌属性!R772))*INDEX($G$5:$G$42,L772)+IF(Q772=1,INDEX(新属性投放!T$20:T$23,卡牌属性!M772-1),INDEX(新属性投放!T$25:T$28,卡牌属性!M772-1)))*SQRT(INDEX($I$5:$I$42,L772)),2)</f>
        <v>45299.25</v>
      </c>
      <c r="Y772" s="29" t="s">
        <v>177</v>
      </c>
      <c r="Z772" s="14">
        <f>ROUND(IF(Q772=1,INDEX(新属性投放!$D$14:$D$34,卡牌属性!R772),INDEX(新属性投放!$D$42:$D$62,卡牌属性!R772))*INDEX($G$5:$G$42,L772)/SQRT(INDEX($I$5:$I$42,L772)),2)</f>
        <v>204.7</v>
      </c>
      <c r="AA772" s="29" t="s">
        <v>178</v>
      </c>
      <c r="AB772" s="14">
        <f>ROUND(IF(Q772=1,INDEX(新属性投放!$E$14:$E$34,卡牌属性!R772),INDEX(新属性投放!$E$42:$E$62,卡牌属性!R772))*INDEX($G$5:$G$42,L772),2)</f>
        <v>102.35</v>
      </c>
      <c r="AC772" s="29" t="s">
        <v>179</v>
      </c>
      <c r="AD772" s="14">
        <f>ROUND(IF(Q772=1,INDEX(新属性投放!$F$14:$F$34,卡牌属性!R772),INDEX(新属性投放!$F$42:$F$62,卡牌属性!R772))*INDEX($G$5:$G$42,L772)*SQRT(INDEX($I$5:$I$42,L772)),2)</f>
        <v>921.15</v>
      </c>
      <c r="AF772" s="14">
        <f t="shared" si="224"/>
        <v>2047</v>
      </c>
      <c r="AG772" s="14">
        <f t="shared" si="225"/>
        <v>1023</v>
      </c>
      <c r="AH772" s="14">
        <f t="shared" si="226"/>
        <v>9211</v>
      </c>
      <c r="AJ772" s="14">
        <f t="shared" si="216"/>
        <v>8569</v>
      </c>
      <c r="AK772" s="14">
        <f t="shared" si="217"/>
        <v>4281</v>
      </c>
      <c r="AL772" s="14">
        <f t="shared" si="218"/>
        <v>38544</v>
      </c>
    </row>
    <row r="773" spans="11:38" ht="16.5" x14ac:dyDescent="0.2">
      <c r="K773" s="13">
        <v>770</v>
      </c>
      <c r="L773" s="13">
        <f t="shared" si="219"/>
        <v>37</v>
      </c>
      <c r="M773" s="13">
        <f t="shared" ref="M773:M801" si="227">INDEX($D$5:$D$42,L773)</f>
        <v>3</v>
      </c>
      <c r="N773" s="14">
        <f t="shared" si="220"/>
        <v>1102021</v>
      </c>
      <c r="O773" s="14" t="str">
        <f t="shared" si="221"/>
        <v>烈风螳螂14突</v>
      </c>
      <c r="P773" s="29" t="s">
        <v>341</v>
      </c>
      <c r="Q773" s="14">
        <f t="shared" si="222"/>
        <v>2</v>
      </c>
      <c r="R773" s="14">
        <f t="shared" si="223"/>
        <v>14</v>
      </c>
      <c r="S773" s="14" t="s">
        <v>39</v>
      </c>
      <c r="T773" s="14">
        <f>ROUND(((IF(Q773=1,INDEX(新属性投放!$J$14:$J$34,卡牌属性!R773),INDEX(新属性投放!$J$42:$J$62,卡牌属性!R773)))*INDEX($G$5:$G$42,L773)+IF(Q773=1,INDEX(新属性投放!R$20:R$23,卡牌属性!M773-1),INDEX(新属性投放!R$25:R$28,卡牌属性!M773-1)))/SQRT(INDEX($I$5:$I$42,L773)),2)</f>
        <v>11186.62</v>
      </c>
      <c r="U773" s="29" t="s">
        <v>178</v>
      </c>
      <c r="V773" s="14">
        <f>ROUND((IF(Q773=1,INDEX(新属性投放!$K$14:$K$34,卡牌属性!R773),INDEX(新属性投放!$K$42:$K$62,卡牌属性!R773))+IF(Q773=1,INDEX(新属性投放!S$20:S$23,卡牌属性!M773-1),INDEX(新属性投放!S$25:S$28,卡牌属性!M773-1)))*INDEX($G$5:$G$42,L773),2)</f>
        <v>5466.58</v>
      </c>
      <c r="W773" s="29" t="s">
        <v>179</v>
      </c>
      <c r="X773" s="14">
        <f>ROUND((IF(Q773=1,INDEX(新属性投放!$L$14:$L$34,卡牌属性!R773),INDEX(新属性投放!$L$42:$L$62,卡牌属性!R773))*INDEX($G$5:$G$42,L773)+IF(Q773=1,INDEX(新属性投放!T$20:T$23,卡牌属性!M773-1),INDEX(新属性投放!T$25:T$28,卡牌属性!M773-1)))*SQRT(INDEX($I$5:$I$42,L773)),2)</f>
        <v>59116.5</v>
      </c>
      <c r="Y773" s="29" t="s">
        <v>177</v>
      </c>
      <c r="Z773" s="14">
        <f>ROUND(IF(Q773=1,INDEX(新属性投放!$D$14:$D$34,卡牌属性!R773),INDEX(新属性投放!$D$42:$D$62,卡牌属性!R773))*INDEX($G$5:$G$42,L773)/SQRT(INDEX($I$5:$I$42,L773)),2)</f>
        <v>268.67</v>
      </c>
      <c r="AA773" s="29" t="s">
        <v>178</v>
      </c>
      <c r="AB773" s="14">
        <f>ROUND(IF(Q773=1,INDEX(新属性投放!$E$14:$E$34,卡牌属性!R773),INDEX(新属性投放!$E$42:$E$62,卡牌属性!R773))*INDEX($G$5:$G$42,L773),2)</f>
        <v>134.34</v>
      </c>
      <c r="AC773" s="29" t="s">
        <v>179</v>
      </c>
      <c r="AD773" s="14">
        <f>ROUND(IF(Q773=1,INDEX(新属性投放!$F$14:$F$34,卡牌属性!R773),INDEX(新属性投放!$F$42:$F$62,卡牌属性!R773))*INDEX($G$5:$G$42,L773)*SQRT(INDEX($I$5:$I$42,L773)),2)</f>
        <v>1208.6500000000001</v>
      </c>
      <c r="AF773" s="14">
        <f t="shared" si="224"/>
        <v>2686</v>
      </c>
      <c r="AG773" s="14">
        <f t="shared" si="225"/>
        <v>1343</v>
      </c>
      <c r="AH773" s="14">
        <f t="shared" si="226"/>
        <v>12086</v>
      </c>
      <c r="AJ773" s="14">
        <f t="shared" si="216"/>
        <v>11255</v>
      </c>
      <c r="AK773" s="14">
        <f t="shared" si="217"/>
        <v>5624</v>
      </c>
      <c r="AL773" s="14">
        <f t="shared" si="218"/>
        <v>50630</v>
      </c>
    </row>
    <row r="774" spans="11:38" ht="16.5" x14ac:dyDescent="0.2">
      <c r="K774" s="13">
        <v>771</v>
      </c>
      <c r="L774" s="13">
        <f t="shared" si="219"/>
        <v>37</v>
      </c>
      <c r="M774" s="13">
        <f t="shared" si="227"/>
        <v>3</v>
      </c>
      <c r="N774" s="14">
        <f t="shared" si="220"/>
        <v>1102021</v>
      </c>
      <c r="O774" s="14" t="str">
        <f t="shared" si="221"/>
        <v>烈风螳螂15突</v>
      </c>
      <c r="P774" s="29" t="s">
        <v>341</v>
      </c>
      <c r="Q774" s="14">
        <f t="shared" si="222"/>
        <v>2</v>
      </c>
      <c r="R774" s="14">
        <f t="shared" si="223"/>
        <v>15</v>
      </c>
      <c r="S774" s="14" t="s">
        <v>39</v>
      </c>
      <c r="T774" s="14">
        <f>ROUND(((IF(Q774=1,INDEX(新属性投放!$J$14:$J$34,卡牌属性!R774),INDEX(新属性投放!$J$42:$J$62,卡牌属性!R774)))*INDEX($G$5:$G$42,L774)+IF(Q774=1,INDEX(新属性投放!R$20:R$23,卡牌属性!M774-1),INDEX(新属性投放!R$25:R$28,卡牌属性!M774-1)))/SQRT(INDEX($I$5:$I$42,L774)),2)</f>
        <v>14544.96</v>
      </c>
      <c r="U774" s="29" t="s">
        <v>178</v>
      </c>
      <c r="V774" s="14">
        <f>ROUND((IF(Q774=1,INDEX(新属性投放!$K$14:$K$34,卡牌属性!R774),INDEX(新属性投放!$K$42:$K$62,卡牌属性!R774))+IF(Q774=1,INDEX(新属性投放!S$20:S$23,卡牌属性!M774-1),INDEX(新属性投放!S$25:S$28,卡牌属性!M774-1)))*INDEX($G$5:$G$42,L774),2)</f>
        <v>7145.76</v>
      </c>
      <c r="W774" s="29" t="s">
        <v>179</v>
      </c>
      <c r="X774" s="14">
        <f>ROUND((IF(Q774=1,INDEX(新属性投放!$L$14:$L$34,卡牌属性!R774),INDEX(新属性投放!$L$42:$L$62,卡牌属性!R774))*INDEX($G$5:$G$42,L774)+IF(Q774=1,INDEX(新属性投放!T$20:T$23,卡牌属性!M774-1),INDEX(新属性投放!T$25:T$28,卡牌属性!M774-1)))*SQRT(INDEX($I$5:$I$42,L774)),2)</f>
        <v>77247.399999999994</v>
      </c>
      <c r="Y774" s="29" t="s">
        <v>177</v>
      </c>
      <c r="Z774" s="14">
        <f>ROUND(IF(Q774=1,INDEX(新属性投放!$D$14:$D$34,卡牌属性!R774),INDEX(新属性投放!$D$42:$D$62,卡牌属性!R774))*INDEX($G$5:$G$42,L774)/SQRT(INDEX($I$5:$I$42,L774)),2)</f>
        <v>352.64</v>
      </c>
      <c r="AA774" s="29" t="s">
        <v>178</v>
      </c>
      <c r="AB774" s="14">
        <f>ROUND(IF(Q774=1,INDEX(新属性投放!$E$14:$E$34,卡牌属性!R774),INDEX(新属性投放!$E$42:$E$62,卡牌属性!R774))*INDEX($G$5:$G$42,L774),2)</f>
        <v>176.32</v>
      </c>
      <c r="AC774" s="29" t="s">
        <v>179</v>
      </c>
      <c r="AD774" s="14">
        <f>ROUND(IF(Q774=1,INDEX(新属性投放!$F$14:$F$34,卡牌属性!R774),INDEX(新属性投放!$F$42:$F$62,卡牌属性!R774))*INDEX($G$5:$G$42,L774)*SQRT(INDEX($I$5:$I$42,L774)),2)</f>
        <v>1585.85</v>
      </c>
      <c r="AF774" s="14">
        <f t="shared" si="224"/>
        <v>3526</v>
      </c>
      <c r="AG774" s="14">
        <f t="shared" si="225"/>
        <v>1763</v>
      </c>
      <c r="AH774" s="14">
        <f t="shared" si="226"/>
        <v>15858</v>
      </c>
      <c r="AJ774" s="14">
        <f t="shared" si="216"/>
        <v>14781</v>
      </c>
      <c r="AK774" s="14">
        <f t="shared" si="217"/>
        <v>7387</v>
      </c>
      <c r="AL774" s="14">
        <f t="shared" si="218"/>
        <v>66488</v>
      </c>
    </row>
    <row r="775" spans="11:38" ht="16.5" x14ac:dyDescent="0.2">
      <c r="K775" s="13">
        <v>772</v>
      </c>
      <c r="L775" s="13">
        <f t="shared" si="219"/>
        <v>37</v>
      </c>
      <c r="M775" s="13">
        <f t="shared" si="227"/>
        <v>3</v>
      </c>
      <c r="N775" s="14">
        <f t="shared" si="220"/>
        <v>1102021</v>
      </c>
      <c r="O775" s="14" t="str">
        <f t="shared" si="221"/>
        <v>烈风螳螂16突</v>
      </c>
      <c r="P775" s="29" t="s">
        <v>341</v>
      </c>
      <c r="Q775" s="14">
        <f t="shared" si="222"/>
        <v>2</v>
      </c>
      <c r="R775" s="14">
        <f t="shared" si="223"/>
        <v>16</v>
      </c>
      <c r="S775" s="14" t="s">
        <v>39</v>
      </c>
      <c r="T775" s="14">
        <f>ROUND(((IF(Q775=1,INDEX(新属性投放!$J$14:$J$34,卡牌属性!R775),INDEX(新属性投放!$J$42:$J$62,卡牌属性!R775)))*INDEX($G$5:$G$42,L775)+IF(Q775=1,INDEX(新属性投放!R$20:R$23,卡牌属性!M775-1),INDEX(新属性投放!R$25:R$28,卡牌属性!M775-1)))/SQRT(INDEX($I$5:$I$42,L775)),2)</f>
        <v>18953.37</v>
      </c>
      <c r="U775" s="29" t="s">
        <v>178</v>
      </c>
      <c r="V775" s="14">
        <f>ROUND((IF(Q775=1,INDEX(新属性投放!$K$14:$K$34,卡牌属性!R775),INDEX(新属性投放!$K$42:$K$62,卡牌属性!R775))+IF(Q775=1,INDEX(新属性投放!S$20:S$23,卡牌属性!M775-1),INDEX(新属性投放!S$25:S$28,卡牌属性!M775-1)))*INDEX($G$5:$G$42,L775),2)</f>
        <v>9349.39</v>
      </c>
      <c r="W775" s="29" t="s">
        <v>179</v>
      </c>
      <c r="X775" s="14">
        <f>ROUND((IF(Q775=1,INDEX(新属性投放!$L$14:$L$34,卡牌属性!R775),INDEX(新属性投放!$L$42:$L$62,卡牌属性!R775))*INDEX($G$5:$G$42,L775)+IF(Q775=1,INDEX(新属性投放!T$20:T$23,卡牌属性!M775-1),INDEX(新属性投放!T$25:T$28,卡牌属性!M775-1)))*SQRT(INDEX($I$5:$I$42,L775)),2)</f>
        <v>101044.35</v>
      </c>
      <c r="Y775" s="29" t="s">
        <v>177</v>
      </c>
      <c r="Z775" s="14">
        <f>ROUND(IF(Q775=1,INDEX(新属性投放!$D$14:$D$34,卡牌属性!R775),INDEX(新属性投放!$D$42:$D$62,卡牌属性!R775))*INDEX($G$5:$G$42,L775)/SQRT(INDEX($I$5:$I$42,L775)),2)</f>
        <v>462.84</v>
      </c>
      <c r="AA775" s="29" t="s">
        <v>178</v>
      </c>
      <c r="AB775" s="14">
        <f>ROUND(IF(Q775=1,INDEX(新属性投放!$E$14:$E$34,卡牌属性!R775),INDEX(新属性投放!$E$42:$E$62,卡牌属性!R775))*INDEX($G$5:$G$42,L775),2)</f>
        <v>231.42</v>
      </c>
      <c r="AC775" s="29" t="s">
        <v>179</v>
      </c>
      <c r="AD775" s="14">
        <f>ROUND(IF(Q775=1,INDEX(新属性投放!$F$14:$F$34,卡牌属性!R775),INDEX(新属性投放!$F$42:$F$62,卡牌属性!R775))*INDEX($G$5:$G$42,L775)*SQRT(INDEX($I$5:$I$42,L775)),2)</f>
        <v>2082.65</v>
      </c>
      <c r="AF775" s="14">
        <f t="shared" si="224"/>
        <v>4628</v>
      </c>
      <c r="AG775" s="14">
        <f t="shared" si="225"/>
        <v>2314</v>
      </c>
      <c r="AH775" s="14">
        <f t="shared" si="226"/>
        <v>20826</v>
      </c>
      <c r="AJ775" s="14">
        <f t="shared" si="216"/>
        <v>19409</v>
      </c>
      <c r="AK775" s="14">
        <f t="shared" si="217"/>
        <v>9701</v>
      </c>
      <c r="AL775" s="14">
        <f t="shared" si="218"/>
        <v>87314</v>
      </c>
    </row>
    <row r="776" spans="11:38" ht="16.5" x14ac:dyDescent="0.2">
      <c r="K776" s="13">
        <v>773</v>
      </c>
      <c r="L776" s="13">
        <f t="shared" si="219"/>
        <v>37</v>
      </c>
      <c r="M776" s="13">
        <f t="shared" si="227"/>
        <v>3</v>
      </c>
      <c r="N776" s="14">
        <f t="shared" si="220"/>
        <v>1102021</v>
      </c>
      <c r="O776" s="14" t="str">
        <f t="shared" si="221"/>
        <v>烈风螳螂17突</v>
      </c>
      <c r="P776" s="29" t="s">
        <v>341</v>
      </c>
      <c r="Q776" s="14">
        <f t="shared" si="222"/>
        <v>2</v>
      </c>
      <c r="R776" s="14">
        <f t="shared" si="223"/>
        <v>17</v>
      </c>
      <c r="S776" s="14" t="s">
        <v>39</v>
      </c>
      <c r="T776" s="14">
        <f>ROUND(((IF(Q776=1,INDEX(新属性投放!$J$14:$J$34,卡牌属性!R776),INDEX(新属性投放!$J$42:$J$62,卡牌属性!R776)))*INDEX($G$5:$G$42,L776)+IF(Q776=1,INDEX(新属性投放!R$20:R$23,卡牌属性!M776-1),INDEX(新属性投放!R$25:R$28,卡牌属性!M776-1)))/SQRT(INDEX($I$5:$I$42,L776)),2)</f>
        <v>24738.68</v>
      </c>
      <c r="U776" s="29" t="s">
        <v>178</v>
      </c>
      <c r="V776" s="14">
        <f>ROUND((IF(Q776=1,INDEX(新属性投放!$K$14:$K$34,卡牌属性!R776),INDEX(新属性投放!$K$42:$K$62,卡牌属性!R776))+IF(Q776=1,INDEX(新属性投放!S$20:S$23,卡牌属性!M776-1),INDEX(新属性投放!S$25:S$28,卡牌属性!M776-1)))*INDEX($G$5:$G$42,L776),2)</f>
        <v>12242.04</v>
      </c>
      <c r="W776" s="29" t="s">
        <v>179</v>
      </c>
      <c r="X776" s="14">
        <f>ROUND((IF(Q776=1,INDEX(新属性投放!$L$14:$L$34,卡牌属性!R776),INDEX(新属性投放!$L$42:$L$62,卡牌属性!R776))*INDEX($G$5:$G$42,L776)+IF(Q776=1,INDEX(新属性投放!T$20:T$23,卡牌属性!M776-1),INDEX(新属性投放!T$25:T$28,卡牌属性!M776-1)))*SQRT(INDEX($I$5:$I$42,L776)),2)</f>
        <v>132282.95000000001</v>
      </c>
      <c r="Y776" s="29" t="s">
        <v>177</v>
      </c>
      <c r="Z776" s="14">
        <f>ROUND(IF(Q776=1,INDEX(新属性投放!$D$14:$D$34,卡牌属性!R776),INDEX(新属性投放!$D$42:$D$62,卡牌属性!R776))*INDEX($G$5:$G$42,L776)/SQRT(INDEX($I$5:$I$42,L776)),2)</f>
        <v>607.48</v>
      </c>
      <c r="AA776" s="29" t="s">
        <v>178</v>
      </c>
      <c r="AB776" s="14">
        <f>ROUND(IF(Q776=1,INDEX(新属性投放!$E$14:$E$34,卡牌属性!R776),INDEX(新属性投放!$E$42:$E$62,卡牌属性!R776))*INDEX($G$5:$G$42,L776),2)</f>
        <v>303.74</v>
      </c>
      <c r="AC776" s="29" t="s">
        <v>179</v>
      </c>
      <c r="AD776" s="14">
        <f>ROUND(IF(Q776=1,INDEX(新属性投放!$F$14:$F$34,卡牌属性!R776),INDEX(新属性投放!$F$42:$F$62,卡牌属性!R776))*INDEX($G$5:$G$42,L776)*SQRT(INDEX($I$5:$I$42,L776)),2)</f>
        <v>2733.55</v>
      </c>
      <c r="AF776" s="14">
        <f t="shared" si="224"/>
        <v>6074</v>
      </c>
      <c r="AG776" s="14">
        <f t="shared" si="225"/>
        <v>3037</v>
      </c>
      <c r="AH776" s="14">
        <f t="shared" si="226"/>
        <v>27335</v>
      </c>
      <c r="AJ776" s="14">
        <f t="shared" si="216"/>
        <v>25483</v>
      </c>
      <c r="AK776" s="14">
        <f t="shared" si="217"/>
        <v>12738</v>
      </c>
      <c r="AL776" s="14">
        <f t="shared" si="218"/>
        <v>114649</v>
      </c>
    </row>
    <row r="777" spans="11:38" ht="16.5" x14ac:dyDescent="0.2">
      <c r="K777" s="13">
        <v>774</v>
      </c>
      <c r="L777" s="13">
        <f t="shared" si="219"/>
        <v>37</v>
      </c>
      <c r="M777" s="13">
        <f t="shared" si="227"/>
        <v>3</v>
      </c>
      <c r="N777" s="14">
        <f t="shared" si="220"/>
        <v>1102021</v>
      </c>
      <c r="O777" s="14" t="str">
        <f t="shared" si="221"/>
        <v>烈风螳螂18突</v>
      </c>
      <c r="P777" s="29" t="s">
        <v>341</v>
      </c>
      <c r="Q777" s="14">
        <f t="shared" si="222"/>
        <v>2</v>
      </c>
      <c r="R777" s="14">
        <f t="shared" si="223"/>
        <v>18</v>
      </c>
      <c r="S777" s="14" t="s">
        <v>39</v>
      </c>
      <c r="T777" s="14">
        <f>ROUND(((IF(Q777=1,INDEX(新属性投放!$J$14:$J$34,卡牌属性!R777),INDEX(新属性投放!$J$42:$J$62,卡牌属性!R777)))*INDEX($G$5:$G$42,L777)+IF(Q777=1,INDEX(新属性投放!R$20:R$23,卡牌属性!M777-1),INDEX(新属性投放!R$25:R$28,卡牌属性!M777-1)))/SQRT(INDEX($I$5:$I$42,L777)),2)</f>
        <v>32332.59</v>
      </c>
      <c r="U777" s="29" t="s">
        <v>178</v>
      </c>
      <c r="V777" s="14">
        <f>ROUND((IF(Q777=1,INDEX(新属性投放!$K$14:$K$34,卡牌属性!R777),INDEX(新属性投放!$K$42:$K$62,卡牌属性!R777))+IF(Q777=1,INDEX(新属性投放!S$20:S$23,卡牌属性!M777-1),INDEX(新属性投放!S$25:S$28,卡牌属性!M777-1)))*INDEX($G$5:$G$42,L777),2)</f>
        <v>16038.42</v>
      </c>
      <c r="W777" s="29" t="s">
        <v>179</v>
      </c>
      <c r="X777" s="14">
        <f>ROUND((IF(Q777=1,INDEX(新属性投放!$L$14:$L$34,卡牌属性!R777),INDEX(新属性投放!$L$42:$L$62,卡牌属性!R777))*INDEX($G$5:$G$42,L777)+IF(Q777=1,INDEX(新属性投放!T$20:T$23,卡牌属性!M777-1),INDEX(新属性投放!T$25:T$28,卡牌属性!M777-1)))*SQRT(INDEX($I$5:$I$42,L777)),2)</f>
        <v>173290.8</v>
      </c>
      <c r="Y777" s="29" t="s">
        <v>177</v>
      </c>
      <c r="Z777" s="14">
        <f>ROUND(IF(Q777=1,INDEX(新属性投放!$D$14:$D$34,卡牌属性!R777),INDEX(新属性投放!$D$42:$D$62,卡牌属性!R777))*INDEX($G$5:$G$42,L777)/SQRT(INDEX($I$5:$I$42,L777)),2)</f>
        <v>797.32</v>
      </c>
      <c r="AA777" s="29" t="s">
        <v>178</v>
      </c>
      <c r="AB777" s="14">
        <f>ROUND(IF(Q777=1,INDEX(新属性投放!$E$14:$E$34,卡牌属性!R777),INDEX(新属性投放!$E$42:$E$62,卡牌属性!R777))*INDEX($G$5:$G$42,L777),2)</f>
        <v>398.66</v>
      </c>
      <c r="AC777" s="29" t="s">
        <v>179</v>
      </c>
      <c r="AD777" s="14">
        <f>ROUND(IF(Q777=1,INDEX(新属性投放!$F$14:$F$34,卡牌属性!R777),INDEX(新属性投放!$F$42:$F$62,卡牌属性!R777))*INDEX($G$5:$G$42,L777)*SQRT(INDEX($I$5:$I$42,L777)),2)</f>
        <v>3586.85</v>
      </c>
      <c r="AF777" s="14">
        <f t="shared" si="224"/>
        <v>7973</v>
      </c>
      <c r="AG777" s="14">
        <f t="shared" si="225"/>
        <v>3986</v>
      </c>
      <c r="AH777" s="14">
        <f t="shared" si="226"/>
        <v>35868</v>
      </c>
      <c r="AJ777" s="14">
        <f t="shared" si="216"/>
        <v>33456</v>
      </c>
      <c r="AK777" s="14">
        <f t="shared" si="217"/>
        <v>16724</v>
      </c>
      <c r="AL777" s="14">
        <f t="shared" si="218"/>
        <v>150517</v>
      </c>
    </row>
    <row r="778" spans="11:38" ht="16.5" x14ac:dyDescent="0.2">
      <c r="K778" s="13">
        <v>775</v>
      </c>
      <c r="L778" s="13">
        <f t="shared" si="219"/>
        <v>37</v>
      </c>
      <c r="M778" s="13">
        <f t="shared" si="227"/>
        <v>3</v>
      </c>
      <c r="N778" s="14">
        <f t="shared" si="220"/>
        <v>1102021</v>
      </c>
      <c r="O778" s="14" t="str">
        <f t="shared" si="221"/>
        <v>烈风螳螂19突</v>
      </c>
      <c r="P778" s="29" t="s">
        <v>341</v>
      </c>
      <c r="Q778" s="14">
        <f t="shared" si="222"/>
        <v>2</v>
      </c>
      <c r="R778" s="14">
        <f t="shared" si="223"/>
        <v>19</v>
      </c>
      <c r="S778" s="14" t="s">
        <v>39</v>
      </c>
      <c r="T778" s="14">
        <f>ROUND(((IF(Q778=1,INDEX(新属性投放!$J$14:$J$34,卡牌属性!R778),INDEX(新属性投放!$J$42:$J$62,卡牌属性!R778)))*INDEX($G$5:$G$42,L778)+IF(Q778=1,INDEX(新属性投放!R$20:R$23,卡牌属性!M778-1),INDEX(新属性投放!R$25:R$28,卡牌属性!M778-1)))/SQRT(INDEX($I$5:$I$42,L778)),2)</f>
        <v>42298.720000000001</v>
      </c>
      <c r="U778" s="29" t="s">
        <v>178</v>
      </c>
      <c r="V778" s="14">
        <f>ROUND((IF(Q778=1,INDEX(新属性投放!$K$14:$K$34,卡牌属性!R778),INDEX(新属性投放!$K$42:$K$62,卡牌属性!R778))+IF(Q778=1,INDEX(新属性投放!S$20:S$23,卡牌属性!M778-1),INDEX(新属性投放!S$25:S$28,卡牌属性!M778-1)))*INDEX($G$5:$G$42,L778),2)</f>
        <v>21022.06</v>
      </c>
      <c r="W778" s="29" t="s">
        <v>179</v>
      </c>
      <c r="X778" s="14">
        <f>ROUND((IF(Q778=1,INDEX(新属性投放!$L$14:$L$34,卡牌属性!R778),INDEX(新属性投放!$L$42:$L$62,卡牌属性!R778))*INDEX($G$5:$G$42,L778)+IF(Q778=1,INDEX(新属性投放!T$20:T$23,卡牌属性!M778-1),INDEX(新属性投放!T$25:T$28,卡牌属性!M778-1)))*SQRT(INDEX($I$5:$I$42,L778)),2)</f>
        <v>227095.85</v>
      </c>
      <c r="Y778" s="29" t="s">
        <v>177</v>
      </c>
      <c r="Z778" s="14">
        <f>ROUND(IF(Q778=1,INDEX(新属性投放!$D$14:$D$34,卡牌属性!R778),INDEX(新属性投放!$D$42:$D$62,卡牌属性!R778))*INDEX($G$5:$G$42,L778)/SQRT(INDEX($I$5:$I$42,L778)),2)</f>
        <v>1046.48</v>
      </c>
      <c r="AA778" s="29" t="s">
        <v>178</v>
      </c>
      <c r="AB778" s="14">
        <f>ROUND(IF(Q778=1,INDEX(新属性投放!$E$14:$E$34,卡牌属性!R778),INDEX(新属性投放!$E$42:$E$62,卡牌属性!R778))*INDEX($G$5:$G$42,L778),2)</f>
        <v>523.24</v>
      </c>
      <c r="AC778" s="29" t="s">
        <v>179</v>
      </c>
      <c r="AD778" s="14">
        <f>ROUND(IF(Q778=1,INDEX(新属性投放!$F$14:$F$34,卡牌属性!R778),INDEX(新属性投放!$F$42:$F$62,卡牌属性!R778))*INDEX($G$5:$G$42,L778)*SQRT(INDEX($I$5:$I$42,L778)),2)</f>
        <v>4708.1000000000004</v>
      </c>
      <c r="AF778" s="14">
        <f t="shared" si="224"/>
        <v>10464</v>
      </c>
      <c r="AG778" s="14">
        <f t="shared" si="225"/>
        <v>5232</v>
      </c>
      <c r="AH778" s="14">
        <f t="shared" si="226"/>
        <v>47081</v>
      </c>
      <c r="AJ778" s="14">
        <f t="shared" si="216"/>
        <v>43920</v>
      </c>
      <c r="AK778" s="14">
        <f t="shared" si="217"/>
        <v>21956</v>
      </c>
      <c r="AL778" s="14">
        <f t="shared" si="218"/>
        <v>197598</v>
      </c>
    </row>
    <row r="779" spans="11:38" ht="16.5" x14ac:dyDescent="0.2">
      <c r="K779" s="13">
        <v>776</v>
      </c>
      <c r="L779" s="13">
        <f t="shared" si="219"/>
        <v>37</v>
      </c>
      <c r="M779" s="13">
        <f t="shared" si="227"/>
        <v>3</v>
      </c>
      <c r="N779" s="14">
        <f t="shared" si="220"/>
        <v>1102021</v>
      </c>
      <c r="O779" s="14" t="str">
        <f t="shared" si="221"/>
        <v>烈风螳螂20突</v>
      </c>
      <c r="P779" s="29" t="s">
        <v>341</v>
      </c>
      <c r="Q779" s="14">
        <f t="shared" si="222"/>
        <v>2</v>
      </c>
      <c r="R779" s="14">
        <f t="shared" si="223"/>
        <v>20</v>
      </c>
      <c r="S779" s="14" t="s">
        <v>39</v>
      </c>
      <c r="T779" s="14">
        <f>ROUND(((IF(Q779=1,INDEX(新属性投放!$J$14:$J$34,卡牌属性!R779),INDEX(新属性投放!$J$42:$J$62,卡牌属性!R779)))*INDEX($G$5:$G$42,L779)+IF(Q779=1,INDEX(新属性投放!R$20:R$23,卡牌属性!M779-1),INDEX(新属性投放!R$25:R$28,卡牌属性!M779-1)))/SQRT(INDEX($I$5:$I$42,L779)),2)</f>
        <v>55379.74</v>
      </c>
      <c r="U779" s="29" t="s">
        <v>178</v>
      </c>
      <c r="V779" s="14">
        <f>ROUND((IF(Q779=1,INDEX(新属性投放!$K$14:$K$34,卡牌属性!R779),INDEX(新属性投放!$K$42:$K$62,卡牌属性!R779))+IF(Q779=1,INDEX(新属性投放!S$20:S$23,卡牌属性!M779-1),INDEX(新属性投放!S$25:S$28,卡牌属性!M779-1)))*INDEX($G$5:$G$42,L779),2)</f>
        <v>27561.99</v>
      </c>
      <c r="W779" s="29" t="s">
        <v>179</v>
      </c>
      <c r="X779" s="14">
        <f>ROUND((IF(Q779=1,INDEX(新属性投放!$L$14:$L$34,卡牌属性!R779),INDEX(新属性投放!$L$42:$L$62,卡牌属性!R779))*INDEX($G$5:$G$42,L779)+IF(Q779=1,INDEX(新属性投放!T$20:T$23,卡牌属性!M779-1),INDEX(新属性投放!T$25:T$28,卡牌属性!M779-1)))*SQRT(INDEX($I$5:$I$42,L779)),2)</f>
        <v>297723.09999999998</v>
      </c>
      <c r="Y779" s="29" t="s">
        <v>177</v>
      </c>
      <c r="Z779" s="14">
        <f>ROUND(IF(Q779=1,INDEX(新属性投放!$D$14:$D$34,卡牌属性!R779),INDEX(新属性投放!$D$42:$D$62,卡牌属性!R779))*INDEX($G$5:$G$42,L779)/SQRT(INDEX($I$5:$I$42,L779)),2)</f>
        <v>1373.5</v>
      </c>
      <c r="AA779" s="29" t="s">
        <v>178</v>
      </c>
      <c r="AB779" s="14">
        <f>ROUND(IF(Q779=1,INDEX(新属性投放!$E$14:$E$34,卡牌属性!R779),INDEX(新属性投放!$E$42:$E$62,卡牌属性!R779))*INDEX($G$5:$G$42,L779),2)</f>
        <v>686.75</v>
      </c>
      <c r="AC779" s="29" t="s">
        <v>179</v>
      </c>
      <c r="AD779" s="14">
        <f>ROUND(IF(Q779=1,INDEX(新属性投放!$F$14:$F$34,卡牌属性!R779),INDEX(新属性投放!$F$42:$F$62,卡牌属性!R779))*INDEX($G$5:$G$42,L779)*SQRT(INDEX($I$5:$I$42,L779)),2)</f>
        <v>6180.1</v>
      </c>
      <c r="AF779" s="14">
        <f t="shared" si="224"/>
        <v>13735</v>
      </c>
      <c r="AG779" s="14">
        <f t="shared" si="225"/>
        <v>6867</v>
      </c>
      <c r="AH779" s="14">
        <f t="shared" si="226"/>
        <v>61801</v>
      </c>
      <c r="AJ779" s="14">
        <f t="shared" si="216"/>
        <v>57655</v>
      </c>
      <c r="AK779" s="14">
        <f t="shared" si="217"/>
        <v>28823</v>
      </c>
      <c r="AL779" s="14">
        <f t="shared" si="218"/>
        <v>259399</v>
      </c>
    </row>
    <row r="780" spans="11:38" ht="16.5" x14ac:dyDescent="0.2">
      <c r="K780" s="13">
        <v>777</v>
      </c>
      <c r="L780" s="13">
        <f t="shared" si="219"/>
        <v>37</v>
      </c>
      <c r="M780" s="13">
        <f t="shared" si="227"/>
        <v>3</v>
      </c>
      <c r="N780" s="14">
        <f t="shared" si="220"/>
        <v>1102021</v>
      </c>
      <c r="O780" s="14" t="str">
        <f t="shared" si="221"/>
        <v>烈风螳螂21突</v>
      </c>
      <c r="P780" s="29" t="s">
        <v>341</v>
      </c>
      <c r="Q780" s="14">
        <f t="shared" si="222"/>
        <v>2</v>
      </c>
      <c r="R780" s="14">
        <f t="shared" si="223"/>
        <v>21</v>
      </c>
      <c r="S780" s="14" t="s">
        <v>39</v>
      </c>
      <c r="T780" s="14">
        <f>ROUND(((IF(Q780=1,INDEX(新属性投放!$J$14:$J$34,卡牌属性!R780),INDEX(新属性投放!$J$42:$J$62,卡牌属性!R780)))*INDEX($G$5:$G$42,L780)+IF(Q780=1,INDEX(新属性投放!R$20:R$23,卡牌属性!M780-1),INDEX(新属性投放!R$25:R$28,卡牌属性!M780-1)))/SQRT(INDEX($I$5:$I$42,L780)),2)</f>
        <v>72548.66</v>
      </c>
      <c r="U780" s="29" t="s">
        <v>178</v>
      </c>
      <c r="V780" s="14">
        <f>ROUND((IF(Q780=1,INDEX(新属性投放!$K$14:$K$34,卡牌属性!R780),INDEX(新属性投放!$K$42:$K$62,卡牌属性!R780))+IF(Q780=1,INDEX(新属性投放!S$20:S$23,卡牌属性!M780-1),INDEX(新属性投放!S$25:S$28,卡牌属性!M780-1)))*INDEX($G$5:$G$42,L780),2)</f>
        <v>36146.46</v>
      </c>
      <c r="W780" s="29" t="s">
        <v>179</v>
      </c>
      <c r="X780" s="14">
        <f>ROUND((IF(Q780=1,INDEX(新属性投放!$L$14:$L$34,卡牌属性!R780),INDEX(新属性投放!$L$42:$L$62,卡牌属性!R780))*INDEX($G$5:$G$42,L780)+IF(Q780=1,INDEX(新属性投放!T$20:T$23,卡牌属性!M780-1),INDEX(新属性投放!T$25:T$28,卡牌属性!M780-1)))*SQRT(INDEX($I$5:$I$42,L780)),2)</f>
        <v>390429.2</v>
      </c>
      <c r="Y780" s="29" t="s">
        <v>177</v>
      </c>
      <c r="Z780" s="14">
        <f>ROUND(IF(Q780=1,INDEX(新属性投放!$D$14:$D$34,卡牌属性!R780),INDEX(新属性投放!$D$42:$D$62,卡牌属性!R780))*INDEX($G$5:$G$42,L780)/SQRT(INDEX($I$5:$I$42,L780)),2)</f>
        <v>1802.73</v>
      </c>
      <c r="AA780" s="29" t="s">
        <v>178</v>
      </c>
      <c r="AB780" s="14">
        <f>ROUND(IF(Q780=1,INDEX(新属性投放!$E$14:$E$34,卡牌属性!R780),INDEX(新属性投放!$E$42:$E$62,卡牌属性!R780))*INDEX($G$5:$G$42,L780),2)</f>
        <v>901.36</v>
      </c>
      <c r="AC780" s="29" t="s">
        <v>179</v>
      </c>
      <c r="AD780" s="14">
        <f>ROUND(IF(Q780=1,INDEX(新属性投放!$F$14:$F$34,卡牌属性!R780),INDEX(新属性投放!$F$42:$F$62,卡牌属性!R780))*INDEX($G$5:$G$42,L780)*SQRT(INDEX($I$5:$I$42,L780)),2)</f>
        <v>8112.1</v>
      </c>
      <c r="AF780" s="14">
        <f t="shared" si="224"/>
        <v>18027</v>
      </c>
      <c r="AG780" s="14">
        <f t="shared" si="225"/>
        <v>9013</v>
      </c>
      <c r="AH780" s="14">
        <f t="shared" si="226"/>
        <v>81121</v>
      </c>
      <c r="AJ780" s="14">
        <f t="shared" si="216"/>
        <v>75682</v>
      </c>
      <c r="AK780" s="14">
        <f t="shared" si="217"/>
        <v>37836</v>
      </c>
      <c r="AL780" s="14">
        <f t="shared" si="218"/>
        <v>340520</v>
      </c>
    </row>
    <row r="781" spans="11:38" ht="16.5" x14ac:dyDescent="0.2">
      <c r="K781" s="13">
        <v>778</v>
      </c>
      <c r="L781" s="13">
        <f t="shared" si="219"/>
        <v>38</v>
      </c>
      <c r="M781" s="13">
        <f t="shared" si="227"/>
        <v>2</v>
      </c>
      <c r="N781" s="14">
        <f t="shared" si="220"/>
        <v>1102050</v>
      </c>
      <c r="O781" s="14" t="str">
        <f t="shared" si="221"/>
        <v>柠檬精1突</v>
      </c>
      <c r="P781" s="29" t="s">
        <v>341</v>
      </c>
      <c r="Q781" s="14">
        <f t="shared" si="222"/>
        <v>2</v>
      </c>
      <c r="R781" s="14">
        <f t="shared" si="223"/>
        <v>1</v>
      </c>
      <c r="S781" s="14" t="s">
        <v>39</v>
      </c>
      <c r="T781" s="14">
        <f>ROUND(((IF(Q781=1,INDEX(新属性投放!$J$14:$J$34,卡牌属性!R781),INDEX(新属性投放!$J$42:$J$62,卡牌属性!R781)))*INDEX($G$5:$G$42,L781)+IF(Q781=1,INDEX(新属性投放!R$20:R$23,卡牌属性!M781-1),INDEX(新属性投放!R$25:R$28,卡牌属性!M781-1)))/SQRT(INDEX($I$5:$I$42,L781)),2)</f>
        <v>350</v>
      </c>
      <c r="U781" s="29" t="s">
        <v>178</v>
      </c>
      <c r="V781" s="14">
        <f>ROUND((IF(Q781=1,INDEX(新属性投放!$K$14:$K$34,卡牌属性!R781),INDEX(新属性投放!$K$42:$K$62,卡牌属性!R781))+IF(Q781=1,INDEX(新属性投放!S$20:S$23,卡牌属性!M781-1),INDEX(新属性投放!S$25:S$28,卡牌属性!M781-1)))*INDEX($G$5:$G$42,L781),2)</f>
        <v>100</v>
      </c>
      <c r="W781" s="29" t="s">
        <v>179</v>
      </c>
      <c r="X781" s="14">
        <f>ROUND((IF(Q781=1,INDEX(新属性投放!$L$14:$L$34,卡牌属性!R781),INDEX(新属性投放!$L$42:$L$62,卡牌属性!R781))*INDEX($G$5:$G$42,L781)+IF(Q781=1,INDEX(新属性投放!T$20:T$23,卡牌属性!M781-1),INDEX(新属性投放!T$25:T$28,卡牌属性!M781-1)))*SQRT(INDEX($I$5:$I$42,L781)),2)</f>
        <v>750</v>
      </c>
      <c r="Y781" s="29" t="s">
        <v>177</v>
      </c>
      <c r="Z781" s="14">
        <f>ROUND(IF(Q781=1,INDEX(新属性投放!$D$14:$D$34,卡牌属性!R781),INDEX(新属性投放!$D$42:$D$62,卡牌属性!R781))*INDEX($G$5:$G$42,L781)/SQRT(INDEX($I$5:$I$42,L781)),2)</f>
        <v>10</v>
      </c>
      <c r="AA781" s="29" t="s">
        <v>178</v>
      </c>
      <c r="AB781" s="14">
        <f>ROUND(IF(Q781=1,INDEX(新属性投放!$E$14:$E$34,卡牌属性!R781),INDEX(新属性投放!$E$42:$E$62,卡牌属性!R781))*INDEX($G$5:$G$42,L781),2)</f>
        <v>5</v>
      </c>
      <c r="AC781" s="29" t="s">
        <v>179</v>
      </c>
      <c r="AD781" s="14">
        <f>ROUND(IF(Q781=1,INDEX(新属性投放!$F$14:$F$34,卡牌属性!R781),INDEX(新属性投放!$F$42:$F$62,卡牌属性!R781))*INDEX($G$5:$G$42,L781)*SQRT(INDEX($I$5:$I$42,L781)),2)</f>
        <v>45</v>
      </c>
      <c r="AF781" s="14">
        <f t="shared" si="224"/>
        <v>100</v>
      </c>
      <c r="AG781" s="14">
        <f t="shared" si="225"/>
        <v>50</v>
      </c>
      <c r="AH781" s="14">
        <f t="shared" si="226"/>
        <v>450</v>
      </c>
      <c r="AJ781" s="14">
        <f>AF781</f>
        <v>100</v>
      </c>
      <c r="AK781" s="14">
        <f>AG781</f>
        <v>50</v>
      </c>
      <c r="AL781" s="14">
        <f>AH781</f>
        <v>450</v>
      </c>
    </row>
    <row r="782" spans="11:38" ht="16.5" x14ac:dyDescent="0.2">
      <c r="K782" s="13">
        <v>779</v>
      </c>
      <c r="L782" s="13">
        <f t="shared" ref="L782:L801" si="228">MATCH(K782-1,$F$4:$F$41,1)</f>
        <v>38</v>
      </c>
      <c r="M782" s="13">
        <f t="shared" si="227"/>
        <v>2</v>
      </c>
      <c r="N782" s="14">
        <f t="shared" ref="N782:N801" si="229">INDEX($A$4:$A$42,L782+1)</f>
        <v>1102050</v>
      </c>
      <c r="O782" s="14" t="str">
        <f t="shared" ref="O782:O801" si="230">INDEX($B$4:$B$42,MATCH(N782,$A$4:$A$42,0))&amp;R782&amp;"突"</f>
        <v>柠檬精2突</v>
      </c>
      <c r="P782" s="29" t="s">
        <v>341</v>
      </c>
      <c r="Q782" s="14">
        <f t="shared" ref="Q782:Q801" si="231">INDEX($C$4:$C$42,L782+1)</f>
        <v>2</v>
      </c>
      <c r="R782" s="14">
        <f t="shared" ref="R782:R801" si="232">K782-INDEX($F$4:$F$42,L782)</f>
        <v>2</v>
      </c>
      <c r="S782" s="14" t="s">
        <v>39</v>
      </c>
      <c r="T782" s="14">
        <f>ROUND(((IF(Q782=1,INDEX(新属性投放!$J$14:$J$34,卡牌属性!R782),INDEX(新属性投放!$J$42:$J$62,卡牌属性!R782)))*INDEX($G$5:$G$42,L782)+IF(Q782=1,INDEX(新属性投放!R$20:R$23,卡牌属性!M782-1),INDEX(新属性投放!R$25:R$28,卡牌属性!M782-1)))/SQRT(INDEX($I$5:$I$42,L782)),2)</f>
        <v>465</v>
      </c>
      <c r="U782" s="29" t="s">
        <v>178</v>
      </c>
      <c r="V782" s="14">
        <f>ROUND((IF(Q782=1,INDEX(新属性投放!$K$14:$K$34,卡牌属性!R782),INDEX(新属性投放!$K$42:$K$62,卡牌属性!R782))+IF(Q782=1,INDEX(新属性投放!S$20:S$23,卡牌属性!M782-1),INDEX(新属性投放!S$25:S$28,卡牌属性!M782-1)))*INDEX($G$5:$G$42,L782),2)</f>
        <v>155</v>
      </c>
      <c r="W782" s="29" t="s">
        <v>179</v>
      </c>
      <c r="X782" s="14">
        <f>ROUND((IF(Q782=1,INDEX(新属性投放!$L$14:$L$34,卡牌属性!R782),INDEX(新属性投放!$L$42:$L$62,卡牌属性!R782))*INDEX($G$5:$G$42,L782)+IF(Q782=1,INDEX(新属性投放!T$20:T$23,卡牌属性!M782-1),INDEX(新属性投放!T$25:T$28,卡牌属性!M782-1)))*SQRT(INDEX($I$5:$I$42,L782)),2)</f>
        <v>1380</v>
      </c>
      <c r="Y782" s="29" t="s">
        <v>177</v>
      </c>
      <c r="Z782" s="14">
        <f>ROUND(IF(Q782=1,INDEX(新属性投放!$D$14:$D$34,卡牌属性!R782),INDEX(新属性投放!$D$42:$D$62,卡牌属性!R782))*INDEX($G$5:$G$42,L782)/SQRT(INDEX($I$5:$I$42,L782)),2)</f>
        <v>10</v>
      </c>
      <c r="AA782" s="29" t="s">
        <v>178</v>
      </c>
      <c r="AB782" s="14">
        <f>ROUND(IF(Q782=1,INDEX(新属性投放!$E$14:$E$34,卡牌属性!R782),INDEX(新属性投放!$E$42:$E$62,卡牌属性!R782))*INDEX($G$5:$G$42,L782),2)</f>
        <v>5</v>
      </c>
      <c r="AC782" s="29" t="s">
        <v>179</v>
      </c>
      <c r="AD782" s="14">
        <f>ROUND(IF(Q782=1,INDEX(新属性投放!$F$14:$F$34,卡牌属性!R782),INDEX(新属性投放!$F$42:$F$62,卡牌属性!R782))*INDEX($G$5:$G$42,L782)*SQRT(INDEX($I$5:$I$42,L782)),2)</f>
        <v>45</v>
      </c>
      <c r="AF782" s="14">
        <f t="shared" si="224"/>
        <v>100</v>
      </c>
      <c r="AG782" s="14">
        <f t="shared" si="225"/>
        <v>50</v>
      </c>
      <c r="AH782" s="14">
        <f t="shared" si="226"/>
        <v>450</v>
      </c>
      <c r="AJ782" s="14">
        <f t="shared" ref="AJ782:AJ801" si="233">AJ781+AF782</f>
        <v>200</v>
      </c>
      <c r="AK782" s="14">
        <f t="shared" ref="AK782:AK801" si="234">AK781+AG782</f>
        <v>100</v>
      </c>
      <c r="AL782" s="14">
        <f t="shared" ref="AL782:AL801" si="235">AL781+AH782</f>
        <v>900</v>
      </c>
    </row>
    <row r="783" spans="11:38" ht="16.5" x14ac:dyDescent="0.2">
      <c r="K783" s="13">
        <v>780</v>
      </c>
      <c r="L783" s="13">
        <f t="shared" si="228"/>
        <v>38</v>
      </c>
      <c r="M783" s="13">
        <f t="shared" si="227"/>
        <v>2</v>
      </c>
      <c r="N783" s="14">
        <f t="shared" si="229"/>
        <v>1102050</v>
      </c>
      <c r="O783" s="14" t="str">
        <f t="shared" si="230"/>
        <v>柠檬精3突</v>
      </c>
      <c r="P783" s="29" t="s">
        <v>341</v>
      </c>
      <c r="Q783" s="14">
        <f t="shared" si="231"/>
        <v>2</v>
      </c>
      <c r="R783" s="14">
        <f t="shared" si="232"/>
        <v>3</v>
      </c>
      <c r="S783" s="14" t="s">
        <v>39</v>
      </c>
      <c r="T783" s="14">
        <f>ROUND(((IF(Q783=1,INDEX(新属性投放!$J$14:$J$34,卡牌属性!R783),INDEX(新属性投放!$J$42:$J$62,卡牌属性!R783)))*INDEX($G$5:$G$42,L783)+IF(Q783=1,INDEX(新属性投放!R$20:R$23,卡牌属性!M783-1),INDEX(新属性投放!R$25:R$28,卡牌属性!M783-1)))/SQRT(INDEX($I$5:$I$42,L783)),2)</f>
        <v>590</v>
      </c>
      <c r="U783" s="29" t="s">
        <v>178</v>
      </c>
      <c r="V783" s="14">
        <f>ROUND((IF(Q783=1,INDEX(新属性投放!$K$14:$K$34,卡牌属性!R783),INDEX(新属性投放!$K$42:$K$62,卡牌属性!R783))+IF(Q783=1,INDEX(新属性投放!S$20:S$23,卡牌属性!M783-1),INDEX(新属性投放!S$25:S$28,卡牌属性!M783-1)))*INDEX($G$5:$G$42,L783),2)</f>
        <v>218</v>
      </c>
      <c r="W783" s="29" t="s">
        <v>179</v>
      </c>
      <c r="X783" s="14">
        <f>ROUND((IF(Q783=1,INDEX(新属性投放!$L$14:$L$34,卡牌属性!R783),INDEX(新属性投放!$L$42:$L$62,卡牌属性!R783))*INDEX($G$5:$G$42,L783)+IF(Q783=1,INDEX(新属性投放!T$20:T$23,卡牌属性!M783-1),INDEX(新属性投放!T$25:T$28,卡牌属性!M783-1)))*SQRT(INDEX($I$5:$I$42,L783)),2)</f>
        <v>2055</v>
      </c>
      <c r="Y783" s="29" t="s">
        <v>177</v>
      </c>
      <c r="Z783" s="14">
        <f>ROUND(IF(Q783=1,INDEX(新属性投放!$D$14:$D$34,卡牌属性!R783),INDEX(新属性投放!$D$42:$D$62,卡牌属性!R783))*INDEX($G$5:$G$42,L783)/SQRT(INDEX($I$5:$I$42,L783)),2)</f>
        <v>15</v>
      </c>
      <c r="AA783" s="29" t="s">
        <v>178</v>
      </c>
      <c r="AB783" s="14">
        <f>ROUND(IF(Q783=1,INDEX(新属性投放!$E$14:$E$34,卡牌属性!R783),INDEX(新属性投放!$E$42:$E$62,卡牌属性!R783))*INDEX($G$5:$G$42,L783),2)</f>
        <v>7.5</v>
      </c>
      <c r="AC783" s="29" t="s">
        <v>179</v>
      </c>
      <c r="AD783" s="14">
        <f>ROUND(IF(Q783=1,INDEX(新属性投放!$F$14:$F$34,卡牌属性!R783),INDEX(新属性投放!$F$42:$F$62,卡牌属性!R783))*INDEX($G$5:$G$42,L783)*SQRT(INDEX($I$5:$I$42,L783)),2)</f>
        <v>67</v>
      </c>
      <c r="AF783" s="14">
        <f t="shared" si="224"/>
        <v>150</v>
      </c>
      <c r="AG783" s="14">
        <f t="shared" si="225"/>
        <v>75</v>
      </c>
      <c r="AH783" s="14">
        <f t="shared" si="226"/>
        <v>670</v>
      </c>
      <c r="AJ783" s="14">
        <f t="shared" si="233"/>
        <v>350</v>
      </c>
      <c r="AK783" s="14">
        <f t="shared" si="234"/>
        <v>175</v>
      </c>
      <c r="AL783" s="14">
        <f t="shared" si="235"/>
        <v>1570</v>
      </c>
    </row>
    <row r="784" spans="11:38" ht="16.5" x14ac:dyDescent="0.2">
      <c r="K784" s="13">
        <v>781</v>
      </c>
      <c r="L784" s="13">
        <f t="shared" si="228"/>
        <v>38</v>
      </c>
      <c r="M784" s="13">
        <f t="shared" si="227"/>
        <v>2</v>
      </c>
      <c r="N784" s="14">
        <f t="shared" si="229"/>
        <v>1102050</v>
      </c>
      <c r="O784" s="14" t="str">
        <f t="shared" si="230"/>
        <v>柠檬精4突</v>
      </c>
      <c r="P784" s="29" t="s">
        <v>341</v>
      </c>
      <c r="Q784" s="14">
        <f t="shared" si="231"/>
        <v>2</v>
      </c>
      <c r="R784" s="14">
        <f t="shared" si="232"/>
        <v>4</v>
      </c>
      <c r="S784" s="14" t="s">
        <v>39</v>
      </c>
      <c r="T784" s="14">
        <f>ROUND(((IF(Q784=1,INDEX(新属性投放!$J$14:$J$34,卡牌属性!R784),INDEX(新属性投放!$J$42:$J$62,卡牌属性!R784)))*INDEX($G$5:$G$42,L784)+IF(Q784=1,INDEX(新属性投放!R$20:R$23,卡牌属性!M784-1),INDEX(新属性投放!R$25:R$28,卡牌属性!M784-1)))/SQRT(INDEX($I$5:$I$42,L784)),2)</f>
        <v>778</v>
      </c>
      <c r="U784" s="29" t="s">
        <v>178</v>
      </c>
      <c r="V784" s="14">
        <f>ROUND((IF(Q784=1,INDEX(新属性投放!$K$14:$K$34,卡牌属性!R784),INDEX(新属性投放!$K$42:$K$62,卡牌属性!R784))+IF(Q784=1,INDEX(新属性投放!S$20:S$23,卡牌属性!M784-1),INDEX(新属性投放!S$25:S$28,卡牌属性!M784-1)))*INDEX($G$5:$G$42,L784),2)</f>
        <v>312</v>
      </c>
      <c r="W784" s="29" t="s">
        <v>179</v>
      </c>
      <c r="X784" s="14">
        <f>ROUND((IF(Q784=1,INDEX(新属性投放!$L$14:$L$34,卡牌属性!R784),INDEX(新属性投放!$L$42:$L$62,卡牌属性!R784))*INDEX($G$5:$G$42,L784)+IF(Q784=1,INDEX(新属性投放!T$20:T$23,卡牌属性!M784-1),INDEX(新属性投放!T$25:T$28,卡牌属性!M784-1)))*SQRT(INDEX($I$5:$I$42,L784)),2)</f>
        <v>3067</v>
      </c>
      <c r="Y784" s="29" t="s">
        <v>177</v>
      </c>
      <c r="Z784" s="14">
        <f>ROUND(IF(Q784=1,INDEX(新属性投放!$D$14:$D$34,卡牌属性!R784),INDEX(新属性投放!$D$42:$D$62,卡牌属性!R784))*INDEX($G$5:$G$42,L784)/SQRT(INDEX($I$5:$I$42,L784)),2)</f>
        <v>20</v>
      </c>
      <c r="AA784" s="29" t="s">
        <v>178</v>
      </c>
      <c r="AB784" s="14">
        <f>ROUND(IF(Q784=1,INDEX(新属性投放!$E$14:$E$34,卡牌属性!R784),INDEX(新属性投放!$E$42:$E$62,卡牌属性!R784))*INDEX($G$5:$G$42,L784),2)</f>
        <v>10</v>
      </c>
      <c r="AC784" s="29" t="s">
        <v>179</v>
      </c>
      <c r="AD784" s="14">
        <f>ROUND(IF(Q784=1,INDEX(新属性投放!$F$14:$F$34,卡牌属性!R784),INDEX(新属性投放!$F$42:$F$62,卡牌属性!R784))*INDEX($G$5:$G$42,L784)*SQRT(INDEX($I$5:$I$42,L784)),2)</f>
        <v>90</v>
      </c>
      <c r="AF784" s="14">
        <f t="shared" si="224"/>
        <v>200</v>
      </c>
      <c r="AG784" s="14">
        <f t="shared" si="225"/>
        <v>100</v>
      </c>
      <c r="AH784" s="14">
        <f t="shared" si="226"/>
        <v>900</v>
      </c>
      <c r="AJ784" s="14">
        <f t="shared" si="233"/>
        <v>550</v>
      </c>
      <c r="AK784" s="14">
        <f t="shared" si="234"/>
        <v>275</v>
      </c>
      <c r="AL784" s="14">
        <f t="shared" si="235"/>
        <v>2470</v>
      </c>
    </row>
    <row r="785" spans="11:38" ht="16.5" x14ac:dyDescent="0.2">
      <c r="K785" s="13">
        <v>782</v>
      </c>
      <c r="L785" s="13">
        <f t="shared" si="228"/>
        <v>38</v>
      </c>
      <c r="M785" s="13">
        <f t="shared" si="227"/>
        <v>2</v>
      </c>
      <c r="N785" s="14">
        <f t="shared" si="229"/>
        <v>1102050</v>
      </c>
      <c r="O785" s="14" t="str">
        <f t="shared" si="230"/>
        <v>柠檬精5突</v>
      </c>
      <c r="P785" s="29" t="s">
        <v>341</v>
      </c>
      <c r="Q785" s="14">
        <f t="shared" si="231"/>
        <v>2</v>
      </c>
      <c r="R785" s="14">
        <f t="shared" si="232"/>
        <v>5</v>
      </c>
      <c r="S785" s="14" t="s">
        <v>39</v>
      </c>
      <c r="T785" s="14">
        <f>ROUND(((IF(Q785=1,INDEX(新属性投放!$J$14:$J$34,卡牌属性!R785),INDEX(新属性投放!$J$42:$J$62,卡牌属性!R785)))*INDEX($G$5:$G$42,L785)+IF(Q785=1,INDEX(新属性投放!R$20:R$23,卡牌属性!M785-1),INDEX(新属性投放!R$25:R$28,卡牌属性!M785-1)))/SQRT(INDEX($I$5:$I$42,L785)),2)</f>
        <v>1028</v>
      </c>
      <c r="U785" s="29" t="s">
        <v>178</v>
      </c>
      <c r="V785" s="14">
        <f>ROUND((IF(Q785=1,INDEX(新属性投放!$K$14:$K$34,卡牌属性!R785),INDEX(新属性投放!$K$42:$K$62,卡牌属性!R785))+IF(Q785=1,INDEX(新属性投放!S$20:S$23,卡牌属性!M785-1),INDEX(新属性投放!S$25:S$28,卡牌属性!M785-1)))*INDEX($G$5:$G$42,L785),2)</f>
        <v>437</v>
      </c>
      <c r="W785" s="29" t="s">
        <v>179</v>
      </c>
      <c r="X785" s="14">
        <f>ROUND((IF(Q785=1,INDEX(新属性投放!$L$14:$L$34,卡牌属性!R785),INDEX(新属性投放!$L$42:$L$62,卡牌属性!R785))*INDEX($G$5:$G$42,L785)+IF(Q785=1,INDEX(新属性投放!T$20:T$23,卡牌属性!M785-1),INDEX(新属性投放!T$25:T$28,卡牌属性!M785-1)))*SQRT(INDEX($I$5:$I$42,L785)),2)</f>
        <v>4417</v>
      </c>
      <c r="Y785" s="29" t="s">
        <v>177</v>
      </c>
      <c r="Z785" s="14">
        <f>ROUND(IF(Q785=1,INDEX(新属性投放!$D$14:$D$34,卡牌属性!R785),INDEX(新属性投放!$D$42:$D$62,卡牌属性!R785))*INDEX($G$5:$G$42,L785)/SQRT(INDEX($I$5:$I$42,L785)),2)</f>
        <v>25</v>
      </c>
      <c r="AA785" s="29" t="s">
        <v>178</v>
      </c>
      <c r="AB785" s="14">
        <f>ROUND(IF(Q785=1,INDEX(新属性投放!$E$14:$E$34,卡牌属性!R785),INDEX(新属性投放!$E$42:$E$62,卡牌属性!R785))*INDEX($G$5:$G$42,L785),2)</f>
        <v>12.5</v>
      </c>
      <c r="AC785" s="29" t="s">
        <v>179</v>
      </c>
      <c r="AD785" s="14">
        <f>ROUND(IF(Q785=1,INDEX(新属性投放!$F$14:$F$34,卡牌属性!R785),INDEX(新属性投放!$F$42:$F$62,卡牌属性!R785))*INDEX($G$5:$G$42,L785)*SQRT(INDEX($I$5:$I$42,L785)),2)</f>
        <v>112</v>
      </c>
      <c r="AF785" s="14">
        <f t="shared" si="224"/>
        <v>250</v>
      </c>
      <c r="AG785" s="14">
        <f t="shared" si="225"/>
        <v>125</v>
      </c>
      <c r="AH785" s="14">
        <f t="shared" si="226"/>
        <v>1120</v>
      </c>
      <c r="AJ785" s="14">
        <f t="shared" si="233"/>
        <v>800</v>
      </c>
      <c r="AK785" s="14">
        <f t="shared" si="234"/>
        <v>400</v>
      </c>
      <c r="AL785" s="14">
        <f t="shared" si="235"/>
        <v>3590</v>
      </c>
    </row>
    <row r="786" spans="11:38" ht="16.5" x14ac:dyDescent="0.2">
      <c r="K786" s="13">
        <v>783</v>
      </c>
      <c r="L786" s="13">
        <f t="shared" si="228"/>
        <v>38</v>
      </c>
      <c r="M786" s="13">
        <f t="shared" si="227"/>
        <v>2</v>
      </c>
      <c r="N786" s="14">
        <f t="shared" si="229"/>
        <v>1102050</v>
      </c>
      <c r="O786" s="14" t="str">
        <f t="shared" si="230"/>
        <v>柠檬精6突</v>
      </c>
      <c r="P786" s="29" t="s">
        <v>341</v>
      </c>
      <c r="Q786" s="14">
        <f t="shared" si="231"/>
        <v>2</v>
      </c>
      <c r="R786" s="14">
        <f t="shared" si="232"/>
        <v>6</v>
      </c>
      <c r="S786" s="14" t="s">
        <v>39</v>
      </c>
      <c r="T786" s="14">
        <f>ROUND(((IF(Q786=1,INDEX(新属性投放!$J$14:$J$34,卡牌属性!R786),INDEX(新属性投放!$J$42:$J$62,卡牌属性!R786)))*INDEX($G$5:$G$42,L786)+IF(Q786=1,INDEX(新属性投放!R$20:R$23,卡牌属性!M786-1),INDEX(新属性投放!R$25:R$28,卡牌属性!M786-1)))/SQRT(INDEX($I$5:$I$42,L786)),2)</f>
        <v>1341</v>
      </c>
      <c r="U786" s="29" t="s">
        <v>178</v>
      </c>
      <c r="V786" s="14">
        <f>ROUND((IF(Q786=1,INDEX(新属性投放!$K$14:$K$34,卡牌属性!R786),INDEX(新属性投放!$K$42:$K$62,卡牌属性!R786))+IF(Q786=1,INDEX(新属性投放!S$20:S$23,卡牌属性!M786-1),INDEX(新属性投放!S$25:S$28,卡牌属性!M786-1)))*INDEX($G$5:$G$42,L786),2)</f>
        <v>593</v>
      </c>
      <c r="W786" s="29" t="s">
        <v>179</v>
      </c>
      <c r="X786" s="14">
        <f>ROUND((IF(Q786=1,INDEX(新属性投放!$L$14:$L$34,卡牌属性!R786),INDEX(新属性投放!$L$42:$L$62,卡牌属性!R786))*INDEX($G$5:$G$42,L786)+IF(Q786=1,INDEX(新属性投放!T$20:T$23,卡牌属性!M786-1),INDEX(新属性投放!T$25:T$28,卡牌属性!M786-1)))*SQRT(INDEX($I$5:$I$42,L786)),2)</f>
        <v>6104</v>
      </c>
      <c r="Y786" s="29" t="s">
        <v>177</v>
      </c>
      <c r="Z786" s="14">
        <f>ROUND(IF(Q786=1,INDEX(新属性投放!$D$14:$D$34,卡牌属性!R786),INDEX(新属性投放!$D$42:$D$62,卡牌属性!R786))*INDEX($G$5:$G$42,L786)/SQRT(INDEX($I$5:$I$42,L786)),2)</f>
        <v>30</v>
      </c>
      <c r="AA786" s="29" t="s">
        <v>178</v>
      </c>
      <c r="AB786" s="14">
        <f>ROUND(IF(Q786=1,INDEX(新属性投放!$E$14:$E$34,卡牌属性!R786),INDEX(新属性投放!$E$42:$E$62,卡牌属性!R786))*INDEX($G$5:$G$42,L786),2)</f>
        <v>15</v>
      </c>
      <c r="AC786" s="29" t="s">
        <v>179</v>
      </c>
      <c r="AD786" s="14">
        <f>ROUND(IF(Q786=1,INDEX(新属性投放!$F$14:$F$34,卡牌属性!R786),INDEX(新属性投放!$F$42:$F$62,卡牌属性!R786))*INDEX($G$5:$G$42,L786)*SQRT(INDEX($I$5:$I$42,L786)),2)</f>
        <v>135</v>
      </c>
      <c r="AF786" s="14">
        <f t="shared" si="224"/>
        <v>300</v>
      </c>
      <c r="AG786" s="14">
        <f t="shared" si="225"/>
        <v>150</v>
      </c>
      <c r="AH786" s="14">
        <f t="shared" si="226"/>
        <v>1350</v>
      </c>
      <c r="AJ786" s="14">
        <f t="shared" si="233"/>
        <v>1100</v>
      </c>
      <c r="AK786" s="14">
        <f t="shared" si="234"/>
        <v>550</v>
      </c>
      <c r="AL786" s="14">
        <f t="shared" si="235"/>
        <v>4940</v>
      </c>
    </row>
    <row r="787" spans="11:38" ht="16.5" x14ac:dyDescent="0.2">
      <c r="K787" s="13">
        <v>784</v>
      </c>
      <c r="L787" s="13">
        <f t="shared" si="228"/>
        <v>38</v>
      </c>
      <c r="M787" s="13">
        <f t="shared" si="227"/>
        <v>2</v>
      </c>
      <c r="N787" s="14">
        <f t="shared" si="229"/>
        <v>1102050</v>
      </c>
      <c r="O787" s="14" t="str">
        <f t="shared" si="230"/>
        <v>柠檬精7突</v>
      </c>
      <c r="P787" s="29" t="s">
        <v>341</v>
      </c>
      <c r="Q787" s="14">
        <f t="shared" si="231"/>
        <v>2</v>
      </c>
      <c r="R787" s="14">
        <f t="shared" si="232"/>
        <v>7</v>
      </c>
      <c r="S787" s="14" t="s">
        <v>39</v>
      </c>
      <c r="T787" s="14">
        <f>ROUND(((IF(Q787=1,INDEX(新属性投放!$J$14:$J$34,卡牌属性!R787),INDEX(新属性投放!$J$42:$J$62,卡牌属性!R787)))*INDEX($G$5:$G$42,L787)+IF(Q787=1,INDEX(新属性投放!R$20:R$23,卡牌属性!M787-1),INDEX(新属性投放!R$25:R$28,卡牌属性!M787-1)))/SQRT(INDEX($I$5:$I$42,L787)),2)</f>
        <v>1716</v>
      </c>
      <c r="U787" s="29" t="s">
        <v>178</v>
      </c>
      <c r="V787" s="14">
        <f>ROUND((IF(Q787=1,INDEX(新属性投放!$K$14:$K$34,卡牌属性!R787),INDEX(新属性投放!$K$42:$K$62,卡牌属性!R787))+IF(Q787=1,INDEX(新属性投放!S$20:S$23,卡牌属性!M787-1),INDEX(新属性投放!S$25:S$28,卡牌属性!M787-1)))*INDEX($G$5:$G$42,L787),2)</f>
        <v>781</v>
      </c>
      <c r="W787" s="29" t="s">
        <v>179</v>
      </c>
      <c r="X787" s="14">
        <f>ROUND((IF(Q787=1,INDEX(新属性投放!$L$14:$L$34,卡牌属性!R787),INDEX(新属性投放!$L$42:$L$62,卡牌属性!R787))*INDEX($G$5:$G$42,L787)+IF(Q787=1,INDEX(新属性投放!T$20:T$23,卡牌属性!M787-1),INDEX(新属性投放!T$25:T$28,卡牌属性!M787-1)))*SQRT(INDEX($I$5:$I$42,L787)),2)</f>
        <v>8129</v>
      </c>
      <c r="Y787" s="29" t="s">
        <v>177</v>
      </c>
      <c r="Z787" s="14">
        <f>ROUND(IF(Q787=1,INDEX(新属性投放!$D$14:$D$34,卡牌属性!R787),INDEX(新属性投放!$D$42:$D$62,卡牌属性!R787))*INDEX($G$5:$G$42,L787)/SQRT(INDEX($I$5:$I$42,L787)),2)</f>
        <v>35</v>
      </c>
      <c r="AA787" s="29" t="s">
        <v>178</v>
      </c>
      <c r="AB787" s="14">
        <f>ROUND(IF(Q787=1,INDEX(新属性投放!$E$14:$E$34,卡牌属性!R787),INDEX(新属性投放!$E$42:$E$62,卡牌属性!R787))*INDEX($G$5:$G$42,L787),2)</f>
        <v>17.5</v>
      </c>
      <c r="AC787" s="29" t="s">
        <v>179</v>
      </c>
      <c r="AD787" s="14">
        <f>ROUND(IF(Q787=1,INDEX(新属性投放!$F$14:$F$34,卡牌属性!R787),INDEX(新属性投放!$F$42:$F$62,卡牌属性!R787))*INDEX($G$5:$G$42,L787)*SQRT(INDEX($I$5:$I$42,L787)),2)</f>
        <v>157</v>
      </c>
      <c r="AF787" s="14">
        <f t="shared" si="224"/>
        <v>350</v>
      </c>
      <c r="AG787" s="14">
        <f t="shared" si="225"/>
        <v>175</v>
      </c>
      <c r="AH787" s="14">
        <f t="shared" si="226"/>
        <v>1570</v>
      </c>
      <c r="AJ787" s="14">
        <f t="shared" si="233"/>
        <v>1450</v>
      </c>
      <c r="AK787" s="14">
        <f t="shared" si="234"/>
        <v>725</v>
      </c>
      <c r="AL787" s="14">
        <f t="shared" si="235"/>
        <v>6510</v>
      </c>
    </row>
    <row r="788" spans="11:38" ht="16.5" x14ac:dyDescent="0.2">
      <c r="K788" s="13">
        <v>785</v>
      </c>
      <c r="L788" s="13">
        <f t="shared" si="228"/>
        <v>38</v>
      </c>
      <c r="M788" s="13">
        <f t="shared" si="227"/>
        <v>2</v>
      </c>
      <c r="N788" s="14">
        <f t="shared" si="229"/>
        <v>1102050</v>
      </c>
      <c r="O788" s="14" t="str">
        <f t="shared" si="230"/>
        <v>柠檬精8突</v>
      </c>
      <c r="P788" s="29" t="s">
        <v>341</v>
      </c>
      <c r="Q788" s="14">
        <f t="shared" si="231"/>
        <v>2</v>
      </c>
      <c r="R788" s="14">
        <f t="shared" si="232"/>
        <v>8</v>
      </c>
      <c r="S788" s="14" t="s">
        <v>39</v>
      </c>
      <c r="T788" s="14">
        <f>ROUND(((IF(Q788=1,INDEX(新属性投放!$J$14:$J$34,卡牌属性!R788),INDEX(新属性投放!$J$42:$J$62,卡牌属性!R788)))*INDEX($G$5:$G$42,L788)+IF(Q788=1,INDEX(新属性投放!R$20:R$23,卡牌属性!M788-1),INDEX(新属性投放!R$25:R$28,卡牌属性!M788-1)))/SQRT(INDEX($I$5:$I$42,L788)),2)</f>
        <v>2154</v>
      </c>
      <c r="U788" s="29" t="s">
        <v>178</v>
      </c>
      <c r="V788" s="14">
        <f>ROUND((IF(Q788=1,INDEX(新属性投放!$K$14:$K$34,卡牌属性!R788),INDEX(新属性投放!$K$42:$K$62,卡牌属性!R788))+IF(Q788=1,INDEX(新属性投放!S$20:S$23,卡牌属性!M788-1),INDEX(新属性投放!S$25:S$28,卡牌属性!M788-1)))*INDEX($G$5:$G$42,L788),2)</f>
        <v>1000</v>
      </c>
      <c r="W788" s="29" t="s">
        <v>179</v>
      </c>
      <c r="X788" s="14">
        <f>ROUND((IF(Q788=1,INDEX(新属性投放!$L$14:$L$34,卡牌属性!R788),INDEX(新属性投放!$L$42:$L$62,卡牌属性!R788))*INDEX($G$5:$G$42,L788)+IF(Q788=1,INDEX(新属性投放!T$20:T$23,卡牌属性!M788-1),INDEX(新属性投放!T$25:T$28,卡牌属性!M788-1)))*SQRT(INDEX($I$5:$I$42,L788)),2)</f>
        <v>10491</v>
      </c>
      <c r="Y788" s="29" t="s">
        <v>177</v>
      </c>
      <c r="Z788" s="14">
        <f>ROUND(IF(Q788=1,INDEX(新属性投放!$D$14:$D$34,卡牌属性!R788),INDEX(新属性投放!$D$42:$D$62,卡牌属性!R788))*INDEX($G$5:$G$42,L788)/SQRT(INDEX($I$5:$I$42,L788)),2)</f>
        <v>45</v>
      </c>
      <c r="AA788" s="29" t="s">
        <v>178</v>
      </c>
      <c r="AB788" s="14">
        <f>ROUND(IF(Q788=1,INDEX(新属性投放!$E$14:$E$34,卡牌属性!R788),INDEX(新属性投放!$E$42:$E$62,卡牌属性!R788))*INDEX($G$5:$G$42,L788),2)</f>
        <v>22.5</v>
      </c>
      <c r="AC788" s="29" t="s">
        <v>179</v>
      </c>
      <c r="AD788" s="14">
        <f>ROUND(IF(Q788=1,INDEX(新属性投放!$F$14:$F$34,卡牌属性!R788),INDEX(新属性投放!$F$42:$F$62,卡牌属性!R788))*INDEX($G$5:$G$42,L788)*SQRT(INDEX($I$5:$I$42,L788)),2)</f>
        <v>202</v>
      </c>
      <c r="AF788" s="14">
        <f t="shared" si="224"/>
        <v>450</v>
      </c>
      <c r="AG788" s="14">
        <f t="shared" si="225"/>
        <v>225</v>
      </c>
      <c r="AH788" s="14">
        <f t="shared" si="226"/>
        <v>2020</v>
      </c>
      <c r="AJ788" s="14">
        <f t="shared" si="233"/>
        <v>1900</v>
      </c>
      <c r="AK788" s="14">
        <f t="shared" si="234"/>
        <v>950</v>
      </c>
      <c r="AL788" s="14">
        <f t="shared" si="235"/>
        <v>8530</v>
      </c>
    </row>
    <row r="789" spans="11:38" ht="16.5" x14ac:dyDescent="0.2">
      <c r="K789" s="13">
        <v>786</v>
      </c>
      <c r="L789" s="13">
        <f t="shared" si="228"/>
        <v>38</v>
      </c>
      <c r="M789" s="13">
        <f t="shared" si="227"/>
        <v>2</v>
      </c>
      <c r="N789" s="14">
        <f t="shared" si="229"/>
        <v>1102050</v>
      </c>
      <c r="O789" s="14" t="str">
        <f t="shared" si="230"/>
        <v>柠檬精9突</v>
      </c>
      <c r="P789" s="29" t="s">
        <v>341</v>
      </c>
      <c r="Q789" s="14">
        <f t="shared" si="231"/>
        <v>2</v>
      </c>
      <c r="R789" s="14">
        <f t="shared" si="232"/>
        <v>9</v>
      </c>
      <c r="S789" s="14" t="s">
        <v>39</v>
      </c>
      <c r="T789" s="14">
        <f>ROUND(((IF(Q789=1,INDEX(新属性投放!$J$14:$J$34,卡牌属性!R789),INDEX(新属性投放!$J$42:$J$62,卡牌属性!R789)))*INDEX($G$5:$G$42,L789)+IF(Q789=1,INDEX(新属性投放!R$20:R$23,卡牌属性!M789-1),INDEX(新属性投放!R$25:R$28,卡牌属性!M789-1)))/SQRT(INDEX($I$5:$I$42,L789)),2)</f>
        <v>2717</v>
      </c>
      <c r="U789" s="29" t="s">
        <v>178</v>
      </c>
      <c r="V789" s="14">
        <f>ROUND((IF(Q789=1,INDEX(新属性投放!$K$14:$K$34,卡牌属性!R789),INDEX(新属性投放!$K$42:$K$62,卡牌属性!R789))+IF(Q789=1,INDEX(新属性投放!S$20:S$23,卡牌属性!M789-1),INDEX(新属性投放!S$25:S$28,卡牌属性!M789-1)))*INDEX($G$5:$G$42,L789),2)</f>
        <v>1281</v>
      </c>
      <c r="W789" s="29" t="s">
        <v>179</v>
      </c>
      <c r="X789" s="14">
        <f>ROUND((IF(Q789=1,INDEX(新属性投放!$L$14:$L$34,卡牌属性!R789),INDEX(新属性投放!$L$42:$L$62,卡牌属性!R789))*INDEX($G$5:$G$42,L789)+IF(Q789=1,INDEX(新属性投放!T$20:T$23,卡牌属性!M789-1),INDEX(新属性投放!T$25:T$28,卡牌属性!M789-1)))*SQRT(INDEX($I$5:$I$42,L789)),2)</f>
        <v>13528</v>
      </c>
      <c r="Y789" s="29" t="s">
        <v>177</v>
      </c>
      <c r="Z789" s="14">
        <f>ROUND(IF(Q789=1,INDEX(新属性投放!$D$14:$D$34,卡牌属性!R789),INDEX(新属性投放!$D$42:$D$62,卡牌属性!R789))*INDEX($G$5:$G$42,L789)/SQRT(INDEX($I$5:$I$42,L789)),2)</f>
        <v>60.05</v>
      </c>
      <c r="AA789" s="29" t="s">
        <v>178</v>
      </c>
      <c r="AB789" s="14">
        <f>ROUND(IF(Q789=1,INDEX(新属性投放!$E$14:$E$34,卡牌属性!R789),INDEX(新属性投放!$E$42:$E$62,卡牌属性!R789))*INDEX($G$5:$G$42,L789),2)</f>
        <v>30.03</v>
      </c>
      <c r="AC789" s="29" t="s">
        <v>179</v>
      </c>
      <c r="AD789" s="14">
        <f>ROUND(IF(Q789=1,INDEX(新属性投放!$F$14:$F$34,卡牌属性!R789),INDEX(新属性投放!$F$42:$F$62,卡牌属性!R789))*INDEX($G$5:$G$42,L789)*SQRT(INDEX($I$5:$I$42,L789)),2)</f>
        <v>270</v>
      </c>
      <c r="AF789" s="14">
        <f t="shared" si="224"/>
        <v>600</v>
      </c>
      <c r="AG789" s="14">
        <f t="shared" si="225"/>
        <v>300</v>
      </c>
      <c r="AH789" s="14">
        <f t="shared" si="226"/>
        <v>2700</v>
      </c>
      <c r="AJ789" s="14">
        <f t="shared" si="233"/>
        <v>2500</v>
      </c>
      <c r="AK789" s="14">
        <f t="shared" si="234"/>
        <v>1250</v>
      </c>
      <c r="AL789" s="14">
        <f t="shared" si="235"/>
        <v>11230</v>
      </c>
    </row>
    <row r="790" spans="11:38" ht="16.5" x14ac:dyDescent="0.2">
      <c r="K790" s="13">
        <v>787</v>
      </c>
      <c r="L790" s="13">
        <f t="shared" si="228"/>
        <v>38</v>
      </c>
      <c r="M790" s="13">
        <f t="shared" si="227"/>
        <v>2</v>
      </c>
      <c r="N790" s="14">
        <f t="shared" si="229"/>
        <v>1102050</v>
      </c>
      <c r="O790" s="14" t="str">
        <f t="shared" si="230"/>
        <v>柠檬精10突</v>
      </c>
      <c r="P790" s="29" t="s">
        <v>341</v>
      </c>
      <c r="Q790" s="14">
        <f t="shared" si="231"/>
        <v>2</v>
      </c>
      <c r="R790" s="14">
        <f t="shared" si="232"/>
        <v>10</v>
      </c>
      <c r="S790" s="14" t="s">
        <v>39</v>
      </c>
      <c r="T790" s="14">
        <f>ROUND(((IF(Q790=1,INDEX(新属性投放!$J$14:$J$34,卡牌属性!R790),INDEX(新属性投放!$J$42:$J$62,卡牌属性!R790)))*INDEX($G$5:$G$42,L790)+IF(Q790=1,INDEX(新属性投放!R$20:R$23,卡牌属性!M790-1),INDEX(新属性投放!R$25:R$28,卡牌属性!M790-1)))/SQRT(INDEX($I$5:$I$42,L790)),2)</f>
        <v>3467.5</v>
      </c>
      <c r="U790" s="29" t="s">
        <v>178</v>
      </c>
      <c r="V790" s="14">
        <f>ROUND((IF(Q790=1,INDEX(新属性投放!$K$14:$K$34,卡牌属性!R790),INDEX(新属性投放!$K$42:$K$62,卡牌属性!R790))+IF(Q790=1,INDEX(新属性投放!S$20:S$23,卡牌属性!M790-1),INDEX(新属性投放!S$25:S$28,卡牌属性!M790-1)))*INDEX($G$5:$G$42,L790),2)</f>
        <v>1656.25</v>
      </c>
      <c r="W790" s="29" t="s">
        <v>179</v>
      </c>
      <c r="X790" s="14">
        <f>ROUND((IF(Q790=1,INDEX(新属性投放!$L$14:$L$34,卡牌属性!R790),INDEX(新属性投放!$L$42:$L$62,卡牌属性!R790))*INDEX($G$5:$G$42,L790)+IF(Q790=1,INDEX(新属性投放!T$20:T$23,卡牌属性!M790-1),INDEX(新属性投放!T$25:T$28,卡牌属性!M790-1)))*SQRT(INDEX($I$5:$I$42,L790)),2)</f>
        <v>17578</v>
      </c>
      <c r="Y790" s="29" t="s">
        <v>177</v>
      </c>
      <c r="Z790" s="14">
        <f>ROUND(IF(Q790=1,INDEX(新属性投放!$D$14:$D$34,卡牌属性!R790),INDEX(新属性投放!$D$42:$D$62,卡牌属性!R790))*INDEX($G$5:$G$42,L790)/SQRT(INDEX($I$5:$I$42,L790)),2)</f>
        <v>78.5</v>
      </c>
      <c r="AA790" s="29" t="s">
        <v>178</v>
      </c>
      <c r="AB790" s="14">
        <f>ROUND(IF(Q790=1,INDEX(新属性投放!$E$14:$E$34,卡牌属性!R790),INDEX(新属性投放!$E$42:$E$62,卡牌属性!R790))*INDEX($G$5:$G$42,L790),2)</f>
        <v>39.25</v>
      </c>
      <c r="AC790" s="29" t="s">
        <v>179</v>
      </c>
      <c r="AD790" s="14">
        <f>ROUND(IF(Q790=1,INDEX(新属性投放!$F$14:$F$34,卡牌属性!R790),INDEX(新属性投放!$F$42:$F$62,卡牌属性!R790))*INDEX($G$5:$G$42,L790)*SQRT(INDEX($I$5:$I$42,L790)),2)</f>
        <v>353</v>
      </c>
      <c r="AF790" s="14">
        <f t="shared" si="224"/>
        <v>785</v>
      </c>
      <c r="AG790" s="14">
        <f t="shared" si="225"/>
        <v>392</v>
      </c>
      <c r="AH790" s="14">
        <f t="shared" si="226"/>
        <v>3530</v>
      </c>
      <c r="AJ790" s="14">
        <f t="shared" si="233"/>
        <v>3285</v>
      </c>
      <c r="AK790" s="14">
        <f t="shared" si="234"/>
        <v>1642</v>
      </c>
      <c r="AL790" s="14">
        <f t="shared" si="235"/>
        <v>14760</v>
      </c>
    </row>
    <row r="791" spans="11:38" ht="16.5" x14ac:dyDescent="0.2">
      <c r="K791" s="13">
        <v>788</v>
      </c>
      <c r="L791" s="13">
        <f t="shared" si="228"/>
        <v>38</v>
      </c>
      <c r="M791" s="13">
        <f t="shared" si="227"/>
        <v>2</v>
      </c>
      <c r="N791" s="14">
        <f t="shared" si="229"/>
        <v>1102050</v>
      </c>
      <c r="O791" s="14" t="str">
        <f t="shared" si="230"/>
        <v>柠檬精11突</v>
      </c>
      <c r="P791" s="29" t="s">
        <v>341</v>
      </c>
      <c r="Q791" s="14">
        <f t="shared" si="231"/>
        <v>2</v>
      </c>
      <c r="R791" s="14">
        <f t="shared" si="232"/>
        <v>11</v>
      </c>
      <c r="S791" s="14" t="s">
        <v>39</v>
      </c>
      <c r="T791" s="14">
        <f>ROUND(((IF(Q791=1,INDEX(新属性投放!$J$14:$J$34,卡牌属性!R791),INDEX(新属性投放!$J$42:$J$62,卡牌属性!R791)))*INDEX($G$5:$G$42,L791)+IF(Q791=1,INDEX(新属性投放!R$20:R$23,卡牌属性!M791-1),INDEX(新属性投放!R$25:R$28,卡牌属性!M791-1)))/SQRT(INDEX($I$5:$I$42,L791)),2)</f>
        <v>4448.5</v>
      </c>
      <c r="U791" s="29" t="s">
        <v>178</v>
      </c>
      <c r="V791" s="14">
        <f>ROUND((IF(Q791=1,INDEX(新属性投放!$K$14:$K$34,卡牌属性!R791),INDEX(新属性投放!$K$42:$K$62,卡牌属性!R791))+IF(Q791=1,INDEX(新属性投放!S$20:S$23,卡牌属性!M791-1),INDEX(新属性投放!S$25:S$28,卡牌属性!M791-1)))*INDEX($G$5:$G$42,L791),2)</f>
        <v>2146.75</v>
      </c>
      <c r="W791" s="29" t="s">
        <v>179</v>
      </c>
      <c r="X791" s="14">
        <f>ROUND((IF(Q791=1,INDEX(新属性投放!$L$14:$L$34,卡牌属性!R791),INDEX(新属性投放!$L$42:$L$62,卡牌属性!R791))*INDEX($G$5:$G$42,L791)+IF(Q791=1,INDEX(新属性投放!T$20:T$23,卡牌属性!M791-1),INDEX(新属性投放!T$25:T$28,卡牌属性!M791-1)))*SQRT(INDEX($I$5:$I$42,L791)),2)</f>
        <v>22872</v>
      </c>
      <c r="Y791" s="29" t="s">
        <v>177</v>
      </c>
      <c r="Z791" s="14">
        <f>ROUND(IF(Q791=1,INDEX(新属性投放!$D$14:$D$34,卡牌属性!R791),INDEX(新属性投放!$D$42:$D$62,卡牌属性!R791))*INDEX($G$5:$G$42,L791)/SQRT(INDEX($I$5:$I$42,L791)),2)</f>
        <v>103.34</v>
      </c>
      <c r="AA791" s="29" t="s">
        <v>178</v>
      </c>
      <c r="AB791" s="14">
        <f>ROUND(IF(Q791=1,INDEX(新属性投放!$E$14:$E$34,卡牌属性!R791),INDEX(新属性投放!$E$42:$E$62,卡牌属性!R791))*INDEX($G$5:$G$42,L791),2)</f>
        <v>51.67</v>
      </c>
      <c r="AC791" s="29" t="s">
        <v>179</v>
      </c>
      <c r="AD791" s="14">
        <f>ROUND(IF(Q791=1,INDEX(新属性投放!$F$14:$F$34,卡牌属性!R791),INDEX(新属性投放!$F$42:$F$62,卡牌属性!R791))*INDEX($G$5:$G$42,L791)*SQRT(INDEX($I$5:$I$42,L791)),2)</f>
        <v>465</v>
      </c>
      <c r="AF791" s="14">
        <f t="shared" si="224"/>
        <v>1033</v>
      </c>
      <c r="AG791" s="14">
        <f t="shared" si="225"/>
        <v>516</v>
      </c>
      <c r="AH791" s="14">
        <f t="shared" si="226"/>
        <v>4650</v>
      </c>
      <c r="AJ791" s="14">
        <f t="shared" si="233"/>
        <v>4318</v>
      </c>
      <c r="AK791" s="14">
        <f t="shared" si="234"/>
        <v>2158</v>
      </c>
      <c r="AL791" s="14">
        <f t="shared" si="235"/>
        <v>19410</v>
      </c>
    </row>
    <row r="792" spans="11:38" ht="16.5" x14ac:dyDescent="0.2">
      <c r="K792" s="13">
        <v>789</v>
      </c>
      <c r="L792" s="13">
        <f t="shared" si="228"/>
        <v>38</v>
      </c>
      <c r="M792" s="13">
        <f t="shared" si="227"/>
        <v>2</v>
      </c>
      <c r="N792" s="14">
        <f t="shared" si="229"/>
        <v>1102050</v>
      </c>
      <c r="O792" s="14" t="str">
        <f t="shared" si="230"/>
        <v>柠檬精12突</v>
      </c>
      <c r="P792" s="29" t="s">
        <v>341</v>
      </c>
      <c r="Q792" s="14">
        <f t="shared" si="231"/>
        <v>2</v>
      </c>
      <c r="R792" s="14">
        <f t="shared" si="232"/>
        <v>12</v>
      </c>
      <c r="S792" s="14" t="s">
        <v>39</v>
      </c>
      <c r="T792" s="14">
        <f>ROUND(((IF(Q792=1,INDEX(新属性投放!$J$14:$J$34,卡牌属性!R792),INDEX(新属性投放!$J$42:$J$62,卡牌属性!R792)))*INDEX($G$5:$G$42,L792)+IF(Q792=1,INDEX(新属性投放!R$20:R$23,卡牌属性!M792-1),INDEX(新属性投放!R$25:R$28,卡牌属性!M792-1)))/SQRT(INDEX($I$5:$I$42,L792)),2)</f>
        <v>5739.9</v>
      </c>
      <c r="U792" s="29" t="s">
        <v>178</v>
      </c>
      <c r="V792" s="14">
        <f>ROUND((IF(Q792=1,INDEX(新属性投放!$K$14:$K$34,卡牌属性!R792),INDEX(新属性投放!$K$42:$K$62,卡牌属性!R792))+IF(Q792=1,INDEX(新属性投放!S$20:S$23,卡牌属性!M792-1),INDEX(新属性投放!S$25:S$28,卡牌属性!M792-1)))*INDEX($G$5:$G$42,L792),2)</f>
        <v>2792.45</v>
      </c>
      <c r="W792" s="29" t="s">
        <v>179</v>
      </c>
      <c r="X792" s="14">
        <f>ROUND((IF(Q792=1,INDEX(新属性投放!$L$14:$L$34,卡牌属性!R792),INDEX(新属性投放!$L$42:$L$62,卡牌属性!R792))*INDEX($G$5:$G$42,L792)+IF(Q792=1,INDEX(新属性投放!T$20:T$23,卡牌属性!M792-1),INDEX(新属性投放!T$25:T$28,卡牌属性!M792-1)))*SQRT(INDEX($I$5:$I$42,L792)),2)</f>
        <v>29844</v>
      </c>
      <c r="Y792" s="29" t="s">
        <v>177</v>
      </c>
      <c r="Z792" s="14">
        <f>ROUND(IF(Q792=1,INDEX(新属性投放!$D$14:$D$34,卡牌属性!R792),INDEX(新属性投放!$D$42:$D$62,卡牌属性!R792))*INDEX($G$5:$G$42,L792)/SQRT(INDEX($I$5:$I$42,L792)),2)</f>
        <v>135.62</v>
      </c>
      <c r="AA792" s="29" t="s">
        <v>178</v>
      </c>
      <c r="AB792" s="14">
        <f>ROUND(IF(Q792=1,INDEX(新属性投放!$E$14:$E$34,卡牌属性!R792),INDEX(新属性投放!$E$42:$E$62,卡牌属性!R792))*INDEX($G$5:$G$42,L792),2)</f>
        <v>67.81</v>
      </c>
      <c r="AC792" s="29" t="s">
        <v>179</v>
      </c>
      <c r="AD792" s="14">
        <f>ROUND(IF(Q792=1,INDEX(新属性投放!$F$14:$F$34,卡牌属性!R792),INDEX(新属性投放!$F$42:$F$62,卡牌属性!R792))*INDEX($G$5:$G$42,L792)*SQRT(INDEX($I$5:$I$42,L792)),2)</f>
        <v>610</v>
      </c>
      <c r="AF792" s="14">
        <f t="shared" si="224"/>
        <v>1356</v>
      </c>
      <c r="AG792" s="14">
        <f t="shared" si="225"/>
        <v>678</v>
      </c>
      <c r="AH792" s="14">
        <f t="shared" si="226"/>
        <v>6100</v>
      </c>
      <c r="AJ792" s="14">
        <f t="shared" si="233"/>
        <v>5674</v>
      </c>
      <c r="AK792" s="14">
        <f t="shared" si="234"/>
        <v>2836</v>
      </c>
      <c r="AL792" s="14">
        <f t="shared" si="235"/>
        <v>25510</v>
      </c>
    </row>
    <row r="793" spans="11:38" ht="16.5" x14ac:dyDescent="0.2">
      <c r="K793" s="13">
        <v>790</v>
      </c>
      <c r="L793" s="13">
        <f t="shared" si="228"/>
        <v>38</v>
      </c>
      <c r="M793" s="13">
        <f t="shared" si="227"/>
        <v>2</v>
      </c>
      <c r="N793" s="14">
        <f t="shared" si="229"/>
        <v>1102050</v>
      </c>
      <c r="O793" s="14" t="str">
        <f t="shared" si="230"/>
        <v>柠檬精13突</v>
      </c>
      <c r="P793" s="29" t="s">
        <v>341</v>
      </c>
      <c r="Q793" s="14">
        <f t="shared" si="231"/>
        <v>2</v>
      </c>
      <c r="R793" s="14">
        <f t="shared" si="232"/>
        <v>13</v>
      </c>
      <c r="S793" s="14" t="s">
        <v>39</v>
      </c>
      <c r="T793" s="14">
        <f>ROUND(((IF(Q793=1,INDEX(新属性投放!$J$14:$J$34,卡牌属性!R793),INDEX(新属性投放!$J$42:$J$62,卡牌属性!R793)))*INDEX($G$5:$G$42,L793)+IF(Q793=1,INDEX(新属性投放!R$20:R$23,卡牌属性!M793-1),INDEX(新属性投放!R$25:R$28,卡牌属性!M793-1)))/SQRT(INDEX($I$5:$I$42,L793)),2)</f>
        <v>7435.1</v>
      </c>
      <c r="U793" s="29" t="s">
        <v>178</v>
      </c>
      <c r="V793" s="14">
        <f>ROUND((IF(Q793=1,INDEX(新属性投放!$K$14:$K$34,卡牌属性!R793),INDEX(新属性投放!$K$42:$K$62,卡牌属性!R793))+IF(Q793=1,INDEX(新属性投放!S$20:S$23,卡牌属性!M793-1),INDEX(新属性投放!S$25:S$28,卡牌属性!M793-1)))*INDEX($G$5:$G$42,L793),2)</f>
        <v>3640.55</v>
      </c>
      <c r="W793" s="29" t="s">
        <v>179</v>
      </c>
      <c r="X793" s="14">
        <f>ROUND((IF(Q793=1,INDEX(新属性投放!$L$14:$L$34,卡牌属性!R793),INDEX(新属性投放!$L$42:$L$62,卡牌属性!R793))*INDEX($G$5:$G$42,L793)+IF(Q793=1,INDEX(新属性投放!T$20:T$23,卡牌属性!M793-1),INDEX(新属性投放!T$25:T$28,卡牌属性!M793-1)))*SQRT(INDEX($I$5:$I$42,L793)),2)</f>
        <v>38995</v>
      </c>
      <c r="Y793" s="29" t="s">
        <v>177</v>
      </c>
      <c r="Z793" s="14">
        <f>ROUND(IF(Q793=1,INDEX(新属性投放!$D$14:$D$34,卡牌属性!R793),INDEX(新属性投放!$D$42:$D$62,卡牌属性!R793))*INDEX($G$5:$G$42,L793)/SQRT(INDEX($I$5:$I$42,L793)),2)</f>
        <v>178</v>
      </c>
      <c r="AA793" s="29" t="s">
        <v>178</v>
      </c>
      <c r="AB793" s="14">
        <f>ROUND(IF(Q793=1,INDEX(新属性投放!$E$14:$E$34,卡牌属性!R793),INDEX(新属性投放!$E$42:$E$62,卡牌属性!R793))*INDEX($G$5:$G$42,L793),2)</f>
        <v>89</v>
      </c>
      <c r="AC793" s="29" t="s">
        <v>179</v>
      </c>
      <c r="AD793" s="14">
        <f>ROUND(IF(Q793=1,INDEX(新属性投放!$F$14:$F$34,卡牌属性!R793),INDEX(新属性投放!$F$42:$F$62,卡牌属性!R793))*INDEX($G$5:$G$42,L793)*SQRT(INDEX($I$5:$I$42,L793)),2)</f>
        <v>801</v>
      </c>
      <c r="AF793" s="14">
        <f t="shared" si="224"/>
        <v>1780</v>
      </c>
      <c r="AG793" s="14">
        <f t="shared" si="225"/>
        <v>890</v>
      </c>
      <c r="AH793" s="14">
        <f t="shared" si="226"/>
        <v>8010</v>
      </c>
      <c r="AJ793" s="14">
        <f t="shared" si="233"/>
        <v>7454</v>
      </c>
      <c r="AK793" s="14">
        <f t="shared" si="234"/>
        <v>3726</v>
      </c>
      <c r="AL793" s="14">
        <f t="shared" si="235"/>
        <v>33520</v>
      </c>
    </row>
    <row r="794" spans="11:38" ht="16.5" x14ac:dyDescent="0.2">
      <c r="K794" s="13">
        <v>791</v>
      </c>
      <c r="L794" s="13">
        <f t="shared" si="228"/>
        <v>38</v>
      </c>
      <c r="M794" s="13">
        <f t="shared" si="227"/>
        <v>2</v>
      </c>
      <c r="N794" s="14">
        <f t="shared" si="229"/>
        <v>1102050</v>
      </c>
      <c r="O794" s="14" t="str">
        <f t="shared" si="230"/>
        <v>柠檬精14突</v>
      </c>
      <c r="P794" s="29" t="s">
        <v>341</v>
      </c>
      <c r="Q794" s="14">
        <f t="shared" si="231"/>
        <v>2</v>
      </c>
      <c r="R794" s="14">
        <f t="shared" si="232"/>
        <v>14</v>
      </c>
      <c r="S794" s="14" t="s">
        <v>39</v>
      </c>
      <c r="T794" s="14">
        <f>ROUND(((IF(Q794=1,INDEX(新属性投放!$J$14:$J$34,卡牌属性!R794),INDEX(新属性投放!$J$42:$J$62,卡牌属性!R794)))*INDEX($G$5:$G$42,L794)+IF(Q794=1,INDEX(新属性投放!R$20:R$23,卡牌属性!M794-1),INDEX(新属性投放!R$25:R$28,卡牌属性!M794-1)))/SQRT(INDEX($I$5:$I$42,L794)),2)</f>
        <v>9660.1</v>
      </c>
      <c r="U794" s="29" t="s">
        <v>178</v>
      </c>
      <c r="V794" s="14">
        <f>ROUND((IF(Q794=1,INDEX(新属性投放!$K$14:$K$34,卡牌属性!R794),INDEX(新属性投放!$K$42:$K$62,卡牌属性!R794))+IF(Q794=1,INDEX(新属性投放!S$20:S$23,卡牌属性!M794-1),INDEX(新属性投放!S$25:S$28,卡牌属性!M794-1)))*INDEX($G$5:$G$42,L794),2)</f>
        <v>4753.55</v>
      </c>
      <c r="W794" s="29" t="s">
        <v>179</v>
      </c>
      <c r="X794" s="14">
        <f>ROUND((IF(Q794=1,INDEX(新属性投放!$L$14:$L$34,卡牌属性!R794),INDEX(新属性投放!$L$42:$L$62,卡牌属性!R794))*INDEX($G$5:$G$42,L794)+IF(Q794=1,INDEX(新属性投放!T$20:T$23,卡牌属性!M794-1),INDEX(新属性投放!T$25:T$28,卡牌属性!M794-1)))*SQRT(INDEX($I$5:$I$42,L794)),2)</f>
        <v>51010</v>
      </c>
      <c r="Y794" s="29" t="s">
        <v>177</v>
      </c>
      <c r="Z794" s="14">
        <f>ROUND(IF(Q794=1,INDEX(新属性投放!$D$14:$D$34,卡牌属性!R794),INDEX(新属性投放!$D$42:$D$62,卡牌属性!R794))*INDEX($G$5:$G$42,L794)/SQRT(INDEX($I$5:$I$42,L794)),2)</f>
        <v>233.63</v>
      </c>
      <c r="AA794" s="29" t="s">
        <v>178</v>
      </c>
      <c r="AB794" s="14">
        <f>ROUND(IF(Q794=1,INDEX(新属性投放!$E$14:$E$34,卡牌属性!R794),INDEX(新属性投放!$E$42:$E$62,卡牌属性!R794))*INDEX($G$5:$G$42,L794),2)</f>
        <v>116.82</v>
      </c>
      <c r="AC794" s="29" t="s">
        <v>179</v>
      </c>
      <c r="AD794" s="14">
        <f>ROUND(IF(Q794=1,INDEX(新属性投放!$F$14:$F$34,卡牌属性!R794),INDEX(新属性投放!$F$42:$F$62,卡牌属性!R794))*INDEX($G$5:$G$42,L794)*SQRT(INDEX($I$5:$I$42,L794)),2)</f>
        <v>1051</v>
      </c>
      <c r="AF794" s="14">
        <f t="shared" si="224"/>
        <v>2336</v>
      </c>
      <c r="AG794" s="14">
        <f t="shared" si="225"/>
        <v>1168</v>
      </c>
      <c r="AH794" s="14">
        <f t="shared" si="226"/>
        <v>10510</v>
      </c>
      <c r="AJ794" s="14">
        <f t="shared" si="233"/>
        <v>9790</v>
      </c>
      <c r="AK794" s="14">
        <f t="shared" si="234"/>
        <v>4894</v>
      </c>
      <c r="AL794" s="14">
        <f t="shared" si="235"/>
        <v>44030</v>
      </c>
    </row>
    <row r="795" spans="11:38" ht="16.5" x14ac:dyDescent="0.2">
      <c r="K795" s="13">
        <v>792</v>
      </c>
      <c r="L795" s="13">
        <f t="shared" si="228"/>
        <v>38</v>
      </c>
      <c r="M795" s="13">
        <f t="shared" si="227"/>
        <v>2</v>
      </c>
      <c r="N795" s="14">
        <f t="shared" si="229"/>
        <v>1102050</v>
      </c>
      <c r="O795" s="14" t="str">
        <f t="shared" si="230"/>
        <v>柠檬精15突</v>
      </c>
      <c r="P795" s="29" t="s">
        <v>341</v>
      </c>
      <c r="Q795" s="14">
        <f t="shared" si="231"/>
        <v>2</v>
      </c>
      <c r="R795" s="14">
        <f t="shared" si="232"/>
        <v>15</v>
      </c>
      <c r="S795" s="14" t="s">
        <v>39</v>
      </c>
      <c r="T795" s="14">
        <f>ROUND(((IF(Q795=1,INDEX(新属性投放!$J$14:$J$34,卡牌属性!R795),INDEX(新属性投放!$J$42:$J$62,卡牌属性!R795)))*INDEX($G$5:$G$42,L795)+IF(Q795=1,INDEX(新属性投放!R$20:R$23,卡牌属性!M795-1),INDEX(新属性投放!R$25:R$28,卡牌属性!M795-1)))/SQRT(INDEX($I$5:$I$42,L795)),2)</f>
        <v>12580.4</v>
      </c>
      <c r="U795" s="29" t="s">
        <v>178</v>
      </c>
      <c r="V795" s="14">
        <f>ROUND((IF(Q795=1,INDEX(新属性投放!$K$14:$K$34,卡牌属性!R795),INDEX(新属性投放!$K$42:$K$62,卡牌属性!R795))+IF(Q795=1,INDEX(新属性投放!S$20:S$23,卡牌属性!M795-1),INDEX(新属性投放!S$25:S$28,卡牌属性!M795-1)))*INDEX($G$5:$G$42,L795),2)</f>
        <v>6213.7</v>
      </c>
      <c r="W795" s="29" t="s">
        <v>179</v>
      </c>
      <c r="X795" s="14">
        <f>ROUND((IF(Q795=1,INDEX(新属性投放!$L$14:$L$34,卡牌属性!R795),INDEX(新属性投放!$L$42:$L$62,卡牌属性!R795))*INDEX($G$5:$G$42,L795)+IF(Q795=1,INDEX(新属性投放!T$20:T$23,卡牌属性!M795-1),INDEX(新属性投放!T$25:T$28,卡牌属性!M795-1)))*SQRT(INDEX($I$5:$I$42,L795)),2)</f>
        <v>66776</v>
      </c>
      <c r="Y795" s="29" t="s">
        <v>177</v>
      </c>
      <c r="Z795" s="14">
        <f>ROUND(IF(Q795=1,INDEX(新属性投放!$D$14:$D$34,卡牌属性!R795),INDEX(新属性投放!$D$42:$D$62,卡牌属性!R795))*INDEX($G$5:$G$42,L795)/SQRT(INDEX($I$5:$I$42,L795)),2)</f>
        <v>306.64</v>
      </c>
      <c r="AA795" s="29" t="s">
        <v>178</v>
      </c>
      <c r="AB795" s="14">
        <f>ROUND(IF(Q795=1,INDEX(新属性投放!$E$14:$E$34,卡牌属性!R795),INDEX(新属性投放!$E$42:$E$62,卡牌属性!R795))*INDEX($G$5:$G$42,L795),2)</f>
        <v>153.32</v>
      </c>
      <c r="AC795" s="29" t="s">
        <v>179</v>
      </c>
      <c r="AD795" s="14">
        <f>ROUND(IF(Q795=1,INDEX(新属性投放!$F$14:$F$34,卡牌属性!R795),INDEX(新属性投放!$F$42:$F$62,卡牌属性!R795))*INDEX($G$5:$G$42,L795)*SQRT(INDEX($I$5:$I$42,L795)),2)</f>
        <v>1379</v>
      </c>
      <c r="AF795" s="14">
        <f t="shared" si="224"/>
        <v>3066</v>
      </c>
      <c r="AG795" s="14">
        <f t="shared" si="225"/>
        <v>1533</v>
      </c>
      <c r="AH795" s="14">
        <f t="shared" si="226"/>
        <v>13790</v>
      </c>
      <c r="AJ795" s="14">
        <f t="shared" si="233"/>
        <v>12856</v>
      </c>
      <c r="AK795" s="14">
        <f t="shared" si="234"/>
        <v>6427</v>
      </c>
      <c r="AL795" s="14">
        <f t="shared" si="235"/>
        <v>57820</v>
      </c>
    </row>
    <row r="796" spans="11:38" ht="16.5" x14ac:dyDescent="0.2">
      <c r="K796" s="13">
        <v>793</v>
      </c>
      <c r="L796" s="13">
        <f t="shared" si="228"/>
        <v>38</v>
      </c>
      <c r="M796" s="13">
        <f t="shared" si="227"/>
        <v>2</v>
      </c>
      <c r="N796" s="14">
        <f t="shared" si="229"/>
        <v>1102050</v>
      </c>
      <c r="O796" s="14" t="str">
        <f t="shared" si="230"/>
        <v>柠檬精16突</v>
      </c>
      <c r="P796" s="29" t="s">
        <v>341</v>
      </c>
      <c r="Q796" s="14">
        <f t="shared" si="231"/>
        <v>2</v>
      </c>
      <c r="R796" s="14">
        <f t="shared" si="232"/>
        <v>16</v>
      </c>
      <c r="S796" s="14" t="s">
        <v>39</v>
      </c>
      <c r="T796" s="14">
        <f>ROUND(((IF(Q796=1,INDEX(新属性投放!$J$14:$J$34,卡牌属性!R796),INDEX(新属性投放!$J$42:$J$62,卡牌属性!R796)))*INDEX($G$5:$G$42,L796)+IF(Q796=1,INDEX(新属性投放!R$20:R$23,卡牌属性!M796-1),INDEX(新属性投放!R$25:R$28,卡牌属性!M796-1)))/SQRT(INDEX($I$5:$I$42,L796)),2)</f>
        <v>16413.8</v>
      </c>
      <c r="U796" s="29" t="s">
        <v>178</v>
      </c>
      <c r="V796" s="14">
        <f>ROUND((IF(Q796=1,INDEX(新属性投放!$K$14:$K$34,卡牌属性!R796),INDEX(新属性投放!$K$42:$K$62,卡牌属性!R796))+IF(Q796=1,INDEX(新属性投放!S$20:S$23,卡牌属性!M796-1),INDEX(新属性投放!S$25:S$28,卡牌属性!M796-1)))*INDEX($G$5:$G$42,L796),2)</f>
        <v>8129.9</v>
      </c>
      <c r="W796" s="29" t="s">
        <v>179</v>
      </c>
      <c r="X796" s="14">
        <f>ROUND((IF(Q796=1,INDEX(新属性投放!$L$14:$L$34,卡牌属性!R796),INDEX(新属性投放!$L$42:$L$62,卡牌属性!R796))*INDEX($G$5:$G$42,L796)+IF(Q796=1,INDEX(新属性投放!T$20:T$23,卡牌属性!M796-1),INDEX(新属性投放!T$25:T$28,卡牌属性!M796-1)))*SQRT(INDEX($I$5:$I$42,L796)),2)</f>
        <v>87469</v>
      </c>
      <c r="Y796" s="29" t="s">
        <v>177</v>
      </c>
      <c r="Z796" s="14">
        <f>ROUND(IF(Q796=1,INDEX(新属性投放!$D$14:$D$34,卡牌属性!R796),INDEX(新属性投放!$D$42:$D$62,卡牌属性!R796))*INDEX($G$5:$G$42,L796)/SQRT(INDEX($I$5:$I$42,L796)),2)</f>
        <v>402.47</v>
      </c>
      <c r="AA796" s="29" t="s">
        <v>178</v>
      </c>
      <c r="AB796" s="14">
        <f>ROUND(IF(Q796=1,INDEX(新属性投放!$E$14:$E$34,卡牌属性!R796),INDEX(新属性投放!$E$42:$E$62,卡牌属性!R796))*INDEX($G$5:$G$42,L796),2)</f>
        <v>201.24</v>
      </c>
      <c r="AC796" s="29" t="s">
        <v>179</v>
      </c>
      <c r="AD796" s="14">
        <f>ROUND(IF(Q796=1,INDEX(新属性投放!$F$14:$F$34,卡牌属性!R796),INDEX(新属性投放!$F$42:$F$62,卡牌属性!R796))*INDEX($G$5:$G$42,L796)*SQRT(INDEX($I$5:$I$42,L796)),2)</f>
        <v>1811</v>
      </c>
      <c r="AF796" s="14">
        <f t="shared" si="224"/>
        <v>4024</v>
      </c>
      <c r="AG796" s="14">
        <f t="shared" si="225"/>
        <v>2012</v>
      </c>
      <c r="AH796" s="14">
        <f t="shared" si="226"/>
        <v>18110</v>
      </c>
      <c r="AJ796" s="14">
        <f t="shared" si="233"/>
        <v>16880</v>
      </c>
      <c r="AK796" s="14">
        <f t="shared" si="234"/>
        <v>8439</v>
      </c>
      <c r="AL796" s="14">
        <f t="shared" si="235"/>
        <v>75930</v>
      </c>
    </row>
    <row r="797" spans="11:38" ht="16.5" x14ac:dyDescent="0.2">
      <c r="K797" s="13">
        <v>794</v>
      </c>
      <c r="L797" s="13">
        <f t="shared" si="228"/>
        <v>38</v>
      </c>
      <c r="M797" s="13">
        <f t="shared" si="227"/>
        <v>2</v>
      </c>
      <c r="N797" s="14">
        <f t="shared" si="229"/>
        <v>1102050</v>
      </c>
      <c r="O797" s="14" t="str">
        <f t="shared" si="230"/>
        <v>柠檬精17突</v>
      </c>
      <c r="P797" s="29" t="s">
        <v>341</v>
      </c>
      <c r="Q797" s="14">
        <f t="shared" si="231"/>
        <v>2</v>
      </c>
      <c r="R797" s="14">
        <f t="shared" si="232"/>
        <v>17</v>
      </c>
      <c r="S797" s="14" t="s">
        <v>39</v>
      </c>
      <c r="T797" s="14">
        <f>ROUND(((IF(Q797=1,INDEX(新属性投放!$J$14:$J$34,卡牌属性!R797),INDEX(新属性投放!$J$42:$J$62,卡牌属性!R797)))*INDEX($G$5:$G$42,L797)+IF(Q797=1,INDEX(新属性投放!R$20:R$23,卡牌属性!M797-1),INDEX(新属性投放!R$25:R$28,卡牌属性!M797-1)))/SQRT(INDEX($I$5:$I$42,L797)),2)</f>
        <v>21444.5</v>
      </c>
      <c r="U797" s="29" t="s">
        <v>178</v>
      </c>
      <c r="V797" s="14">
        <f>ROUND((IF(Q797=1,INDEX(新属性投放!$K$14:$K$34,卡牌属性!R797),INDEX(新属性投放!$K$42:$K$62,卡牌属性!R797))+IF(Q797=1,INDEX(新属性投放!S$20:S$23,卡牌属性!M797-1),INDEX(新属性投放!S$25:S$28,卡牌属性!M797-1)))*INDEX($G$5:$G$42,L797),2)</f>
        <v>10645.25</v>
      </c>
      <c r="W797" s="29" t="s">
        <v>179</v>
      </c>
      <c r="X797" s="14">
        <f>ROUND((IF(Q797=1,INDEX(新属性投放!$L$14:$L$34,卡牌属性!R797),INDEX(新属性投放!$L$42:$L$62,卡牌属性!R797))*INDEX($G$5:$G$42,L797)+IF(Q797=1,INDEX(新属性投放!T$20:T$23,卡牌属性!M797-1),INDEX(新属性投放!T$25:T$28,卡牌属性!M797-1)))*SQRT(INDEX($I$5:$I$42,L797)),2)</f>
        <v>114633</v>
      </c>
      <c r="Y797" s="29" t="s">
        <v>177</v>
      </c>
      <c r="Z797" s="14">
        <f>ROUND(IF(Q797=1,INDEX(新属性投放!$D$14:$D$34,卡牌属性!R797),INDEX(新属性投放!$D$42:$D$62,卡牌属性!R797))*INDEX($G$5:$G$42,L797)/SQRT(INDEX($I$5:$I$42,L797)),2)</f>
        <v>528.24</v>
      </c>
      <c r="AA797" s="29" t="s">
        <v>178</v>
      </c>
      <c r="AB797" s="14">
        <f>ROUND(IF(Q797=1,INDEX(新属性投放!$E$14:$E$34,卡牌属性!R797),INDEX(新属性投放!$E$42:$E$62,卡牌属性!R797))*INDEX($G$5:$G$42,L797),2)</f>
        <v>264.12</v>
      </c>
      <c r="AC797" s="29" t="s">
        <v>179</v>
      </c>
      <c r="AD797" s="14">
        <f>ROUND(IF(Q797=1,INDEX(新属性投放!$F$14:$F$34,卡牌属性!R797),INDEX(新属性投放!$F$42:$F$62,卡牌属性!R797))*INDEX($G$5:$G$42,L797)*SQRT(INDEX($I$5:$I$42,L797)),2)</f>
        <v>2377</v>
      </c>
      <c r="AF797" s="14">
        <f t="shared" si="224"/>
        <v>5282</v>
      </c>
      <c r="AG797" s="14">
        <f t="shared" si="225"/>
        <v>2641</v>
      </c>
      <c r="AH797" s="14">
        <f t="shared" si="226"/>
        <v>23770</v>
      </c>
      <c r="AJ797" s="14">
        <f t="shared" si="233"/>
        <v>22162</v>
      </c>
      <c r="AK797" s="14">
        <f t="shared" si="234"/>
        <v>11080</v>
      </c>
      <c r="AL797" s="14">
        <f t="shared" si="235"/>
        <v>99700</v>
      </c>
    </row>
    <row r="798" spans="11:38" ht="16.5" x14ac:dyDescent="0.2">
      <c r="K798" s="13">
        <v>795</v>
      </c>
      <c r="L798" s="13">
        <f t="shared" si="228"/>
        <v>38</v>
      </c>
      <c r="M798" s="13">
        <f t="shared" si="227"/>
        <v>2</v>
      </c>
      <c r="N798" s="14">
        <f t="shared" si="229"/>
        <v>1102050</v>
      </c>
      <c r="O798" s="14" t="str">
        <f t="shared" si="230"/>
        <v>柠檬精18突</v>
      </c>
      <c r="P798" s="29" t="s">
        <v>341</v>
      </c>
      <c r="Q798" s="14">
        <f t="shared" si="231"/>
        <v>2</v>
      </c>
      <c r="R798" s="14">
        <f t="shared" si="232"/>
        <v>18</v>
      </c>
      <c r="S798" s="14" t="s">
        <v>39</v>
      </c>
      <c r="T798" s="14">
        <f>ROUND(((IF(Q798=1,INDEX(新属性投放!$J$14:$J$34,卡牌属性!R798),INDEX(新属性投放!$J$42:$J$62,卡牌属性!R798)))*INDEX($G$5:$G$42,L798)+IF(Q798=1,INDEX(新属性投放!R$20:R$23,卡牌属性!M798-1),INDEX(新属性投放!R$25:R$28,卡牌属性!M798-1)))/SQRT(INDEX($I$5:$I$42,L798)),2)</f>
        <v>28047.9</v>
      </c>
      <c r="U798" s="29" t="s">
        <v>178</v>
      </c>
      <c r="V798" s="14">
        <f>ROUND((IF(Q798=1,INDEX(新属性投放!$K$14:$K$34,卡牌属性!R798),INDEX(新属性投放!$K$42:$K$62,卡牌属性!R798))+IF(Q798=1,INDEX(新属性投放!S$20:S$23,卡牌属性!M798-1),INDEX(新属性投放!S$25:S$28,卡牌属性!M798-1)))*INDEX($G$5:$G$42,L798),2)</f>
        <v>13946.45</v>
      </c>
      <c r="W798" s="29" t="s">
        <v>179</v>
      </c>
      <c r="X798" s="14">
        <f>ROUND((IF(Q798=1,INDEX(新属性投放!$L$14:$L$34,卡牌属性!R798),INDEX(新属性投放!$L$42:$L$62,卡牌属性!R798))*INDEX($G$5:$G$42,L798)+IF(Q798=1,INDEX(新属性投放!T$20:T$23,卡牌属性!M798-1),INDEX(新属性投放!T$25:T$28,卡牌属性!M798-1)))*SQRT(INDEX($I$5:$I$42,L798)),2)</f>
        <v>150292</v>
      </c>
      <c r="Y798" s="29" t="s">
        <v>177</v>
      </c>
      <c r="Z798" s="14">
        <f>ROUND(IF(Q798=1,INDEX(新属性投放!$D$14:$D$34,卡牌属性!R798),INDEX(新属性投放!$D$42:$D$62,卡牌属性!R798))*INDEX($G$5:$G$42,L798)/SQRT(INDEX($I$5:$I$42,L798)),2)</f>
        <v>693.32</v>
      </c>
      <c r="AA798" s="29" t="s">
        <v>178</v>
      </c>
      <c r="AB798" s="14">
        <f>ROUND(IF(Q798=1,INDEX(新属性投放!$E$14:$E$34,卡牌属性!R798),INDEX(新属性投放!$E$42:$E$62,卡牌属性!R798))*INDEX($G$5:$G$42,L798),2)</f>
        <v>346.66</v>
      </c>
      <c r="AC798" s="29" t="s">
        <v>179</v>
      </c>
      <c r="AD798" s="14">
        <f>ROUND(IF(Q798=1,INDEX(新属性投放!$F$14:$F$34,卡牌属性!R798),INDEX(新属性投放!$F$42:$F$62,卡牌属性!R798))*INDEX($G$5:$G$42,L798)*SQRT(INDEX($I$5:$I$42,L798)),2)</f>
        <v>3119</v>
      </c>
      <c r="AF798" s="14">
        <f t="shared" si="224"/>
        <v>6933</v>
      </c>
      <c r="AG798" s="14">
        <f t="shared" si="225"/>
        <v>3466</v>
      </c>
      <c r="AH798" s="14">
        <f t="shared" si="226"/>
        <v>31190</v>
      </c>
      <c r="AJ798" s="14">
        <f t="shared" si="233"/>
        <v>29095</v>
      </c>
      <c r="AK798" s="14">
        <f t="shared" si="234"/>
        <v>14546</v>
      </c>
      <c r="AL798" s="14">
        <f t="shared" si="235"/>
        <v>130890</v>
      </c>
    </row>
    <row r="799" spans="11:38" ht="16.5" x14ac:dyDescent="0.2">
      <c r="K799" s="13">
        <v>796</v>
      </c>
      <c r="L799" s="13">
        <f t="shared" si="228"/>
        <v>38</v>
      </c>
      <c r="M799" s="13">
        <f t="shared" si="227"/>
        <v>2</v>
      </c>
      <c r="N799" s="14">
        <f t="shared" si="229"/>
        <v>1102050</v>
      </c>
      <c r="O799" s="14" t="str">
        <f t="shared" si="230"/>
        <v>柠檬精19突</v>
      </c>
      <c r="P799" s="29" t="s">
        <v>341</v>
      </c>
      <c r="Q799" s="14">
        <f t="shared" si="231"/>
        <v>2</v>
      </c>
      <c r="R799" s="14">
        <f t="shared" si="232"/>
        <v>19</v>
      </c>
      <c r="S799" s="14" t="s">
        <v>39</v>
      </c>
      <c r="T799" s="14">
        <f>ROUND(((IF(Q799=1,INDEX(新属性投放!$J$14:$J$34,卡牌属性!R799),INDEX(新属性投放!$J$42:$J$62,卡牌属性!R799)))*INDEX($G$5:$G$42,L799)+IF(Q799=1,INDEX(新属性投放!R$20:R$23,卡牌属性!M799-1),INDEX(新属性投放!R$25:R$28,卡牌属性!M799-1)))/SQRT(INDEX($I$5:$I$42,L799)),2)</f>
        <v>36714.1</v>
      </c>
      <c r="U799" s="29" t="s">
        <v>178</v>
      </c>
      <c r="V799" s="14">
        <f>ROUND((IF(Q799=1,INDEX(新属性投放!$K$14:$K$34,卡牌属性!R799),INDEX(新属性投放!$K$42:$K$62,卡牌属性!R799))+IF(Q799=1,INDEX(新属性投放!S$20:S$23,卡牌属性!M799-1),INDEX(新属性投放!S$25:S$28,卡牌属性!M799-1)))*INDEX($G$5:$G$42,L799),2)</f>
        <v>18280.05</v>
      </c>
      <c r="W799" s="29" t="s">
        <v>179</v>
      </c>
      <c r="X799" s="14">
        <f>ROUND((IF(Q799=1,INDEX(新属性投放!$L$14:$L$34,卡牌属性!R799),INDEX(新属性投放!$L$42:$L$62,卡牌属性!R799))*INDEX($G$5:$G$42,L799)+IF(Q799=1,INDEX(新属性投放!T$20:T$23,卡牌属性!M799-1),INDEX(新属性投放!T$25:T$28,卡牌属性!M799-1)))*SQRT(INDEX($I$5:$I$42,L799)),2)</f>
        <v>197079</v>
      </c>
      <c r="Y799" s="29" t="s">
        <v>177</v>
      </c>
      <c r="Z799" s="14">
        <f>ROUND(IF(Q799=1,INDEX(新属性投放!$D$14:$D$34,卡牌属性!R799),INDEX(新属性投放!$D$42:$D$62,卡牌属性!R799))*INDEX($G$5:$G$42,L799)/SQRT(INDEX($I$5:$I$42,L799)),2)</f>
        <v>909.98</v>
      </c>
      <c r="AA799" s="29" t="s">
        <v>178</v>
      </c>
      <c r="AB799" s="14">
        <f>ROUND(IF(Q799=1,INDEX(新属性投放!$E$14:$E$34,卡牌属性!R799),INDEX(新属性投放!$E$42:$E$62,卡牌属性!R799))*INDEX($G$5:$G$42,L799),2)</f>
        <v>454.99</v>
      </c>
      <c r="AC799" s="29" t="s">
        <v>179</v>
      </c>
      <c r="AD799" s="14">
        <f>ROUND(IF(Q799=1,INDEX(新属性投放!$F$14:$F$34,卡牌属性!R799),INDEX(新属性投放!$F$42:$F$62,卡牌属性!R799))*INDEX($G$5:$G$42,L799)*SQRT(INDEX($I$5:$I$42,L799)),2)</f>
        <v>4094</v>
      </c>
      <c r="AF799" s="14">
        <f t="shared" si="224"/>
        <v>9099</v>
      </c>
      <c r="AG799" s="14">
        <f t="shared" si="225"/>
        <v>4549</v>
      </c>
      <c r="AH799" s="14">
        <f t="shared" si="226"/>
        <v>40940</v>
      </c>
      <c r="AJ799" s="14">
        <f t="shared" si="233"/>
        <v>38194</v>
      </c>
      <c r="AK799" s="14">
        <f t="shared" si="234"/>
        <v>19095</v>
      </c>
      <c r="AL799" s="14">
        <f t="shared" si="235"/>
        <v>171830</v>
      </c>
    </row>
    <row r="800" spans="11:38" ht="16.5" x14ac:dyDescent="0.2">
      <c r="K800" s="13">
        <v>797</v>
      </c>
      <c r="L800" s="13">
        <f t="shared" si="228"/>
        <v>38</v>
      </c>
      <c r="M800" s="13">
        <f t="shared" si="227"/>
        <v>2</v>
      </c>
      <c r="N800" s="14">
        <f t="shared" si="229"/>
        <v>1102050</v>
      </c>
      <c r="O800" s="14" t="str">
        <f t="shared" si="230"/>
        <v>柠檬精20突</v>
      </c>
      <c r="P800" s="29" t="s">
        <v>341</v>
      </c>
      <c r="Q800" s="14">
        <f t="shared" si="231"/>
        <v>2</v>
      </c>
      <c r="R800" s="14">
        <f t="shared" si="232"/>
        <v>20</v>
      </c>
      <c r="S800" s="14" t="s">
        <v>39</v>
      </c>
      <c r="T800" s="14">
        <f>ROUND(((IF(Q800=1,INDEX(新属性投放!$J$14:$J$34,卡牌属性!R800),INDEX(新属性投放!$J$42:$J$62,卡牌属性!R800)))*INDEX($G$5:$G$42,L800)+IF(Q800=1,INDEX(新属性投放!R$20:R$23,卡牌属性!M800-1),INDEX(新属性投放!R$25:R$28,卡牌属性!M800-1)))/SQRT(INDEX($I$5:$I$42,L800)),2)</f>
        <v>48088.9</v>
      </c>
      <c r="U800" s="29" t="s">
        <v>178</v>
      </c>
      <c r="V800" s="14">
        <f>ROUND((IF(Q800=1,INDEX(新属性投放!$K$14:$K$34,卡牌属性!R800),INDEX(新属性投放!$K$42:$K$62,卡牌属性!R800))+IF(Q800=1,INDEX(新属性投放!S$20:S$23,卡牌属性!M800-1),INDEX(新属性投放!S$25:S$28,卡牌属性!M800-1)))*INDEX($G$5:$G$42,L800),2)</f>
        <v>23966.95</v>
      </c>
      <c r="W800" s="29" t="s">
        <v>179</v>
      </c>
      <c r="X800" s="14">
        <f>ROUND((IF(Q800=1,INDEX(新属性投放!$L$14:$L$34,卡牌属性!R800),INDEX(新属性投放!$L$42:$L$62,卡牌属性!R800))*INDEX($G$5:$G$42,L800)+IF(Q800=1,INDEX(新属性投放!T$20:T$23,卡牌属性!M800-1),INDEX(新属性投放!T$25:T$28,卡牌属性!M800-1)))*SQRT(INDEX($I$5:$I$42,L800)),2)</f>
        <v>258494</v>
      </c>
      <c r="Y800" s="29" t="s">
        <v>177</v>
      </c>
      <c r="Z800" s="14">
        <f>ROUND(IF(Q800=1,INDEX(新属性投放!$D$14:$D$34,卡牌属性!R800),INDEX(新属性投放!$D$42:$D$62,卡牌属性!R800))*INDEX($G$5:$G$42,L800)/SQRT(INDEX($I$5:$I$42,L800)),2)</f>
        <v>1194.3499999999999</v>
      </c>
      <c r="AA800" s="29" t="s">
        <v>178</v>
      </c>
      <c r="AB800" s="14">
        <f>ROUND(IF(Q800=1,INDEX(新属性投放!$E$14:$E$34,卡牌属性!R800),INDEX(新属性投放!$E$42:$E$62,卡牌属性!R800))*INDEX($G$5:$G$42,L800),2)</f>
        <v>597.17999999999995</v>
      </c>
      <c r="AC800" s="29" t="s">
        <v>179</v>
      </c>
      <c r="AD800" s="14">
        <f>ROUND(IF(Q800=1,INDEX(新属性投放!$F$14:$F$34,卡牌属性!R800),INDEX(新属性投放!$F$42:$F$62,卡牌属性!R800))*INDEX($G$5:$G$42,L800)*SQRT(INDEX($I$5:$I$42,L800)),2)</f>
        <v>5374</v>
      </c>
      <c r="AF800" s="14">
        <f t="shared" si="224"/>
        <v>11943</v>
      </c>
      <c r="AG800" s="14">
        <f t="shared" si="225"/>
        <v>5971</v>
      </c>
      <c r="AH800" s="14">
        <f t="shared" si="226"/>
        <v>53740</v>
      </c>
      <c r="AJ800" s="14">
        <f t="shared" si="233"/>
        <v>50137</v>
      </c>
      <c r="AK800" s="14">
        <f t="shared" si="234"/>
        <v>25066</v>
      </c>
      <c r="AL800" s="14">
        <f t="shared" si="235"/>
        <v>225570</v>
      </c>
    </row>
    <row r="801" spans="11:38" ht="16.5" x14ac:dyDescent="0.2">
      <c r="K801" s="13">
        <v>798</v>
      </c>
      <c r="L801" s="13">
        <f t="shared" si="228"/>
        <v>38</v>
      </c>
      <c r="M801" s="13">
        <f t="shared" si="227"/>
        <v>2</v>
      </c>
      <c r="N801" s="14">
        <f t="shared" si="229"/>
        <v>1102050</v>
      </c>
      <c r="O801" s="14" t="str">
        <f t="shared" si="230"/>
        <v>柠檬精21突</v>
      </c>
      <c r="P801" s="29" t="s">
        <v>341</v>
      </c>
      <c r="Q801" s="14">
        <f t="shared" si="231"/>
        <v>2</v>
      </c>
      <c r="R801" s="14">
        <f t="shared" si="232"/>
        <v>21</v>
      </c>
      <c r="S801" s="14" t="s">
        <v>39</v>
      </c>
      <c r="T801" s="14">
        <f>ROUND(((IF(Q801=1,INDEX(新属性投放!$J$14:$J$34,卡牌属性!R801),INDEX(新属性投放!$J$42:$J$62,卡牌属性!R801)))*INDEX($G$5:$G$42,L801)+IF(Q801=1,INDEX(新属性投放!R$20:R$23,卡牌属性!M801-1),INDEX(新属性投放!R$25:R$28,卡牌属性!M801-1)))/SQRT(INDEX($I$5:$I$42,L801)),2)</f>
        <v>63018.400000000001</v>
      </c>
      <c r="U801" s="29" t="s">
        <v>178</v>
      </c>
      <c r="V801" s="14">
        <f>ROUND((IF(Q801=1,INDEX(新属性投放!$K$14:$K$34,卡牌属性!R801),INDEX(新属性投放!$K$42:$K$62,卡牌属性!R801))+IF(Q801=1,INDEX(新属性投放!S$20:S$23,卡牌属性!M801-1),INDEX(新属性投放!S$25:S$28,卡牌属性!M801-1)))*INDEX($G$5:$G$42,L801),2)</f>
        <v>31431.7</v>
      </c>
      <c r="W801" s="29" t="s">
        <v>179</v>
      </c>
      <c r="X801" s="14">
        <f>ROUND((IF(Q801=1,INDEX(新属性投放!$L$14:$L$34,卡牌属性!R801),INDEX(新属性投放!$L$42:$L$62,卡牌属性!R801))*INDEX($G$5:$G$42,L801)+IF(Q801=1,INDEX(新属性投放!T$20:T$23,卡牌属性!M801-1),INDEX(新属性投放!T$25:T$28,卡牌属性!M801-1)))*SQRT(INDEX($I$5:$I$42,L801)),2)</f>
        <v>339108</v>
      </c>
      <c r="Y801" s="29" t="s">
        <v>177</v>
      </c>
      <c r="Z801" s="14">
        <f>ROUND(IF(Q801=1,INDEX(新属性投放!$D$14:$D$34,卡牌属性!R801),INDEX(新属性投放!$D$42:$D$62,卡牌属性!R801))*INDEX($G$5:$G$42,L801)/SQRT(INDEX($I$5:$I$42,L801)),2)</f>
        <v>1567.59</v>
      </c>
      <c r="AA801" s="29" t="s">
        <v>178</v>
      </c>
      <c r="AB801" s="14">
        <f>ROUND(IF(Q801=1,INDEX(新属性投放!$E$14:$E$34,卡牌属性!R801),INDEX(新属性投放!$E$42:$E$62,卡牌属性!R801))*INDEX($G$5:$G$42,L801),2)</f>
        <v>783.8</v>
      </c>
      <c r="AC801" s="29" t="s">
        <v>179</v>
      </c>
      <c r="AD801" s="14">
        <f>ROUND(IF(Q801=1,INDEX(新属性投放!$F$14:$F$34,卡牌属性!R801),INDEX(新属性投放!$F$42:$F$62,卡牌属性!R801))*INDEX($G$5:$G$42,L801)*SQRT(INDEX($I$5:$I$42,L801)),2)</f>
        <v>7054</v>
      </c>
      <c r="AF801" s="14">
        <f t="shared" si="224"/>
        <v>15675</v>
      </c>
      <c r="AG801" s="14">
        <f t="shared" si="225"/>
        <v>7838</v>
      </c>
      <c r="AH801" s="14">
        <f t="shared" si="226"/>
        <v>70540</v>
      </c>
      <c r="AJ801" s="14">
        <f t="shared" si="233"/>
        <v>65812</v>
      </c>
      <c r="AK801" s="14">
        <f t="shared" si="234"/>
        <v>32904</v>
      </c>
      <c r="AL801" s="14">
        <f t="shared" si="235"/>
        <v>296110</v>
      </c>
    </row>
    <row r="802" spans="11:38" x14ac:dyDescent="0.2"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</sheetData>
  <mergeCells count="1">
    <mergeCell ref="AV2:BA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K18" sqref="K18"/>
    </sheetView>
  </sheetViews>
  <sheetFormatPr defaultRowHeight="14.25" x14ac:dyDescent="0.2"/>
  <cols>
    <col min="1" max="1" width="9" style="20"/>
    <col min="2" max="3" width="9.125" style="20" bestFit="1" customWidth="1"/>
    <col min="4" max="6" width="10.625" style="20" customWidth="1"/>
    <col min="7" max="7" width="13.125" style="20" bestFit="1" customWidth="1"/>
    <col min="8" max="8" width="9" style="20"/>
    <col min="9" max="9" width="12.125" style="20" bestFit="1" customWidth="1"/>
    <col min="10" max="11" width="9" style="20"/>
    <col min="12" max="12" width="9.625" style="20" bestFit="1" customWidth="1"/>
    <col min="13" max="18" width="9" style="20"/>
    <col min="19" max="19" width="21.125" style="20" customWidth="1"/>
    <col min="20" max="20" width="10.5" style="20" customWidth="1"/>
    <col min="21" max="21" width="9.375" style="20" customWidth="1"/>
    <col min="22" max="22" width="9.5" style="20" customWidth="1"/>
    <col min="23" max="24" width="11.5" style="20" customWidth="1"/>
    <col min="25" max="25" width="10.375" style="20" customWidth="1"/>
    <col min="26" max="26" width="10.875" style="20" customWidth="1"/>
    <col min="27" max="27" width="10.125" style="20" customWidth="1"/>
    <col min="28" max="28" width="11.25" style="20" customWidth="1"/>
    <col min="29" max="29" width="10.625" style="20" customWidth="1"/>
    <col min="30" max="30" width="11" style="20" customWidth="1"/>
    <col min="31" max="32" width="11.5" style="20" customWidth="1"/>
    <col min="33" max="33" width="9.375" style="20" customWidth="1"/>
    <col min="34" max="16384" width="9" style="20"/>
  </cols>
  <sheetData>
    <row r="1" spans="1:38" x14ac:dyDescent="0.2">
      <c r="U1" s="20">
        <f>SUM(U5:U46)</f>
        <v>100</v>
      </c>
    </row>
    <row r="2" spans="1:38" ht="20.25" x14ac:dyDescent="0.2">
      <c r="A2" s="65" t="s">
        <v>180</v>
      </c>
      <c r="B2" s="65"/>
      <c r="C2" s="65"/>
      <c r="D2" s="65"/>
      <c r="E2" s="65"/>
      <c r="F2" s="65"/>
      <c r="G2" s="65"/>
      <c r="P2" s="65" t="s">
        <v>203</v>
      </c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</row>
    <row r="3" spans="1:38" ht="17.25" x14ac:dyDescent="0.2">
      <c r="B3" s="12" t="s">
        <v>126</v>
      </c>
      <c r="C3" s="12" t="s">
        <v>127</v>
      </c>
      <c r="D3" s="12" t="s">
        <v>66</v>
      </c>
      <c r="E3" s="12" t="s">
        <v>69</v>
      </c>
      <c r="F3" s="12" t="s">
        <v>119</v>
      </c>
      <c r="G3" s="12" t="s">
        <v>75</v>
      </c>
      <c r="I3" s="12" t="s">
        <v>442</v>
      </c>
      <c r="J3" s="12" t="s">
        <v>444</v>
      </c>
      <c r="K3" s="12" t="s">
        <v>443</v>
      </c>
      <c r="L3" s="12" t="s">
        <v>500</v>
      </c>
      <c r="M3" s="12" t="s">
        <v>521</v>
      </c>
      <c r="P3" s="12" t="s">
        <v>181</v>
      </c>
      <c r="Q3" s="12" t="s">
        <v>514</v>
      </c>
      <c r="R3" s="12" t="s">
        <v>204</v>
      </c>
      <c r="S3" s="12" t="s">
        <v>485</v>
      </c>
      <c r="T3" s="12" t="s">
        <v>441</v>
      </c>
      <c r="U3" s="12" t="s">
        <v>189</v>
      </c>
      <c r="V3" s="12" t="s">
        <v>190</v>
      </c>
      <c r="W3" s="12" t="s">
        <v>483</v>
      </c>
      <c r="X3" s="12" t="s">
        <v>484</v>
      </c>
      <c r="Y3" s="12" t="s">
        <v>69</v>
      </c>
      <c r="Z3" s="12" t="s">
        <v>119</v>
      </c>
      <c r="AA3" s="12" t="s">
        <v>75</v>
      </c>
      <c r="AB3" s="12" t="s">
        <v>206</v>
      </c>
      <c r="AC3" s="12" t="s">
        <v>207</v>
      </c>
      <c r="AD3" s="12" t="s">
        <v>482</v>
      </c>
      <c r="AE3" s="12" t="s">
        <v>502</v>
      </c>
      <c r="AH3" s="12" t="s">
        <v>449</v>
      </c>
      <c r="AI3" s="12" t="s">
        <v>450</v>
      </c>
      <c r="AJ3" s="12" t="s">
        <v>308</v>
      </c>
      <c r="AK3" s="12" t="s">
        <v>309</v>
      </c>
      <c r="AL3" s="12" t="s">
        <v>310</v>
      </c>
    </row>
    <row r="4" spans="1:38" ht="16.5" x14ac:dyDescent="0.2">
      <c r="A4" s="15" t="s">
        <v>188</v>
      </c>
      <c r="B4" s="17">
        <f>新属性投放!E81</f>
        <v>0.5</v>
      </c>
      <c r="C4" s="17">
        <f>新属性投放!F81</f>
        <v>0.5</v>
      </c>
      <c r="D4" s="17">
        <f>新属性投放!G81</f>
        <v>0.5</v>
      </c>
      <c r="E4" s="27">
        <f>INT(新属性投放!H81/1.5)</f>
        <v>67928</v>
      </c>
      <c r="F4" s="27">
        <f>INT(新属性投放!I81/1.5)</f>
        <v>33947</v>
      </c>
      <c r="G4" s="27">
        <f>INT(新属性投放!J81/1.5)</f>
        <v>203872</v>
      </c>
      <c r="I4" s="13">
        <v>1</v>
      </c>
      <c r="J4" s="13" t="s">
        <v>445</v>
      </c>
      <c r="K4" s="13">
        <v>1</v>
      </c>
      <c r="L4" s="13">
        <f>K4^1.7</f>
        <v>1</v>
      </c>
      <c r="M4" s="13">
        <v>40</v>
      </c>
      <c r="P4" s="13">
        <v>0</v>
      </c>
      <c r="Q4" s="13"/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/>
      <c r="AG4" s="13">
        <v>1</v>
      </c>
      <c r="AH4" s="13" t="s">
        <v>451</v>
      </c>
      <c r="AI4" s="13" t="s">
        <v>452</v>
      </c>
      <c r="AJ4" s="13">
        <v>1</v>
      </c>
      <c r="AK4" s="13"/>
      <c r="AL4" s="13">
        <v>2</v>
      </c>
    </row>
    <row r="5" spans="1:38" ht="16.5" x14ac:dyDescent="0.2">
      <c r="A5" s="15" t="s">
        <v>191</v>
      </c>
      <c r="B5" s="13"/>
      <c r="C5" s="13"/>
      <c r="D5" s="13"/>
      <c r="E5" s="28">
        <v>0</v>
      </c>
      <c r="F5" s="28">
        <v>0</v>
      </c>
      <c r="G5" s="28">
        <v>0</v>
      </c>
      <c r="I5" s="13">
        <v>2</v>
      </c>
      <c r="J5" s="13" t="s">
        <v>446</v>
      </c>
      <c r="K5" s="13">
        <v>2</v>
      </c>
      <c r="L5" s="13">
        <v>3</v>
      </c>
      <c r="M5" s="13">
        <v>120</v>
      </c>
      <c r="P5" s="13" t="s">
        <v>430</v>
      </c>
      <c r="Q5" s="13">
        <v>1</v>
      </c>
      <c r="R5" s="13">
        <v>1</v>
      </c>
      <c r="S5" s="13">
        <v>1606003</v>
      </c>
      <c r="T5" s="13">
        <v>1</v>
      </c>
      <c r="U5" s="13">
        <f>INDEX($K$4:$K$7,T5)</f>
        <v>1</v>
      </c>
      <c r="V5" s="31">
        <f t="shared" ref="V5:V46" si="0">U5/$U$1</f>
        <v>0.01</v>
      </c>
      <c r="W5" s="35">
        <v>15</v>
      </c>
      <c r="X5" s="35">
        <f>SUM(W$5:W5)</f>
        <v>15</v>
      </c>
      <c r="Y5" s="14">
        <f>INDEX(AJ$4:AJ$48,$Q5)</f>
        <v>1</v>
      </c>
      <c r="Z5" s="14">
        <f>INDEX(AK$4:AK$48,$Q5)</f>
        <v>0</v>
      </c>
      <c r="AA5" s="14">
        <f>INDEX(AL$4:AL$48,$Q5)</f>
        <v>2</v>
      </c>
      <c r="AB5" s="13">
        <v>1</v>
      </c>
      <c r="AC5" s="13">
        <v>3</v>
      </c>
      <c r="AD5" s="13"/>
      <c r="AE5" s="13"/>
      <c r="AG5" s="13">
        <v>2</v>
      </c>
      <c r="AH5" s="13" t="s">
        <v>451</v>
      </c>
      <c r="AI5" s="13" t="s">
        <v>453</v>
      </c>
      <c r="AJ5" s="13">
        <v>1</v>
      </c>
      <c r="AK5" s="13">
        <v>2</v>
      </c>
      <c r="AL5" s="13"/>
    </row>
    <row r="6" spans="1:38" ht="16.5" x14ac:dyDescent="0.2">
      <c r="A6" s="15" t="s">
        <v>192</v>
      </c>
      <c r="B6" s="28">
        <v>1</v>
      </c>
      <c r="C6" s="28">
        <v>1</v>
      </c>
      <c r="D6" s="28">
        <v>1</v>
      </c>
      <c r="E6" s="13"/>
      <c r="F6" s="13"/>
      <c r="G6" s="13"/>
      <c r="I6" s="13">
        <v>3</v>
      </c>
      <c r="J6" s="13" t="s">
        <v>447</v>
      </c>
      <c r="K6" s="13">
        <v>3</v>
      </c>
      <c r="L6" s="13">
        <v>7</v>
      </c>
      <c r="M6" s="13">
        <v>280</v>
      </c>
      <c r="P6" s="13" t="s">
        <v>430</v>
      </c>
      <c r="Q6" s="13">
        <v>2</v>
      </c>
      <c r="R6" s="13">
        <v>2</v>
      </c>
      <c r="S6" s="13">
        <v>1606004</v>
      </c>
      <c r="T6" s="13">
        <v>1</v>
      </c>
      <c r="U6" s="13">
        <f t="shared" ref="U6:U18" si="1">INDEX($K$4:$K$7,T6)</f>
        <v>1</v>
      </c>
      <c r="V6" s="31">
        <f t="shared" si="0"/>
        <v>0.01</v>
      </c>
      <c r="W6" s="35">
        <v>15</v>
      </c>
      <c r="X6" s="35">
        <f>SUM(W$5:W6)</f>
        <v>30</v>
      </c>
      <c r="Y6" s="14">
        <f t="shared" ref="Y6:Y46" si="2">INDEX(AJ$4:AJ$48,$Q6)</f>
        <v>1</v>
      </c>
      <c r="Z6" s="14">
        <f t="shared" ref="Z6:Z46" si="3">INDEX(AK$4:AK$48,$Q6)</f>
        <v>2</v>
      </c>
      <c r="AA6" s="14">
        <f t="shared" ref="AA6:AA46" si="4">INDEX(AL$4:AL$48,$Q6)</f>
        <v>0</v>
      </c>
      <c r="AB6" s="13">
        <v>1</v>
      </c>
      <c r="AC6" s="13">
        <v>2</v>
      </c>
      <c r="AD6" s="13"/>
      <c r="AE6" s="13"/>
      <c r="AG6" s="13">
        <v>3</v>
      </c>
      <c r="AH6" s="13" t="s">
        <v>451</v>
      </c>
      <c r="AI6" s="13" t="s">
        <v>454</v>
      </c>
      <c r="AJ6" s="13">
        <v>2</v>
      </c>
      <c r="AK6" s="13">
        <v>1</v>
      </c>
      <c r="AL6" s="13"/>
    </row>
    <row r="7" spans="1:38" ht="16.5" x14ac:dyDescent="0.2">
      <c r="A7" s="15" t="s">
        <v>193</v>
      </c>
      <c r="B7" s="13"/>
      <c r="C7" s="13"/>
      <c r="D7" s="13"/>
      <c r="E7" s="28">
        <v>1</v>
      </c>
      <c r="F7" s="28">
        <v>1</v>
      </c>
      <c r="G7" s="28">
        <v>1</v>
      </c>
      <c r="I7" s="13">
        <v>4</v>
      </c>
      <c r="J7" s="13" t="s">
        <v>448</v>
      </c>
      <c r="K7" s="13">
        <v>5</v>
      </c>
      <c r="L7" s="13">
        <v>15</v>
      </c>
      <c r="M7" s="13">
        <v>600</v>
      </c>
      <c r="P7" s="13" t="s">
        <v>431</v>
      </c>
      <c r="Q7" s="13">
        <v>9</v>
      </c>
      <c r="R7" s="13">
        <v>3</v>
      </c>
      <c r="S7" s="13">
        <v>1606005</v>
      </c>
      <c r="T7" s="13">
        <v>2</v>
      </c>
      <c r="U7" s="13">
        <f t="shared" si="1"/>
        <v>2</v>
      </c>
      <c r="V7" s="31">
        <f t="shared" si="0"/>
        <v>0.02</v>
      </c>
      <c r="W7" s="35">
        <v>15</v>
      </c>
      <c r="X7" s="35">
        <f>SUM(W$5:W7)</f>
        <v>45</v>
      </c>
      <c r="Y7" s="14">
        <f t="shared" si="2"/>
        <v>1</v>
      </c>
      <c r="Z7" s="14">
        <f t="shared" si="3"/>
        <v>0</v>
      </c>
      <c r="AA7" s="14">
        <f t="shared" si="4"/>
        <v>2</v>
      </c>
      <c r="AB7" s="13">
        <v>1</v>
      </c>
      <c r="AC7" s="13">
        <v>3</v>
      </c>
      <c r="AD7" s="13"/>
      <c r="AE7" s="13"/>
      <c r="AG7" s="13">
        <v>4</v>
      </c>
      <c r="AH7" s="13" t="s">
        <v>451</v>
      </c>
      <c r="AI7" s="13" t="s">
        <v>455</v>
      </c>
      <c r="AJ7" s="13">
        <v>1</v>
      </c>
      <c r="AK7" s="13">
        <v>1</v>
      </c>
      <c r="AL7" s="13">
        <v>1</v>
      </c>
    </row>
    <row r="8" spans="1:38" ht="16.5" x14ac:dyDescent="0.2">
      <c r="P8" s="13" t="s">
        <v>432</v>
      </c>
      <c r="Q8" s="13">
        <v>3</v>
      </c>
      <c r="R8" s="13">
        <v>1</v>
      </c>
      <c r="S8" s="13">
        <v>1606006</v>
      </c>
      <c r="T8" s="13">
        <v>1</v>
      </c>
      <c r="U8" s="13">
        <f t="shared" si="1"/>
        <v>1</v>
      </c>
      <c r="V8" s="31">
        <f t="shared" si="0"/>
        <v>0.01</v>
      </c>
      <c r="W8" s="35">
        <v>15</v>
      </c>
      <c r="X8" s="35">
        <f>SUM(W$5:W8)</f>
        <v>60</v>
      </c>
      <c r="Y8" s="14">
        <f t="shared" si="2"/>
        <v>2</v>
      </c>
      <c r="Z8" s="14">
        <f t="shared" si="3"/>
        <v>1</v>
      </c>
      <c r="AA8" s="14">
        <f t="shared" si="4"/>
        <v>0</v>
      </c>
      <c r="AB8" s="13">
        <v>1</v>
      </c>
      <c r="AC8" s="13">
        <v>2</v>
      </c>
      <c r="AD8" s="13"/>
      <c r="AE8" s="13"/>
      <c r="AG8" s="13">
        <v>5</v>
      </c>
      <c r="AH8" s="13" t="s">
        <v>451</v>
      </c>
      <c r="AI8" s="13" t="s">
        <v>456</v>
      </c>
      <c r="AJ8" s="13"/>
      <c r="AK8" s="13">
        <v>1</v>
      </c>
      <c r="AL8" s="13">
        <v>2</v>
      </c>
    </row>
    <row r="9" spans="1:38" ht="16.5" x14ac:dyDescent="0.2">
      <c r="A9" s="15" t="s">
        <v>191</v>
      </c>
      <c r="B9" s="17">
        <f t="shared" ref="B9:G11" si="5">B$4*B5</f>
        <v>0</v>
      </c>
      <c r="C9" s="17">
        <f t="shared" si="5"/>
        <v>0</v>
      </c>
      <c r="D9" s="17">
        <f t="shared" si="5"/>
        <v>0</v>
      </c>
      <c r="E9" s="14">
        <f t="shared" si="5"/>
        <v>0</v>
      </c>
      <c r="F9" s="14">
        <f t="shared" si="5"/>
        <v>0</v>
      </c>
      <c r="G9" s="14">
        <f t="shared" si="5"/>
        <v>0</v>
      </c>
      <c r="P9" s="13" t="s">
        <v>433</v>
      </c>
      <c r="Q9" s="13">
        <v>4</v>
      </c>
      <c r="R9" s="13">
        <v>2</v>
      </c>
      <c r="S9" s="13">
        <v>1606007</v>
      </c>
      <c r="T9" s="13">
        <v>1</v>
      </c>
      <c r="U9" s="13">
        <f t="shared" si="1"/>
        <v>1</v>
      </c>
      <c r="V9" s="31">
        <f t="shared" si="0"/>
        <v>0.01</v>
      </c>
      <c r="W9" s="35">
        <v>15</v>
      </c>
      <c r="X9" s="35">
        <f>SUM(W$5:W9)</f>
        <v>75</v>
      </c>
      <c r="Y9" s="14">
        <f t="shared" si="2"/>
        <v>1</v>
      </c>
      <c r="Z9" s="14">
        <f t="shared" si="3"/>
        <v>1</v>
      </c>
      <c r="AA9" s="14">
        <f t="shared" si="4"/>
        <v>1</v>
      </c>
      <c r="AB9" s="13">
        <v>1</v>
      </c>
      <c r="AC9" s="13">
        <v>2</v>
      </c>
      <c r="AD9" s="13">
        <v>3</v>
      </c>
      <c r="AE9" s="13"/>
      <c r="AG9" s="13">
        <v>6</v>
      </c>
      <c r="AH9" s="13" t="s">
        <v>451</v>
      </c>
      <c r="AI9" s="13" t="s">
        <v>457</v>
      </c>
      <c r="AJ9" s="13">
        <v>2</v>
      </c>
      <c r="AK9" s="13"/>
      <c r="AL9" s="13">
        <v>1</v>
      </c>
    </row>
    <row r="10" spans="1:38" ht="16.5" x14ac:dyDescent="0.2">
      <c r="A10" s="15" t="s">
        <v>192</v>
      </c>
      <c r="B10" s="17">
        <f t="shared" si="5"/>
        <v>0.5</v>
      </c>
      <c r="C10" s="17">
        <f t="shared" si="5"/>
        <v>0.5</v>
      </c>
      <c r="D10" s="17">
        <f t="shared" si="5"/>
        <v>0.5</v>
      </c>
      <c r="E10" s="14">
        <f t="shared" si="5"/>
        <v>0</v>
      </c>
      <c r="F10" s="14">
        <f t="shared" si="5"/>
        <v>0</v>
      </c>
      <c r="G10" s="14">
        <f t="shared" si="5"/>
        <v>0</v>
      </c>
      <c r="P10" s="13" t="s">
        <v>433</v>
      </c>
      <c r="Q10" s="13">
        <v>10</v>
      </c>
      <c r="R10" s="13">
        <v>3</v>
      </c>
      <c r="S10" s="13">
        <v>1606008</v>
      </c>
      <c r="T10" s="13">
        <v>1</v>
      </c>
      <c r="U10" s="13">
        <f t="shared" si="1"/>
        <v>1</v>
      </c>
      <c r="V10" s="31">
        <f t="shared" si="0"/>
        <v>0.01</v>
      </c>
      <c r="W10" s="35">
        <v>15</v>
      </c>
      <c r="X10" s="35">
        <f>SUM(W$5:W10)</f>
        <v>90</v>
      </c>
      <c r="Y10" s="14">
        <f t="shared" si="2"/>
        <v>0</v>
      </c>
      <c r="Z10" s="14">
        <f t="shared" si="3"/>
        <v>2</v>
      </c>
      <c r="AA10" s="14">
        <f t="shared" si="4"/>
        <v>1</v>
      </c>
      <c r="AB10" s="13">
        <v>2</v>
      </c>
      <c r="AC10" s="13">
        <v>3</v>
      </c>
      <c r="AD10" s="13"/>
      <c r="AE10" s="13"/>
      <c r="AG10" s="13">
        <v>7</v>
      </c>
      <c r="AH10" s="13" t="s">
        <v>451</v>
      </c>
      <c r="AI10" s="13" t="s">
        <v>458</v>
      </c>
      <c r="AJ10" s="13"/>
      <c r="AK10" s="13">
        <v>2</v>
      </c>
      <c r="AL10" s="13">
        <v>1</v>
      </c>
    </row>
    <row r="11" spans="1:38" ht="16.5" x14ac:dyDescent="0.2">
      <c r="A11" s="15" t="s">
        <v>193</v>
      </c>
      <c r="B11" s="17">
        <f t="shared" si="5"/>
        <v>0</v>
      </c>
      <c r="C11" s="17">
        <f t="shared" si="5"/>
        <v>0</v>
      </c>
      <c r="D11" s="17">
        <f t="shared" si="5"/>
        <v>0</v>
      </c>
      <c r="E11" s="14">
        <f t="shared" si="5"/>
        <v>67928</v>
      </c>
      <c r="F11" s="14">
        <f t="shared" si="5"/>
        <v>33947</v>
      </c>
      <c r="G11" s="14">
        <f t="shared" si="5"/>
        <v>203872</v>
      </c>
      <c r="P11" s="13" t="s">
        <v>433</v>
      </c>
      <c r="Q11" s="13">
        <v>11</v>
      </c>
      <c r="R11" s="13">
        <v>4</v>
      </c>
      <c r="S11" s="13">
        <v>1606009</v>
      </c>
      <c r="T11" s="13">
        <v>2</v>
      </c>
      <c r="U11" s="13">
        <f t="shared" si="1"/>
        <v>2</v>
      </c>
      <c r="V11" s="31">
        <f t="shared" si="0"/>
        <v>0.02</v>
      </c>
      <c r="W11" s="35">
        <v>15</v>
      </c>
      <c r="X11" s="35">
        <f>SUM(W$5:W11)</f>
        <v>105</v>
      </c>
      <c r="Y11" s="14">
        <f t="shared" si="2"/>
        <v>1</v>
      </c>
      <c r="Z11" s="14">
        <f t="shared" si="3"/>
        <v>1</v>
      </c>
      <c r="AA11" s="14">
        <f t="shared" si="4"/>
        <v>1</v>
      </c>
      <c r="AB11" s="13">
        <v>1</v>
      </c>
      <c r="AC11" s="13">
        <v>2</v>
      </c>
      <c r="AD11" s="13">
        <v>3</v>
      </c>
      <c r="AE11" s="13"/>
      <c r="AG11" s="13">
        <v>8</v>
      </c>
      <c r="AH11" s="37"/>
      <c r="AI11" s="37"/>
      <c r="AJ11" s="37"/>
      <c r="AK11" s="37"/>
      <c r="AL11" s="37"/>
    </row>
    <row r="12" spans="1:38" ht="16.5" x14ac:dyDescent="0.2">
      <c r="P12" s="13" t="s">
        <v>434</v>
      </c>
      <c r="Q12" s="13">
        <v>25</v>
      </c>
      <c r="R12" s="13">
        <v>5</v>
      </c>
      <c r="S12" s="13">
        <v>1606010</v>
      </c>
      <c r="T12" s="13">
        <v>3</v>
      </c>
      <c r="U12" s="13">
        <f t="shared" si="1"/>
        <v>3</v>
      </c>
      <c r="V12" s="31">
        <f t="shared" si="0"/>
        <v>0.03</v>
      </c>
      <c r="W12" s="35">
        <v>15</v>
      </c>
      <c r="X12" s="35">
        <f>SUM(W$5:W12)</f>
        <v>120</v>
      </c>
      <c r="Y12" s="14">
        <f t="shared" si="2"/>
        <v>2</v>
      </c>
      <c r="Z12" s="14">
        <f t="shared" si="3"/>
        <v>1</v>
      </c>
      <c r="AA12" s="14">
        <f t="shared" si="4"/>
        <v>0</v>
      </c>
      <c r="AB12" s="13">
        <v>1</v>
      </c>
      <c r="AC12" s="13">
        <v>2</v>
      </c>
      <c r="AD12" s="13"/>
      <c r="AE12" s="13"/>
      <c r="AG12" s="13">
        <v>9</v>
      </c>
      <c r="AH12" s="13" t="s">
        <v>459</v>
      </c>
      <c r="AI12" s="13" t="s">
        <v>460</v>
      </c>
      <c r="AJ12" s="13">
        <v>1</v>
      </c>
      <c r="AK12" s="13"/>
      <c r="AL12" s="13">
        <v>2</v>
      </c>
    </row>
    <row r="13" spans="1:38" ht="16.5" x14ac:dyDescent="0.2">
      <c r="B13" s="20">
        <f>SUM(B16:B22)</f>
        <v>12.5</v>
      </c>
      <c r="P13" s="13" t="s">
        <v>435</v>
      </c>
      <c r="Q13" s="13">
        <v>5</v>
      </c>
      <c r="R13" s="13">
        <v>1</v>
      </c>
      <c r="S13" s="13">
        <v>1606011</v>
      </c>
      <c r="T13" s="13">
        <v>1</v>
      </c>
      <c r="U13" s="13">
        <f t="shared" si="1"/>
        <v>1</v>
      </c>
      <c r="V13" s="31">
        <f t="shared" si="0"/>
        <v>0.01</v>
      </c>
      <c r="W13" s="35">
        <v>21</v>
      </c>
      <c r="X13" s="35">
        <f>SUM(W$5:W13)</f>
        <v>141</v>
      </c>
      <c r="Y13" s="14">
        <f t="shared" si="2"/>
        <v>0</v>
      </c>
      <c r="Z13" s="14">
        <f t="shared" si="3"/>
        <v>1</v>
      </c>
      <c r="AA13" s="14">
        <f t="shared" si="4"/>
        <v>2</v>
      </c>
      <c r="AB13" s="13">
        <v>2</v>
      </c>
      <c r="AC13" s="13">
        <v>3</v>
      </c>
      <c r="AD13" s="13"/>
      <c r="AE13" s="13"/>
      <c r="AG13" s="13">
        <v>10</v>
      </c>
      <c r="AH13" s="13" t="s">
        <v>459</v>
      </c>
      <c r="AI13" s="13" t="s">
        <v>461</v>
      </c>
      <c r="AJ13" s="13"/>
      <c r="AK13" s="13">
        <v>2</v>
      </c>
      <c r="AL13" s="13">
        <v>1</v>
      </c>
    </row>
    <row r="14" spans="1:38" ht="18" customHeight="1" x14ac:dyDescent="0.2">
      <c r="A14" s="65" t="s">
        <v>200</v>
      </c>
      <c r="B14" s="65"/>
      <c r="C14" s="65"/>
      <c r="D14" s="65"/>
      <c r="E14" s="65"/>
      <c r="F14" s="65"/>
      <c r="P14" s="13" t="s">
        <v>436</v>
      </c>
      <c r="Q14" s="13">
        <v>12</v>
      </c>
      <c r="R14" s="13">
        <v>2</v>
      </c>
      <c r="S14" s="13">
        <v>1606012</v>
      </c>
      <c r="T14" s="13">
        <v>2</v>
      </c>
      <c r="U14" s="13">
        <f t="shared" si="1"/>
        <v>2</v>
      </c>
      <c r="V14" s="31">
        <f t="shared" si="0"/>
        <v>0.02</v>
      </c>
      <c r="W14" s="35">
        <v>21</v>
      </c>
      <c r="X14" s="35">
        <f>SUM(W$5:W14)</f>
        <v>162</v>
      </c>
      <c r="Y14" s="14">
        <f t="shared" si="2"/>
        <v>1</v>
      </c>
      <c r="Z14" s="14">
        <f t="shared" si="3"/>
        <v>0</v>
      </c>
      <c r="AA14" s="14">
        <f t="shared" si="4"/>
        <v>2</v>
      </c>
      <c r="AB14" s="13">
        <v>1</v>
      </c>
      <c r="AC14" s="13">
        <v>3</v>
      </c>
      <c r="AD14" s="13"/>
      <c r="AE14" s="13"/>
      <c r="AG14" s="13">
        <v>11</v>
      </c>
      <c r="AH14" s="13" t="s">
        <v>446</v>
      </c>
      <c r="AI14" s="13" t="s">
        <v>515</v>
      </c>
      <c r="AJ14" s="13">
        <v>1</v>
      </c>
      <c r="AK14" s="13">
        <v>1</v>
      </c>
      <c r="AL14" s="13">
        <v>1</v>
      </c>
    </row>
    <row r="15" spans="1:38" ht="17.25" x14ac:dyDescent="0.2">
      <c r="A15" s="12" t="s">
        <v>181</v>
      </c>
      <c r="B15" s="12" t="s">
        <v>189</v>
      </c>
      <c r="C15" s="12" t="s">
        <v>190</v>
      </c>
      <c r="D15" s="12" t="s">
        <v>126</v>
      </c>
      <c r="E15" s="12" t="s">
        <v>127</v>
      </c>
      <c r="F15" s="12" t="s">
        <v>66</v>
      </c>
      <c r="P15" s="13" t="s">
        <v>435</v>
      </c>
      <c r="Q15" s="13">
        <v>13</v>
      </c>
      <c r="R15" s="13">
        <v>3</v>
      </c>
      <c r="S15" s="13">
        <v>1606013</v>
      </c>
      <c r="T15" s="13">
        <v>2</v>
      </c>
      <c r="U15" s="13">
        <f t="shared" si="1"/>
        <v>2</v>
      </c>
      <c r="V15" s="31">
        <f t="shared" si="0"/>
        <v>0.02</v>
      </c>
      <c r="W15" s="35">
        <v>21</v>
      </c>
      <c r="X15" s="35">
        <f>SUM(W$5:W15)</f>
        <v>183</v>
      </c>
      <c r="Y15" s="14">
        <f t="shared" si="2"/>
        <v>0</v>
      </c>
      <c r="Z15" s="14">
        <f t="shared" si="3"/>
        <v>1</v>
      </c>
      <c r="AA15" s="14">
        <f t="shared" si="4"/>
        <v>2</v>
      </c>
      <c r="AB15" s="13">
        <v>2</v>
      </c>
      <c r="AC15" s="13">
        <v>3</v>
      </c>
      <c r="AD15" s="13"/>
      <c r="AE15" s="13"/>
      <c r="AG15" s="13">
        <v>12</v>
      </c>
      <c r="AH15" s="13" t="s">
        <v>459</v>
      </c>
      <c r="AI15" s="13" t="s">
        <v>503</v>
      </c>
      <c r="AJ15" s="13">
        <v>1</v>
      </c>
      <c r="AK15" s="13"/>
      <c r="AL15" s="13">
        <v>2</v>
      </c>
    </row>
    <row r="16" spans="1:38" ht="16.5" x14ac:dyDescent="0.2">
      <c r="A16" s="13" t="s">
        <v>423</v>
      </c>
      <c r="B16" s="13">
        <v>1</v>
      </c>
      <c r="C16" s="17">
        <f>B16/B$13</f>
        <v>0.08</v>
      </c>
      <c r="D16" s="17">
        <f>B$10*$C16</f>
        <v>0.04</v>
      </c>
      <c r="E16" s="17">
        <f>C$10*$C16</f>
        <v>0.04</v>
      </c>
      <c r="F16" s="17">
        <f>D$10*$C16</f>
        <v>0.04</v>
      </c>
      <c r="P16" s="13" t="s">
        <v>435</v>
      </c>
      <c r="Q16" s="13">
        <v>26</v>
      </c>
      <c r="R16" s="13">
        <v>4</v>
      </c>
      <c r="S16" s="13">
        <v>1606014</v>
      </c>
      <c r="T16" s="13">
        <v>3</v>
      </c>
      <c r="U16" s="13">
        <f t="shared" si="1"/>
        <v>3</v>
      </c>
      <c r="V16" s="31">
        <f t="shared" si="0"/>
        <v>0.03</v>
      </c>
      <c r="W16" s="35">
        <v>21</v>
      </c>
      <c r="X16" s="35">
        <f>SUM(W$5:W16)</f>
        <v>204</v>
      </c>
      <c r="Y16" s="14">
        <f t="shared" si="2"/>
        <v>0</v>
      </c>
      <c r="Z16" s="14">
        <f t="shared" si="3"/>
        <v>1</v>
      </c>
      <c r="AA16" s="14">
        <f t="shared" si="4"/>
        <v>2</v>
      </c>
      <c r="AB16" s="13">
        <v>2</v>
      </c>
      <c r="AC16" s="13">
        <v>3</v>
      </c>
      <c r="AD16" s="13"/>
      <c r="AE16" s="13"/>
      <c r="AG16" s="13">
        <v>13</v>
      </c>
      <c r="AH16" s="13" t="s">
        <v>459</v>
      </c>
      <c r="AI16" s="13" t="s">
        <v>504</v>
      </c>
      <c r="AJ16" s="13"/>
      <c r="AK16" s="13">
        <v>1</v>
      </c>
      <c r="AL16" s="13">
        <v>2</v>
      </c>
    </row>
    <row r="17" spans="1:38" ht="16.5" x14ac:dyDescent="0.2">
      <c r="A17" s="13" t="s">
        <v>424</v>
      </c>
      <c r="B17" s="13">
        <v>1</v>
      </c>
      <c r="C17" s="17">
        <f t="shared" ref="C17:C22" si="6">B17/B$13</f>
        <v>0.08</v>
      </c>
      <c r="D17" s="17">
        <f t="shared" ref="D17:F22" si="7">B$10*$C17</f>
        <v>0.04</v>
      </c>
      <c r="E17" s="17">
        <f t="shared" si="7"/>
        <v>0.04</v>
      </c>
      <c r="F17" s="17">
        <f t="shared" si="7"/>
        <v>0.04</v>
      </c>
      <c r="P17" s="13" t="s">
        <v>436</v>
      </c>
      <c r="Q17" s="13">
        <v>27</v>
      </c>
      <c r="R17" s="13">
        <v>5</v>
      </c>
      <c r="S17" s="13">
        <v>1606015</v>
      </c>
      <c r="T17" s="13">
        <v>3</v>
      </c>
      <c r="U17" s="13">
        <f t="shared" si="1"/>
        <v>3</v>
      </c>
      <c r="V17" s="31">
        <f t="shared" si="0"/>
        <v>0.03</v>
      </c>
      <c r="W17" s="35">
        <v>21</v>
      </c>
      <c r="X17" s="35">
        <f>SUM(W$5:W17)</f>
        <v>225</v>
      </c>
      <c r="Y17" s="14">
        <f t="shared" si="2"/>
        <v>1</v>
      </c>
      <c r="Z17" s="14">
        <f t="shared" si="3"/>
        <v>0</v>
      </c>
      <c r="AA17" s="14">
        <f t="shared" si="4"/>
        <v>2</v>
      </c>
      <c r="AB17" s="13">
        <v>1</v>
      </c>
      <c r="AC17" s="13">
        <v>3</v>
      </c>
      <c r="AD17" s="13"/>
      <c r="AE17" s="13"/>
      <c r="AG17" s="13">
        <v>14</v>
      </c>
      <c r="AH17" s="13" t="s">
        <v>459</v>
      </c>
      <c r="AI17" s="13" t="s">
        <v>516</v>
      </c>
      <c r="AJ17" s="13">
        <v>2</v>
      </c>
      <c r="AK17" s="13">
        <v>1</v>
      </c>
      <c r="AL17" s="13"/>
    </row>
    <row r="18" spans="1:38" ht="16.5" x14ac:dyDescent="0.2">
      <c r="A18" s="13" t="s">
        <v>425</v>
      </c>
      <c r="B18" s="13">
        <v>1.5</v>
      </c>
      <c r="C18" s="17">
        <f t="shared" si="6"/>
        <v>0.12</v>
      </c>
      <c r="D18" s="17">
        <f t="shared" si="7"/>
        <v>0.06</v>
      </c>
      <c r="E18" s="17">
        <f t="shared" si="7"/>
        <v>0.06</v>
      </c>
      <c r="F18" s="17">
        <f t="shared" si="7"/>
        <v>0.06</v>
      </c>
      <c r="P18" s="13" t="s">
        <v>435</v>
      </c>
      <c r="Q18" s="13">
        <v>39</v>
      </c>
      <c r="R18" s="13">
        <v>6</v>
      </c>
      <c r="S18" s="13">
        <v>1606016</v>
      </c>
      <c r="T18" s="13">
        <v>4</v>
      </c>
      <c r="U18" s="13">
        <f t="shared" si="1"/>
        <v>5</v>
      </c>
      <c r="V18" s="31">
        <f t="shared" si="0"/>
        <v>0.05</v>
      </c>
      <c r="W18" s="35">
        <v>21</v>
      </c>
      <c r="X18" s="35">
        <f>SUM(W$5:W18)</f>
        <v>246</v>
      </c>
      <c r="Y18" s="14">
        <f t="shared" si="2"/>
        <v>3</v>
      </c>
      <c r="Z18" s="14">
        <f t="shared" si="3"/>
        <v>0</v>
      </c>
      <c r="AA18" s="14">
        <f t="shared" si="4"/>
        <v>0</v>
      </c>
      <c r="AB18" s="13">
        <v>1</v>
      </c>
      <c r="AC18" s="13"/>
      <c r="AD18" s="13"/>
      <c r="AE18" s="13">
        <v>2</v>
      </c>
      <c r="AG18" s="13">
        <v>15</v>
      </c>
      <c r="AH18" s="13" t="s">
        <v>459</v>
      </c>
      <c r="AI18" s="13" t="s">
        <v>517</v>
      </c>
      <c r="AJ18" s="13">
        <v>2</v>
      </c>
      <c r="AK18" s="13"/>
      <c r="AL18" s="13">
        <v>1</v>
      </c>
    </row>
    <row r="19" spans="1:38" ht="16.5" x14ac:dyDescent="0.2">
      <c r="A19" s="13" t="s">
        <v>426</v>
      </c>
      <c r="B19" s="13">
        <v>1.5</v>
      </c>
      <c r="C19" s="17">
        <f t="shared" si="6"/>
        <v>0.12</v>
      </c>
      <c r="D19" s="17">
        <f t="shared" si="7"/>
        <v>0.06</v>
      </c>
      <c r="E19" s="17">
        <f t="shared" si="7"/>
        <v>0.06</v>
      </c>
      <c r="F19" s="17">
        <f t="shared" si="7"/>
        <v>0.06</v>
      </c>
      <c r="P19" s="13" t="s">
        <v>437</v>
      </c>
      <c r="Q19" s="13">
        <v>6</v>
      </c>
      <c r="R19" s="13">
        <v>1</v>
      </c>
      <c r="S19" s="13">
        <v>1606019</v>
      </c>
      <c r="T19" s="13">
        <v>1</v>
      </c>
      <c r="U19" s="13">
        <f t="shared" ref="U19:U46" si="8">INDEX($K$4:$K$7,T19)</f>
        <v>1</v>
      </c>
      <c r="V19" s="31">
        <f t="shared" si="0"/>
        <v>0.01</v>
      </c>
      <c r="W19" s="35">
        <v>21</v>
      </c>
      <c r="X19" s="35">
        <f>SUM(W$5:W19)</f>
        <v>267</v>
      </c>
      <c r="Y19" s="14">
        <f t="shared" si="2"/>
        <v>2</v>
      </c>
      <c r="Z19" s="14">
        <f t="shared" si="3"/>
        <v>0</v>
      </c>
      <c r="AA19" s="14">
        <f t="shared" si="4"/>
        <v>1</v>
      </c>
      <c r="AB19" s="13">
        <v>1</v>
      </c>
      <c r="AC19" s="13">
        <v>3</v>
      </c>
      <c r="AD19" s="13"/>
      <c r="AE19" s="13"/>
      <c r="AG19" s="13">
        <v>16</v>
      </c>
      <c r="AH19" s="13" t="s">
        <v>459</v>
      </c>
      <c r="AI19" s="13" t="s">
        <v>505</v>
      </c>
      <c r="AJ19" s="13"/>
      <c r="AK19" s="13">
        <v>2</v>
      </c>
      <c r="AL19" s="13">
        <v>1</v>
      </c>
    </row>
    <row r="20" spans="1:38" ht="16.5" x14ac:dyDescent="0.2">
      <c r="A20" s="13" t="s">
        <v>427</v>
      </c>
      <c r="B20" s="13">
        <v>2.5</v>
      </c>
      <c r="C20" s="17">
        <f t="shared" si="6"/>
        <v>0.2</v>
      </c>
      <c r="D20" s="17">
        <f t="shared" si="7"/>
        <v>0.1</v>
      </c>
      <c r="E20" s="17">
        <f t="shared" si="7"/>
        <v>0.1</v>
      </c>
      <c r="F20" s="17">
        <f t="shared" si="7"/>
        <v>0.1</v>
      </c>
      <c r="P20" s="13" t="s">
        <v>437</v>
      </c>
      <c r="Q20" s="13">
        <v>14</v>
      </c>
      <c r="R20" s="13">
        <v>2</v>
      </c>
      <c r="S20" s="13">
        <v>1606020</v>
      </c>
      <c r="T20" s="13">
        <v>1</v>
      </c>
      <c r="U20" s="13">
        <f t="shared" si="8"/>
        <v>1</v>
      </c>
      <c r="V20" s="31">
        <f t="shared" si="0"/>
        <v>0.01</v>
      </c>
      <c r="W20" s="35">
        <v>21</v>
      </c>
      <c r="X20" s="35">
        <f>SUM(W$5:W20)</f>
        <v>288</v>
      </c>
      <c r="Y20" s="14">
        <f t="shared" si="2"/>
        <v>2</v>
      </c>
      <c r="Z20" s="14">
        <f t="shared" si="3"/>
        <v>1</v>
      </c>
      <c r="AA20" s="14">
        <f t="shared" si="4"/>
        <v>0</v>
      </c>
      <c r="AB20" s="13">
        <v>1</v>
      </c>
      <c r="AC20" s="13">
        <v>2</v>
      </c>
      <c r="AD20" s="13"/>
      <c r="AE20" s="13"/>
      <c r="AG20" s="13">
        <v>17</v>
      </c>
      <c r="AH20" s="13" t="s">
        <v>459</v>
      </c>
      <c r="AI20" s="13" t="s">
        <v>465</v>
      </c>
      <c r="AJ20" s="13">
        <v>1</v>
      </c>
      <c r="AK20" s="13">
        <v>2</v>
      </c>
      <c r="AL20" s="13"/>
    </row>
    <row r="21" spans="1:38" ht="16.5" x14ac:dyDescent="0.2">
      <c r="A21" s="13" t="s">
        <v>428</v>
      </c>
      <c r="B21" s="13">
        <v>2.5</v>
      </c>
      <c r="C21" s="17">
        <f t="shared" si="6"/>
        <v>0.2</v>
      </c>
      <c r="D21" s="17">
        <f t="shared" si="7"/>
        <v>0.1</v>
      </c>
      <c r="E21" s="17">
        <f t="shared" si="7"/>
        <v>0.1</v>
      </c>
      <c r="F21" s="17">
        <f t="shared" si="7"/>
        <v>0.1</v>
      </c>
      <c r="P21" s="13" t="s">
        <v>437</v>
      </c>
      <c r="Q21" s="13">
        <v>15</v>
      </c>
      <c r="R21" s="13">
        <v>3</v>
      </c>
      <c r="S21" s="13">
        <v>1606021</v>
      </c>
      <c r="T21" s="13">
        <v>2</v>
      </c>
      <c r="U21" s="13">
        <f t="shared" si="8"/>
        <v>2</v>
      </c>
      <c r="V21" s="31">
        <f t="shared" si="0"/>
        <v>0.02</v>
      </c>
      <c r="W21" s="35">
        <v>21</v>
      </c>
      <c r="X21" s="35">
        <f>SUM(W$5:W21)</f>
        <v>309</v>
      </c>
      <c r="Y21" s="14">
        <f t="shared" si="2"/>
        <v>2</v>
      </c>
      <c r="Z21" s="14">
        <f t="shared" si="3"/>
        <v>0</v>
      </c>
      <c r="AA21" s="14">
        <f t="shared" si="4"/>
        <v>1</v>
      </c>
      <c r="AB21" s="13">
        <v>1</v>
      </c>
      <c r="AC21" s="13">
        <v>3</v>
      </c>
      <c r="AD21" s="13"/>
      <c r="AE21" s="13"/>
      <c r="AG21" s="13">
        <v>18</v>
      </c>
      <c r="AH21" s="13" t="s">
        <v>459</v>
      </c>
      <c r="AI21" s="13" t="s">
        <v>467</v>
      </c>
      <c r="AJ21" s="13">
        <v>2</v>
      </c>
      <c r="AK21" s="13">
        <v>1</v>
      </c>
      <c r="AL21" s="13"/>
    </row>
    <row r="22" spans="1:38" ht="16.5" x14ac:dyDescent="0.2">
      <c r="A22" s="13" t="s">
        <v>429</v>
      </c>
      <c r="B22" s="13">
        <v>2.5</v>
      </c>
      <c r="C22" s="17">
        <f t="shared" si="6"/>
        <v>0.2</v>
      </c>
      <c r="D22" s="17">
        <f t="shared" si="7"/>
        <v>0.1</v>
      </c>
      <c r="E22" s="17">
        <f t="shared" si="7"/>
        <v>0.1</v>
      </c>
      <c r="F22" s="17">
        <f t="shared" si="7"/>
        <v>0.1</v>
      </c>
      <c r="P22" s="13" t="s">
        <v>437</v>
      </c>
      <c r="Q22" s="13">
        <v>28</v>
      </c>
      <c r="R22" s="13">
        <v>4</v>
      </c>
      <c r="S22" s="13">
        <v>1606022</v>
      </c>
      <c r="T22" s="13">
        <v>2</v>
      </c>
      <c r="U22" s="13">
        <f t="shared" si="8"/>
        <v>2</v>
      </c>
      <c r="V22" s="31">
        <f t="shared" si="0"/>
        <v>0.02</v>
      </c>
      <c r="W22" s="35">
        <v>21</v>
      </c>
      <c r="X22" s="35">
        <f>SUM(W$5:W22)</f>
        <v>330</v>
      </c>
      <c r="Y22" s="14">
        <f t="shared" si="2"/>
        <v>2</v>
      </c>
      <c r="Z22" s="14">
        <f t="shared" si="3"/>
        <v>0</v>
      </c>
      <c r="AA22" s="14">
        <f t="shared" si="4"/>
        <v>1</v>
      </c>
      <c r="AB22" s="13">
        <v>1</v>
      </c>
      <c r="AC22" s="13">
        <v>3</v>
      </c>
      <c r="AD22" s="13"/>
      <c r="AE22" s="13"/>
      <c r="AG22" s="13">
        <v>19</v>
      </c>
      <c r="AH22" s="13" t="s">
        <v>459</v>
      </c>
      <c r="AI22" s="13" t="s">
        <v>468</v>
      </c>
      <c r="AJ22" s="13"/>
      <c r="AK22" s="13">
        <v>2</v>
      </c>
      <c r="AL22" s="13">
        <v>1</v>
      </c>
    </row>
    <row r="23" spans="1:38" ht="16.5" x14ac:dyDescent="0.2">
      <c r="P23" s="13" t="s">
        <v>437</v>
      </c>
      <c r="Q23" s="13">
        <v>29</v>
      </c>
      <c r="R23" s="13">
        <v>5</v>
      </c>
      <c r="S23" s="13">
        <v>1606023</v>
      </c>
      <c r="T23" s="13">
        <v>2</v>
      </c>
      <c r="U23" s="13">
        <f t="shared" si="8"/>
        <v>2</v>
      </c>
      <c r="V23" s="31">
        <f t="shared" si="0"/>
        <v>0.02</v>
      </c>
      <c r="W23" s="35">
        <v>21</v>
      </c>
      <c r="X23" s="35">
        <f>SUM(W$5:W23)</f>
        <v>351</v>
      </c>
      <c r="Y23" s="14">
        <f t="shared" si="2"/>
        <v>1</v>
      </c>
      <c r="Z23" s="14">
        <f t="shared" si="3"/>
        <v>1</v>
      </c>
      <c r="AA23" s="14">
        <f t="shared" si="4"/>
        <v>1</v>
      </c>
      <c r="AB23" s="13">
        <v>1</v>
      </c>
      <c r="AC23" s="13">
        <v>2</v>
      </c>
      <c r="AD23" s="13">
        <v>3</v>
      </c>
      <c r="AE23" s="13"/>
      <c r="AG23" s="13">
        <v>20</v>
      </c>
      <c r="AH23" s="13" t="s">
        <v>459</v>
      </c>
      <c r="AI23" s="13" t="s">
        <v>469</v>
      </c>
      <c r="AJ23" s="13">
        <v>1</v>
      </c>
      <c r="AK23" s="13">
        <v>1</v>
      </c>
      <c r="AL23" s="13">
        <v>1</v>
      </c>
    </row>
    <row r="24" spans="1:38" ht="16.5" x14ac:dyDescent="0.2">
      <c r="P24" s="13" t="s">
        <v>437</v>
      </c>
      <c r="Q24" s="13">
        <v>40</v>
      </c>
      <c r="R24" s="13">
        <v>6</v>
      </c>
      <c r="S24" s="13">
        <v>1606024</v>
      </c>
      <c r="T24" s="13">
        <v>3</v>
      </c>
      <c r="U24" s="13">
        <f t="shared" si="8"/>
        <v>3</v>
      </c>
      <c r="V24" s="31">
        <f t="shared" si="0"/>
        <v>0.03</v>
      </c>
      <c r="W24" s="35">
        <v>21</v>
      </c>
      <c r="X24" s="35">
        <f>SUM(W$5:W24)</f>
        <v>372</v>
      </c>
      <c r="Y24" s="14">
        <f t="shared" si="2"/>
        <v>0</v>
      </c>
      <c r="Z24" s="14">
        <f t="shared" si="3"/>
        <v>0</v>
      </c>
      <c r="AA24" s="14">
        <f t="shared" si="4"/>
        <v>3</v>
      </c>
      <c r="AB24" s="13">
        <v>3</v>
      </c>
      <c r="AC24" s="13"/>
      <c r="AD24" s="13"/>
      <c r="AE24" s="13">
        <v>2</v>
      </c>
      <c r="AG24" s="13">
        <v>21</v>
      </c>
      <c r="AH24" s="13" t="s">
        <v>459</v>
      </c>
      <c r="AI24" s="13" t="s">
        <v>470</v>
      </c>
      <c r="AJ24" s="13">
        <v>1</v>
      </c>
      <c r="AK24" s="13"/>
      <c r="AL24" s="13">
        <v>2</v>
      </c>
    </row>
    <row r="25" spans="1:38" ht="19.5" customHeight="1" x14ac:dyDescent="0.2">
      <c r="A25" s="65" t="s">
        <v>201</v>
      </c>
      <c r="B25" s="65"/>
      <c r="C25" s="65"/>
      <c r="D25" s="65"/>
      <c r="E25" s="65"/>
      <c r="F25" s="65"/>
      <c r="G25" s="65"/>
      <c r="P25" s="13" t="s">
        <v>438</v>
      </c>
      <c r="Q25" s="13">
        <v>7</v>
      </c>
      <c r="R25" s="13">
        <v>1</v>
      </c>
      <c r="S25" s="13">
        <v>1606027</v>
      </c>
      <c r="T25" s="13">
        <v>1</v>
      </c>
      <c r="U25" s="13">
        <f t="shared" si="8"/>
        <v>1</v>
      </c>
      <c r="V25" s="31">
        <f t="shared" si="0"/>
        <v>0.01</v>
      </c>
      <c r="W25" s="35">
        <v>21</v>
      </c>
      <c r="X25" s="35">
        <f>SUM(W$5:W25)</f>
        <v>393</v>
      </c>
      <c r="Y25" s="14">
        <f t="shared" si="2"/>
        <v>0</v>
      </c>
      <c r="Z25" s="14">
        <f t="shared" si="3"/>
        <v>2</v>
      </c>
      <c r="AA25" s="14">
        <f t="shared" si="4"/>
        <v>1</v>
      </c>
      <c r="AB25" s="13">
        <v>2</v>
      </c>
      <c r="AC25" s="13">
        <v>3</v>
      </c>
      <c r="AD25" s="13"/>
      <c r="AE25" s="13"/>
      <c r="AG25" s="13">
        <v>22</v>
      </c>
      <c r="AH25" s="13" t="s">
        <v>459</v>
      </c>
      <c r="AI25" s="13" t="s">
        <v>471</v>
      </c>
      <c r="AJ25" s="13">
        <v>2</v>
      </c>
      <c r="AK25" s="13">
        <v>1</v>
      </c>
      <c r="AL25" s="13"/>
    </row>
    <row r="26" spans="1:38" ht="17.25" x14ac:dyDescent="0.2">
      <c r="A26" s="12" t="s">
        <v>197</v>
      </c>
      <c r="B26" s="12" t="s">
        <v>198</v>
      </c>
      <c r="C26" s="12" t="s">
        <v>194</v>
      </c>
      <c r="D26" s="12" t="s">
        <v>202</v>
      </c>
      <c r="E26" s="12" t="s">
        <v>196</v>
      </c>
      <c r="F26" s="12" t="s">
        <v>195</v>
      </c>
      <c r="G26" s="12" t="s">
        <v>196</v>
      </c>
      <c r="P26" s="13" t="s">
        <v>438</v>
      </c>
      <c r="Q26" s="13">
        <v>16</v>
      </c>
      <c r="R26" s="13">
        <v>2</v>
      </c>
      <c r="S26" s="13">
        <v>1606028</v>
      </c>
      <c r="T26" s="13">
        <v>1</v>
      </c>
      <c r="U26" s="13">
        <f t="shared" si="8"/>
        <v>1</v>
      </c>
      <c r="V26" s="31">
        <f t="shared" si="0"/>
        <v>0.01</v>
      </c>
      <c r="W26" s="35">
        <v>21</v>
      </c>
      <c r="X26" s="35">
        <f>SUM(W$5:W26)</f>
        <v>414</v>
      </c>
      <c r="Y26" s="14">
        <f t="shared" si="2"/>
        <v>0</v>
      </c>
      <c r="Z26" s="14">
        <f t="shared" si="3"/>
        <v>2</v>
      </c>
      <c r="AA26" s="14">
        <f t="shared" si="4"/>
        <v>1</v>
      </c>
      <c r="AB26" s="13">
        <v>2</v>
      </c>
      <c r="AC26" s="13">
        <v>3</v>
      </c>
      <c r="AD26" s="13"/>
      <c r="AE26" s="13"/>
      <c r="AG26" s="13">
        <v>23</v>
      </c>
      <c r="AH26" s="13" t="s">
        <v>459</v>
      </c>
      <c r="AI26" s="13" t="s">
        <v>472</v>
      </c>
      <c r="AJ26" s="13">
        <v>1</v>
      </c>
      <c r="AK26" s="13">
        <v>1</v>
      </c>
      <c r="AL26" s="13">
        <v>1</v>
      </c>
    </row>
    <row r="27" spans="1:38" ht="16.5" x14ac:dyDescent="0.2">
      <c r="A27" s="13" t="s">
        <v>182</v>
      </c>
      <c r="B27" s="13">
        <v>1</v>
      </c>
      <c r="C27" s="13">
        <v>5</v>
      </c>
      <c r="D27" s="13" t="s">
        <v>60</v>
      </c>
      <c r="E27" s="17">
        <f>INDEX($D$16:$F$22,$B27,MATCH(D27,$D$15:$F$15,0))*0.4</f>
        <v>1.6E-2</v>
      </c>
      <c r="F27" s="13" t="s">
        <v>66</v>
      </c>
      <c r="G27" s="17">
        <f>INDEX($D$16:$F$22,$B27,MATCH(F27,$D$15:$F$15,0))*0.4</f>
        <v>1.6E-2</v>
      </c>
      <c r="I27" s="32"/>
      <c r="P27" s="13" t="s">
        <v>438</v>
      </c>
      <c r="Q27" s="13">
        <v>17</v>
      </c>
      <c r="R27" s="13">
        <v>3</v>
      </c>
      <c r="S27" s="13">
        <v>1606029</v>
      </c>
      <c r="T27" s="13">
        <v>2</v>
      </c>
      <c r="U27" s="13">
        <f t="shared" si="8"/>
        <v>2</v>
      </c>
      <c r="V27" s="31">
        <f t="shared" si="0"/>
        <v>0.02</v>
      </c>
      <c r="W27" s="35">
        <v>21</v>
      </c>
      <c r="X27" s="35">
        <f>SUM(W$5:W27)</f>
        <v>435</v>
      </c>
      <c r="Y27" s="14">
        <f t="shared" si="2"/>
        <v>1</v>
      </c>
      <c r="Z27" s="14">
        <f t="shared" si="3"/>
        <v>2</v>
      </c>
      <c r="AA27" s="14">
        <f t="shared" si="4"/>
        <v>0</v>
      </c>
      <c r="AB27" s="13">
        <v>1</v>
      </c>
      <c r="AC27" s="13">
        <v>2</v>
      </c>
      <c r="AD27" s="13"/>
      <c r="AE27" s="13"/>
      <c r="AG27" s="13">
        <v>24</v>
      </c>
    </row>
    <row r="28" spans="1:38" ht="16.5" x14ac:dyDescent="0.2">
      <c r="A28" s="13" t="s">
        <v>182</v>
      </c>
      <c r="B28" s="13">
        <v>1</v>
      </c>
      <c r="C28" s="13">
        <v>10</v>
      </c>
      <c r="D28" s="13"/>
      <c r="E28" s="13"/>
      <c r="F28" s="13"/>
      <c r="G28" s="13"/>
      <c r="I28" s="32"/>
      <c r="P28" s="13" t="s">
        <v>438</v>
      </c>
      <c r="Q28" s="13">
        <v>30</v>
      </c>
      <c r="R28" s="13">
        <v>4</v>
      </c>
      <c r="S28" s="13">
        <v>1606030</v>
      </c>
      <c r="T28" s="13">
        <v>2</v>
      </c>
      <c r="U28" s="13">
        <f t="shared" si="8"/>
        <v>2</v>
      </c>
      <c r="V28" s="31">
        <f t="shared" si="0"/>
        <v>0.02</v>
      </c>
      <c r="W28" s="35">
        <v>21</v>
      </c>
      <c r="X28" s="35">
        <f>SUM(W$5:W28)</f>
        <v>456</v>
      </c>
      <c r="Y28" s="14">
        <f t="shared" si="2"/>
        <v>0</v>
      </c>
      <c r="Z28" s="14">
        <f t="shared" si="3"/>
        <v>2</v>
      </c>
      <c r="AA28" s="14">
        <f t="shared" si="4"/>
        <v>1</v>
      </c>
      <c r="AB28" s="13">
        <v>2</v>
      </c>
      <c r="AC28" s="13">
        <v>3</v>
      </c>
      <c r="AD28" s="13"/>
      <c r="AE28" s="13"/>
      <c r="AG28" s="13">
        <v>25</v>
      </c>
      <c r="AH28" s="13" t="s">
        <v>473</v>
      </c>
      <c r="AI28" s="13" t="s">
        <v>474</v>
      </c>
      <c r="AJ28" s="13">
        <v>2</v>
      </c>
      <c r="AK28" s="13">
        <v>1</v>
      </c>
      <c r="AL28" s="13"/>
    </row>
    <row r="29" spans="1:38" ht="16.5" x14ac:dyDescent="0.2">
      <c r="A29" s="13" t="s">
        <v>182</v>
      </c>
      <c r="B29" s="13">
        <v>1</v>
      </c>
      <c r="C29" s="13">
        <v>15</v>
      </c>
      <c r="D29" s="13" t="s">
        <v>60</v>
      </c>
      <c r="E29" s="17">
        <f>INDEX($D$16:$F$22,$B29,MATCH(D29,$D$15:$F$15,0))*0.6</f>
        <v>2.4E-2</v>
      </c>
      <c r="F29" s="13" t="s">
        <v>63</v>
      </c>
      <c r="G29" s="17">
        <f>INDEX($D$16:$F$22,$B29,MATCH(F29,$D$15:$F$15,0))*0.4</f>
        <v>1.6E-2</v>
      </c>
      <c r="I29" s="32"/>
      <c r="P29" s="13" t="s">
        <v>438</v>
      </c>
      <c r="Q29" s="13">
        <v>31</v>
      </c>
      <c r="R29" s="13">
        <v>5</v>
      </c>
      <c r="S29" s="13">
        <v>1606031</v>
      </c>
      <c r="T29" s="13">
        <v>2</v>
      </c>
      <c r="U29" s="13">
        <f t="shared" si="8"/>
        <v>2</v>
      </c>
      <c r="V29" s="31">
        <f t="shared" si="0"/>
        <v>0.02</v>
      </c>
      <c r="W29" s="35">
        <v>21</v>
      </c>
      <c r="X29" s="35">
        <f>SUM(W$5:W29)</f>
        <v>477</v>
      </c>
      <c r="Y29" s="14">
        <f t="shared" si="2"/>
        <v>1</v>
      </c>
      <c r="Z29" s="14">
        <f t="shared" si="3"/>
        <v>1</v>
      </c>
      <c r="AA29" s="14">
        <f t="shared" si="4"/>
        <v>1</v>
      </c>
      <c r="AB29" s="13">
        <v>1</v>
      </c>
      <c r="AC29" s="13">
        <v>2</v>
      </c>
      <c r="AD29" s="13">
        <v>3</v>
      </c>
      <c r="AE29" s="13"/>
      <c r="AG29" s="13">
        <v>26</v>
      </c>
      <c r="AH29" s="13" t="s">
        <v>473</v>
      </c>
      <c r="AI29" s="13" t="s">
        <v>462</v>
      </c>
      <c r="AJ29" s="13"/>
      <c r="AK29" s="13">
        <v>1</v>
      </c>
      <c r="AL29" s="13">
        <v>2</v>
      </c>
    </row>
    <row r="30" spans="1:38" ht="16.5" x14ac:dyDescent="0.2">
      <c r="A30" s="13" t="s">
        <v>182</v>
      </c>
      <c r="B30" s="13">
        <v>1</v>
      </c>
      <c r="C30" s="13">
        <v>20</v>
      </c>
      <c r="D30" s="13"/>
      <c r="E30" s="13"/>
      <c r="F30" s="13"/>
      <c r="G30" s="13"/>
      <c r="I30" s="32"/>
      <c r="P30" s="13" t="s">
        <v>438</v>
      </c>
      <c r="Q30" s="13">
        <v>41</v>
      </c>
      <c r="R30" s="13">
        <v>6</v>
      </c>
      <c r="S30" s="13">
        <v>1606032</v>
      </c>
      <c r="T30" s="13">
        <v>3</v>
      </c>
      <c r="U30" s="13">
        <f t="shared" si="8"/>
        <v>3</v>
      </c>
      <c r="V30" s="31">
        <f t="shared" si="0"/>
        <v>0.03</v>
      </c>
      <c r="W30" s="35">
        <v>21</v>
      </c>
      <c r="X30" s="35">
        <f>SUM(W$5:W30)</f>
        <v>498</v>
      </c>
      <c r="Y30" s="14">
        <f t="shared" si="2"/>
        <v>0</v>
      </c>
      <c r="Z30" s="14">
        <f t="shared" si="3"/>
        <v>3</v>
      </c>
      <c r="AA30" s="14">
        <f t="shared" si="4"/>
        <v>0</v>
      </c>
      <c r="AB30" s="13">
        <v>2</v>
      </c>
      <c r="AC30" s="13"/>
      <c r="AD30" s="13"/>
      <c r="AE30" s="13">
        <v>2</v>
      </c>
      <c r="AG30" s="13">
        <v>27</v>
      </c>
      <c r="AH30" s="13" t="s">
        <v>473</v>
      </c>
      <c r="AI30" s="13" t="s">
        <v>463</v>
      </c>
      <c r="AJ30" s="13">
        <v>1</v>
      </c>
      <c r="AK30" s="13"/>
      <c r="AL30" s="13">
        <v>2</v>
      </c>
    </row>
    <row r="31" spans="1:38" ht="16.5" x14ac:dyDescent="0.2">
      <c r="A31" s="13" t="s">
        <v>182</v>
      </c>
      <c r="B31" s="13">
        <v>1</v>
      </c>
      <c r="C31" s="13">
        <v>25</v>
      </c>
      <c r="D31" s="13" t="s">
        <v>63</v>
      </c>
      <c r="E31" s="17">
        <f>INDEX($D$16:$F$22,$B31,MATCH(D31,$D$15:$F$15,0))*0.6</f>
        <v>2.4E-2</v>
      </c>
      <c r="F31" s="13" t="s">
        <v>66</v>
      </c>
      <c r="G31" s="17">
        <f>INDEX($D$16:$F$22,$B31,MATCH(F31,$D$15:$F$15,0))*0.6</f>
        <v>2.4E-2</v>
      </c>
      <c r="I31" s="32"/>
      <c r="P31" s="13" t="s">
        <v>439</v>
      </c>
      <c r="Q31" s="13">
        <v>18</v>
      </c>
      <c r="R31" s="13">
        <v>1</v>
      </c>
      <c r="S31" s="13">
        <v>1606035</v>
      </c>
      <c r="T31" s="13">
        <v>2</v>
      </c>
      <c r="U31" s="13">
        <f t="shared" si="8"/>
        <v>2</v>
      </c>
      <c r="V31" s="31">
        <f t="shared" si="0"/>
        <v>0.02</v>
      </c>
      <c r="W31" s="35">
        <v>21</v>
      </c>
      <c r="X31" s="35">
        <f>SUM(W$5:W31)</f>
        <v>519</v>
      </c>
      <c r="Y31" s="14">
        <f t="shared" si="2"/>
        <v>2</v>
      </c>
      <c r="Z31" s="14">
        <f t="shared" si="3"/>
        <v>1</v>
      </c>
      <c r="AA31" s="14">
        <f t="shared" si="4"/>
        <v>0</v>
      </c>
      <c r="AB31" s="13">
        <v>1</v>
      </c>
      <c r="AC31" s="13">
        <v>2</v>
      </c>
      <c r="AD31" s="13"/>
      <c r="AE31" s="13"/>
      <c r="AG31" s="13">
        <v>28</v>
      </c>
      <c r="AH31" s="13" t="s">
        <v>473</v>
      </c>
      <c r="AI31" s="13" t="s">
        <v>506</v>
      </c>
      <c r="AJ31" s="13">
        <v>2</v>
      </c>
      <c r="AK31" s="13"/>
      <c r="AL31" s="13">
        <v>1</v>
      </c>
    </row>
    <row r="32" spans="1:38" ht="16.5" x14ac:dyDescent="0.2">
      <c r="A32" s="13" t="s">
        <v>182</v>
      </c>
      <c r="B32" s="13">
        <v>1</v>
      </c>
      <c r="C32" s="13">
        <v>30</v>
      </c>
      <c r="D32" s="13"/>
      <c r="E32" s="13"/>
      <c r="F32" s="13"/>
      <c r="G32" s="13"/>
      <c r="I32" s="32"/>
      <c r="P32" s="13" t="s">
        <v>439</v>
      </c>
      <c r="Q32" s="13">
        <v>19</v>
      </c>
      <c r="R32" s="13">
        <v>2</v>
      </c>
      <c r="S32" s="13">
        <v>1606036</v>
      </c>
      <c r="T32" s="13">
        <v>2</v>
      </c>
      <c r="U32" s="13">
        <f t="shared" si="8"/>
        <v>2</v>
      </c>
      <c r="V32" s="31">
        <f t="shared" si="0"/>
        <v>0.02</v>
      </c>
      <c r="W32" s="35">
        <v>21</v>
      </c>
      <c r="X32" s="35">
        <f>SUM(W$5:W32)</f>
        <v>540</v>
      </c>
      <c r="Y32" s="14">
        <f t="shared" si="2"/>
        <v>0</v>
      </c>
      <c r="Z32" s="14">
        <f t="shared" si="3"/>
        <v>2</v>
      </c>
      <c r="AA32" s="14">
        <f t="shared" si="4"/>
        <v>1</v>
      </c>
      <c r="AB32" s="13">
        <v>2</v>
      </c>
      <c r="AC32" s="13">
        <v>3</v>
      </c>
      <c r="AD32" s="13"/>
      <c r="AE32" s="13"/>
      <c r="AG32" s="13">
        <v>29</v>
      </c>
      <c r="AH32" s="13" t="s">
        <v>473</v>
      </c>
      <c r="AI32" s="13" t="s">
        <v>464</v>
      </c>
      <c r="AJ32" s="13">
        <v>1</v>
      </c>
      <c r="AK32" s="13">
        <v>1</v>
      </c>
      <c r="AL32" s="13">
        <v>1</v>
      </c>
    </row>
    <row r="33" spans="1:39" ht="16.5" x14ac:dyDescent="0.2">
      <c r="A33" s="13" t="s">
        <v>199</v>
      </c>
      <c r="B33" s="13">
        <v>2</v>
      </c>
      <c r="C33" s="13">
        <v>5</v>
      </c>
      <c r="D33" s="13" t="s">
        <v>60</v>
      </c>
      <c r="E33" s="17">
        <f>INDEX($D$16:$F$22,$B33,MATCH(D33,$D$15:$F$15,0))*0.4</f>
        <v>1.6E-2</v>
      </c>
      <c r="F33" s="13" t="s">
        <v>66</v>
      </c>
      <c r="G33" s="17">
        <f>INDEX($D$16:$F$22,$B33,MATCH(F33,$D$15:$F$15,0))*0.4</f>
        <v>1.6E-2</v>
      </c>
      <c r="I33" s="32"/>
      <c r="P33" s="13" t="s">
        <v>439</v>
      </c>
      <c r="Q33" s="13">
        <v>20</v>
      </c>
      <c r="R33" s="13">
        <v>3</v>
      </c>
      <c r="S33" s="13">
        <v>1606037</v>
      </c>
      <c r="T33" s="13">
        <v>2</v>
      </c>
      <c r="U33" s="13">
        <f t="shared" si="8"/>
        <v>2</v>
      </c>
      <c r="V33" s="31">
        <f t="shared" si="0"/>
        <v>0.02</v>
      </c>
      <c r="W33" s="35">
        <v>21</v>
      </c>
      <c r="X33" s="35">
        <f>SUM(W$5:W33)</f>
        <v>561</v>
      </c>
      <c r="Y33" s="14">
        <f t="shared" si="2"/>
        <v>1</v>
      </c>
      <c r="Z33" s="14">
        <f t="shared" si="3"/>
        <v>1</v>
      </c>
      <c r="AA33" s="14">
        <f t="shared" si="4"/>
        <v>1</v>
      </c>
      <c r="AB33" s="13">
        <v>1</v>
      </c>
      <c r="AC33" s="13">
        <v>2</v>
      </c>
      <c r="AD33" s="13">
        <v>3</v>
      </c>
      <c r="AE33" s="13"/>
      <c r="AG33" s="13">
        <v>30</v>
      </c>
      <c r="AH33" s="13" t="s">
        <v>473</v>
      </c>
      <c r="AI33" s="13" t="s">
        <v>466</v>
      </c>
      <c r="AJ33" s="13"/>
      <c r="AK33" s="13">
        <v>2</v>
      </c>
      <c r="AL33" s="13">
        <v>1</v>
      </c>
    </row>
    <row r="34" spans="1:39" ht="16.5" x14ac:dyDescent="0.2">
      <c r="A34" s="13" t="s">
        <v>199</v>
      </c>
      <c r="B34" s="13">
        <v>2</v>
      </c>
      <c r="C34" s="13">
        <v>10</v>
      </c>
      <c r="D34" s="13"/>
      <c r="E34" s="13"/>
      <c r="F34" s="13"/>
      <c r="G34" s="13"/>
      <c r="I34" s="32"/>
      <c r="P34" s="13" t="s">
        <v>439</v>
      </c>
      <c r="Q34" s="13">
        <v>32</v>
      </c>
      <c r="R34" s="13">
        <v>4</v>
      </c>
      <c r="S34" s="13">
        <v>1606038</v>
      </c>
      <c r="T34" s="13">
        <v>3</v>
      </c>
      <c r="U34" s="13">
        <f t="shared" si="8"/>
        <v>3</v>
      </c>
      <c r="V34" s="31">
        <f t="shared" si="0"/>
        <v>0.03</v>
      </c>
      <c r="W34" s="35">
        <v>21</v>
      </c>
      <c r="X34" s="35">
        <f>SUM(W$5:W34)</f>
        <v>582</v>
      </c>
      <c r="Y34" s="14">
        <f t="shared" si="2"/>
        <v>1</v>
      </c>
      <c r="Z34" s="14">
        <f t="shared" si="3"/>
        <v>2</v>
      </c>
      <c r="AA34" s="14">
        <f t="shared" si="4"/>
        <v>0</v>
      </c>
      <c r="AB34" s="13">
        <v>1</v>
      </c>
      <c r="AC34" s="13">
        <v>2</v>
      </c>
      <c r="AD34" s="13"/>
      <c r="AE34" s="13"/>
      <c r="AG34" s="13">
        <v>31</v>
      </c>
      <c r="AH34" s="13" t="s">
        <v>473</v>
      </c>
      <c r="AI34" s="13" t="s">
        <v>507</v>
      </c>
      <c r="AJ34" s="13">
        <v>1</v>
      </c>
      <c r="AK34" s="13">
        <v>1</v>
      </c>
      <c r="AL34" s="13">
        <v>1</v>
      </c>
    </row>
    <row r="35" spans="1:39" ht="16.5" x14ac:dyDescent="0.2">
      <c r="A35" s="13" t="s">
        <v>199</v>
      </c>
      <c r="B35" s="13">
        <v>2</v>
      </c>
      <c r="C35" s="13">
        <v>15</v>
      </c>
      <c r="D35" s="13" t="s">
        <v>60</v>
      </c>
      <c r="E35" s="17">
        <f>INDEX($D$16:$F$22,$B35,MATCH(D35,$D$15:$F$15,0))*0.6</f>
        <v>2.4E-2</v>
      </c>
      <c r="F35" s="13" t="s">
        <v>63</v>
      </c>
      <c r="G35" s="17">
        <f>INDEX($D$16:$F$22,$B35,MATCH(F35,$D$15:$F$15,0))*0.4</f>
        <v>1.6E-2</v>
      </c>
      <c r="I35" s="32"/>
      <c r="P35" s="13" t="s">
        <v>439</v>
      </c>
      <c r="Q35" s="13">
        <v>33</v>
      </c>
      <c r="R35" s="13">
        <v>5</v>
      </c>
      <c r="S35" s="13">
        <v>1606039</v>
      </c>
      <c r="T35" s="13">
        <v>3</v>
      </c>
      <c r="U35" s="13">
        <f t="shared" si="8"/>
        <v>3</v>
      </c>
      <c r="V35" s="31">
        <f t="shared" si="0"/>
        <v>0.03</v>
      </c>
      <c r="W35" s="35">
        <v>21</v>
      </c>
      <c r="X35" s="35">
        <f>SUM(W$5:W35)</f>
        <v>603</v>
      </c>
      <c r="Y35" s="14">
        <f t="shared" si="2"/>
        <v>1</v>
      </c>
      <c r="Z35" s="14">
        <f t="shared" si="3"/>
        <v>0</v>
      </c>
      <c r="AA35" s="14">
        <f t="shared" si="4"/>
        <v>2</v>
      </c>
      <c r="AB35" s="13">
        <v>1</v>
      </c>
      <c r="AC35" s="13">
        <v>3</v>
      </c>
      <c r="AD35" s="13"/>
      <c r="AE35" s="13"/>
      <c r="AG35" s="13">
        <v>32</v>
      </c>
      <c r="AH35" s="13" t="s">
        <v>473</v>
      </c>
      <c r="AI35" s="13" t="s">
        <v>469</v>
      </c>
      <c r="AJ35" s="13">
        <v>1</v>
      </c>
      <c r="AK35" s="13">
        <v>2</v>
      </c>
      <c r="AL35" s="13"/>
    </row>
    <row r="36" spans="1:39" ht="16.5" x14ac:dyDescent="0.2">
      <c r="A36" s="13" t="s">
        <v>199</v>
      </c>
      <c r="B36" s="13">
        <v>2</v>
      </c>
      <c r="C36" s="13">
        <v>20</v>
      </c>
      <c r="D36" s="13"/>
      <c r="E36" s="13"/>
      <c r="F36" s="13"/>
      <c r="G36" s="13"/>
      <c r="I36" s="32"/>
      <c r="P36" s="13" t="s">
        <v>439</v>
      </c>
      <c r="Q36" s="13">
        <v>34</v>
      </c>
      <c r="R36" s="13">
        <v>6</v>
      </c>
      <c r="S36" s="13">
        <v>1606040</v>
      </c>
      <c r="T36" s="13">
        <v>3</v>
      </c>
      <c r="U36" s="13">
        <f t="shared" si="8"/>
        <v>3</v>
      </c>
      <c r="V36" s="31">
        <f t="shared" si="0"/>
        <v>0.03</v>
      </c>
      <c r="W36" s="35">
        <v>21</v>
      </c>
      <c r="X36" s="35">
        <f>SUM(W$5:W36)</f>
        <v>624</v>
      </c>
      <c r="Y36" s="14">
        <f t="shared" si="2"/>
        <v>1</v>
      </c>
      <c r="Z36" s="14">
        <f t="shared" si="3"/>
        <v>1</v>
      </c>
      <c r="AA36" s="14">
        <f t="shared" si="4"/>
        <v>1</v>
      </c>
      <c r="AB36" s="13">
        <v>1</v>
      </c>
      <c r="AC36" s="13">
        <v>2</v>
      </c>
      <c r="AD36" s="13">
        <v>3</v>
      </c>
      <c r="AE36" s="13"/>
      <c r="AG36" s="13">
        <v>33</v>
      </c>
      <c r="AH36" s="13" t="s">
        <v>473</v>
      </c>
      <c r="AI36" s="13" t="s">
        <v>508</v>
      </c>
      <c r="AJ36" s="13">
        <v>1</v>
      </c>
      <c r="AK36" s="13"/>
      <c r="AL36" s="13">
        <v>2</v>
      </c>
    </row>
    <row r="37" spans="1:39" ht="16.5" x14ac:dyDescent="0.2">
      <c r="A37" s="13" t="s">
        <v>199</v>
      </c>
      <c r="B37" s="13">
        <v>2</v>
      </c>
      <c r="C37" s="13">
        <v>25</v>
      </c>
      <c r="D37" s="13" t="s">
        <v>63</v>
      </c>
      <c r="E37" s="17">
        <f>INDEX($D$16:$F$22,$B37,MATCH(D37,$D$15:$F$15,0))*0.6</f>
        <v>2.4E-2</v>
      </c>
      <c r="F37" s="13" t="s">
        <v>66</v>
      </c>
      <c r="G37" s="17">
        <f>INDEX($D$16:$F$22,$B37,MATCH(F37,$D$15:$F$15,0))*0.6</f>
        <v>2.4E-2</v>
      </c>
      <c r="I37" s="32"/>
      <c r="P37" s="13" t="s">
        <v>439</v>
      </c>
      <c r="Q37" s="13">
        <v>42</v>
      </c>
      <c r="R37" s="13">
        <v>7</v>
      </c>
      <c r="S37" s="13">
        <v>1606041</v>
      </c>
      <c r="T37" s="13">
        <v>4</v>
      </c>
      <c r="U37" s="13">
        <f t="shared" si="8"/>
        <v>5</v>
      </c>
      <c r="V37" s="31">
        <f t="shared" si="0"/>
        <v>0.05</v>
      </c>
      <c r="W37" s="35">
        <v>21</v>
      </c>
      <c r="X37" s="35">
        <f>SUM(W$5:W37)</f>
        <v>645</v>
      </c>
      <c r="Y37" s="14">
        <f t="shared" si="2"/>
        <v>2</v>
      </c>
      <c r="Z37" s="14">
        <f t="shared" si="3"/>
        <v>2</v>
      </c>
      <c r="AA37" s="14">
        <f t="shared" si="4"/>
        <v>0</v>
      </c>
      <c r="AB37" s="13">
        <v>1</v>
      </c>
      <c r="AC37" s="13">
        <v>2</v>
      </c>
      <c r="AD37" s="13"/>
      <c r="AE37" s="13">
        <v>1</v>
      </c>
      <c r="AG37" s="13">
        <v>34</v>
      </c>
      <c r="AH37" s="13" t="s">
        <v>473</v>
      </c>
      <c r="AI37" s="13" t="s">
        <v>509</v>
      </c>
      <c r="AJ37" s="13">
        <v>1</v>
      </c>
      <c r="AK37" s="13">
        <v>1</v>
      </c>
      <c r="AL37" s="13">
        <v>1</v>
      </c>
    </row>
    <row r="38" spans="1:39" ht="16.5" x14ac:dyDescent="0.2">
      <c r="A38" s="13" t="s">
        <v>199</v>
      </c>
      <c r="B38" s="13">
        <v>2</v>
      </c>
      <c r="C38" s="13">
        <v>30</v>
      </c>
      <c r="D38" s="13"/>
      <c r="E38" s="13"/>
      <c r="F38" s="13"/>
      <c r="G38" s="13"/>
      <c r="I38" s="32"/>
      <c r="P38" s="13" t="s">
        <v>439</v>
      </c>
      <c r="Q38" s="13">
        <v>43</v>
      </c>
      <c r="R38" s="13">
        <v>8</v>
      </c>
      <c r="S38" s="13">
        <v>1606042</v>
      </c>
      <c r="T38" s="13">
        <v>4</v>
      </c>
      <c r="U38" s="13">
        <f t="shared" si="8"/>
        <v>5</v>
      </c>
      <c r="V38" s="31">
        <f t="shared" si="0"/>
        <v>0.05</v>
      </c>
      <c r="W38" s="35">
        <v>21</v>
      </c>
      <c r="X38" s="35">
        <f>SUM(W$5:W38)</f>
        <v>666</v>
      </c>
      <c r="Y38" s="14">
        <f t="shared" si="2"/>
        <v>0</v>
      </c>
      <c r="Z38" s="14">
        <f t="shared" si="3"/>
        <v>2</v>
      </c>
      <c r="AA38" s="14">
        <f t="shared" si="4"/>
        <v>2</v>
      </c>
      <c r="AB38" s="13">
        <v>2</v>
      </c>
      <c r="AC38" s="13">
        <v>3</v>
      </c>
      <c r="AD38" s="13"/>
      <c r="AE38" s="13">
        <v>1</v>
      </c>
      <c r="AG38" s="13">
        <v>35</v>
      </c>
      <c r="AH38" s="13" t="s">
        <v>473</v>
      </c>
      <c r="AI38" s="13" t="s">
        <v>510</v>
      </c>
      <c r="AJ38" s="13">
        <v>2</v>
      </c>
      <c r="AK38" s="13">
        <v>1</v>
      </c>
      <c r="AL38" s="13"/>
    </row>
    <row r="39" spans="1:39" ht="16.5" x14ac:dyDescent="0.2">
      <c r="A39" s="13" t="s">
        <v>183</v>
      </c>
      <c r="B39" s="13">
        <v>3</v>
      </c>
      <c r="C39" s="13">
        <v>5</v>
      </c>
      <c r="D39" s="13" t="s">
        <v>60</v>
      </c>
      <c r="E39" s="17">
        <f>INDEX($D$16:$F$22,$B39,MATCH(D39,$D$15:$F$15,0))*0.4</f>
        <v>2.4E-2</v>
      </c>
      <c r="F39" s="13" t="s">
        <v>66</v>
      </c>
      <c r="G39" s="17">
        <f>INDEX($D$16:$F$22,$B39,MATCH(F39,$D$15:$F$15,0))*0.4</f>
        <v>2.4E-2</v>
      </c>
      <c r="I39" s="32"/>
      <c r="P39" s="13" t="s">
        <v>440</v>
      </c>
      <c r="Q39" s="13">
        <v>21</v>
      </c>
      <c r="R39" s="13">
        <v>1</v>
      </c>
      <c r="S39" s="13">
        <v>1606043</v>
      </c>
      <c r="T39" s="13">
        <v>2</v>
      </c>
      <c r="U39" s="13">
        <f t="shared" si="8"/>
        <v>2</v>
      </c>
      <c r="V39" s="31">
        <f t="shared" si="0"/>
        <v>0.02</v>
      </c>
      <c r="W39" s="35">
        <v>21</v>
      </c>
      <c r="X39" s="35">
        <f>SUM(W$5:W39)</f>
        <v>687</v>
      </c>
      <c r="Y39" s="14">
        <f t="shared" si="2"/>
        <v>1</v>
      </c>
      <c r="Z39" s="14">
        <f t="shared" si="3"/>
        <v>0</v>
      </c>
      <c r="AA39" s="14">
        <f t="shared" si="4"/>
        <v>2</v>
      </c>
      <c r="AB39" s="13">
        <v>1</v>
      </c>
      <c r="AC39" s="13">
        <v>3</v>
      </c>
      <c r="AD39" s="13"/>
      <c r="AE39" s="13"/>
      <c r="AG39" s="13">
        <v>36</v>
      </c>
      <c r="AH39" s="13" t="s">
        <v>473</v>
      </c>
      <c r="AI39" s="13" t="s">
        <v>511</v>
      </c>
      <c r="AJ39" s="13"/>
      <c r="AK39" s="13">
        <v>2</v>
      </c>
      <c r="AL39" s="13">
        <v>1</v>
      </c>
    </row>
    <row r="40" spans="1:39" ht="16.5" x14ac:dyDescent="0.2">
      <c r="A40" s="13" t="s">
        <v>183</v>
      </c>
      <c r="B40" s="13">
        <v>3</v>
      </c>
      <c r="C40" s="13">
        <v>10</v>
      </c>
      <c r="D40" s="13"/>
      <c r="E40" s="13"/>
      <c r="F40" s="13"/>
      <c r="G40" s="13"/>
      <c r="I40" s="32"/>
      <c r="P40" s="13" t="s">
        <v>440</v>
      </c>
      <c r="Q40" s="13">
        <v>22</v>
      </c>
      <c r="R40" s="13">
        <v>2</v>
      </c>
      <c r="S40" s="13">
        <v>1606044</v>
      </c>
      <c r="T40" s="13">
        <v>2</v>
      </c>
      <c r="U40" s="13">
        <f t="shared" si="8"/>
        <v>2</v>
      </c>
      <c r="V40" s="31">
        <f t="shared" si="0"/>
        <v>0.02</v>
      </c>
      <c r="W40" s="35">
        <v>21</v>
      </c>
      <c r="X40" s="35">
        <f>SUM(W$5:W40)</f>
        <v>708</v>
      </c>
      <c r="Y40" s="14">
        <f t="shared" si="2"/>
        <v>2</v>
      </c>
      <c r="Z40" s="14">
        <f t="shared" si="3"/>
        <v>1</v>
      </c>
      <c r="AA40" s="14">
        <f t="shared" si="4"/>
        <v>0</v>
      </c>
      <c r="AB40" s="13">
        <v>1</v>
      </c>
      <c r="AC40" s="13">
        <v>2</v>
      </c>
      <c r="AD40" s="13"/>
      <c r="AE40" s="13"/>
      <c r="AG40" s="13">
        <v>37</v>
      </c>
      <c r="AH40" s="13" t="s">
        <v>473</v>
      </c>
      <c r="AI40" s="13" t="s">
        <v>512</v>
      </c>
      <c r="AJ40" s="13">
        <v>1</v>
      </c>
      <c r="AK40" s="13">
        <v>1</v>
      </c>
      <c r="AL40" s="13">
        <v>1</v>
      </c>
    </row>
    <row r="41" spans="1:39" ht="16.5" x14ac:dyDescent="0.2">
      <c r="A41" s="13" t="s">
        <v>183</v>
      </c>
      <c r="B41" s="13">
        <v>3</v>
      </c>
      <c r="C41" s="13">
        <v>15</v>
      </c>
      <c r="D41" s="13" t="s">
        <v>60</v>
      </c>
      <c r="E41" s="17">
        <f>INDEX($D$16:$F$22,$B41,MATCH(D41,$D$15:$F$15,0))*0.6</f>
        <v>3.5999999999999997E-2</v>
      </c>
      <c r="F41" s="13" t="s">
        <v>63</v>
      </c>
      <c r="G41" s="17">
        <f>INDEX($D$16:$F$22,$B41,MATCH(F41,$D$15:$F$15,0))*0.4</f>
        <v>2.4E-2</v>
      </c>
      <c r="I41" s="32"/>
      <c r="P41" s="13" t="s">
        <v>440</v>
      </c>
      <c r="Q41" s="13">
        <v>23</v>
      </c>
      <c r="R41" s="13">
        <v>3</v>
      </c>
      <c r="S41" s="13">
        <v>1606045</v>
      </c>
      <c r="T41" s="13">
        <v>2</v>
      </c>
      <c r="U41" s="13">
        <f t="shared" si="8"/>
        <v>2</v>
      </c>
      <c r="V41" s="31">
        <f t="shared" si="0"/>
        <v>0.02</v>
      </c>
      <c r="W41" s="35">
        <v>21</v>
      </c>
      <c r="X41" s="35">
        <f>SUM(W$5:W41)</f>
        <v>729</v>
      </c>
      <c r="Y41" s="14">
        <f t="shared" si="2"/>
        <v>1</v>
      </c>
      <c r="Z41" s="14">
        <f t="shared" si="3"/>
        <v>1</v>
      </c>
      <c r="AA41" s="14">
        <f t="shared" si="4"/>
        <v>1</v>
      </c>
      <c r="AB41" s="13">
        <v>1</v>
      </c>
      <c r="AC41" s="13">
        <v>2</v>
      </c>
      <c r="AD41" s="13">
        <v>3</v>
      </c>
      <c r="AE41" s="13"/>
      <c r="AG41" s="13">
        <v>38</v>
      </c>
    </row>
    <row r="42" spans="1:39" ht="16.5" x14ac:dyDescent="0.2">
      <c r="A42" s="13" t="s">
        <v>183</v>
      </c>
      <c r="B42" s="13">
        <v>3</v>
      </c>
      <c r="C42" s="13">
        <v>20</v>
      </c>
      <c r="D42" s="13"/>
      <c r="E42" s="13"/>
      <c r="F42" s="13"/>
      <c r="G42" s="13"/>
      <c r="I42" s="32"/>
      <c r="P42" s="13" t="s">
        <v>440</v>
      </c>
      <c r="Q42" s="13">
        <v>35</v>
      </c>
      <c r="R42" s="13">
        <v>4</v>
      </c>
      <c r="S42" s="13">
        <v>1606046</v>
      </c>
      <c r="T42" s="13">
        <v>3</v>
      </c>
      <c r="U42" s="13">
        <f t="shared" si="8"/>
        <v>3</v>
      </c>
      <c r="V42" s="31">
        <f t="shared" si="0"/>
        <v>0.03</v>
      </c>
      <c r="W42" s="35">
        <v>21</v>
      </c>
      <c r="X42" s="35">
        <f>SUM(W$5:W42)</f>
        <v>750</v>
      </c>
      <c r="Y42" s="14">
        <f t="shared" si="2"/>
        <v>2</v>
      </c>
      <c r="Z42" s="14">
        <f t="shared" si="3"/>
        <v>1</v>
      </c>
      <c r="AA42" s="14">
        <f t="shared" si="4"/>
        <v>0</v>
      </c>
      <c r="AB42" s="13">
        <v>1</v>
      </c>
      <c r="AC42" s="13">
        <v>2</v>
      </c>
      <c r="AD42" s="13"/>
      <c r="AE42" s="13"/>
      <c r="AG42" s="13">
        <v>39</v>
      </c>
      <c r="AH42" s="13" t="s">
        <v>477</v>
      </c>
      <c r="AI42" s="13" t="s">
        <v>475</v>
      </c>
      <c r="AJ42" s="13">
        <v>3</v>
      </c>
      <c r="AK42" s="13"/>
      <c r="AL42" s="13"/>
      <c r="AM42" s="20">
        <v>2</v>
      </c>
    </row>
    <row r="43" spans="1:39" ht="16.5" x14ac:dyDescent="0.2">
      <c r="A43" s="13" t="s">
        <v>183</v>
      </c>
      <c r="B43" s="13">
        <v>3</v>
      </c>
      <c r="C43" s="13">
        <v>25</v>
      </c>
      <c r="D43" s="13" t="s">
        <v>63</v>
      </c>
      <c r="E43" s="17">
        <f>INDEX($D$16:$F$22,$B43,MATCH(D43,$D$15:$F$15,0))*0.6</f>
        <v>3.5999999999999997E-2</v>
      </c>
      <c r="F43" s="13" t="s">
        <v>66</v>
      </c>
      <c r="G43" s="17">
        <f>INDEX($D$16:$F$22,$B43,MATCH(F43,$D$15:$F$15,0))*0.6</f>
        <v>3.5999999999999997E-2</v>
      </c>
      <c r="I43" s="32"/>
      <c r="P43" s="13" t="s">
        <v>440</v>
      </c>
      <c r="Q43" s="13">
        <v>36</v>
      </c>
      <c r="R43" s="13">
        <v>5</v>
      </c>
      <c r="S43" s="13">
        <v>1606047</v>
      </c>
      <c r="T43" s="13">
        <v>3</v>
      </c>
      <c r="U43" s="13">
        <f t="shared" si="8"/>
        <v>3</v>
      </c>
      <c r="V43" s="31">
        <f t="shared" si="0"/>
        <v>0.03</v>
      </c>
      <c r="W43" s="35">
        <v>21</v>
      </c>
      <c r="X43" s="35">
        <f>SUM(W$5:W43)</f>
        <v>771</v>
      </c>
      <c r="Y43" s="14">
        <f t="shared" si="2"/>
        <v>0</v>
      </c>
      <c r="Z43" s="14">
        <f t="shared" si="3"/>
        <v>2</v>
      </c>
      <c r="AA43" s="14">
        <f t="shared" si="4"/>
        <v>1</v>
      </c>
      <c r="AB43" s="13">
        <v>2</v>
      </c>
      <c r="AC43" s="13">
        <v>3</v>
      </c>
      <c r="AD43" s="13"/>
      <c r="AE43" s="13"/>
      <c r="AG43" s="13">
        <v>40</v>
      </c>
      <c r="AH43" s="13" t="s">
        <v>477</v>
      </c>
      <c r="AI43" s="13" t="s">
        <v>513</v>
      </c>
      <c r="AJ43" s="13"/>
      <c r="AK43" s="13"/>
      <c r="AL43" s="13">
        <v>3</v>
      </c>
      <c r="AM43" s="20">
        <v>2</v>
      </c>
    </row>
    <row r="44" spans="1:39" ht="16.5" x14ac:dyDescent="0.2">
      <c r="A44" s="13" t="s">
        <v>183</v>
      </c>
      <c r="B44" s="13">
        <v>3</v>
      </c>
      <c r="C44" s="13">
        <v>30</v>
      </c>
      <c r="D44" s="13"/>
      <c r="E44" s="13"/>
      <c r="F44" s="13"/>
      <c r="G44" s="13"/>
      <c r="I44" s="32"/>
      <c r="P44" s="13" t="s">
        <v>440</v>
      </c>
      <c r="Q44" s="13">
        <v>37</v>
      </c>
      <c r="R44" s="13">
        <v>6</v>
      </c>
      <c r="S44" s="13">
        <v>1606048</v>
      </c>
      <c r="T44" s="13">
        <v>3</v>
      </c>
      <c r="U44" s="13">
        <f t="shared" si="8"/>
        <v>3</v>
      </c>
      <c r="V44" s="31">
        <f t="shared" si="0"/>
        <v>0.03</v>
      </c>
      <c r="W44" s="35">
        <v>21</v>
      </c>
      <c r="X44" s="35">
        <f>SUM(W$5:W44)</f>
        <v>792</v>
      </c>
      <c r="Y44" s="14">
        <f t="shared" si="2"/>
        <v>1</v>
      </c>
      <c r="Z44" s="14">
        <f t="shared" si="3"/>
        <v>1</v>
      </c>
      <c r="AA44" s="14">
        <f t="shared" si="4"/>
        <v>1</v>
      </c>
      <c r="AB44" s="13">
        <v>1</v>
      </c>
      <c r="AC44" s="13">
        <v>2</v>
      </c>
      <c r="AD44" s="13">
        <v>3</v>
      </c>
      <c r="AE44" s="13"/>
      <c r="AG44" s="13">
        <v>41</v>
      </c>
      <c r="AH44" s="13" t="s">
        <v>477</v>
      </c>
      <c r="AI44" s="13" t="s">
        <v>476</v>
      </c>
      <c r="AJ44" s="13"/>
      <c r="AK44" s="13">
        <v>3</v>
      </c>
      <c r="AL44" s="13"/>
      <c r="AM44" s="20">
        <v>2</v>
      </c>
    </row>
    <row r="45" spans="1:39" ht="16.5" x14ac:dyDescent="0.2">
      <c r="A45" s="13" t="s">
        <v>184</v>
      </c>
      <c r="B45" s="13">
        <v>4</v>
      </c>
      <c r="C45" s="13">
        <v>5</v>
      </c>
      <c r="D45" s="13" t="s">
        <v>60</v>
      </c>
      <c r="E45" s="17">
        <f>INDEX($D$16:$F$22,$B45,MATCH(D45,$D$15:$F$15,0))*0.4</f>
        <v>2.4E-2</v>
      </c>
      <c r="F45" s="13" t="s">
        <v>66</v>
      </c>
      <c r="G45" s="17">
        <f>INDEX($D$16:$F$22,$B45,MATCH(F45,$D$15:$F$15,0))*0.4</f>
        <v>2.4E-2</v>
      </c>
      <c r="I45" s="32"/>
      <c r="P45" s="13" t="s">
        <v>440</v>
      </c>
      <c r="Q45" s="13">
        <v>44</v>
      </c>
      <c r="R45" s="13">
        <v>7</v>
      </c>
      <c r="S45" s="13">
        <v>1606049</v>
      </c>
      <c r="T45" s="13">
        <v>4</v>
      </c>
      <c r="U45" s="13">
        <f t="shared" si="8"/>
        <v>5</v>
      </c>
      <c r="V45" s="31">
        <f t="shared" si="0"/>
        <v>0.05</v>
      </c>
      <c r="W45" s="35">
        <v>21</v>
      </c>
      <c r="X45" s="35">
        <f>SUM(W$5:W45)</f>
        <v>813</v>
      </c>
      <c r="Y45" s="14">
        <f t="shared" si="2"/>
        <v>2</v>
      </c>
      <c r="Z45" s="14">
        <f t="shared" si="3"/>
        <v>0</v>
      </c>
      <c r="AA45" s="14">
        <f t="shared" si="4"/>
        <v>2</v>
      </c>
      <c r="AB45" s="13">
        <v>1</v>
      </c>
      <c r="AC45" s="13">
        <v>3</v>
      </c>
      <c r="AD45" s="13"/>
      <c r="AE45" s="13">
        <v>1</v>
      </c>
      <c r="AG45" s="13">
        <v>42</v>
      </c>
      <c r="AH45" s="13" t="s">
        <v>477</v>
      </c>
      <c r="AI45" s="13" t="s">
        <v>478</v>
      </c>
      <c r="AJ45" s="13">
        <v>2</v>
      </c>
      <c r="AK45" s="13">
        <v>2</v>
      </c>
      <c r="AL45" s="13"/>
      <c r="AM45" s="33">
        <v>1</v>
      </c>
    </row>
    <row r="46" spans="1:39" ht="16.5" x14ac:dyDescent="0.2">
      <c r="A46" s="13" t="s">
        <v>184</v>
      </c>
      <c r="B46" s="13">
        <v>4</v>
      </c>
      <c r="C46" s="13">
        <v>10</v>
      </c>
      <c r="D46" s="13"/>
      <c r="E46" s="13"/>
      <c r="F46" s="13"/>
      <c r="G46" s="13"/>
      <c r="I46" s="32"/>
      <c r="P46" s="13" t="s">
        <v>440</v>
      </c>
      <c r="Q46" s="13">
        <v>45</v>
      </c>
      <c r="R46" s="13">
        <v>8</v>
      </c>
      <c r="S46" s="13">
        <v>1606050</v>
      </c>
      <c r="T46" s="13">
        <v>4</v>
      </c>
      <c r="U46" s="13">
        <f t="shared" si="8"/>
        <v>5</v>
      </c>
      <c r="V46" s="31">
        <f t="shared" si="0"/>
        <v>0.05</v>
      </c>
      <c r="W46" s="35">
        <v>21</v>
      </c>
      <c r="X46" s="35">
        <f>SUM(W$5:W46)</f>
        <v>834</v>
      </c>
      <c r="Y46" s="14">
        <f t="shared" si="2"/>
        <v>1</v>
      </c>
      <c r="Z46" s="14">
        <f t="shared" si="3"/>
        <v>0</v>
      </c>
      <c r="AA46" s="14">
        <f t="shared" si="4"/>
        <v>1</v>
      </c>
      <c r="AB46" s="13">
        <v>1</v>
      </c>
      <c r="AC46" s="13">
        <v>3</v>
      </c>
      <c r="AD46" s="13"/>
      <c r="AE46" s="13">
        <v>3</v>
      </c>
      <c r="AG46" s="13">
        <v>43</v>
      </c>
      <c r="AH46" s="13" t="s">
        <v>477</v>
      </c>
      <c r="AI46" s="13" t="s">
        <v>479</v>
      </c>
      <c r="AJ46" s="13"/>
      <c r="AK46" s="13">
        <v>2</v>
      </c>
      <c r="AL46" s="13">
        <v>2</v>
      </c>
      <c r="AM46" s="33">
        <v>1</v>
      </c>
    </row>
    <row r="47" spans="1:39" ht="16.5" x14ac:dyDescent="0.2">
      <c r="A47" s="13" t="s">
        <v>184</v>
      </c>
      <c r="B47" s="13">
        <v>4</v>
      </c>
      <c r="C47" s="13">
        <v>15</v>
      </c>
      <c r="D47" s="13" t="s">
        <v>60</v>
      </c>
      <c r="E47" s="17">
        <f>INDEX($D$16:$F$22,$B47,MATCH(D47,$D$15:$F$15,0))*0.6</f>
        <v>3.5999999999999997E-2</v>
      </c>
      <c r="F47" s="13" t="s">
        <v>63</v>
      </c>
      <c r="G47" s="17">
        <f>INDEX($D$16:$F$22,$B47,MATCH(F47,$D$15:$F$15,0))*0.4</f>
        <v>2.4E-2</v>
      </c>
      <c r="I47" s="32"/>
      <c r="AG47" s="13">
        <v>44</v>
      </c>
      <c r="AH47" s="13" t="s">
        <v>477</v>
      </c>
      <c r="AI47" s="13" t="s">
        <v>480</v>
      </c>
      <c r="AJ47" s="13">
        <v>2</v>
      </c>
      <c r="AK47" s="13"/>
      <c r="AL47" s="13">
        <v>2</v>
      </c>
      <c r="AM47" s="20">
        <v>1</v>
      </c>
    </row>
    <row r="48" spans="1:39" ht="16.5" x14ac:dyDescent="0.2">
      <c r="A48" s="13" t="s">
        <v>184</v>
      </c>
      <c r="B48" s="13">
        <v>4</v>
      </c>
      <c r="C48" s="13">
        <v>20</v>
      </c>
      <c r="D48" s="13"/>
      <c r="E48" s="13"/>
      <c r="F48" s="13"/>
      <c r="G48" s="13"/>
      <c r="I48" s="32"/>
      <c r="AG48" s="13">
        <v>45</v>
      </c>
      <c r="AH48" s="13" t="s">
        <v>477</v>
      </c>
      <c r="AI48" s="13" t="s">
        <v>481</v>
      </c>
      <c r="AJ48" s="13">
        <v>1</v>
      </c>
      <c r="AK48" s="13"/>
      <c r="AL48" s="13">
        <v>1</v>
      </c>
      <c r="AM48" s="34">
        <v>3</v>
      </c>
    </row>
    <row r="49" spans="1:33" ht="16.5" x14ac:dyDescent="0.2">
      <c r="A49" s="13" t="s">
        <v>184</v>
      </c>
      <c r="B49" s="13">
        <v>4</v>
      </c>
      <c r="C49" s="13">
        <v>25</v>
      </c>
      <c r="D49" s="13" t="s">
        <v>63</v>
      </c>
      <c r="E49" s="17">
        <f>INDEX($D$16:$F$22,$B49,MATCH(D49,$D$15:$F$15,0))*0.6</f>
        <v>3.5999999999999997E-2</v>
      </c>
      <c r="F49" s="13" t="s">
        <v>66</v>
      </c>
      <c r="G49" s="17">
        <f>INDEX($D$16:$F$22,$B49,MATCH(F49,$D$15:$F$15,0))*0.6</f>
        <v>3.5999999999999997E-2</v>
      </c>
      <c r="I49" s="32"/>
    </row>
    <row r="50" spans="1:33" ht="16.5" x14ac:dyDescent="0.2">
      <c r="A50" s="13" t="s">
        <v>184</v>
      </c>
      <c r="B50" s="13">
        <v>4</v>
      </c>
      <c r="C50" s="13">
        <v>30</v>
      </c>
      <c r="D50" s="13"/>
      <c r="E50" s="13"/>
      <c r="F50" s="13"/>
      <c r="G50" s="13"/>
      <c r="I50" s="32"/>
    </row>
    <row r="51" spans="1:33" ht="16.5" x14ac:dyDescent="0.2">
      <c r="A51" s="13" t="s">
        <v>185</v>
      </c>
      <c r="B51" s="13">
        <v>5</v>
      </c>
      <c r="C51" s="13">
        <v>5</v>
      </c>
      <c r="D51" s="13" t="s">
        <v>60</v>
      </c>
      <c r="E51" s="17">
        <f>INDEX($D$16:$F$22,$B51,MATCH(D51,$D$15:$F$15,0))*0.4*3</f>
        <v>0.12000000000000002</v>
      </c>
      <c r="F51" s="13" t="s">
        <v>66</v>
      </c>
      <c r="G51" s="17">
        <f>INDEX($D$16:$F$22,$B51,MATCH(F51,$D$15:$F$15,0))*0.4*3</f>
        <v>0.12000000000000002</v>
      </c>
      <c r="I51" s="32"/>
    </row>
    <row r="52" spans="1:33" ht="16.5" x14ac:dyDescent="0.2">
      <c r="A52" s="13" t="s">
        <v>185</v>
      </c>
      <c r="B52" s="13">
        <v>5</v>
      </c>
      <c r="C52" s="13">
        <v>10</v>
      </c>
      <c r="D52" s="13"/>
      <c r="E52" s="13"/>
      <c r="F52" s="13"/>
      <c r="G52" s="13"/>
      <c r="I52" s="32"/>
    </row>
    <row r="53" spans="1:33" ht="16.5" x14ac:dyDescent="0.2">
      <c r="A53" s="13" t="s">
        <v>185</v>
      </c>
      <c r="B53" s="13">
        <v>5</v>
      </c>
      <c r="C53" s="13">
        <v>15</v>
      </c>
      <c r="D53" s="13" t="s">
        <v>60</v>
      </c>
      <c r="E53" s="17">
        <f>INDEX($D$16:$F$22,$B53,MATCH(D53,$D$15:$F$15,0))*0.6*3</f>
        <v>0.18</v>
      </c>
      <c r="F53" s="13" t="s">
        <v>63</v>
      </c>
      <c r="G53" s="17">
        <f>INDEX($D$16:$F$22,$B53,MATCH(F53,$D$15:$F$15,0))*0.4*3</f>
        <v>0.12000000000000002</v>
      </c>
      <c r="I53" s="32"/>
    </row>
    <row r="54" spans="1:33" ht="16.5" x14ac:dyDescent="0.2">
      <c r="A54" s="13" t="s">
        <v>185</v>
      </c>
      <c r="B54" s="13">
        <v>5</v>
      </c>
      <c r="C54" s="13">
        <v>20</v>
      </c>
      <c r="D54" s="13"/>
      <c r="E54" s="13"/>
      <c r="F54" s="13"/>
      <c r="G54" s="13"/>
      <c r="I54" s="32"/>
    </row>
    <row r="55" spans="1:33" ht="16.5" x14ac:dyDescent="0.2">
      <c r="A55" s="13" t="s">
        <v>185</v>
      </c>
      <c r="B55" s="13">
        <v>5</v>
      </c>
      <c r="C55" s="13">
        <v>25</v>
      </c>
      <c r="D55" s="13" t="s">
        <v>63</v>
      </c>
      <c r="E55" s="17">
        <f>INDEX($D$16:$F$22,$B55,MATCH(D55,$D$15:$F$15,0))*0.6*3</f>
        <v>0.18</v>
      </c>
      <c r="F55" s="13" t="s">
        <v>66</v>
      </c>
      <c r="G55" s="17">
        <f>INDEX($D$16:$F$22,$B55,MATCH(F55,$D$15:$F$15,0))*0.6*3</f>
        <v>0.18</v>
      </c>
      <c r="I55" s="32"/>
    </row>
    <row r="56" spans="1:33" ht="17.25" x14ac:dyDescent="0.2">
      <c r="A56" s="13" t="s">
        <v>185</v>
      </c>
      <c r="B56" s="13">
        <v>5</v>
      </c>
      <c r="C56" s="13">
        <v>30</v>
      </c>
      <c r="D56" s="13"/>
      <c r="E56" s="13"/>
      <c r="F56" s="13"/>
      <c r="G56" s="13"/>
      <c r="I56" s="32"/>
      <c r="P56" s="12" t="s">
        <v>205</v>
      </c>
      <c r="Q56" s="12" t="s">
        <v>486</v>
      </c>
      <c r="R56" s="12" t="s">
        <v>487</v>
      </c>
      <c r="S56" s="12" t="s">
        <v>518</v>
      </c>
      <c r="T56" s="12" t="s">
        <v>519</v>
      </c>
      <c r="U56" s="12" t="s">
        <v>488</v>
      </c>
      <c r="V56" s="12" t="s">
        <v>489</v>
      </c>
      <c r="W56" s="12" t="s">
        <v>490</v>
      </c>
      <c r="X56" s="12" t="s">
        <v>497</v>
      </c>
      <c r="Y56" s="12" t="s">
        <v>498</v>
      </c>
      <c r="Z56" s="12" t="s">
        <v>499</v>
      </c>
      <c r="AA56" s="12" t="s">
        <v>491</v>
      </c>
      <c r="AB56" s="12" t="s">
        <v>492</v>
      </c>
      <c r="AC56" s="12" t="s">
        <v>493</v>
      </c>
      <c r="AD56" s="12" t="s">
        <v>494</v>
      </c>
      <c r="AE56" s="12" t="s">
        <v>495</v>
      </c>
      <c r="AF56" s="12" t="s">
        <v>496</v>
      </c>
      <c r="AG56" s="12" t="s">
        <v>501</v>
      </c>
    </row>
    <row r="57" spans="1:33" ht="16.5" x14ac:dyDescent="0.2">
      <c r="A57" s="13" t="s">
        <v>186</v>
      </c>
      <c r="B57" s="13">
        <v>6</v>
      </c>
      <c r="C57" s="13">
        <v>5</v>
      </c>
      <c r="D57" s="13" t="s">
        <v>60</v>
      </c>
      <c r="E57" s="17">
        <f>INDEX($D$16:$F$22,$B57,MATCH(D57,$D$15:$F$15,0))*0.4*3</f>
        <v>0.12000000000000002</v>
      </c>
      <c r="F57" s="13" t="s">
        <v>66</v>
      </c>
      <c r="G57" s="17">
        <f>INDEX($D$16:$F$22,$B57,MATCH(F57,$D$15:$F$15,0))*0.4*3</f>
        <v>0.12000000000000002</v>
      </c>
      <c r="I57" s="32"/>
      <c r="P57" s="13">
        <v>1</v>
      </c>
      <c r="Q57" s="14">
        <f t="shared" ref="Q57:Q120" si="9">MATCH(P57-1,$X$4:$X$46,1)</f>
        <v>1</v>
      </c>
      <c r="R57" s="14">
        <f t="shared" ref="R57:R120" si="10">INDEX($S$5:$S$46,Q57)</f>
        <v>1606003</v>
      </c>
      <c r="S57" s="14" t="str">
        <f>INDEX($P$5:$P$46,Q57)&amp;"碎片"&amp;INDEX($R$5:$R$46,Q57)&amp;"等级"&amp;U57</f>
        <v>神器1碎片1等级1</v>
      </c>
      <c r="T57" s="29" t="s">
        <v>520</v>
      </c>
      <c r="U57" s="14">
        <f t="shared" ref="U57:U120" si="11">P57-INDEX($X$4:$X$46,Q57)</f>
        <v>1</v>
      </c>
      <c r="V57" s="36">
        <f>15%+U57*5%+U57*U57*0.2%</f>
        <v>0.20200000000000001</v>
      </c>
      <c r="W57" s="17">
        <f t="shared" ref="W57:W120" si="12">INDEX($V$5:$V$46,Q57)*V57</f>
        <v>2.0200000000000001E-3</v>
      </c>
      <c r="X57" s="14">
        <f>INDEX(AB$5:AB$46,$Q57)</f>
        <v>1</v>
      </c>
      <c r="Y57" s="14">
        <f>INDEX(AC$5:AC$46,$Q57)</f>
        <v>3</v>
      </c>
      <c r="Z57" s="14">
        <f>INDEX(AD$5:AD$46,$Q57)</f>
        <v>0</v>
      </c>
      <c r="AA57" s="14" t="str">
        <f>INDEX($Y$3:$AA$3,X57)</f>
        <v>AtkExt</v>
      </c>
      <c r="AB57" s="14">
        <f t="shared" ref="AB57:AB120" si="13">INT(INDEX($E$4:$G$4,X57)*W57*INDEX($Y$5:$AA$46,Q57,X57))</f>
        <v>137</v>
      </c>
      <c r="AC57" s="14" t="str">
        <f>IF(Y57&gt;0,INDEX($Y$3:$AA$3,Y57),"[x]")</f>
        <v>HPExt</v>
      </c>
      <c r="AD57" s="14">
        <f>IF(Y57&gt;0,INT(INDEX($E$4:$G$4,Y57)*W57*INDEX($Y$5:$AA$46,Q57,Y57)),"[x]")</f>
        <v>823</v>
      </c>
      <c r="AE57" s="14" t="str">
        <f>IF(Z57&gt;0,INDEX($Y$3:$AA$3,Z57),"[x]")</f>
        <v>[x]</v>
      </c>
      <c r="AF57" s="27" t="str">
        <f>IF(Z57&gt;0,INT(INDEX($E$4:$G$4,Z57)*W57*INDEX($Y$5:$AA$46,Q57,Z57)),"[x]")</f>
        <v>[x]</v>
      </c>
      <c r="AG57" s="27" t="str">
        <f>IF(INDEX($AE$5:$AE$46,Q57)&gt;0,INDEX($AE$5:$AE$46,Q57)*U57,"[x]")</f>
        <v>[x]</v>
      </c>
    </row>
    <row r="58" spans="1:33" ht="16.5" x14ac:dyDescent="0.2">
      <c r="A58" s="13" t="s">
        <v>186</v>
      </c>
      <c r="B58" s="13">
        <v>6</v>
      </c>
      <c r="C58" s="13">
        <v>10</v>
      </c>
      <c r="D58" s="13"/>
      <c r="E58" s="13"/>
      <c r="F58" s="13"/>
      <c r="G58" s="13"/>
      <c r="I58" s="32"/>
      <c r="P58" s="13">
        <v>2</v>
      </c>
      <c r="Q58" s="14">
        <f t="shared" si="9"/>
        <v>1</v>
      </c>
      <c r="R58" s="14">
        <f t="shared" si="10"/>
        <v>1606003</v>
      </c>
      <c r="S58" s="14" t="str">
        <f t="shared" ref="S58:S121" si="14">INDEX($P$5:$P$46,Q58)&amp;"碎片"&amp;INDEX($R$5:$R$46,Q58)&amp;"等级"&amp;U58</f>
        <v>神器1碎片1等级2</v>
      </c>
      <c r="T58" s="29" t="s">
        <v>520</v>
      </c>
      <c r="U58" s="14">
        <f t="shared" si="11"/>
        <v>2</v>
      </c>
      <c r="V58" s="36">
        <f t="shared" ref="V58:V121" si="15">15%+U58*5%+U58*U58*0.2%</f>
        <v>0.25800000000000001</v>
      </c>
      <c r="W58" s="17">
        <f t="shared" si="12"/>
        <v>2.5800000000000003E-3</v>
      </c>
      <c r="X58" s="14">
        <f t="shared" ref="X58:X121" si="16">INDEX($AB$5:$AB$46,Q58)</f>
        <v>1</v>
      </c>
      <c r="Y58" s="14">
        <f t="shared" ref="Y58:Y121" si="17">INDEX(AC$5:AC$46,$Q58)</f>
        <v>3</v>
      </c>
      <c r="Z58" s="14">
        <f t="shared" ref="Z58:Z121" si="18">INDEX(AD$5:AD$46,$Q58)</f>
        <v>0</v>
      </c>
      <c r="AA58" s="14" t="str">
        <f t="shared" ref="AA58:AA121" si="19">INDEX($Y$3:$AA$3,X58)</f>
        <v>AtkExt</v>
      </c>
      <c r="AB58" s="14">
        <f t="shared" si="13"/>
        <v>175</v>
      </c>
      <c r="AC58" s="14" t="str">
        <f t="shared" ref="AC58:AC121" si="20">IF(Y58&gt;0,INDEX($Y$3:$AA$3,Y58),"[x]")</f>
        <v>HPExt</v>
      </c>
      <c r="AD58" s="14">
        <f t="shared" ref="AD58:AD121" si="21">IF(Y58&gt;0,INT(INDEX($E$4:$G$4,Y58)*W58*INDEX($Y$5:$AA$46,Q58,Y58)),"[x]")</f>
        <v>1051</v>
      </c>
      <c r="AE58" s="14" t="str">
        <f t="shared" ref="AE58:AE121" si="22">IF(Z58&gt;0,INDEX($Y$3:$AA$3,Z58),"[x]")</f>
        <v>[x]</v>
      </c>
      <c r="AF58" s="27" t="str">
        <f t="shared" ref="AF58:AF121" si="23">IF(Z58&gt;0,INT(INDEX($E$4:$G$4,Z58)*W58*INDEX($Y$5:$AA$46,Q58,Z58)),"[x]")</f>
        <v>[x]</v>
      </c>
      <c r="AG58" s="27" t="str">
        <f t="shared" ref="AG58:AG121" si="24">IF(INDEX($AE$5:$AE$46,Q58)&gt;0,INDEX($AE$5:$AE$46,Q58)*U58,"[x]")</f>
        <v>[x]</v>
      </c>
    </row>
    <row r="59" spans="1:33" ht="16.5" x14ac:dyDescent="0.2">
      <c r="A59" s="13" t="s">
        <v>186</v>
      </c>
      <c r="B59" s="13">
        <v>6</v>
      </c>
      <c r="C59" s="13">
        <v>15</v>
      </c>
      <c r="D59" s="13" t="s">
        <v>60</v>
      </c>
      <c r="E59" s="17">
        <f>INDEX($D$16:$F$22,$B59,MATCH(D59,$D$15:$F$15,0))*0.6*3</f>
        <v>0.18</v>
      </c>
      <c r="F59" s="13" t="s">
        <v>63</v>
      </c>
      <c r="G59" s="17">
        <f>INDEX($D$16:$F$22,$B59,MATCH(F59,$D$15:$F$15,0))*0.4*3</f>
        <v>0.12000000000000002</v>
      </c>
      <c r="I59" s="32"/>
      <c r="P59" s="13">
        <v>3</v>
      </c>
      <c r="Q59" s="14">
        <f t="shared" si="9"/>
        <v>1</v>
      </c>
      <c r="R59" s="14">
        <f t="shared" si="10"/>
        <v>1606003</v>
      </c>
      <c r="S59" s="14" t="str">
        <f t="shared" si="14"/>
        <v>神器1碎片1等级3</v>
      </c>
      <c r="T59" s="29" t="s">
        <v>520</v>
      </c>
      <c r="U59" s="14">
        <f t="shared" si="11"/>
        <v>3</v>
      </c>
      <c r="V59" s="36">
        <f t="shared" si="15"/>
        <v>0.31800000000000006</v>
      </c>
      <c r="W59" s="17">
        <f t="shared" si="12"/>
        <v>3.1800000000000005E-3</v>
      </c>
      <c r="X59" s="14">
        <f t="shared" si="16"/>
        <v>1</v>
      </c>
      <c r="Y59" s="14">
        <f t="shared" si="17"/>
        <v>3</v>
      </c>
      <c r="Z59" s="14">
        <f t="shared" si="18"/>
        <v>0</v>
      </c>
      <c r="AA59" s="14" t="str">
        <f t="shared" si="19"/>
        <v>AtkExt</v>
      </c>
      <c r="AB59" s="14">
        <f t="shared" si="13"/>
        <v>216</v>
      </c>
      <c r="AC59" s="14" t="str">
        <f t="shared" si="20"/>
        <v>HPExt</v>
      </c>
      <c r="AD59" s="14">
        <f t="shared" si="21"/>
        <v>1296</v>
      </c>
      <c r="AE59" s="14" t="str">
        <f t="shared" si="22"/>
        <v>[x]</v>
      </c>
      <c r="AF59" s="27" t="str">
        <f t="shared" si="23"/>
        <v>[x]</v>
      </c>
      <c r="AG59" s="27" t="str">
        <f t="shared" si="24"/>
        <v>[x]</v>
      </c>
    </row>
    <row r="60" spans="1:33" ht="16.5" x14ac:dyDescent="0.2">
      <c r="A60" s="13" t="s">
        <v>186</v>
      </c>
      <c r="B60" s="13">
        <v>6</v>
      </c>
      <c r="C60" s="13">
        <v>20</v>
      </c>
      <c r="D60" s="13"/>
      <c r="E60" s="13"/>
      <c r="F60" s="13"/>
      <c r="G60" s="13"/>
      <c r="I60" s="32"/>
      <c r="P60" s="13">
        <v>4</v>
      </c>
      <c r="Q60" s="14">
        <f t="shared" si="9"/>
        <v>1</v>
      </c>
      <c r="R60" s="14">
        <f t="shared" si="10"/>
        <v>1606003</v>
      </c>
      <c r="S60" s="14" t="str">
        <f t="shared" si="14"/>
        <v>神器1碎片1等级4</v>
      </c>
      <c r="T60" s="29" t="s">
        <v>520</v>
      </c>
      <c r="U60" s="14">
        <f t="shared" si="11"/>
        <v>4</v>
      </c>
      <c r="V60" s="36">
        <f t="shared" si="15"/>
        <v>0.38200000000000001</v>
      </c>
      <c r="W60" s="17">
        <f t="shared" si="12"/>
        <v>3.82E-3</v>
      </c>
      <c r="X60" s="14">
        <f t="shared" si="16"/>
        <v>1</v>
      </c>
      <c r="Y60" s="14">
        <f t="shared" si="17"/>
        <v>3</v>
      </c>
      <c r="Z60" s="14">
        <f t="shared" si="18"/>
        <v>0</v>
      </c>
      <c r="AA60" s="14" t="str">
        <f t="shared" si="19"/>
        <v>AtkExt</v>
      </c>
      <c r="AB60" s="14">
        <f t="shared" si="13"/>
        <v>259</v>
      </c>
      <c r="AC60" s="14" t="str">
        <f t="shared" si="20"/>
        <v>HPExt</v>
      </c>
      <c r="AD60" s="14">
        <f t="shared" si="21"/>
        <v>1557</v>
      </c>
      <c r="AE60" s="14" t="str">
        <f t="shared" si="22"/>
        <v>[x]</v>
      </c>
      <c r="AF60" s="27" t="str">
        <f t="shared" si="23"/>
        <v>[x]</v>
      </c>
      <c r="AG60" s="27" t="str">
        <f t="shared" si="24"/>
        <v>[x]</v>
      </c>
    </row>
    <row r="61" spans="1:33" ht="16.5" x14ac:dyDescent="0.2">
      <c r="A61" s="13" t="s">
        <v>186</v>
      </c>
      <c r="B61" s="13">
        <v>6</v>
      </c>
      <c r="C61" s="13">
        <v>25</v>
      </c>
      <c r="D61" s="13" t="s">
        <v>63</v>
      </c>
      <c r="E61" s="17">
        <f>INDEX($D$16:$F$22,$B61,MATCH(D61,$D$15:$F$15,0))*0.6*3</f>
        <v>0.18</v>
      </c>
      <c r="F61" s="13" t="s">
        <v>66</v>
      </c>
      <c r="G61" s="17">
        <f>INDEX($D$16:$F$22,$B61,MATCH(F61,$D$15:$F$15,0))*0.6*3</f>
        <v>0.18</v>
      </c>
      <c r="I61" s="32"/>
      <c r="P61" s="13">
        <v>5</v>
      </c>
      <c r="Q61" s="14">
        <f t="shared" si="9"/>
        <v>1</v>
      </c>
      <c r="R61" s="14">
        <f t="shared" si="10"/>
        <v>1606003</v>
      </c>
      <c r="S61" s="14" t="str">
        <f t="shared" si="14"/>
        <v>神器1碎片1等级5</v>
      </c>
      <c r="T61" s="29" t="s">
        <v>520</v>
      </c>
      <c r="U61" s="14">
        <f t="shared" si="11"/>
        <v>5</v>
      </c>
      <c r="V61" s="36">
        <f t="shared" si="15"/>
        <v>0.45</v>
      </c>
      <c r="W61" s="17">
        <f t="shared" si="12"/>
        <v>4.5000000000000005E-3</v>
      </c>
      <c r="X61" s="14">
        <f t="shared" si="16"/>
        <v>1</v>
      </c>
      <c r="Y61" s="14">
        <f t="shared" si="17"/>
        <v>3</v>
      </c>
      <c r="Z61" s="14">
        <f t="shared" si="18"/>
        <v>0</v>
      </c>
      <c r="AA61" s="14" t="str">
        <f t="shared" si="19"/>
        <v>AtkExt</v>
      </c>
      <c r="AB61" s="14">
        <f t="shared" si="13"/>
        <v>305</v>
      </c>
      <c r="AC61" s="14" t="str">
        <f t="shared" si="20"/>
        <v>HPExt</v>
      </c>
      <c r="AD61" s="14">
        <f t="shared" si="21"/>
        <v>1834</v>
      </c>
      <c r="AE61" s="14" t="str">
        <f t="shared" si="22"/>
        <v>[x]</v>
      </c>
      <c r="AF61" s="27" t="str">
        <f t="shared" si="23"/>
        <v>[x]</v>
      </c>
      <c r="AG61" s="27" t="str">
        <f t="shared" si="24"/>
        <v>[x]</v>
      </c>
    </row>
    <row r="62" spans="1:33" ht="16.5" x14ac:dyDescent="0.2">
      <c r="A62" s="13" t="s">
        <v>186</v>
      </c>
      <c r="B62" s="13">
        <v>6</v>
      </c>
      <c r="C62" s="13">
        <v>30</v>
      </c>
      <c r="D62" s="13"/>
      <c r="E62" s="13"/>
      <c r="F62" s="13"/>
      <c r="G62" s="13"/>
      <c r="I62" s="32"/>
      <c r="P62" s="13">
        <v>6</v>
      </c>
      <c r="Q62" s="14">
        <f t="shared" si="9"/>
        <v>1</v>
      </c>
      <c r="R62" s="14">
        <f t="shared" si="10"/>
        <v>1606003</v>
      </c>
      <c r="S62" s="14" t="str">
        <f t="shared" si="14"/>
        <v>神器1碎片1等级6</v>
      </c>
      <c r="T62" s="29" t="s">
        <v>520</v>
      </c>
      <c r="U62" s="14">
        <f t="shared" si="11"/>
        <v>6</v>
      </c>
      <c r="V62" s="36">
        <f t="shared" si="15"/>
        <v>0.52200000000000002</v>
      </c>
      <c r="W62" s="17">
        <f t="shared" si="12"/>
        <v>5.2200000000000007E-3</v>
      </c>
      <c r="X62" s="14">
        <f t="shared" si="16"/>
        <v>1</v>
      </c>
      <c r="Y62" s="14">
        <f t="shared" si="17"/>
        <v>3</v>
      </c>
      <c r="Z62" s="14">
        <f t="shared" si="18"/>
        <v>0</v>
      </c>
      <c r="AA62" s="14" t="str">
        <f t="shared" si="19"/>
        <v>AtkExt</v>
      </c>
      <c r="AB62" s="14">
        <f t="shared" si="13"/>
        <v>354</v>
      </c>
      <c r="AC62" s="14" t="str">
        <f t="shared" si="20"/>
        <v>HPExt</v>
      </c>
      <c r="AD62" s="14">
        <f t="shared" si="21"/>
        <v>2128</v>
      </c>
      <c r="AE62" s="14" t="str">
        <f t="shared" si="22"/>
        <v>[x]</v>
      </c>
      <c r="AF62" s="27" t="str">
        <f t="shared" si="23"/>
        <v>[x]</v>
      </c>
      <c r="AG62" s="27" t="str">
        <f t="shared" si="24"/>
        <v>[x]</v>
      </c>
    </row>
    <row r="63" spans="1:33" ht="16.5" x14ac:dyDescent="0.2">
      <c r="A63" s="13" t="s">
        <v>187</v>
      </c>
      <c r="B63" s="13">
        <v>7</v>
      </c>
      <c r="C63" s="13">
        <v>5</v>
      </c>
      <c r="D63" s="13" t="s">
        <v>60</v>
      </c>
      <c r="E63" s="17">
        <f>INDEX($D$16:$F$22,$B63,MATCH(D63,$D$15:$F$15,0))*0.4*3</f>
        <v>0.12000000000000002</v>
      </c>
      <c r="F63" s="13" t="s">
        <v>66</v>
      </c>
      <c r="G63" s="17">
        <f>INDEX($D$16:$F$22,$B63,MATCH(F63,$D$15:$F$15,0))*0.4*3</f>
        <v>0.12000000000000002</v>
      </c>
      <c r="I63" s="32"/>
      <c r="P63" s="13">
        <v>7</v>
      </c>
      <c r="Q63" s="14">
        <f t="shared" si="9"/>
        <v>1</v>
      </c>
      <c r="R63" s="14">
        <f t="shared" si="10"/>
        <v>1606003</v>
      </c>
      <c r="S63" s="14" t="str">
        <f t="shared" si="14"/>
        <v>神器1碎片1等级7</v>
      </c>
      <c r="T63" s="29" t="s">
        <v>520</v>
      </c>
      <c r="U63" s="14">
        <f t="shared" si="11"/>
        <v>7</v>
      </c>
      <c r="V63" s="36">
        <f t="shared" si="15"/>
        <v>0.59799999999999998</v>
      </c>
      <c r="W63" s="17">
        <f t="shared" si="12"/>
        <v>5.9800000000000001E-3</v>
      </c>
      <c r="X63" s="14">
        <f t="shared" si="16"/>
        <v>1</v>
      </c>
      <c r="Y63" s="14">
        <f t="shared" si="17"/>
        <v>3</v>
      </c>
      <c r="Z63" s="14">
        <f t="shared" si="18"/>
        <v>0</v>
      </c>
      <c r="AA63" s="14" t="str">
        <f t="shared" si="19"/>
        <v>AtkExt</v>
      </c>
      <c r="AB63" s="14">
        <f t="shared" si="13"/>
        <v>406</v>
      </c>
      <c r="AC63" s="14" t="str">
        <f t="shared" si="20"/>
        <v>HPExt</v>
      </c>
      <c r="AD63" s="14">
        <f t="shared" si="21"/>
        <v>2438</v>
      </c>
      <c r="AE63" s="14" t="str">
        <f t="shared" si="22"/>
        <v>[x]</v>
      </c>
      <c r="AF63" s="27" t="str">
        <f t="shared" si="23"/>
        <v>[x]</v>
      </c>
      <c r="AG63" s="27" t="str">
        <f t="shared" si="24"/>
        <v>[x]</v>
      </c>
    </row>
    <row r="64" spans="1:33" ht="16.5" x14ac:dyDescent="0.2">
      <c r="A64" s="13" t="s">
        <v>187</v>
      </c>
      <c r="B64" s="13">
        <v>7</v>
      </c>
      <c r="C64" s="13">
        <v>10</v>
      </c>
      <c r="D64" s="13"/>
      <c r="E64" s="13"/>
      <c r="F64" s="13"/>
      <c r="G64" s="13"/>
      <c r="I64" s="32"/>
      <c r="P64" s="13">
        <v>8</v>
      </c>
      <c r="Q64" s="14">
        <f t="shared" si="9"/>
        <v>1</v>
      </c>
      <c r="R64" s="14">
        <f t="shared" si="10"/>
        <v>1606003</v>
      </c>
      <c r="S64" s="14" t="str">
        <f t="shared" si="14"/>
        <v>神器1碎片1等级8</v>
      </c>
      <c r="T64" s="29" t="s">
        <v>520</v>
      </c>
      <c r="U64" s="14">
        <f t="shared" si="11"/>
        <v>8</v>
      </c>
      <c r="V64" s="36">
        <f t="shared" si="15"/>
        <v>0.67800000000000005</v>
      </c>
      <c r="W64" s="17">
        <f t="shared" si="12"/>
        <v>6.7800000000000004E-3</v>
      </c>
      <c r="X64" s="14">
        <f t="shared" si="16"/>
        <v>1</v>
      </c>
      <c r="Y64" s="14">
        <f t="shared" si="17"/>
        <v>3</v>
      </c>
      <c r="Z64" s="14">
        <f t="shared" si="18"/>
        <v>0</v>
      </c>
      <c r="AA64" s="14" t="str">
        <f t="shared" si="19"/>
        <v>AtkExt</v>
      </c>
      <c r="AB64" s="14">
        <f t="shared" si="13"/>
        <v>460</v>
      </c>
      <c r="AC64" s="14" t="str">
        <f t="shared" si="20"/>
        <v>HPExt</v>
      </c>
      <c r="AD64" s="14">
        <f t="shared" si="21"/>
        <v>2764</v>
      </c>
      <c r="AE64" s="14" t="str">
        <f t="shared" si="22"/>
        <v>[x]</v>
      </c>
      <c r="AF64" s="27" t="str">
        <f t="shared" si="23"/>
        <v>[x]</v>
      </c>
      <c r="AG64" s="27" t="str">
        <f t="shared" si="24"/>
        <v>[x]</v>
      </c>
    </row>
    <row r="65" spans="1:33" ht="16.5" x14ac:dyDescent="0.2">
      <c r="A65" s="13" t="s">
        <v>187</v>
      </c>
      <c r="B65" s="13">
        <v>7</v>
      </c>
      <c r="C65" s="13">
        <v>15</v>
      </c>
      <c r="D65" s="13" t="s">
        <v>60</v>
      </c>
      <c r="E65" s="17">
        <f>INDEX($D$16:$F$22,$B65,MATCH(D65,$D$15:$F$15,0))*0.6*3</f>
        <v>0.18</v>
      </c>
      <c r="F65" s="13" t="s">
        <v>63</v>
      </c>
      <c r="G65" s="17">
        <f>INDEX($D$16:$F$22,$B65,MATCH(F65,$D$15:$F$15,0))*0.4*3</f>
        <v>0.12000000000000002</v>
      </c>
      <c r="I65" s="32"/>
      <c r="P65" s="13">
        <v>9</v>
      </c>
      <c r="Q65" s="14">
        <f t="shared" si="9"/>
        <v>1</v>
      </c>
      <c r="R65" s="14">
        <f t="shared" si="10"/>
        <v>1606003</v>
      </c>
      <c r="S65" s="14" t="str">
        <f t="shared" si="14"/>
        <v>神器1碎片1等级9</v>
      </c>
      <c r="T65" s="29" t="s">
        <v>520</v>
      </c>
      <c r="U65" s="14">
        <f t="shared" si="11"/>
        <v>9</v>
      </c>
      <c r="V65" s="36">
        <f t="shared" si="15"/>
        <v>0.76200000000000001</v>
      </c>
      <c r="W65" s="17">
        <f t="shared" si="12"/>
        <v>7.62E-3</v>
      </c>
      <c r="X65" s="14">
        <f t="shared" si="16"/>
        <v>1</v>
      </c>
      <c r="Y65" s="14">
        <f t="shared" si="17"/>
        <v>3</v>
      </c>
      <c r="Z65" s="14">
        <f t="shared" si="18"/>
        <v>0</v>
      </c>
      <c r="AA65" s="14" t="str">
        <f t="shared" si="19"/>
        <v>AtkExt</v>
      </c>
      <c r="AB65" s="14">
        <f t="shared" si="13"/>
        <v>517</v>
      </c>
      <c r="AC65" s="14" t="str">
        <f t="shared" si="20"/>
        <v>HPExt</v>
      </c>
      <c r="AD65" s="14">
        <f t="shared" si="21"/>
        <v>3107</v>
      </c>
      <c r="AE65" s="14" t="str">
        <f t="shared" si="22"/>
        <v>[x]</v>
      </c>
      <c r="AF65" s="27" t="str">
        <f t="shared" si="23"/>
        <v>[x]</v>
      </c>
      <c r="AG65" s="27" t="str">
        <f t="shared" si="24"/>
        <v>[x]</v>
      </c>
    </row>
    <row r="66" spans="1:33" ht="16.5" x14ac:dyDescent="0.2">
      <c r="A66" s="13" t="s">
        <v>187</v>
      </c>
      <c r="B66" s="13">
        <v>7</v>
      </c>
      <c r="C66" s="13">
        <v>20</v>
      </c>
      <c r="D66" s="13"/>
      <c r="E66" s="13"/>
      <c r="F66" s="13"/>
      <c r="G66" s="13"/>
      <c r="I66" s="32"/>
      <c r="P66" s="13">
        <v>10</v>
      </c>
      <c r="Q66" s="14">
        <f t="shared" si="9"/>
        <v>1</v>
      </c>
      <c r="R66" s="14">
        <f t="shared" si="10"/>
        <v>1606003</v>
      </c>
      <c r="S66" s="14" t="str">
        <f t="shared" si="14"/>
        <v>神器1碎片1等级10</v>
      </c>
      <c r="T66" s="29" t="s">
        <v>520</v>
      </c>
      <c r="U66" s="14">
        <f t="shared" si="11"/>
        <v>10</v>
      </c>
      <c r="V66" s="36">
        <f t="shared" si="15"/>
        <v>0.85000000000000009</v>
      </c>
      <c r="W66" s="17">
        <f t="shared" si="12"/>
        <v>8.5000000000000006E-3</v>
      </c>
      <c r="X66" s="14">
        <f t="shared" si="16"/>
        <v>1</v>
      </c>
      <c r="Y66" s="14">
        <f t="shared" si="17"/>
        <v>3</v>
      </c>
      <c r="Z66" s="14">
        <f t="shared" si="18"/>
        <v>0</v>
      </c>
      <c r="AA66" s="14" t="str">
        <f t="shared" si="19"/>
        <v>AtkExt</v>
      </c>
      <c r="AB66" s="14">
        <f t="shared" si="13"/>
        <v>577</v>
      </c>
      <c r="AC66" s="14" t="str">
        <f t="shared" si="20"/>
        <v>HPExt</v>
      </c>
      <c r="AD66" s="14">
        <f t="shared" si="21"/>
        <v>3465</v>
      </c>
      <c r="AE66" s="14" t="str">
        <f t="shared" si="22"/>
        <v>[x]</v>
      </c>
      <c r="AF66" s="27" t="str">
        <f t="shared" si="23"/>
        <v>[x]</v>
      </c>
      <c r="AG66" s="27" t="str">
        <f t="shared" si="24"/>
        <v>[x]</v>
      </c>
    </row>
    <row r="67" spans="1:33" ht="16.5" x14ac:dyDescent="0.2">
      <c r="A67" s="13" t="s">
        <v>187</v>
      </c>
      <c r="B67" s="13">
        <v>7</v>
      </c>
      <c r="C67" s="13">
        <v>25</v>
      </c>
      <c r="D67" s="13" t="s">
        <v>63</v>
      </c>
      <c r="E67" s="17">
        <f>INDEX($D$16:$F$22,$B67,MATCH(D67,$D$15:$F$15,0))*0.6*3</f>
        <v>0.18</v>
      </c>
      <c r="F67" s="13" t="s">
        <v>66</v>
      </c>
      <c r="G67" s="17">
        <f>INDEX($D$16:$F$22,$B67,MATCH(F67,$D$15:$F$15,0))*0.6*3</f>
        <v>0.18</v>
      </c>
      <c r="I67" s="32"/>
      <c r="P67" s="13">
        <v>11</v>
      </c>
      <c r="Q67" s="14">
        <f t="shared" si="9"/>
        <v>1</v>
      </c>
      <c r="R67" s="14">
        <f t="shared" si="10"/>
        <v>1606003</v>
      </c>
      <c r="S67" s="14" t="str">
        <f t="shared" si="14"/>
        <v>神器1碎片1等级11</v>
      </c>
      <c r="T67" s="29" t="s">
        <v>520</v>
      </c>
      <c r="U67" s="14">
        <f t="shared" si="11"/>
        <v>11</v>
      </c>
      <c r="V67" s="36">
        <f t="shared" si="15"/>
        <v>0.94200000000000006</v>
      </c>
      <c r="W67" s="17">
        <f t="shared" si="12"/>
        <v>9.4200000000000013E-3</v>
      </c>
      <c r="X67" s="14">
        <f t="shared" si="16"/>
        <v>1</v>
      </c>
      <c r="Y67" s="14">
        <f t="shared" si="17"/>
        <v>3</v>
      </c>
      <c r="Z67" s="14">
        <f t="shared" si="18"/>
        <v>0</v>
      </c>
      <c r="AA67" s="14" t="str">
        <f t="shared" si="19"/>
        <v>AtkExt</v>
      </c>
      <c r="AB67" s="14">
        <f t="shared" si="13"/>
        <v>639</v>
      </c>
      <c r="AC67" s="14" t="str">
        <f t="shared" si="20"/>
        <v>HPExt</v>
      </c>
      <c r="AD67" s="14">
        <f t="shared" si="21"/>
        <v>3840</v>
      </c>
      <c r="AE67" s="14" t="str">
        <f t="shared" si="22"/>
        <v>[x]</v>
      </c>
      <c r="AF67" s="27" t="str">
        <f t="shared" si="23"/>
        <v>[x]</v>
      </c>
      <c r="AG67" s="27" t="str">
        <f t="shared" si="24"/>
        <v>[x]</v>
      </c>
    </row>
    <row r="68" spans="1:33" ht="16.5" x14ac:dyDescent="0.2">
      <c r="A68" s="13" t="s">
        <v>187</v>
      </c>
      <c r="B68" s="13">
        <v>7</v>
      </c>
      <c r="C68" s="13">
        <v>30</v>
      </c>
      <c r="D68" s="13"/>
      <c r="E68" s="13"/>
      <c r="F68" s="13"/>
      <c r="G68" s="13"/>
      <c r="I68" s="32"/>
      <c r="P68" s="13">
        <v>12</v>
      </c>
      <c r="Q68" s="14">
        <f t="shared" si="9"/>
        <v>1</v>
      </c>
      <c r="R68" s="14">
        <f t="shared" si="10"/>
        <v>1606003</v>
      </c>
      <c r="S68" s="14" t="str">
        <f t="shared" si="14"/>
        <v>神器1碎片1等级12</v>
      </c>
      <c r="T68" s="29" t="s">
        <v>520</v>
      </c>
      <c r="U68" s="14">
        <f t="shared" si="11"/>
        <v>12</v>
      </c>
      <c r="V68" s="36">
        <f t="shared" si="15"/>
        <v>1.0380000000000003</v>
      </c>
      <c r="W68" s="17">
        <f t="shared" si="12"/>
        <v>1.0380000000000002E-2</v>
      </c>
      <c r="X68" s="14">
        <f t="shared" si="16"/>
        <v>1</v>
      </c>
      <c r="Y68" s="14">
        <f t="shared" si="17"/>
        <v>3</v>
      </c>
      <c r="Z68" s="14">
        <f t="shared" si="18"/>
        <v>0</v>
      </c>
      <c r="AA68" s="14" t="str">
        <f t="shared" si="19"/>
        <v>AtkExt</v>
      </c>
      <c r="AB68" s="14">
        <f t="shared" si="13"/>
        <v>705</v>
      </c>
      <c r="AC68" s="14" t="str">
        <f t="shared" si="20"/>
        <v>HPExt</v>
      </c>
      <c r="AD68" s="14">
        <f t="shared" si="21"/>
        <v>4232</v>
      </c>
      <c r="AE68" s="14" t="str">
        <f t="shared" si="22"/>
        <v>[x]</v>
      </c>
      <c r="AF68" s="27" t="str">
        <f t="shared" si="23"/>
        <v>[x]</v>
      </c>
      <c r="AG68" s="27" t="str">
        <f t="shared" si="24"/>
        <v>[x]</v>
      </c>
    </row>
    <row r="69" spans="1:33" ht="16.5" x14ac:dyDescent="0.2">
      <c r="I69" s="32"/>
      <c r="P69" s="13">
        <v>13</v>
      </c>
      <c r="Q69" s="14">
        <f t="shared" si="9"/>
        <v>1</v>
      </c>
      <c r="R69" s="14">
        <f t="shared" si="10"/>
        <v>1606003</v>
      </c>
      <c r="S69" s="14" t="str">
        <f t="shared" si="14"/>
        <v>神器1碎片1等级13</v>
      </c>
      <c r="T69" s="29" t="s">
        <v>520</v>
      </c>
      <c r="U69" s="14">
        <f t="shared" si="11"/>
        <v>13</v>
      </c>
      <c r="V69" s="36">
        <f t="shared" si="15"/>
        <v>1.1380000000000001</v>
      </c>
      <c r="W69" s="17">
        <f t="shared" si="12"/>
        <v>1.1380000000000001E-2</v>
      </c>
      <c r="X69" s="14">
        <f t="shared" si="16"/>
        <v>1</v>
      </c>
      <c r="Y69" s="14">
        <f t="shared" si="17"/>
        <v>3</v>
      </c>
      <c r="Z69" s="14">
        <f t="shared" si="18"/>
        <v>0</v>
      </c>
      <c r="AA69" s="14" t="str">
        <f t="shared" si="19"/>
        <v>AtkExt</v>
      </c>
      <c r="AB69" s="14">
        <f t="shared" si="13"/>
        <v>773</v>
      </c>
      <c r="AC69" s="14" t="str">
        <f t="shared" si="20"/>
        <v>HPExt</v>
      </c>
      <c r="AD69" s="14">
        <f t="shared" si="21"/>
        <v>4640</v>
      </c>
      <c r="AE69" s="14" t="str">
        <f t="shared" si="22"/>
        <v>[x]</v>
      </c>
      <c r="AF69" s="27" t="str">
        <f t="shared" si="23"/>
        <v>[x]</v>
      </c>
      <c r="AG69" s="27" t="str">
        <f t="shared" si="24"/>
        <v>[x]</v>
      </c>
    </row>
    <row r="70" spans="1:33" ht="16.5" x14ac:dyDescent="0.2">
      <c r="I70" s="32"/>
      <c r="P70" s="13">
        <v>14</v>
      </c>
      <c r="Q70" s="14">
        <f t="shared" si="9"/>
        <v>1</v>
      </c>
      <c r="R70" s="14">
        <f t="shared" si="10"/>
        <v>1606003</v>
      </c>
      <c r="S70" s="14" t="str">
        <f t="shared" si="14"/>
        <v>神器1碎片1等级14</v>
      </c>
      <c r="T70" s="29" t="s">
        <v>520</v>
      </c>
      <c r="U70" s="14">
        <f t="shared" si="11"/>
        <v>14</v>
      </c>
      <c r="V70" s="36">
        <f t="shared" si="15"/>
        <v>1.242</v>
      </c>
      <c r="W70" s="17">
        <f t="shared" si="12"/>
        <v>1.242E-2</v>
      </c>
      <c r="X70" s="14">
        <f t="shared" si="16"/>
        <v>1</v>
      </c>
      <c r="Y70" s="14">
        <f t="shared" si="17"/>
        <v>3</v>
      </c>
      <c r="Z70" s="14">
        <f t="shared" si="18"/>
        <v>0</v>
      </c>
      <c r="AA70" s="14" t="str">
        <f t="shared" si="19"/>
        <v>AtkExt</v>
      </c>
      <c r="AB70" s="14">
        <f t="shared" si="13"/>
        <v>843</v>
      </c>
      <c r="AC70" s="14" t="str">
        <f t="shared" si="20"/>
        <v>HPExt</v>
      </c>
      <c r="AD70" s="14">
        <f t="shared" si="21"/>
        <v>5064</v>
      </c>
      <c r="AE70" s="14" t="str">
        <f t="shared" si="22"/>
        <v>[x]</v>
      </c>
      <c r="AF70" s="27" t="str">
        <f t="shared" si="23"/>
        <v>[x]</v>
      </c>
      <c r="AG70" s="27" t="str">
        <f t="shared" si="24"/>
        <v>[x]</v>
      </c>
    </row>
    <row r="71" spans="1:33" ht="16.5" x14ac:dyDescent="0.2">
      <c r="I71" s="32"/>
      <c r="P71" s="13">
        <v>15</v>
      </c>
      <c r="Q71" s="14">
        <f t="shared" si="9"/>
        <v>1</v>
      </c>
      <c r="R71" s="14">
        <f t="shared" si="10"/>
        <v>1606003</v>
      </c>
      <c r="S71" s="14" t="str">
        <f t="shared" si="14"/>
        <v>神器1碎片1等级15</v>
      </c>
      <c r="T71" s="29" t="s">
        <v>520</v>
      </c>
      <c r="U71" s="14">
        <f t="shared" si="11"/>
        <v>15</v>
      </c>
      <c r="V71" s="36">
        <f t="shared" si="15"/>
        <v>1.35</v>
      </c>
      <c r="W71" s="17">
        <f t="shared" si="12"/>
        <v>1.3500000000000002E-2</v>
      </c>
      <c r="X71" s="14">
        <f t="shared" si="16"/>
        <v>1</v>
      </c>
      <c r="Y71" s="14">
        <f t="shared" si="17"/>
        <v>3</v>
      </c>
      <c r="Z71" s="14">
        <f t="shared" si="18"/>
        <v>0</v>
      </c>
      <c r="AA71" s="14" t="str">
        <f t="shared" si="19"/>
        <v>AtkExt</v>
      </c>
      <c r="AB71" s="14">
        <f t="shared" si="13"/>
        <v>917</v>
      </c>
      <c r="AC71" s="14" t="str">
        <f t="shared" si="20"/>
        <v>HPExt</v>
      </c>
      <c r="AD71" s="14">
        <f t="shared" si="21"/>
        <v>5504</v>
      </c>
      <c r="AE71" s="14" t="str">
        <f t="shared" si="22"/>
        <v>[x]</v>
      </c>
      <c r="AF71" s="27" t="str">
        <f t="shared" si="23"/>
        <v>[x]</v>
      </c>
      <c r="AG71" s="27" t="str">
        <f t="shared" si="24"/>
        <v>[x]</v>
      </c>
    </row>
    <row r="72" spans="1:33" ht="16.5" x14ac:dyDescent="0.2">
      <c r="I72" s="32"/>
      <c r="P72" s="13">
        <v>16</v>
      </c>
      <c r="Q72" s="14">
        <f t="shared" si="9"/>
        <v>2</v>
      </c>
      <c r="R72" s="14">
        <f t="shared" si="10"/>
        <v>1606004</v>
      </c>
      <c r="S72" s="14" t="str">
        <f t="shared" si="14"/>
        <v>神器1碎片2等级1</v>
      </c>
      <c r="T72" s="29" t="s">
        <v>520</v>
      </c>
      <c r="U72" s="14">
        <f t="shared" si="11"/>
        <v>1</v>
      </c>
      <c r="V72" s="36">
        <f t="shared" si="15"/>
        <v>0.20200000000000001</v>
      </c>
      <c r="W72" s="17">
        <f t="shared" si="12"/>
        <v>2.0200000000000001E-3</v>
      </c>
      <c r="X72" s="14">
        <f t="shared" si="16"/>
        <v>1</v>
      </c>
      <c r="Y72" s="14">
        <f t="shared" si="17"/>
        <v>2</v>
      </c>
      <c r="Z72" s="14">
        <f t="shared" si="18"/>
        <v>0</v>
      </c>
      <c r="AA72" s="14" t="str">
        <f t="shared" si="19"/>
        <v>AtkExt</v>
      </c>
      <c r="AB72" s="14">
        <f t="shared" si="13"/>
        <v>137</v>
      </c>
      <c r="AC72" s="14" t="str">
        <f t="shared" si="20"/>
        <v>DefExt</v>
      </c>
      <c r="AD72" s="14">
        <f t="shared" si="21"/>
        <v>137</v>
      </c>
      <c r="AE72" s="14" t="str">
        <f t="shared" si="22"/>
        <v>[x]</v>
      </c>
      <c r="AF72" s="27" t="str">
        <f t="shared" si="23"/>
        <v>[x]</v>
      </c>
      <c r="AG72" s="27" t="str">
        <f t="shared" si="24"/>
        <v>[x]</v>
      </c>
    </row>
    <row r="73" spans="1:33" ht="16.5" x14ac:dyDescent="0.2">
      <c r="I73" s="32"/>
      <c r="P73" s="13">
        <v>17</v>
      </c>
      <c r="Q73" s="14">
        <f t="shared" si="9"/>
        <v>2</v>
      </c>
      <c r="R73" s="14">
        <f t="shared" si="10"/>
        <v>1606004</v>
      </c>
      <c r="S73" s="14" t="str">
        <f t="shared" si="14"/>
        <v>神器1碎片2等级2</v>
      </c>
      <c r="T73" s="29" t="s">
        <v>520</v>
      </c>
      <c r="U73" s="14">
        <f t="shared" si="11"/>
        <v>2</v>
      </c>
      <c r="V73" s="36">
        <f t="shared" si="15"/>
        <v>0.25800000000000001</v>
      </c>
      <c r="W73" s="17">
        <f t="shared" si="12"/>
        <v>2.5800000000000003E-3</v>
      </c>
      <c r="X73" s="14">
        <f t="shared" si="16"/>
        <v>1</v>
      </c>
      <c r="Y73" s="14">
        <f t="shared" si="17"/>
        <v>2</v>
      </c>
      <c r="Z73" s="14">
        <f t="shared" si="18"/>
        <v>0</v>
      </c>
      <c r="AA73" s="14" t="str">
        <f t="shared" si="19"/>
        <v>AtkExt</v>
      </c>
      <c r="AB73" s="14">
        <f t="shared" si="13"/>
        <v>175</v>
      </c>
      <c r="AC73" s="14" t="str">
        <f t="shared" si="20"/>
        <v>DefExt</v>
      </c>
      <c r="AD73" s="14">
        <f t="shared" si="21"/>
        <v>175</v>
      </c>
      <c r="AE73" s="14" t="str">
        <f t="shared" si="22"/>
        <v>[x]</v>
      </c>
      <c r="AF73" s="27" t="str">
        <f t="shared" si="23"/>
        <v>[x]</v>
      </c>
      <c r="AG73" s="27" t="str">
        <f t="shared" si="24"/>
        <v>[x]</v>
      </c>
    </row>
    <row r="74" spans="1:33" ht="16.5" x14ac:dyDescent="0.2">
      <c r="I74" s="32"/>
      <c r="P74" s="13">
        <v>18</v>
      </c>
      <c r="Q74" s="14">
        <f t="shared" si="9"/>
        <v>2</v>
      </c>
      <c r="R74" s="14">
        <f t="shared" si="10"/>
        <v>1606004</v>
      </c>
      <c r="S74" s="14" t="str">
        <f t="shared" si="14"/>
        <v>神器1碎片2等级3</v>
      </c>
      <c r="T74" s="29" t="s">
        <v>520</v>
      </c>
      <c r="U74" s="14">
        <f t="shared" si="11"/>
        <v>3</v>
      </c>
      <c r="V74" s="36">
        <f t="shared" si="15"/>
        <v>0.31800000000000006</v>
      </c>
      <c r="W74" s="17">
        <f t="shared" si="12"/>
        <v>3.1800000000000005E-3</v>
      </c>
      <c r="X74" s="14">
        <f t="shared" si="16"/>
        <v>1</v>
      </c>
      <c r="Y74" s="14">
        <f t="shared" si="17"/>
        <v>2</v>
      </c>
      <c r="Z74" s="14">
        <f t="shared" si="18"/>
        <v>0</v>
      </c>
      <c r="AA74" s="14" t="str">
        <f t="shared" si="19"/>
        <v>AtkExt</v>
      </c>
      <c r="AB74" s="14">
        <f t="shared" si="13"/>
        <v>216</v>
      </c>
      <c r="AC74" s="14" t="str">
        <f t="shared" si="20"/>
        <v>DefExt</v>
      </c>
      <c r="AD74" s="14">
        <f t="shared" si="21"/>
        <v>215</v>
      </c>
      <c r="AE74" s="14" t="str">
        <f t="shared" si="22"/>
        <v>[x]</v>
      </c>
      <c r="AF74" s="27" t="str">
        <f t="shared" si="23"/>
        <v>[x]</v>
      </c>
      <c r="AG74" s="27" t="str">
        <f t="shared" si="24"/>
        <v>[x]</v>
      </c>
    </row>
    <row r="75" spans="1:33" ht="16.5" x14ac:dyDescent="0.2">
      <c r="I75" s="32"/>
      <c r="P75" s="13">
        <v>19</v>
      </c>
      <c r="Q75" s="14">
        <f t="shared" si="9"/>
        <v>2</v>
      </c>
      <c r="R75" s="14">
        <f t="shared" si="10"/>
        <v>1606004</v>
      </c>
      <c r="S75" s="14" t="str">
        <f t="shared" si="14"/>
        <v>神器1碎片2等级4</v>
      </c>
      <c r="T75" s="29" t="s">
        <v>520</v>
      </c>
      <c r="U75" s="14">
        <f t="shared" si="11"/>
        <v>4</v>
      </c>
      <c r="V75" s="36">
        <f t="shared" si="15"/>
        <v>0.38200000000000001</v>
      </c>
      <c r="W75" s="17">
        <f t="shared" si="12"/>
        <v>3.82E-3</v>
      </c>
      <c r="X75" s="14">
        <f t="shared" si="16"/>
        <v>1</v>
      </c>
      <c r="Y75" s="14">
        <f t="shared" si="17"/>
        <v>2</v>
      </c>
      <c r="Z75" s="14">
        <f t="shared" si="18"/>
        <v>0</v>
      </c>
      <c r="AA75" s="14" t="str">
        <f t="shared" si="19"/>
        <v>AtkExt</v>
      </c>
      <c r="AB75" s="14">
        <f t="shared" si="13"/>
        <v>259</v>
      </c>
      <c r="AC75" s="14" t="str">
        <f t="shared" si="20"/>
        <v>DefExt</v>
      </c>
      <c r="AD75" s="14">
        <f t="shared" si="21"/>
        <v>259</v>
      </c>
      <c r="AE75" s="14" t="str">
        <f t="shared" si="22"/>
        <v>[x]</v>
      </c>
      <c r="AF75" s="27" t="str">
        <f t="shared" si="23"/>
        <v>[x]</v>
      </c>
      <c r="AG75" s="27" t="str">
        <f t="shared" si="24"/>
        <v>[x]</v>
      </c>
    </row>
    <row r="76" spans="1:33" ht="16.5" x14ac:dyDescent="0.2">
      <c r="I76" s="32"/>
      <c r="P76" s="13">
        <v>20</v>
      </c>
      <c r="Q76" s="14">
        <f t="shared" si="9"/>
        <v>2</v>
      </c>
      <c r="R76" s="14">
        <f t="shared" si="10"/>
        <v>1606004</v>
      </c>
      <c r="S76" s="14" t="str">
        <f t="shared" si="14"/>
        <v>神器1碎片2等级5</v>
      </c>
      <c r="T76" s="29" t="s">
        <v>520</v>
      </c>
      <c r="U76" s="14">
        <f t="shared" si="11"/>
        <v>5</v>
      </c>
      <c r="V76" s="36">
        <f t="shared" si="15"/>
        <v>0.45</v>
      </c>
      <c r="W76" s="17">
        <f t="shared" si="12"/>
        <v>4.5000000000000005E-3</v>
      </c>
      <c r="X76" s="14">
        <f t="shared" si="16"/>
        <v>1</v>
      </c>
      <c r="Y76" s="14">
        <f t="shared" si="17"/>
        <v>2</v>
      </c>
      <c r="Z76" s="14">
        <f t="shared" si="18"/>
        <v>0</v>
      </c>
      <c r="AA76" s="14" t="str">
        <f t="shared" si="19"/>
        <v>AtkExt</v>
      </c>
      <c r="AB76" s="14">
        <f t="shared" si="13"/>
        <v>305</v>
      </c>
      <c r="AC76" s="14" t="str">
        <f t="shared" si="20"/>
        <v>DefExt</v>
      </c>
      <c r="AD76" s="14">
        <f t="shared" si="21"/>
        <v>305</v>
      </c>
      <c r="AE76" s="14" t="str">
        <f t="shared" si="22"/>
        <v>[x]</v>
      </c>
      <c r="AF76" s="27" t="str">
        <f t="shared" si="23"/>
        <v>[x]</v>
      </c>
      <c r="AG76" s="27" t="str">
        <f t="shared" si="24"/>
        <v>[x]</v>
      </c>
    </row>
    <row r="77" spans="1:33" ht="16.5" x14ac:dyDescent="0.2">
      <c r="I77" s="32"/>
      <c r="P77" s="13">
        <v>21</v>
      </c>
      <c r="Q77" s="14">
        <f t="shared" si="9"/>
        <v>2</v>
      </c>
      <c r="R77" s="14">
        <f t="shared" si="10"/>
        <v>1606004</v>
      </c>
      <c r="S77" s="14" t="str">
        <f t="shared" si="14"/>
        <v>神器1碎片2等级6</v>
      </c>
      <c r="T77" s="29" t="s">
        <v>520</v>
      </c>
      <c r="U77" s="14">
        <f t="shared" si="11"/>
        <v>6</v>
      </c>
      <c r="V77" s="36">
        <f t="shared" si="15"/>
        <v>0.52200000000000002</v>
      </c>
      <c r="W77" s="17">
        <f t="shared" si="12"/>
        <v>5.2200000000000007E-3</v>
      </c>
      <c r="X77" s="14">
        <f t="shared" si="16"/>
        <v>1</v>
      </c>
      <c r="Y77" s="14">
        <f t="shared" si="17"/>
        <v>2</v>
      </c>
      <c r="Z77" s="14">
        <f t="shared" si="18"/>
        <v>0</v>
      </c>
      <c r="AA77" s="14" t="str">
        <f t="shared" si="19"/>
        <v>AtkExt</v>
      </c>
      <c r="AB77" s="14">
        <f t="shared" si="13"/>
        <v>354</v>
      </c>
      <c r="AC77" s="14" t="str">
        <f t="shared" si="20"/>
        <v>DefExt</v>
      </c>
      <c r="AD77" s="14">
        <f t="shared" si="21"/>
        <v>354</v>
      </c>
      <c r="AE77" s="14" t="str">
        <f t="shared" si="22"/>
        <v>[x]</v>
      </c>
      <c r="AF77" s="27" t="str">
        <f t="shared" si="23"/>
        <v>[x]</v>
      </c>
      <c r="AG77" s="27" t="str">
        <f t="shared" si="24"/>
        <v>[x]</v>
      </c>
    </row>
    <row r="78" spans="1:33" ht="16.5" x14ac:dyDescent="0.2">
      <c r="I78" s="32"/>
      <c r="P78" s="13">
        <v>22</v>
      </c>
      <c r="Q78" s="14">
        <f t="shared" si="9"/>
        <v>2</v>
      </c>
      <c r="R78" s="14">
        <f t="shared" si="10"/>
        <v>1606004</v>
      </c>
      <c r="S78" s="14" t="str">
        <f t="shared" si="14"/>
        <v>神器1碎片2等级7</v>
      </c>
      <c r="T78" s="29" t="s">
        <v>520</v>
      </c>
      <c r="U78" s="14">
        <f t="shared" si="11"/>
        <v>7</v>
      </c>
      <c r="V78" s="36">
        <f t="shared" si="15"/>
        <v>0.59799999999999998</v>
      </c>
      <c r="W78" s="17">
        <f t="shared" si="12"/>
        <v>5.9800000000000001E-3</v>
      </c>
      <c r="X78" s="14">
        <f t="shared" si="16"/>
        <v>1</v>
      </c>
      <c r="Y78" s="14">
        <f t="shared" si="17"/>
        <v>2</v>
      </c>
      <c r="Z78" s="14">
        <f t="shared" si="18"/>
        <v>0</v>
      </c>
      <c r="AA78" s="14" t="str">
        <f t="shared" si="19"/>
        <v>AtkExt</v>
      </c>
      <c r="AB78" s="14">
        <f t="shared" si="13"/>
        <v>406</v>
      </c>
      <c r="AC78" s="14" t="str">
        <f t="shared" si="20"/>
        <v>DefExt</v>
      </c>
      <c r="AD78" s="14">
        <f t="shared" si="21"/>
        <v>406</v>
      </c>
      <c r="AE78" s="14" t="str">
        <f t="shared" si="22"/>
        <v>[x]</v>
      </c>
      <c r="AF78" s="27" t="str">
        <f t="shared" si="23"/>
        <v>[x]</v>
      </c>
      <c r="AG78" s="27" t="str">
        <f t="shared" si="24"/>
        <v>[x]</v>
      </c>
    </row>
    <row r="79" spans="1:33" ht="16.5" x14ac:dyDescent="0.2">
      <c r="I79" s="32"/>
      <c r="P79" s="13">
        <v>23</v>
      </c>
      <c r="Q79" s="14">
        <f t="shared" si="9"/>
        <v>2</v>
      </c>
      <c r="R79" s="14">
        <f t="shared" si="10"/>
        <v>1606004</v>
      </c>
      <c r="S79" s="14" t="str">
        <f t="shared" si="14"/>
        <v>神器1碎片2等级8</v>
      </c>
      <c r="T79" s="29" t="s">
        <v>520</v>
      </c>
      <c r="U79" s="14">
        <f t="shared" si="11"/>
        <v>8</v>
      </c>
      <c r="V79" s="36">
        <f t="shared" si="15"/>
        <v>0.67800000000000005</v>
      </c>
      <c r="W79" s="17">
        <f t="shared" si="12"/>
        <v>6.7800000000000004E-3</v>
      </c>
      <c r="X79" s="14">
        <f t="shared" si="16"/>
        <v>1</v>
      </c>
      <c r="Y79" s="14">
        <f t="shared" si="17"/>
        <v>2</v>
      </c>
      <c r="Z79" s="14">
        <f t="shared" si="18"/>
        <v>0</v>
      </c>
      <c r="AA79" s="14" t="str">
        <f t="shared" si="19"/>
        <v>AtkExt</v>
      </c>
      <c r="AB79" s="14">
        <f t="shared" si="13"/>
        <v>460</v>
      </c>
      <c r="AC79" s="14" t="str">
        <f t="shared" si="20"/>
        <v>DefExt</v>
      </c>
      <c r="AD79" s="14">
        <f t="shared" si="21"/>
        <v>460</v>
      </c>
      <c r="AE79" s="14" t="str">
        <f t="shared" si="22"/>
        <v>[x]</v>
      </c>
      <c r="AF79" s="27" t="str">
        <f t="shared" si="23"/>
        <v>[x]</v>
      </c>
      <c r="AG79" s="27" t="str">
        <f t="shared" si="24"/>
        <v>[x]</v>
      </c>
    </row>
    <row r="80" spans="1:33" ht="16.5" x14ac:dyDescent="0.2">
      <c r="I80" s="32"/>
      <c r="P80" s="13">
        <v>24</v>
      </c>
      <c r="Q80" s="14">
        <f t="shared" si="9"/>
        <v>2</v>
      </c>
      <c r="R80" s="14">
        <f t="shared" si="10"/>
        <v>1606004</v>
      </c>
      <c r="S80" s="14" t="str">
        <f t="shared" si="14"/>
        <v>神器1碎片2等级9</v>
      </c>
      <c r="T80" s="29" t="s">
        <v>520</v>
      </c>
      <c r="U80" s="14">
        <f t="shared" si="11"/>
        <v>9</v>
      </c>
      <c r="V80" s="36">
        <f t="shared" si="15"/>
        <v>0.76200000000000001</v>
      </c>
      <c r="W80" s="17">
        <f t="shared" si="12"/>
        <v>7.62E-3</v>
      </c>
      <c r="X80" s="14">
        <f t="shared" si="16"/>
        <v>1</v>
      </c>
      <c r="Y80" s="14">
        <f t="shared" si="17"/>
        <v>2</v>
      </c>
      <c r="Z80" s="14">
        <f t="shared" si="18"/>
        <v>0</v>
      </c>
      <c r="AA80" s="14" t="str">
        <f t="shared" si="19"/>
        <v>AtkExt</v>
      </c>
      <c r="AB80" s="14">
        <f t="shared" si="13"/>
        <v>517</v>
      </c>
      <c r="AC80" s="14" t="str">
        <f t="shared" si="20"/>
        <v>DefExt</v>
      </c>
      <c r="AD80" s="14">
        <f t="shared" si="21"/>
        <v>517</v>
      </c>
      <c r="AE80" s="14" t="str">
        <f t="shared" si="22"/>
        <v>[x]</v>
      </c>
      <c r="AF80" s="27" t="str">
        <f t="shared" si="23"/>
        <v>[x]</v>
      </c>
      <c r="AG80" s="27" t="str">
        <f t="shared" si="24"/>
        <v>[x]</v>
      </c>
    </row>
    <row r="81" spans="9:33" ht="16.5" x14ac:dyDescent="0.2">
      <c r="I81" s="32"/>
      <c r="P81" s="13">
        <v>25</v>
      </c>
      <c r="Q81" s="14">
        <f t="shared" si="9"/>
        <v>2</v>
      </c>
      <c r="R81" s="14">
        <f t="shared" si="10"/>
        <v>1606004</v>
      </c>
      <c r="S81" s="14" t="str">
        <f t="shared" si="14"/>
        <v>神器1碎片2等级10</v>
      </c>
      <c r="T81" s="29" t="s">
        <v>520</v>
      </c>
      <c r="U81" s="14">
        <f t="shared" si="11"/>
        <v>10</v>
      </c>
      <c r="V81" s="36">
        <f t="shared" si="15"/>
        <v>0.85000000000000009</v>
      </c>
      <c r="W81" s="17">
        <f t="shared" si="12"/>
        <v>8.5000000000000006E-3</v>
      </c>
      <c r="X81" s="14">
        <f t="shared" si="16"/>
        <v>1</v>
      </c>
      <c r="Y81" s="14">
        <f t="shared" si="17"/>
        <v>2</v>
      </c>
      <c r="Z81" s="14">
        <f t="shared" si="18"/>
        <v>0</v>
      </c>
      <c r="AA81" s="14" t="str">
        <f t="shared" si="19"/>
        <v>AtkExt</v>
      </c>
      <c r="AB81" s="14">
        <f t="shared" si="13"/>
        <v>577</v>
      </c>
      <c r="AC81" s="14" t="str">
        <f t="shared" si="20"/>
        <v>DefExt</v>
      </c>
      <c r="AD81" s="14">
        <f t="shared" si="21"/>
        <v>577</v>
      </c>
      <c r="AE81" s="14" t="str">
        <f t="shared" si="22"/>
        <v>[x]</v>
      </c>
      <c r="AF81" s="27" t="str">
        <f t="shared" si="23"/>
        <v>[x]</v>
      </c>
      <c r="AG81" s="27" t="str">
        <f t="shared" si="24"/>
        <v>[x]</v>
      </c>
    </row>
    <row r="82" spans="9:33" ht="16.5" x14ac:dyDescent="0.2">
      <c r="I82" s="32"/>
      <c r="P82" s="13">
        <v>26</v>
      </c>
      <c r="Q82" s="14">
        <f t="shared" si="9"/>
        <v>2</v>
      </c>
      <c r="R82" s="14">
        <f t="shared" si="10"/>
        <v>1606004</v>
      </c>
      <c r="S82" s="14" t="str">
        <f t="shared" si="14"/>
        <v>神器1碎片2等级11</v>
      </c>
      <c r="T82" s="29" t="s">
        <v>520</v>
      </c>
      <c r="U82" s="14">
        <f t="shared" si="11"/>
        <v>11</v>
      </c>
      <c r="V82" s="36">
        <f t="shared" si="15"/>
        <v>0.94200000000000006</v>
      </c>
      <c r="W82" s="17">
        <f t="shared" si="12"/>
        <v>9.4200000000000013E-3</v>
      </c>
      <c r="X82" s="14">
        <f t="shared" si="16"/>
        <v>1</v>
      </c>
      <c r="Y82" s="14">
        <f t="shared" si="17"/>
        <v>2</v>
      </c>
      <c r="Z82" s="14">
        <f t="shared" si="18"/>
        <v>0</v>
      </c>
      <c r="AA82" s="14" t="str">
        <f t="shared" si="19"/>
        <v>AtkExt</v>
      </c>
      <c r="AB82" s="14">
        <f t="shared" si="13"/>
        <v>639</v>
      </c>
      <c r="AC82" s="14" t="str">
        <f t="shared" si="20"/>
        <v>DefExt</v>
      </c>
      <c r="AD82" s="14">
        <f t="shared" si="21"/>
        <v>639</v>
      </c>
      <c r="AE82" s="14" t="str">
        <f t="shared" si="22"/>
        <v>[x]</v>
      </c>
      <c r="AF82" s="27" t="str">
        <f t="shared" si="23"/>
        <v>[x]</v>
      </c>
      <c r="AG82" s="27" t="str">
        <f t="shared" si="24"/>
        <v>[x]</v>
      </c>
    </row>
    <row r="83" spans="9:33" ht="16.5" x14ac:dyDescent="0.2">
      <c r="I83" s="32"/>
      <c r="P83" s="13">
        <v>27</v>
      </c>
      <c r="Q83" s="14">
        <f t="shared" si="9"/>
        <v>2</v>
      </c>
      <c r="R83" s="14">
        <f t="shared" si="10"/>
        <v>1606004</v>
      </c>
      <c r="S83" s="14" t="str">
        <f t="shared" si="14"/>
        <v>神器1碎片2等级12</v>
      </c>
      <c r="T83" s="29" t="s">
        <v>520</v>
      </c>
      <c r="U83" s="14">
        <f t="shared" si="11"/>
        <v>12</v>
      </c>
      <c r="V83" s="36">
        <f t="shared" si="15"/>
        <v>1.0380000000000003</v>
      </c>
      <c r="W83" s="17">
        <f t="shared" si="12"/>
        <v>1.0380000000000002E-2</v>
      </c>
      <c r="X83" s="14">
        <f t="shared" si="16"/>
        <v>1</v>
      </c>
      <c r="Y83" s="14">
        <f t="shared" si="17"/>
        <v>2</v>
      </c>
      <c r="Z83" s="14">
        <f t="shared" si="18"/>
        <v>0</v>
      </c>
      <c r="AA83" s="14" t="str">
        <f t="shared" si="19"/>
        <v>AtkExt</v>
      </c>
      <c r="AB83" s="14">
        <f t="shared" si="13"/>
        <v>705</v>
      </c>
      <c r="AC83" s="14" t="str">
        <f t="shared" si="20"/>
        <v>DefExt</v>
      </c>
      <c r="AD83" s="14">
        <f t="shared" si="21"/>
        <v>704</v>
      </c>
      <c r="AE83" s="14" t="str">
        <f t="shared" si="22"/>
        <v>[x]</v>
      </c>
      <c r="AF83" s="27" t="str">
        <f t="shared" si="23"/>
        <v>[x]</v>
      </c>
      <c r="AG83" s="27" t="str">
        <f t="shared" si="24"/>
        <v>[x]</v>
      </c>
    </row>
    <row r="84" spans="9:33" ht="16.5" x14ac:dyDescent="0.2">
      <c r="I84" s="32"/>
      <c r="P84" s="13">
        <v>28</v>
      </c>
      <c r="Q84" s="14">
        <f t="shared" si="9"/>
        <v>2</v>
      </c>
      <c r="R84" s="14">
        <f t="shared" si="10"/>
        <v>1606004</v>
      </c>
      <c r="S84" s="14" t="str">
        <f t="shared" si="14"/>
        <v>神器1碎片2等级13</v>
      </c>
      <c r="T84" s="29" t="s">
        <v>520</v>
      </c>
      <c r="U84" s="14">
        <f t="shared" si="11"/>
        <v>13</v>
      </c>
      <c r="V84" s="36">
        <f t="shared" si="15"/>
        <v>1.1380000000000001</v>
      </c>
      <c r="W84" s="17">
        <f t="shared" si="12"/>
        <v>1.1380000000000001E-2</v>
      </c>
      <c r="X84" s="14">
        <f t="shared" si="16"/>
        <v>1</v>
      </c>
      <c r="Y84" s="14">
        <f t="shared" si="17"/>
        <v>2</v>
      </c>
      <c r="Z84" s="14">
        <f t="shared" si="18"/>
        <v>0</v>
      </c>
      <c r="AA84" s="14" t="str">
        <f t="shared" si="19"/>
        <v>AtkExt</v>
      </c>
      <c r="AB84" s="14">
        <f t="shared" si="13"/>
        <v>773</v>
      </c>
      <c r="AC84" s="14" t="str">
        <f t="shared" si="20"/>
        <v>DefExt</v>
      </c>
      <c r="AD84" s="14">
        <f t="shared" si="21"/>
        <v>772</v>
      </c>
      <c r="AE84" s="14" t="str">
        <f t="shared" si="22"/>
        <v>[x]</v>
      </c>
      <c r="AF84" s="27" t="str">
        <f t="shared" si="23"/>
        <v>[x]</v>
      </c>
      <c r="AG84" s="27" t="str">
        <f t="shared" si="24"/>
        <v>[x]</v>
      </c>
    </row>
    <row r="85" spans="9:33" ht="16.5" x14ac:dyDescent="0.2">
      <c r="I85" s="32"/>
      <c r="P85" s="13">
        <v>29</v>
      </c>
      <c r="Q85" s="14">
        <f t="shared" si="9"/>
        <v>2</v>
      </c>
      <c r="R85" s="14">
        <f t="shared" si="10"/>
        <v>1606004</v>
      </c>
      <c r="S85" s="14" t="str">
        <f t="shared" si="14"/>
        <v>神器1碎片2等级14</v>
      </c>
      <c r="T85" s="29" t="s">
        <v>520</v>
      </c>
      <c r="U85" s="14">
        <f t="shared" si="11"/>
        <v>14</v>
      </c>
      <c r="V85" s="36">
        <f t="shared" si="15"/>
        <v>1.242</v>
      </c>
      <c r="W85" s="17">
        <f t="shared" si="12"/>
        <v>1.242E-2</v>
      </c>
      <c r="X85" s="14">
        <f t="shared" si="16"/>
        <v>1</v>
      </c>
      <c r="Y85" s="14">
        <f t="shared" si="17"/>
        <v>2</v>
      </c>
      <c r="Z85" s="14">
        <f t="shared" si="18"/>
        <v>0</v>
      </c>
      <c r="AA85" s="14" t="str">
        <f t="shared" si="19"/>
        <v>AtkExt</v>
      </c>
      <c r="AB85" s="14">
        <f t="shared" si="13"/>
        <v>843</v>
      </c>
      <c r="AC85" s="14" t="str">
        <f t="shared" si="20"/>
        <v>DefExt</v>
      </c>
      <c r="AD85" s="14">
        <f t="shared" si="21"/>
        <v>843</v>
      </c>
      <c r="AE85" s="14" t="str">
        <f t="shared" si="22"/>
        <v>[x]</v>
      </c>
      <c r="AF85" s="27" t="str">
        <f t="shared" si="23"/>
        <v>[x]</v>
      </c>
      <c r="AG85" s="27" t="str">
        <f t="shared" si="24"/>
        <v>[x]</v>
      </c>
    </row>
    <row r="86" spans="9:33" ht="16.5" x14ac:dyDescent="0.2">
      <c r="I86" s="32"/>
      <c r="P86" s="13">
        <v>30</v>
      </c>
      <c r="Q86" s="14">
        <f t="shared" si="9"/>
        <v>2</v>
      </c>
      <c r="R86" s="14">
        <f t="shared" si="10"/>
        <v>1606004</v>
      </c>
      <c r="S86" s="14" t="str">
        <f t="shared" si="14"/>
        <v>神器1碎片2等级15</v>
      </c>
      <c r="T86" s="29" t="s">
        <v>520</v>
      </c>
      <c r="U86" s="14">
        <f t="shared" si="11"/>
        <v>15</v>
      </c>
      <c r="V86" s="36">
        <f t="shared" si="15"/>
        <v>1.35</v>
      </c>
      <c r="W86" s="17">
        <f t="shared" si="12"/>
        <v>1.3500000000000002E-2</v>
      </c>
      <c r="X86" s="14">
        <f t="shared" si="16"/>
        <v>1</v>
      </c>
      <c r="Y86" s="14">
        <f t="shared" si="17"/>
        <v>2</v>
      </c>
      <c r="Z86" s="14">
        <f t="shared" si="18"/>
        <v>0</v>
      </c>
      <c r="AA86" s="14" t="str">
        <f t="shared" si="19"/>
        <v>AtkExt</v>
      </c>
      <c r="AB86" s="14">
        <f t="shared" si="13"/>
        <v>917</v>
      </c>
      <c r="AC86" s="14" t="str">
        <f t="shared" si="20"/>
        <v>DefExt</v>
      </c>
      <c r="AD86" s="14">
        <f t="shared" si="21"/>
        <v>916</v>
      </c>
      <c r="AE86" s="14" t="str">
        <f t="shared" si="22"/>
        <v>[x]</v>
      </c>
      <c r="AF86" s="27" t="str">
        <f t="shared" si="23"/>
        <v>[x]</v>
      </c>
      <c r="AG86" s="27" t="str">
        <f t="shared" si="24"/>
        <v>[x]</v>
      </c>
    </row>
    <row r="87" spans="9:33" ht="16.5" x14ac:dyDescent="0.2">
      <c r="I87" s="32"/>
      <c r="P87" s="13">
        <v>31</v>
      </c>
      <c r="Q87" s="14">
        <f t="shared" si="9"/>
        <v>3</v>
      </c>
      <c r="R87" s="14">
        <f t="shared" si="10"/>
        <v>1606005</v>
      </c>
      <c r="S87" s="14" t="str">
        <f t="shared" si="14"/>
        <v>神器1碎片3等级1</v>
      </c>
      <c r="T87" s="29" t="s">
        <v>520</v>
      </c>
      <c r="U87" s="14">
        <f t="shared" si="11"/>
        <v>1</v>
      </c>
      <c r="V87" s="36">
        <f t="shared" si="15"/>
        <v>0.20200000000000001</v>
      </c>
      <c r="W87" s="17">
        <f t="shared" si="12"/>
        <v>4.0400000000000002E-3</v>
      </c>
      <c r="X87" s="14">
        <f t="shared" si="16"/>
        <v>1</v>
      </c>
      <c r="Y87" s="14">
        <f t="shared" si="17"/>
        <v>3</v>
      </c>
      <c r="Z87" s="14">
        <f t="shared" si="18"/>
        <v>0</v>
      </c>
      <c r="AA87" s="14" t="str">
        <f t="shared" si="19"/>
        <v>AtkExt</v>
      </c>
      <c r="AB87" s="14">
        <f t="shared" si="13"/>
        <v>274</v>
      </c>
      <c r="AC87" s="14" t="str">
        <f t="shared" si="20"/>
        <v>HPExt</v>
      </c>
      <c r="AD87" s="14">
        <f t="shared" si="21"/>
        <v>1647</v>
      </c>
      <c r="AE87" s="14" t="str">
        <f t="shared" si="22"/>
        <v>[x]</v>
      </c>
      <c r="AF87" s="27" t="str">
        <f t="shared" si="23"/>
        <v>[x]</v>
      </c>
      <c r="AG87" s="27" t="str">
        <f t="shared" si="24"/>
        <v>[x]</v>
      </c>
    </row>
    <row r="88" spans="9:33" ht="16.5" x14ac:dyDescent="0.2">
      <c r="I88" s="32"/>
      <c r="P88" s="13">
        <v>32</v>
      </c>
      <c r="Q88" s="14">
        <f t="shared" si="9"/>
        <v>3</v>
      </c>
      <c r="R88" s="14">
        <f t="shared" si="10"/>
        <v>1606005</v>
      </c>
      <c r="S88" s="14" t="str">
        <f t="shared" si="14"/>
        <v>神器1碎片3等级2</v>
      </c>
      <c r="T88" s="29" t="s">
        <v>520</v>
      </c>
      <c r="U88" s="14">
        <f t="shared" si="11"/>
        <v>2</v>
      </c>
      <c r="V88" s="36">
        <f t="shared" si="15"/>
        <v>0.25800000000000001</v>
      </c>
      <c r="W88" s="17">
        <f t="shared" si="12"/>
        <v>5.1600000000000005E-3</v>
      </c>
      <c r="X88" s="14">
        <f t="shared" si="16"/>
        <v>1</v>
      </c>
      <c r="Y88" s="14">
        <f t="shared" si="17"/>
        <v>3</v>
      </c>
      <c r="Z88" s="14">
        <f t="shared" si="18"/>
        <v>0</v>
      </c>
      <c r="AA88" s="14" t="str">
        <f t="shared" si="19"/>
        <v>AtkExt</v>
      </c>
      <c r="AB88" s="14">
        <f t="shared" si="13"/>
        <v>350</v>
      </c>
      <c r="AC88" s="14" t="str">
        <f t="shared" si="20"/>
        <v>HPExt</v>
      </c>
      <c r="AD88" s="14">
        <f t="shared" si="21"/>
        <v>2103</v>
      </c>
      <c r="AE88" s="14" t="str">
        <f t="shared" si="22"/>
        <v>[x]</v>
      </c>
      <c r="AF88" s="27" t="str">
        <f t="shared" si="23"/>
        <v>[x]</v>
      </c>
      <c r="AG88" s="27" t="str">
        <f t="shared" si="24"/>
        <v>[x]</v>
      </c>
    </row>
    <row r="89" spans="9:33" ht="16.5" x14ac:dyDescent="0.2">
      <c r="I89" s="32"/>
      <c r="P89" s="13">
        <v>33</v>
      </c>
      <c r="Q89" s="14">
        <f t="shared" si="9"/>
        <v>3</v>
      </c>
      <c r="R89" s="14">
        <f t="shared" si="10"/>
        <v>1606005</v>
      </c>
      <c r="S89" s="14" t="str">
        <f t="shared" si="14"/>
        <v>神器1碎片3等级3</v>
      </c>
      <c r="T89" s="29" t="s">
        <v>520</v>
      </c>
      <c r="U89" s="14">
        <f t="shared" si="11"/>
        <v>3</v>
      </c>
      <c r="V89" s="36">
        <f t="shared" si="15"/>
        <v>0.31800000000000006</v>
      </c>
      <c r="W89" s="17">
        <f t="shared" si="12"/>
        <v>6.3600000000000011E-3</v>
      </c>
      <c r="X89" s="14">
        <f t="shared" si="16"/>
        <v>1</v>
      </c>
      <c r="Y89" s="14">
        <f t="shared" si="17"/>
        <v>3</v>
      </c>
      <c r="Z89" s="14">
        <f t="shared" si="18"/>
        <v>0</v>
      </c>
      <c r="AA89" s="14" t="str">
        <f t="shared" si="19"/>
        <v>AtkExt</v>
      </c>
      <c r="AB89" s="14">
        <f t="shared" si="13"/>
        <v>432</v>
      </c>
      <c r="AC89" s="14" t="str">
        <f t="shared" si="20"/>
        <v>HPExt</v>
      </c>
      <c r="AD89" s="14">
        <f t="shared" si="21"/>
        <v>2593</v>
      </c>
      <c r="AE89" s="14" t="str">
        <f t="shared" si="22"/>
        <v>[x]</v>
      </c>
      <c r="AF89" s="27" t="str">
        <f t="shared" si="23"/>
        <v>[x]</v>
      </c>
      <c r="AG89" s="27" t="str">
        <f t="shared" si="24"/>
        <v>[x]</v>
      </c>
    </row>
    <row r="90" spans="9:33" ht="16.5" x14ac:dyDescent="0.2">
      <c r="I90" s="32"/>
      <c r="P90" s="13">
        <v>34</v>
      </c>
      <c r="Q90" s="14">
        <f t="shared" si="9"/>
        <v>3</v>
      </c>
      <c r="R90" s="14">
        <f t="shared" si="10"/>
        <v>1606005</v>
      </c>
      <c r="S90" s="14" t="str">
        <f t="shared" si="14"/>
        <v>神器1碎片3等级4</v>
      </c>
      <c r="T90" s="29" t="s">
        <v>520</v>
      </c>
      <c r="U90" s="14">
        <f t="shared" si="11"/>
        <v>4</v>
      </c>
      <c r="V90" s="36">
        <f t="shared" si="15"/>
        <v>0.38200000000000001</v>
      </c>
      <c r="W90" s="17">
        <f t="shared" si="12"/>
        <v>7.6400000000000001E-3</v>
      </c>
      <c r="X90" s="14">
        <f t="shared" si="16"/>
        <v>1</v>
      </c>
      <c r="Y90" s="14">
        <f t="shared" si="17"/>
        <v>3</v>
      </c>
      <c r="Z90" s="14">
        <f t="shared" si="18"/>
        <v>0</v>
      </c>
      <c r="AA90" s="14" t="str">
        <f t="shared" si="19"/>
        <v>AtkExt</v>
      </c>
      <c r="AB90" s="14">
        <f t="shared" si="13"/>
        <v>518</v>
      </c>
      <c r="AC90" s="14" t="str">
        <f t="shared" si="20"/>
        <v>HPExt</v>
      </c>
      <c r="AD90" s="14">
        <f t="shared" si="21"/>
        <v>3115</v>
      </c>
      <c r="AE90" s="14" t="str">
        <f t="shared" si="22"/>
        <v>[x]</v>
      </c>
      <c r="AF90" s="27" t="str">
        <f t="shared" si="23"/>
        <v>[x]</v>
      </c>
      <c r="AG90" s="27" t="str">
        <f t="shared" si="24"/>
        <v>[x]</v>
      </c>
    </row>
    <row r="91" spans="9:33" ht="16.5" x14ac:dyDescent="0.2">
      <c r="I91" s="32"/>
      <c r="P91" s="13">
        <v>35</v>
      </c>
      <c r="Q91" s="14">
        <f t="shared" si="9"/>
        <v>3</v>
      </c>
      <c r="R91" s="14">
        <f t="shared" si="10"/>
        <v>1606005</v>
      </c>
      <c r="S91" s="14" t="str">
        <f t="shared" si="14"/>
        <v>神器1碎片3等级5</v>
      </c>
      <c r="T91" s="29" t="s">
        <v>520</v>
      </c>
      <c r="U91" s="14">
        <f t="shared" si="11"/>
        <v>5</v>
      </c>
      <c r="V91" s="36">
        <f t="shared" si="15"/>
        <v>0.45</v>
      </c>
      <c r="W91" s="17">
        <f t="shared" si="12"/>
        <v>9.0000000000000011E-3</v>
      </c>
      <c r="X91" s="14">
        <f t="shared" si="16"/>
        <v>1</v>
      </c>
      <c r="Y91" s="14">
        <f t="shared" si="17"/>
        <v>3</v>
      </c>
      <c r="Z91" s="14">
        <f t="shared" si="18"/>
        <v>0</v>
      </c>
      <c r="AA91" s="14" t="str">
        <f t="shared" si="19"/>
        <v>AtkExt</v>
      </c>
      <c r="AB91" s="14">
        <f t="shared" si="13"/>
        <v>611</v>
      </c>
      <c r="AC91" s="14" t="str">
        <f t="shared" si="20"/>
        <v>HPExt</v>
      </c>
      <c r="AD91" s="14">
        <f t="shared" si="21"/>
        <v>3669</v>
      </c>
      <c r="AE91" s="14" t="str">
        <f t="shared" si="22"/>
        <v>[x]</v>
      </c>
      <c r="AF91" s="27" t="str">
        <f t="shared" si="23"/>
        <v>[x]</v>
      </c>
      <c r="AG91" s="27" t="str">
        <f t="shared" si="24"/>
        <v>[x]</v>
      </c>
    </row>
    <row r="92" spans="9:33" ht="16.5" x14ac:dyDescent="0.2">
      <c r="I92" s="32"/>
      <c r="P92" s="13">
        <v>36</v>
      </c>
      <c r="Q92" s="14">
        <f t="shared" si="9"/>
        <v>3</v>
      </c>
      <c r="R92" s="14">
        <f t="shared" si="10"/>
        <v>1606005</v>
      </c>
      <c r="S92" s="14" t="str">
        <f t="shared" si="14"/>
        <v>神器1碎片3等级6</v>
      </c>
      <c r="T92" s="29" t="s">
        <v>520</v>
      </c>
      <c r="U92" s="14">
        <f t="shared" si="11"/>
        <v>6</v>
      </c>
      <c r="V92" s="36">
        <f t="shared" si="15"/>
        <v>0.52200000000000002</v>
      </c>
      <c r="W92" s="17">
        <f t="shared" si="12"/>
        <v>1.0440000000000001E-2</v>
      </c>
      <c r="X92" s="14">
        <f t="shared" si="16"/>
        <v>1</v>
      </c>
      <c r="Y92" s="14">
        <f t="shared" si="17"/>
        <v>3</v>
      </c>
      <c r="Z92" s="14">
        <f t="shared" si="18"/>
        <v>0</v>
      </c>
      <c r="AA92" s="14" t="str">
        <f t="shared" si="19"/>
        <v>AtkExt</v>
      </c>
      <c r="AB92" s="14">
        <f t="shared" si="13"/>
        <v>709</v>
      </c>
      <c r="AC92" s="14" t="str">
        <f t="shared" si="20"/>
        <v>HPExt</v>
      </c>
      <c r="AD92" s="14">
        <f t="shared" si="21"/>
        <v>4256</v>
      </c>
      <c r="AE92" s="14" t="str">
        <f t="shared" si="22"/>
        <v>[x]</v>
      </c>
      <c r="AF92" s="27" t="str">
        <f t="shared" si="23"/>
        <v>[x]</v>
      </c>
      <c r="AG92" s="27" t="str">
        <f t="shared" si="24"/>
        <v>[x]</v>
      </c>
    </row>
    <row r="93" spans="9:33" ht="16.5" x14ac:dyDescent="0.2">
      <c r="I93" s="32"/>
      <c r="P93" s="13">
        <v>37</v>
      </c>
      <c r="Q93" s="14">
        <f t="shared" si="9"/>
        <v>3</v>
      </c>
      <c r="R93" s="14">
        <f t="shared" si="10"/>
        <v>1606005</v>
      </c>
      <c r="S93" s="14" t="str">
        <f t="shared" si="14"/>
        <v>神器1碎片3等级7</v>
      </c>
      <c r="T93" s="29" t="s">
        <v>520</v>
      </c>
      <c r="U93" s="14">
        <f t="shared" si="11"/>
        <v>7</v>
      </c>
      <c r="V93" s="36">
        <f t="shared" si="15"/>
        <v>0.59799999999999998</v>
      </c>
      <c r="W93" s="17">
        <f t="shared" si="12"/>
        <v>1.196E-2</v>
      </c>
      <c r="X93" s="14">
        <f t="shared" si="16"/>
        <v>1</v>
      </c>
      <c r="Y93" s="14">
        <f t="shared" si="17"/>
        <v>3</v>
      </c>
      <c r="Z93" s="14">
        <f t="shared" si="18"/>
        <v>0</v>
      </c>
      <c r="AA93" s="14" t="str">
        <f t="shared" si="19"/>
        <v>AtkExt</v>
      </c>
      <c r="AB93" s="14">
        <f t="shared" si="13"/>
        <v>812</v>
      </c>
      <c r="AC93" s="14" t="str">
        <f t="shared" si="20"/>
        <v>HPExt</v>
      </c>
      <c r="AD93" s="14">
        <f t="shared" si="21"/>
        <v>4876</v>
      </c>
      <c r="AE93" s="14" t="str">
        <f t="shared" si="22"/>
        <v>[x]</v>
      </c>
      <c r="AF93" s="27" t="str">
        <f t="shared" si="23"/>
        <v>[x]</v>
      </c>
      <c r="AG93" s="27" t="str">
        <f t="shared" si="24"/>
        <v>[x]</v>
      </c>
    </row>
    <row r="94" spans="9:33" ht="16.5" x14ac:dyDescent="0.2">
      <c r="I94" s="32"/>
      <c r="P94" s="13">
        <v>38</v>
      </c>
      <c r="Q94" s="14">
        <f t="shared" si="9"/>
        <v>3</v>
      </c>
      <c r="R94" s="14">
        <f t="shared" si="10"/>
        <v>1606005</v>
      </c>
      <c r="S94" s="14" t="str">
        <f t="shared" si="14"/>
        <v>神器1碎片3等级8</v>
      </c>
      <c r="T94" s="29" t="s">
        <v>520</v>
      </c>
      <c r="U94" s="14">
        <f t="shared" si="11"/>
        <v>8</v>
      </c>
      <c r="V94" s="36">
        <f t="shared" si="15"/>
        <v>0.67800000000000005</v>
      </c>
      <c r="W94" s="17">
        <f t="shared" si="12"/>
        <v>1.3560000000000001E-2</v>
      </c>
      <c r="X94" s="14">
        <f t="shared" si="16"/>
        <v>1</v>
      </c>
      <c r="Y94" s="14">
        <f t="shared" si="17"/>
        <v>3</v>
      </c>
      <c r="Z94" s="14">
        <f t="shared" si="18"/>
        <v>0</v>
      </c>
      <c r="AA94" s="14" t="str">
        <f t="shared" si="19"/>
        <v>AtkExt</v>
      </c>
      <c r="AB94" s="14">
        <f t="shared" si="13"/>
        <v>921</v>
      </c>
      <c r="AC94" s="14" t="str">
        <f t="shared" si="20"/>
        <v>HPExt</v>
      </c>
      <c r="AD94" s="14">
        <f t="shared" si="21"/>
        <v>5529</v>
      </c>
      <c r="AE94" s="14" t="str">
        <f t="shared" si="22"/>
        <v>[x]</v>
      </c>
      <c r="AF94" s="27" t="str">
        <f t="shared" si="23"/>
        <v>[x]</v>
      </c>
      <c r="AG94" s="27" t="str">
        <f t="shared" si="24"/>
        <v>[x]</v>
      </c>
    </row>
    <row r="95" spans="9:33" ht="16.5" x14ac:dyDescent="0.2">
      <c r="I95" s="32"/>
      <c r="P95" s="13">
        <v>39</v>
      </c>
      <c r="Q95" s="14">
        <f t="shared" si="9"/>
        <v>3</v>
      </c>
      <c r="R95" s="14">
        <f t="shared" si="10"/>
        <v>1606005</v>
      </c>
      <c r="S95" s="14" t="str">
        <f t="shared" si="14"/>
        <v>神器1碎片3等级9</v>
      </c>
      <c r="T95" s="29" t="s">
        <v>520</v>
      </c>
      <c r="U95" s="14">
        <f t="shared" si="11"/>
        <v>9</v>
      </c>
      <c r="V95" s="36">
        <f t="shared" si="15"/>
        <v>0.76200000000000001</v>
      </c>
      <c r="W95" s="17">
        <f t="shared" si="12"/>
        <v>1.524E-2</v>
      </c>
      <c r="X95" s="14">
        <f t="shared" si="16"/>
        <v>1</v>
      </c>
      <c r="Y95" s="14">
        <f t="shared" si="17"/>
        <v>3</v>
      </c>
      <c r="Z95" s="14">
        <f t="shared" si="18"/>
        <v>0</v>
      </c>
      <c r="AA95" s="14" t="str">
        <f t="shared" si="19"/>
        <v>AtkExt</v>
      </c>
      <c r="AB95" s="14">
        <f t="shared" si="13"/>
        <v>1035</v>
      </c>
      <c r="AC95" s="14" t="str">
        <f t="shared" si="20"/>
        <v>HPExt</v>
      </c>
      <c r="AD95" s="14">
        <f t="shared" si="21"/>
        <v>6214</v>
      </c>
      <c r="AE95" s="14" t="str">
        <f t="shared" si="22"/>
        <v>[x]</v>
      </c>
      <c r="AF95" s="27" t="str">
        <f t="shared" si="23"/>
        <v>[x]</v>
      </c>
      <c r="AG95" s="27" t="str">
        <f t="shared" si="24"/>
        <v>[x]</v>
      </c>
    </row>
    <row r="96" spans="9:33" ht="16.5" x14ac:dyDescent="0.2">
      <c r="I96" s="32"/>
      <c r="P96" s="13">
        <v>40</v>
      </c>
      <c r="Q96" s="14">
        <f t="shared" si="9"/>
        <v>3</v>
      </c>
      <c r="R96" s="14">
        <f t="shared" si="10"/>
        <v>1606005</v>
      </c>
      <c r="S96" s="14" t="str">
        <f t="shared" si="14"/>
        <v>神器1碎片3等级10</v>
      </c>
      <c r="T96" s="29" t="s">
        <v>520</v>
      </c>
      <c r="U96" s="14">
        <f t="shared" si="11"/>
        <v>10</v>
      </c>
      <c r="V96" s="36">
        <f t="shared" si="15"/>
        <v>0.85000000000000009</v>
      </c>
      <c r="W96" s="17">
        <f t="shared" si="12"/>
        <v>1.7000000000000001E-2</v>
      </c>
      <c r="X96" s="14">
        <f t="shared" si="16"/>
        <v>1</v>
      </c>
      <c r="Y96" s="14">
        <f t="shared" si="17"/>
        <v>3</v>
      </c>
      <c r="Z96" s="14">
        <f t="shared" si="18"/>
        <v>0</v>
      </c>
      <c r="AA96" s="14" t="str">
        <f t="shared" si="19"/>
        <v>AtkExt</v>
      </c>
      <c r="AB96" s="14">
        <f t="shared" si="13"/>
        <v>1154</v>
      </c>
      <c r="AC96" s="14" t="str">
        <f t="shared" si="20"/>
        <v>HPExt</v>
      </c>
      <c r="AD96" s="14">
        <f t="shared" si="21"/>
        <v>6931</v>
      </c>
      <c r="AE96" s="14" t="str">
        <f t="shared" si="22"/>
        <v>[x]</v>
      </c>
      <c r="AF96" s="27" t="str">
        <f t="shared" si="23"/>
        <v>[x]</v>
      </c>
      <c r="AG96" s="27" t="str">
        <f t="shared" si="24"/>
        <v>[x]</v>
      </c>
    </row>
    <row r="97" spans="9:33" ht="16.5" x14ac:dyDescent="0.2">
      <c r="I97" s="32"/>
      <c r="P97" s="13">
        <v>41</v>
      </c>
      <c r="Q97" s="14">
        <f t="shared" si="9"/>
        <v>3</v>
      </c>
      <c r="R97" s="14">
        <f t="shared" si="10"/>
        <v>1606005</v>
      </c>
      <c r="S97" s="14" t="str">
        <f t="shared" si="14"/>
        <v>神器1碎片3等级11</v>
      </c>
      <c r="T97" s="29" t="s">
        <v>520</v>
      </c>
      <c r="U97" s="14">
        <f t="shared" si="11"/>
        <v>11</v>
      </c>
      <c r="V97" s="36">
        <f t="shared" si="15"/>
        <v>0.94200000000000006</v>
      </c>
      <c r="W97" s="17">
        <f t="shared" si="12"/>
        <v>1.8840000000000003E-2</v>
      </c>
      <c r="X97" s="14">
        <f t="shared" si="16"/>
        <v>1</v>
      </c>
      <c r="Y97" s="14">
        <f t="shared" si="17"/>
        <v>3</v>
      </c>
      <c r="Z97" s="14">
        <f t="shared" si="18"/>
        <v>0</v>
      </c>
      <c r="AA97" s="14" t="str">
        <f t="shared" si="19"/>
        <v>AtkExt</v>
      </c>
      <c r="AB97" s="14">
        <f t="shared" si="13"/>
        <v>1279</v>
      </c>
      <c r="AC97" s="14" t="str">
        <f t="shared" si="20"/>
        <v>HPExt</v>
      </c>
      <c r="AD97" s="14">
        <f t="shared" si="21"/>
        <v>7681</v>
      </c>
      <c r="AE97" s="14" t="str">
        <f t="shared" si="22"/>
        <v>[x]</v>
      </c>
      <c r="AF97" s="27" t="str">
        <f t="shared" si="23"/>
        <v>[x]</v>
      </c>
      <c r="AG97" s="27" t="str">
        <f t="shared" si="24"/>
        <v>[x]</v>
      </c>
    </row>
    <row r="98" spans="9:33" ht="16.5" x14ac:dyDescent="0.2">
      <c r="I98" s="32"/>
      <c r="P98" s="13">
        <v>42</v>
      </c>
      <c r="Q98" s="14">
        <f t="shared" si="9"/>
        <v>3</v>
      </c>
      <c r="R98" s="14">
        <f t="shared" si="10"/>
        <v>1606005</v>
      </c>
      <c r="S98" s="14" t="str">
        <f t="shared" si="14"/>
        <v>神器1碎片3等级12</v>
      </c>
      <c r="T98" s="29" t="s">
        <v>520</v>
      </c>
      <c r="U98" s="14">
        <f t="shared" si="11"/>
        <v>12</v>
      </c>
      <c r="V98" s="36">
        <f t="shared" si="15"/>
        <v>1.0380000000000003</v>
      </c>
      <c r="W98" s="17">
        <f t="shared" si="12"/>
        <v>2.0760000000000004E-2</v>
      </c>
      <c r="X98" s="14">
        <f t="shared" si="16"/>
        <v>1</v>
      </c>
      <c r="Y98" s="14">
        <f t="shared" si="17"/>
        <v>3</v>
      </c>
      <c r="Z98" s="14">
        <f t="shared" si="18"/>
        <v>0</v>
      </c>
      <c r="AA98" s="14" t="str">
        <f t="shared" si="19"/>
        <v>AtkExt</v>
      </c>
      <c r="AB98" s="14">
        <f t="shared" si="13"/>
        <v>1410</v>
      </c>
      <c r="AC98" s="14" t="str">
        <f t="shared" si="20"/>
        <v>HPExt</v>
      </c>
      <c r="AD98" s="14">
        <f t="shared" si="21"/>
        <v>8464</v>
      </c>
      <c r="AE98" s="14" t="str">
        <f t="shared" si="22"/>
        <v>[x]</v>
      </c>
      <c r="AF98" s="27" t="str">
        <f t="shared" si="23"/>
        <v>[x]</v>
      </c>
      <c r="AG98" s="27" t="str">
        <f t="shared" si="24"/>
        <v>[x]</v>
      </c>
    </row>
    <row r="99" spans="9:33" ht="16.5" x14ac:dyDescent="0.2">
      <c r="I99" s="32"/>
      <c r="P99" s="13">
        <v>43</v>
      </c>
      <c r="Q99" s="14">
        <f t="shared" si="9"/>
        <v>3</v>
      </c>
      <c r="R99" s="14">
        <f t="shared" si="10"/>
        <v>1606005</v>
      </c>
      <c r="S99" s="14" t="str">
        <f t="shared" si="14"/>
        <v>神器1碎片3等级13</v>
      </c>
      <c r="T99" s="29" t="s">
        <v>520</v>
      </c>
      <c r="U99" s="14">
        <f t="shared" si="11"/>
        <v>13</v>
      </c>
      <c r="V99" s="36">
        <f t="shared" si="15"/>
        <v>1.1380000000000001</v>
      </c>
      <c r="W99" s="17">
        <f t="shared" si="12"/>
        <v>2.2760000000000002E-2</v>
      </c>
      <c r="X99" s="14">
        <f t="shared" si="16"/>
        <v>1</v>
      </c>
      <c r="Y99" s="14">
        <f t="shared" si="17"/>
        <v>3</v>
      </c>
      <c r="Z99" s="14">
        <f t="shared" si="18"/>
        <v>0</v>
      </c>
      <c r="AA99" s="14" t="str">
        <f t="shared" si="19"/>
        <v>AtkExt</v>
      </c>
      <c r="AB99" s="14">
        <f t="shared" si="13"/>
        <v>1546</v>
      </c>
      <c r="AC99" s="14" t="str">
        <f t="shared" si="20"/>
        <v>HPExt</v>
      </c>
      <c r="AD99" s="14">
        <f t="shared" si="21"/>
        <v>9280</v>
      </c>
      <c r="AE99" s="14" t="str">
        <f t="shared" si="22"/>
        <v>[x]</v>
      </c>
      <c r="AF99" s="27" t="str">
        <f t="shared" si="23"/>
        <v>[x]</v>
      </c>
      <c r="AG99" s="27" t="str">
        <f t="shared" si="24"/>
        <v>[x]</v>
      </c>
    </row>
    <row r="100" spans="9:33" ht="16.5" x14ac:dyDescent="0.2">
      <c r="I100" s="32"/>
      <c r="P100" s="13">
        <v>44</v>
      </c>
      <c r="Q100" s="14">
        <f t="shared" si="9"/>
        <v>3</v>
      </c>
      <c r="R100" s="14">
        <f t="shared" si="10"/>
        <v>1606005</v>
      </c>
      <c r="S100" s="14" t="str">
        <f t="shared" si="14"/>
        <v>神器1碎片3等级14</v>
      </c>
      <c r="T100" s="29" t="s">
        <v>520</v>
      </c>
      <c r="U100" s="14">
        <f t="shared" si="11"/>
        <v>14</v>
      </c>
      <c r="V100" s="36">
        <f t="shared" si="15"/>
        <v>1.242</v>
      </c>
      <c r="W100" s="17">
        <f t="shared" si="12"/>
        <v>2.4840000000000001E-2</v>
      </c>
      <c r="X100" s="14">
        <f t="shared" si="16"/>
        <v>1</v>
      </c>
      <c r="Y100" s="14">
        <f t="shared" si="17"/>
        <v>3</v>
      </c>
      <c r="Z100" s="14">
        <f t="shared" si="18"/>
        <v>0</v>
      </c>
      <c r="AA100" s="14" t="str">
        <f t="shared" si="19"/>
        <v>AtkExt</v>
      </c>
      <c r="AB100" s="14">
        <f t="shared" si="13"/>
        <v>1687</v>
      </c>
      <c r="AC100" s="14" t="str">
        <f t="shared" si="20"/>
        <v>HPExt</v>
      </c>
      <c r="AD100" s="14">
        <f t="shared" si="21"/>
        <v>10128</v>
      </c>
      <c r="AE100" s="14" t="str">
        <f t="shared" si="22"/>
        <v>[x]</v>
      </c>
      <c r="AF100" s="27" t="str">
        <f t="shared" si="23"/>
        <v>[x]</v>
      </c>
      <c r="AG100" s="27" t="str">
        <f t="shared" si="24"/>
        <v>[x]</v>
      </c>
    </row>
    <row r="101" spans="9:33" ht="16.5" x14ac:dyDescent="0.2">
      <c r="I101" s="32"/>
      <c r="P101" s="13">
        <v>45</v>
      </c>
      <c r="Q101" s="14">
        <f t="shared" si="9"/>
        <v>3</v>
      </c>
      <c r="R101" s="14">
        <f t="shared" si="10"/>
        <v>1606005</v>
      </c>
      <c r="S101" s="14" t="str">
        <f t="shared" si="14"/>
        <v>神器1碎片3等级15</v>
      </c>
      <c r="T101" s="29" t="s">
        <v>520</v>
      </c>
      <c r="U101" s="14">
        <f t="shared" si="11"/>
        <v>15</v>
      </c>
      <c r="V101" s="36">
        <f t="shared" si="15"/>
        <v>1.35</v>
      </c>
      <c r="W101" s="17">
        <f t="shared" si="12"/>
        <v>2.7000000000000003E-2</v>
      </c>
      <c r="X101" s="14">
        <f t="shared" si="16"/>
        <v>1</v>
      </c>
      <c r="Y101" s="14">
        <f t="shared" si="17"/>
        <v>3</v>
      </c>
      <c r="Z101" s="14">
        <f t="shared" si="18"/>
        <v>0</v>
      </c>
      <c r="AA101" s="14" t="str">
        <f t="shared" si="19"/>
        <v>AtkExt</v>
      </c>
      <c r="AB101" s="14">
        <f t="shared" si="13"/>
        <v>1834</v>
      </c>
      <c r="AC101" s="14" t="str">
        <f t="shared" si="20"/>
        <v>HPExt</v>
      </c>
      <c r="AD101" s="14">
        <f t="shared" si="21"/>
        <v>11009</v>
      </c>
      <c r="AE101" s="14" t="str">
        <f t="shared" si="22"/>
        <v>[x]</v>
      </c>
      <c r="AF101" s="27" t="str">
        <f t="shared" si="23"/>
        <v>[x]</v>
      </c>
      <c r="AG101" s="27" t="str">
        <f t="shared" si="24"/>
        <v>[x]</v>
      </c>
    </row>
    <row r="102" spans="9:33" ht="16.5" x14ac:dyDescent="0.2">
      <c r="I102" s="32"/>
      <c r="P102" s="13">
        <v>46</v>
      </c>
      <c r="Q102" s="14">
        <f t="shared" si="9"/>
        <v>4</v>
      </c>
      <c r="R102" s="14">
        <f t="shared" si="10"/>
        <v>1606006</v>
      </c>
      <c r="S102" s="14" t="str">
        <f t="shared" si="14"/>
        <v>神器2碎片1等级1</v>
      </c>
      <c r="T102" s="29" t="s">
        <v>520</v>
      </c>
      <c r="U102" s="14">
        <f t="shared" si="11"/>
        <v>1</v>
      </c>
      <c r="V102" s="36">
        <f t="shared" si="15"/>
        <v>0.20200000000000001</v>
      </c>
      <c r="W102" s="17">
        <f t="shared" si="12"/>
        <v>2.0200000000000001E-3</v>
      </c>
      <c r="X102" s="14">
        <f t="shared" si="16"/>
        <v>1</v>
      </c>
      <c r="Y102" s="14">
        <f t="shared" si="17"/>
        <v>2</v>
      </c>
      <c r="Z102" s="14">
        <f t="shared" si="18"/>
        <v>0</v>
      </c>
      <c r="AA102" s="14" t="str">
        <f t="shared" si="19"/>
        <v>AtkExt</v>
      </c>
      <c r="AB102" s="14">
        <f t="shared" si="13"/>
        <v>274</v>
      </c>
      <c r="AC102" s="14" t="str">
        <f t="shared" si="20"/>
        <v>DefExt</v>
      </c>
      <c r="AD102" s="14">
        <f t="shared" si="21"/>
        <v>68</v>
      </c>
      <c r="AE102" s="14" t="str">
        <f t="shared" si="22"/>
        <v>[x]</v>
      </c>
      <c r="AF102" s="27" t="str">
        <f t="shared" si="23"/>
        <v>[x]</v>
      </c>
      <c r="AG102" s="27" t="str">
        <f t="shared" si="24"/>
        <v>[x]</v>
      </c>
    </row>
    <row r="103" spans="9:33" ht="16.5" x14ac:dyDescent="0.2">
      <c r="I103" s="32"/>
      <c r="P103" s="13">
        <v>47</v>
      </c>
      <c r="Q103" s="14">
        <f t="shared" si="9"/>
        <v>4</v>
      </c>
      <c r="R103" s="14">
        <f t="shared" si="10"/>
        <v>1606006</v>
      </c>
      <c r="S103" s="14" t="str">
        <f t="shared" si="14"/>
        <v>神器2碎片1等级2</v>
      </c>
      <c r="T103" s="29" t="s">
        <v>520</v>
      </c>
      <c r="U103" s="14">
        <f t="shared" si="11"/>
        <v>2</v>
      </c>
      <c r="V103" s="36">
        <f t="shared" si="15"/>
        <v>0.25800000000000001</v>
      </c>
      <c r="W103" s="17">
        <f t="shared" si="12"/>
        <v>2.5800000000000003E-3</v>
      </c>
      <c r="X103" s="14">
        <f t="shared" si="16"/>
        <v>1</v>
      </c>
      <c r="Y103" s="14">
        <f t="shared" si="17"/>
        <v>2</v>
      </c>
      <c r="Z103" s="14">
        <f t="shared" si="18"/>
        <v>0</v>
      </c>
      <c r="AA103" s="14" t="str">
        <f t="shared" si="19"/>
        <v>AtkExt</v>
      </c>
      <c r="AB103" s="14">
        <f t="shared" si="13"/>
        <v>350</v>
      </c>
      <c r="AC103" s="14" t="str">
        <f t="shared" si="20"/>
        <v>DefExt</v>
      </c>
      <c r="AD103" s="14">
        <f t="shared" si="21"/>
        <v>87</v>
      </c>
      <c r="AE103" s="14" t="str">
        <f t="shared" si="22"/>
        <v>[x]</v>
      </c>
      <c r="AF103" s="27" t="str">
        <f t="shared" si="23"/>
        <v>[x]</v>
      </c>
      <c r="AG103" s="27" t="str">
        <f t="shared" si="24"/>
        <v>[x]</v>
      </c>
    </row>
    <row r="104" spans="9:33" ht="16.5" x14ac:dyDescent="0.2">
      <c r="I104" s="32"/>
      <c r="P104" s="13">
        <v>48</v>
      </c>
      <c r="Q104" s="14">
        <f t="shared" si="9"/>
        <v>4</v>
      </c>
      <c r="R104" s="14">
        <f t="shared" si="10"/>
        <v>1606006</v>
      </c>
      <c r="S104" s="14" t="str">
        <f t="shared" si="14"/>
        <v>神器2碎片1等级3</v>
      </c>
      <c r="T104" s="29" t="s">
        <v>520</v>
      </c>
      <c r="U104" s="14">
        <f t="shared" si="11"/>
        <v>3</v>
      </c>
      <c r="V104" s="36">
        <f t="shared" si="15"/>
        <v>0.31800000000000006</v>
      </c>
      <c r="W104" s="17">
        <f t="shared" si="12"/>
        <v>3.1800000000000005E-3</v>
      </c>
      <c r="X104" s="14">
        <f t="shared" si="16"/>
        <v>1</v>
      </c>
      <c r="Y104" s="14">
        <f t="shared" si="17"/>
        <v>2</v>
      </c>
      <c r="Z104" s="14">
        <f t="shared" si="18"/>
        <v>0</v>
      </c>
      <c r="AA104" s="14" t="str">
        <f t="shared" si="19"/>
        <v>AtkExt</v>
      </c>
      <c r="AB104" s="14">
        <f t="shared" si="13"/>
        <v>432</v>
      </c>
      <c r="AC104" s="14" t="str">
        <f t="shared" si="20"/>
        <v>DefExt</v>
      </c>
      <c r="AD104" s="14">
        <f t="shared" si="21"/>
        <v>107</v>
      </c>
      <c r="AE104" s="14" t="str">
        <f t="shared" si="22"/>
        <v>[x]</v>
      </c>
      <c r="AF104" s="27" t="str">
        <f t="shared" si="23"/>
        <v>[x]</v>
      </c>
      <c r="AG104" s="27" t="str">
        <f t="shared" si="24"/>
        <v>[x]</v>
      </c>
    </row>
    <row r="105" spans="9:33" ht="16.5" x14ac:dyDescent="0.2">
      <c r="I105" s="32"/>
      <c r="P105" s="13">
        <v>49</v>
      </c>
      <c r="Q105" s="14">
        <f t="shared" si="9"/>
        <v>4</v>
      </c>
      <c r="R105" s="14">
        <f t="shared" si="10"/>
        <v>1606006</v>
      </c>
      <c r="S105" s="14" t="str">
        <f t="shared" si="14"/>
        <v>神器2碎片1等级4</v>
      </c>
      <c r="T105" s="29" t="s">
        <v>520</v>
      </c>
      <c r="U105" s="14">
        <f t="shared" si="11"/>
        <v>4</v>
      </c>
      <c r="V105" s="36">
        <f t="shared" si="15"/>
        <v>0.38200000000000001</v>
      </c>
      <c r="W105" s="17">
        <f t="shared" si="12"/>
        <v>3.82E-3</v>
      </c>
      <c r="X105" s="14">
        <f t="shared" si="16"/>
        <v>1</v>
      </c>
      <c r="Y105" s="14">
        <f t="shared" si="17"/>
        <v>2</v>
      </c>
      <c r="Z105" s="14">
        <f t="shared" si="18"/>
        <v>0</v>
      </c>
      <c r="AA105" s="14" t="str">
        <f t="shared" si="19"/>
        <v>AtkExt</v>
      </c>
      <c r="AB105" s="14">
        <f t="shared" si="13"/>
        <v>518</v>
      </c>
      <c r="AC105" s="14" t="str">
        <f t="shared" si="20"/>
        <v>DefExt</v>
      </c>
      <c r="AD105" s="14">
        <f t="shared" si="21"/>
        <v>129</v>
      </c>
      <c r="AE105" s="14" t="str">
        <f t="shared" si="22"/>
        <v>[x]</v>
      </c>
      <c r="AF105" s="27" t="str">
        <f t="shared" si="23"/>
        <v>[x]</v>
      </c>
      <c r="AG105" s="27" t="str">
        <f t="shared" si="24"/>
        <v>[x]</v>
      </c>
    </row>
    <row r="106" spans="9:33" ht="16.5" x14ac:dyDescent="0.2">
      <c r="I106" s="32"/>
      <c r="P106" s="13">
        <v>50</v>
      </c>
      <c r="Q106" s="14">
        <f t="shared" si="9"/>
        <v>4</v>
      </c>
      <c r="R106" s="14">
        <f t="shared" si="10"/>
        <v>1606006</v>
      </c>
      <c r="S106" s="14" t="str">
        <f t="shared" si="14"/>
        <v>神器2碎片1等级5</v>
      </c>
      <c r="T106" s="29" t="s">
        <v>520</v>
      </c>
      <c r="U106" s="14">
        <f t="shared" si="11"/>
        <v>5</v>
      </c>
      <c r="V106" s="36">
        <f t="shared" si="15"/>
        <v>0.45</v>
      </c>
      <c r="W106" s="17">
        <f t="shared" si="12"/>
        <v>4.5000000000000005E-3</v>
      </c>
      <c r="X106" s="14">
        <f t="shared" si="16"/>
        <v>1</v>
      </c>
      <c r="Y106" s="14">
        <f t="shared" si="17"/>
        <v>2</v>
      </c>
      <c r="Z106" s="14">
        <f t="shared" si="18"/>
        <v>0</v>
      </c>
      <c r="AA106" s="14" t="str">
        <f t="shared" si="19"/>
        <v>AtkExt</v>
      </c>
      <c r="AB106" s="14">
        <f t="shared" si="13"/>
        <v>611</v>
      </c>
      <c r="AC106" s="14" t="str">
        <f t="shared" si="20"/>
        <v>DefExt</v>
      </c>
      <c r="AD106" s="14">
        <f t="shared" si="21"/>
        <v>152</v>
      </c>
      <c r="AE106" s="14" t="str">
        <f t="shared" si="22"/>
        <v>[x]</v>
      </c>
      <c r="AF106" s="27" t="str">
        <f t="shared" si="23"/>
        <v>[x]</v>
      </c>
      <c r="AG106" s="27" t="str">
        <f t="shared" si="24"/>
        <v>[x]</v>
      </c>
    </row>
    <row r="107" spans="9:33" ht="16.5" x14ac:dyDescent="0.2">
      <c r="I107" s="32"/>
      <c r="P107" s="13">
        <v>51</v>
      </c>
      <c r="Q107" s="14">
        <f t="shared" si="9"/>
        <v>4</v>
      </c>
      <c r="R107" s="14">
        <f t="shared" si="10"/>
        <v>1606006</v>
      </c>
      <c r="S107" s="14" t="str">
        <f t="shared" si="14"/>
        <v>神器2碎片1等级6</v>
      </c>
      <c r="T107" s="29" t="s">
        <v>520</v>
      </c>
      <c r="U107" s="14">
        <f t="shared" si="11"/>
        <v>6</v>
      </c>
      <c r="V107" s="36">
        <f t="shared" si="15"/>
        <v>0.52200000000000002</v>
      </c>
      <c r="W107" s="17">
        <f t="shared" si="12"/>
        <v>5.2200000000000007E-3</v>
      </c>
      <c r="X107" s="14">
        <f t="shared" si="16"/>
        <v>1</v>
      </c>
      <c r="Y107" s="14">
        <f t="shared" si="17"/>
        <v>2</v>
      </c>
      <c r="Z107" s="14">
        <f t="shared" si="18"/>
        <v>0</v>
      </c>
      <c r="AA107" s="14" t="str">
        <f t="shared" si="19"/>
        <v>AtkExt</v>
      </c>
      <c r="AB107" s="14">
        <f t="shared" si="13"/>
        <v>709</v>
      </c>
      <c r="AC107" s="14" t="str">
        <f t="shared" si="20"/>
        <v>DefExt</v>
      </c>
      <c r="AD107" s="14">
        <f t="shared" si="21"/>
        <v>177</v>
      </c>
      <c r="AE107" s="14" t="str">
        <f t="shared" si="22"/>
        <v>[x]</v>
      </c>
      <c r="AF107" s="27" t="str">
        <f t="shared" si="23"/>
        <v>[x]</v>
      </c>
      <c r="AG107" s="27" t="str">
        <f t="shared" si="24"/>
        <v>[x]</v>
      </c>
    </row>
    <row r="108" spans="9:33" ht="16.5" x14ac:dyDescent="0.2">
      <c r="I108" s="32"/>
      <c r="P108" s="13">
        <v>52</v>
      </c>
      <c r="Q108" s="14">
        <f t="shared" si="9"/>
        <v>4</v>
      </c>
      <c r="R108" s="14">
        <f t="shared" si="10"/>
        <v>1606006</v>
      </c>
      <c r="S108" s="14" t="str">
        <f t="shared" si="14"/>
        <v>神器2碎片1等级7</v>
      </c>
      <c r="T108" s="29" t="s">
        <v>520</v>
      </c>
      <c r="U108" s="14">
        <f t="shared" si="11"/>
        <v>7</v>
      </c>
      <c r="V108" s="36">
        <f t="shared" si="15"/>
        <v>0.59799999999999998</v>
      </c>
      <c r="W108" s="17">
        <f t="shared" si="12"/>
        <v>5.9800000000000001E-3</v>
      </c>
      <c r="X108" s="14">
        <f t="shared" si="16"/>
        <v>1</v>
      </c>
      <c r="Y108" s="14">
        <f t="shared" si="17"/>
        <v>2</v>
      </c>
      <c r="Z108" s="14">
        <f t="shared" si="18"/>
        <v>0</v>
      </c>
      <c r="AA108" s="14" t="str">
        <f t="shared" si="19"/>
        <v>AtkExt</v>
      </c>
      <c r="AB108" s="14">
        <f t="shared" si="13"/>
        <v>812</v>
      </c>
      <c r="AC108" s="14" t="str">
        <f t="shared" si="20"/>
        <v>DefExt</v>
      </c>
      <c r="AD108" s="14">
        <f t="shared" si="21"/>
        <v>203</v>
      </c>
      <c r="AE108" s="14" t="str">
        <f t="shared" si="22"/>
        <v>[x]</v>
      </c>
      <c r="AF108" s="27" t="str">
        <f t="shared" si="23"/>
        <v>[x]</v>
      </c>
      <c r="AG108" s="27" t="str">
        <f t="shared" si="24"/>
        <v>[x]</v>
      </c>
    </row>
    <row r="109" spans="9:33" ht="16.5" x14ac:dyDescent="0.2">
      <c r="I109" s="32"/>
      <c r="P109" s="13">
        <v>53</v>
      </c>
      <c r="Q109" s="14">
        <f t="shared" si="9"/>
        <v>4</v>
      </c>
      <c r="R109" s="14">
        <f t="shared" si="10"/>
        <v>1606006</v>
      </c>
      <c r="S109" s="14" t="str">
        <f t="shared" si="14"/>
        <v>神器2碎片1等级8</v>
      </c>
      <c r="T109" s="29" t="s">
        <v>520</v>
      </c>
      <c r="U109" s="14">
        <f t="shared" si="11"/>
        <v>8</v>
      </c>
      <c r="V109" s="36">
        <f t="shared" si="15"/>
        <v>0.67800000000000005</v>
      </c>
      <c r="W109" s="17">
        <f t="shared" si="12"/>
        <v>6.7800000000000004E-3</v>
      </c>
      <c r="X109" s="14">
        <f t="shared" si="16"/>
        <v>1</v>
      </c>
      <c r="Y109" s="14">
        <f t="shared" si="17"/>
        <v>2</v>
      </c>
      <c r="Z109" s="14">
        <f t="shared" si="18"/>
        <v>0</v>
      </c>
      <c r="AA109" s="14" t="str">
        <f t="shared" si="19"/>
        <v>AtkExt</v>
      </c>
      <c r="AB109" s="14">
        <f t="shared" si="13"/>
        <v>921</v>
      </c>
      <c r="AC109" s="14" t="str">
        <f t="shared" si="20"/>
        <v>DefExt</v>
      </c>
      <c r="AD109" s="14">
        <f t="shared" si="21"/>
        <v>230</v>
      </c>
      <c r="AE109" s="14" t="str">
        <f t="shared" si="22"/>
        <v>[x]</v>
      </c>
      <c r="AF109" s="27" t="str">
        <f t="shared" si="23"/>
        <v>[x]</v>
      </c>
      <c r="AG109" s="27" t="str">
        <f t="shared" si="24"/>
        <v>[x]</v>
      </c>
    </row>
    <row r="110" spans="9:33" ht="16.5" x14ac:dyDescent="0.2">
      <c r="I110" s="32"/>
      <c r="P110" s="13">
        <v>54</v>
      </c>
      <c r="Q110" s="14">
        <f t="shared" si="9"/>
        <v>4</v>
      </c>
      <c r="R110" s="14">
        <f t="shared" si="10"/>
        <v>1606006</v>
      </c>
      <c r="S110" s="14" t="str">
        <f t="shared" si="14"/>
        <v>神器2碎片1等级9</v>
      </c>
      <c r="T110" s="29" t="s">
        <v>520</v>
      </c>
      <c r="U110" s="14">
        <f t="shared" si="11"/>
        <v>9</v>
      </c>
      <c r="V110" s="36">
        <f t="shared" si="15"/>
        <v>0.76200000000000001</v>
      </c>
      <c r="W110" s="17">
        <f t="shared" si="12"/>
        <v>7.62E-3</v>
      </c>
      <c r="X110" s="14">
        <f t="shared" si="16"/>
        <v>1</v>
      </c>
      <c r="Y110" s="14">
        <f t="shared" si="17"/>
        <v>2</v>
      </c>
      <c r="Z110" s="14">
        <f t="shared" si="18"/>
        <v>0</v>
      </c>
      <c r="AA110" s="14" t="str">
        <f t="shared" si="19"/>
        <v>AtkExt</v>
      </c>
      <c r="AB110" s="14">
        <f t="shared" si="13"/>
        <v>1035</v>
      </c>
      <c r="AC110" s="14" t="str">
        <f t="shared" si="20"/>
        <v>DefExt</v>
      </c>
      <c r="AD110" s="14">
        <f t="shared" si="21"/>
        <v>258</v>
      </c>
      <c r="AE110" s="14" t="str">
        <f t="shared" si="22"/>
        <v>[x]</v>
      </c>
      <c r="AF110" s="27" t="str">
        <f t="shared" si="23"/>
        <v>[x]</v>
      </c>
      <c r="AG110" s="27" t="str">
        <f t="shared" si="24"/>
        <v>[x]</v>
      </c>
    </row>
    <row r="111" spans="9:33" ht="16.5" x14ac:dyDescent="0.2">
      <c r="I111" s="32"/>
      <c r="P111" s="13">
        <v>55</v>
      </c>
      <c r="Q111" s="14">
        <f t="shared" si="9"/>
        <v>4</v>
      </c>
      <c r="R111" s="14">
        <f t="shared" si="10"/>
        <v>1606006</v>
      </c>
      <c r="S111" s="14" t="str">
        <f t="shared" si="14"/>
        <v>神器2碎片1等级10</v>
      </c>
      <c r="T111" s="29" t="s">
        <v>520</v>
      </c>
      <c r="U111" s="14">
        <f t="shared" si="11"/>
        <v>10</v>
      </c>
      <c r="V111" s="36">
        <f t="shared" si="15"/>
        <v>0.85000000000000009</v>
      </c>
      <c r="W111" s="17">
        <f t="shared" si="12"/>
        <v>8.5000000000000006E-3</v>
      </c>
      <c r="X111" s="14">
        <f t="shared" si="16"/>
        <v>1</v>
      </c>
      <c r="Y111" s="14">
        <f t="shared" si="17"/>
        <v>2</v>
      </c>
      <c r="Z111" s="14">
        <f t="shared" si="18"/>
        <v>0</v>
      </c>
      <c r="AA111" s="14" t="str">
        <f t="shared" si="19"/>
        <v>AtkExt</v>
      </c>
      <c r="AB111" s="14">
        <f t="shared" si="13"/>
        <v>1154</v>
      </c>
      <c r="AC111" s="14" t="str">
        <f t="shared" si="20"/>
        <v>DefExt</v>
      </c>
      <c r="AD111" s="14">
        <f t="shared" si="21"/>
        <v>288</v>
      </c>
      <c r="AE111" s="14" t="str">
        <f t="shared" si="22"/>
        <v>[x]</v>
      </c>
      <c r="AF111" s="27" t="str">
        <f t="shared" si="23"/>
        <v>[x]</v>
      </c>
      <c r="AG111" s="27" t="str">
        <f t="shared" si="24"/>
        <v>[x]</v>
      </c>
    </row>
    <row r="112" spans="9:33" ht="16.5" x14ac:dyDescent="0.2">
      <c r="I112" s="32"/>
      <c r="P112" s="13">
        <v>56</v>
      </c>
      <c r="Q112" s="14">
        <f t="shared" si="9"/>
        <v>4</v>
      </c>
      <c r="R112" s="14">
        <f t="shared" si="10"/>
        <v>1606006</v>
      </c>
      <c r="S112" s="14" t="str">
        <f t="shared" si="14"/>
        <v>神器2碎片1等级11</v>
      </c>
      <c r="T112" s="29" t="s">
        <v>520</v>
      </c>
      <c r="U112" s="14">
        <f t="shared" si="11"/>
        <v>11</v>
      </c>
      <c r="V112" s="36">
        <f t="shared" si="15"/>
        <v>0.94200000000000006</v>
      </c>
      <c r="W112" s="17">
        <f t="shared" si="12"/>
        <v>9.4200000000000013E-3</v>
      </c>
      <c r="X112" s="14">
        <f t="shared" si="16"/>
        <v>1</v>
      </c>
      <c r="Y112" s="14">
        <f t="shared" si="17"/>
        <v>2</v>
      </c>
      <c r="Z112" s="14">
        <f t="shared" si="18"/>
        <v>0</v>
      </c>
      <c r="AA112" s="14" t="str">
        <f t="shared" si="19"/>
        <v>AtkExt</v>
      </c>
      <c r="AB112" s="14">
        <f t="shared" si="13"/>
        <v>1279</v>
      </c>
      <c r="AC112" s="14" t="str">
        <f t="shared" si="20"/>
        <v>DefExt</v>
      </c>
      <c r="AD112" s="14">
        <f t="shared" si="21"/>
        <v>319</v>
      </c>
      <c r="AE112" s="14" t="str">
        <f t="shared" si="22"/>
        <v>[x]</v>
      </c>
      <c r="AF112" s="27" t="str">
        <f t="shared" si="23"/>
        <v>[x]</v>
      </c>
      <c r="AG112" s="27" t="str">
        <f t="shared" si="24"/>
        <v>[x]</v>
      </c>
    </row>
    <row r="113" spans="9:33" ht="16.5" x14ac:dyDescent="0.2">
      <c r="I113" s="32"/>
      <c r="P113" s="13">
        <v>57</v>
      </c>
      <c r="Q113" s="14">
        <f t="shared" si="9"/>
        <v>4</v>
      </c>
      <c r="R113" s="14">
        <f t="shared" si="10"/>
        <v>1606006</v>
      </c>
      <c r="S113" s="14" t="str">
        <f t="shared" si="14"/>
        <v>神器2碎片1等级12</v>
      </c>
      <c r="T113" s="29" t="s">
        <v>520</v>
      </c>
      <c r="U113" s="14">
        <f t="shared" si="11"/>
        <v>12</v>
      </c>
      <c r="V113" s="36">
        <f t="shared" si="15"/>
        <v>1.0380000000000003</v>
      </c>
      <c r="W113" s="17">
        <f t="shared" si="12"/>
        <v>1.0380000000000002E-2</v>
      </c>
      <c r="X113" s="14">
        <f t="shared" si="16"/>
        <v>1</v>
      </c>
      <c r="Y113" s="14">
        <f t="shared" si="17"/>
        <v>2</v>
      </c>
      <c r="Z113" s="14">
        <f t="shared" si="18"/>
        <v>0</v>
      </c>
      <c r="AA113" s="14" t="str">
        <f t="shared" si="19"/>
        <v>AtkExt</v>
      </c>
      <c r="AB113" s="14">
        <f t="shared" si="13"/>
        <v>1410</v>
      </c>
      <c r="AC113" s="14" t="str">
        <f t="shared" si="20"/>
        <v>DefExt</v>
      </c>
      <c r="AD113" s="14">
        <f t="shared" si="21"/>
        <v>352</v>
      </c>
      <c r="AE113" s="14" t="str">
        <f t="shared" si="22"/>
        <v>[x]</v>
      </c>
      <c r="AF113" s="27" t="str">
        <f t="shared" si="23"/>
        <v>[x]</v>
      </c>
      <c r="AG113" s="27" t="str">
        <f t="shared" si="24"/>
        <v>[x]</v>
      </c>
    </row>
    <row r="114" spans="9:33" ht="16.5" x14ac:dyDescent="0.2">
      <c r="I114" s="32"/>
      <c r="P114" s="13">
        <v>58</v>
      </c>
      <c r="Q114" s="14">
        <f t="shared" si="9"/>
        <v>4</v>
      </c>
      <c r="R114" s="14">
        <f t="shared" si="10"/>
        <v>1606006</v>
      </c>
      <c r="S114" s="14" t="str">
        <f t="shared" si="14"/>
        <v>神器2碎片1等级13</v>
      </c>
      <c r="T114" s="29" t="s">
        <v>520</v>
      </c>
      <c r="U114" s="14">
        <f t="shared" si="11"/>
        <v>13</v>
      </c>
      <c r="V114" s="36">
        <f t="shared" si="15"/>
        <v>1.1380000000000001</v>
      </c>
      <c r="W114" s="17">
        <f t="shared" si="12"/>
        <v>1.1380000000000001E-2</v>
      </c>
      <c r="X114" s="14">
        <f t="shared" si="16"/>
        <v>1</v>
      </c>
      <c r="Y114" s="14">
        <f t="shared" si="17"/>
        <v>2</v>
      </c>
      <c r="Z114" s="14">
        <f t="shared" si="18"/>
        <v>0</v>
      </c>
      <c r="AA114" s="14" t="str">
        <f t="shared" si="19"/>
        <v>AtkExt</v>
      </c>
      <c r="AB114" s="14">
        <f t="shared" si="13"/>
        <v>1546</v>
      </c>
      <c r="AC114" s="14" t="str">
        <f t="shared" si="20"/>
        <v>DefExt</v>
      </c>
      <c r="AD114" s="14">
        <f t="shared" si="21"/>
        <v>386</v>
      </c>
      <c r="AE114" s="14" t="str">
        <f t="shared" si="22"/>
        <v>[x]</v>
      </c>
      <c r="AF114" s="27" t="str">
        <f t="shared" si="23"/>
        <v>[x]</v>
      </c>
      <c r="AG114" s="27" t="str">
        <f t="shared" si="24"/>
        <v>[x]</v>
      </c>
    </row>
    <row r="115" spans="9:33" ht="16.5" x14ac:dyDescent="0.2">
      <c r="I115" s="32"/>
      <c r="P115" s="13">
        <v>59</v>
      </c>
      <c r="Q115" s="14">
        <f t="shared" si="9"/>
        <v>4</v>
      </c>
      <c r="R115" s="14">
        <f t="shared" si="10"/>
        <v>1606006</v>
      </c>
      <c r="S115" s="14" t="str">
        <f t="shared" si="14"/>
        <v>神器2碎片1等级14</v>
      </c>
      <c r="T115" s="29" t="s">
        <v>520</v>
      </c>
      <c r="U115" s="14">
        <f t="shared" si="11"/>
        <v>14</v>
      </c>
      <c r="V115" s="36">
        <f t="shared" si="15"/>
        <v>1.242</v>
      </c>
      <c r="W115" s="17">
        <f t="shared" si="12"/>
        <v>1.242E-2</v>
      </c>
      <c r="X115" s="14">
        <f t="shared" si="16"/>
        <v>1</v>
      </c>
      <c r="Y115" s="14">
        <f t="shared" si="17"/>
        <v>2</v>
      </c>
      <c r="Z115" s="14">
        <f t="shared" si="18"/>
        <v>0</v>
      </c>
      <c r="AA115" s="14" t="str">
        <f t="shared" si="19"/>
        <v>AtkExt</v>
      </c>
      <c r="AB115" s="14">
        <f t="shared" si="13"/>
        <v>1687</v>
      </c>
      <c r="AC115" s="14" t="str">
        <f t="shared" si="20"/>
        <v>DefExt</v>
      </c>
      <c r="AD115" s="14">
        <f t="shared" si="21"/>
        <v>421</v>
      </c>
      <c r="AE115" s="14" t="str">
        <f t="shared" si="22"/>
        <v>[x]</v>
      </c>
      <c r="AF115" s="27" t="str">
        <f t="shared" si="23"/>
        <v>[x]</v>
      </c>
      <c r="AG115" s="27" t="str">
        <f t="shared" si="24"/>
        <v>[x]</v>
      </c>
    </row>
    <row r="116" spans="9:33" ht="16.5" x14ac:dyDescent="0.2">
      <c r="I116" s="32"/>
      <c r="P116" s="13">
        <v>60</v>
      </c>
      <c r="Q116" s="14">
        <f t="shared" si="9"/>
        <v>4</v>
      </c>
      <c r="R116" s="14">
        <f t="shared" si="10"/>
        <v>1606006</v>
      </c>
      <c r="S116" s="14" t="str">
        <f t="shared" si="14"/>
        <v>神器2碎片1等级15</v>
      </c>
      <c r="T116" s="29" t="s">
        <v>520</v>
      </c>
      <c r="U116" s="14">
        <f t="shared" si="11"/>
        <v>15</v>
      </c>
      <c r="V116" s="36">
        <f t="shared" si="15"/>
        <v>1.35</v>
      </c>
      <c r="W116" s="17">
        <f t="shared" si="12"/>
        <v>1.3500000000000002E-2</v>
      </c>
      <c r="X116" s="14">
        <f t="shared" si="16"/>
        <v>1</v>
      </c>
      <c r="Y116" s="14">
        <f t="shared" si="17"/>
        <v>2</v>
      </c>
      <c r="Z116" s="14">
        <f t="shared" si="18"/>
        <v>0</v>
      </c>
      <c r="AA116" s="14" t="str">
        <f t="shared" si="19"/>
        <v>AtkExt</v>
      </c>
      <c r="AB116" s="14">
        <f t="shared" si="13"/>
        <v>1834</v>
      </c>
      <c r="AC116" s="14" t="str">
        <f t="shared" si="20"/>
        <v>DefExt</v>
      </c>
      <c r="AD116" s="14">
        <f t="shared" si="21"/>
        <v>458</v>
      </c>
      <c r="AE116" s="14" t="str">
        <f t="shared" si="22"/>
        <v>[x]</v>
      </c>
      <c r="AF116" s="27" t="str">
        <f t="shared" si="23"/>
        <v>[x]</v>
      </c>
      <c r="AG116" s="27" t="str">
        <f t="shared" si="24"/>
        <v>[x]</v>
      </c>
    </row>
    <row r="117" spans="9:33" ht="16.5" x14ac:dyDescent="0.2">
      <c r="I117" s="32"/>
      <c r="P117" s="13">
        <v>61</v>
      </c>
      <c r="Q117" s="14">
        <f t="shared" si="9"/>
        <v>5</v>
      </c>
      <c r="R117" s="14">
        <f t="shared" si="10"/>
        <v>1606007</v>
      </c>
      <c r="S117" s="14" t="str">
        <f t="shared" si="14"/>
        <v>神器2碎片2等级1</v>
      </c>
      <c r="T117" s="29" t="s">
        <v>520</v>
      </c>
      <c r="U117" s="14">
        <f t="shared" si="11"/>
        <v>1</v>
      </c>
      <c r="V117" s="36">
        <f t="shared" si="15"/>
        <v>0.20200000000000001</v>
      </c>
      <c r="W117" s="17">
        <f t="shared" si="12"/>
        <v>2.0200000000000001E-3</v>
      </c>
      <c r="X117" s="14">
        <f t="shared" si="16"/>
        <v>1</v>
      </c>
      <c r="Y117" s="14">
        <f t="shared" si="17"/>
        <v>2</v>
      </c>
      <c r="Z117" s="14">
        <f t="shared" si="18"/>
        <v>3</v>
      </c>
      <c r="AA117" s="14" t="str">
        <f t="shared" si="19"/>
        <v>AtkExt</v>
      </c>
      <c r="AB117" s="14">
        <f t="shared" si="13"/>
        <v>137</v>
      </c>
      <c r="AC117" s="14" t="str">
        <f t="shared" si="20"/>
        <v>DefExt</v>
      </c>
      <c r="AD117" s="14">
        <f t="shared" si="21"/>
        <v>68</v>
      </c>
      <c r="AE117" s="14" t="str">
        <f t="shared" si="22"/>
        <v>HPExt</v>
      </c>
      <c r="AF117" s="27">
        <f t="shared" si="23"/>
        <v>411</v>
      </c>
      <c r="AG117" s="27" t="str">
        <f t="shared" si="24"/>
        <v>[x]</v>
      </c>
    </row>
    <row r="118" spans="9:33" ht="16.5" x14ac:dyDescent="0.2">
      <c r="I118" s="32"/>
      <c r="P118" s="13">
        <v>62</v>
      </c>
      <c r="Q118" s="14">
        <f t="shared" si="9"/>
        <v>5</v>
      </c>
      <c r="R118" s="14">
        <f t="shared" si="10"/>
        <v>1606007</v>
      </c>
      <c r="S118" s="14" t="str">
        <f t="shared" si="14"/>
        <v>神器2碎片2等级2</v>
      </c>
      <c r="T118" s="29" t="s">
        <v>520</v>
      </c>
      <c r="U118" s="14">
        <f t="shared" si="11"/>
        <v>2</v>
      </c>
      <c r="V118" s="36">
        <f t="shared" si="15"/>
        <v>0.25800000000000001</v>
      </c>
      <c r="W118" s="17">
        <f t="shared" si="12"/>
        <v>2.5800000000000003E-3</v>
      </c>
      <c r="X118" s="14">
        <f t="shared" si="16"/>
        <v>1</v>
      </c>
      <c r="Y118" s="14">
        <f t="shared" si="17"/>
        <v>2</v>
      </c>
      <c r="Z118" s="14">
        <f t="shared" si="18"/>
        <v>3</v>
      </c>
      <c r="AA118" s="14" t="str">
        <f t="shared" si="19"/>
        <v>AtkExt</v>
      </c>
      <c r="AB118" s="14">
        <f t="shared" si="13"/>
        <v>175</v>
      </c>
      <c r="AC118" s="14" t="str">
        <f t="shared" si="20"/>
        <v>DefExt</v>
      </c>
      <c r="AD118" s="14">
        <f t="shared" si="21"/>
        <v>87</v>
      </c>
      <c r="AE118" s="14" t="str">
        <f t="shared" si="22"/>
        <v>HPExt</v>
      </c>
      <c r="AF118" s="27">
        <f t="shared" si="23"/>
        <v>525</v>
      </c>
      <c r="AG118" s="27" t="str">
        <f t="shared" si="24"/>
        <v>[x]</v>
      </c>
    </row>
    <row r="119" spans="9:33" ht="16.5" x14ac:dyDescent="0.2">
      <c r="I119" s="32"/>
      <c r="P119" s="13">
        <v>63</v>
      </c>
      <c r="Q119" s="14">
        <f t="shared" si="9"/>
        <v>5</v>
      </c>
      <c r="R119" s="14">
        <f t="shared" si="10"/>
        <v>1606007</v>
      </c>
      <c r="S119" s="14" t="str">
        <f t="shared" si="14"/>
        <v>神器2碎片2等级3</v>
      </c>
      <c r="T119" s="29" t="s">
        <v>520</v>
      </c>
      <c r="U119" s="14">
        <f t="shared" si="11"/>
        <v>3</v>
      </c>
      <c r="V119" s="36">
        <f t="shared" si="15"/>
        <v>0.31800000000000006</v>
      </c>
      <c r="W119" s="17">
        <f t="shared" si="12"/>
        <v>3.1800000000000005E-3</v>
      </c>
      <c r="X119" s="14">
        <f t="shared" si="16"/>
        <v>1</v>
      </c>
      <c r="Y119" s="14">
        <f t="shared" si="17"/>
        <v>2</v>
      </c>
      <c r="Z119" s="14">
        <f t="shared" si="18"/>
        <v>3</v>
      </c>
      <c r="AA119" s="14" t="str">
        <f t="shared" si="19"/>
        <v>AtkExt</v>
      </c>
      <c r="AB119" s="14">
        <f t="shared" si="13"/>
        <v>216</v>
      </c>
      <c r="AC119" s="14" t="str">
        <f t="shared" si="20"/>
        <v>DefExt</v>
      </c>
      <c r="AD119" s="14">
        <f t="shared" si="21"/>
        <v>107</v>
      </c>
      <c r="AE119" s="14" t="str">
        <f t="shared" si="22"/>
        <v>HPExt</v>
      </c>
      <c r="AF119" s="27">
        <f t="shared" si="23"/>
        <v>648</v>
      </c>
      <c r="AG119" s="27" t="str">
        <f t="shared" si="24"/>
        <v>[x]</v>
      </c>
    </row>
    <row r="120" spans="9:33" ht="16.5" x14ac:dyDescent="0.2">
      <c r="I120" s="32"/>
      <c r="P120" s="13">
        <v>64</v>
      </c>
      <c r="Q120" s="14">
        <f t="shared" si="9"/>
        <v>5</v>
      </c>
      <c r="R120" s="14">
        <f t="shared" si="10"/>
        <v>1606007</v>
      </c>
      <c r="S120" s="14" t="str">
        <f t="shared" si="14"/>
        <v>神器2碎片2等级4</v>
      </c>
      <c r="T120" s="29" t="s">
        <v>520</v>
      </c>
      <c r="U120" s="14">
        <f t="shared" si="11"/>
        <v>4</v>
      </c>
      <c r="V120" s="36">
        <f t="shared" si="15"/>
        <v>0.38200000000000001</v>
      </c>
      <c r="W120" s="17">
        <f t="shared" si="12"/>
        <v>3.82E-3</v>
      </c>
      <c r="X120" s="14">
        <f t="shared" si="16"/>
        <v>1</v>
      </c>
      <c r="Y120" s="14">
        <f t="shared" si="17"/>
        <v>2</v>
      </c>
      <c r="Z120" s="14">
        <f t="shared" si="18"/>
        <v>3</v>
      </c>
      <c r="AA120" s="14" t="str">
        <f t="shared" si="19"/>
        <v>AtkExt</v>
      </c>
      <c r="AB120" s="14">
        <f t="shared" si="13"/>
        <v>259</v>
      </c>
      <c r="AC120" s="14" t="str">
        <f t="shared" si="20"/>
        <v>DefExt</v>
      </c>
      <c r="AD120" s="14">
        <f t="shared" si="21"/>
        <v>129</v>
      </c>
      <c r="AE120" s="14" t="str">
        <f t="shared" si="22"/>
        <v>HPExt</v>
      </c>
      <c r="AF120" s="27">
        <f t="shared" si="23"/>
        <v>778</v>
      </c>
      <c r="AG120" s="27" t="str">
        <f t="shared" si="24"/>
        <v>[x]</v>
      </c>
    </row>
    <row r="121" spans="9:33" ht="16.5" x14ac:dyDescent="0.2">
      <c r="I121" s="32"/>
      <c r="P121" s="13">
        <v>65</v>
      </c>
      <c r="Q121" s="14">
        <f t="shared" ref="Q121:Q184" si="25">MATCH(P121-1,$X$4:$X$46,1)</f>
        <v>5</v>
      </c>
      <c r="R121" s="14">
        <f t="shared" ref="R121:R184" si="26">INDEX($S$5:$S$46,Q121)</f>
        <v>1606007</v>
      </c>
      <c r="S121" s="14" t="str">
        <f t="shared" si="14"/>
        <v>神器2碎片2等级5</v>
      </c>
      <c r="T121" s="29" t="s">
        <v>520</v>
      </c>
      <c r="U121" s="14">
        <f t="shared" ref="U121:U184" si="27">P121-INDEX($X$4:$X$46,Q121)</f>
        <v>5</v>
      </c>
      <c r="V121" s="36">
        <f t="shared" si="15"/>
        <v>0.45</v>
      </c>
      <c r="W121" s="17">
        <f t="shared" ref="W121:W184" si="28">INDEX($V$5:$V$46,Q121)*V121</f>
        <v>4.5000000000000005E-3</v>
      </c>
      <c r="X121" s="14">
        <f t="shared" si="16"/>
        <v>1</v>
      </c>
      <c r="Y121" s="14">
        <f t="shared" si="17"/>
        <v>2</v>
      </c>
      <c r="Z121" s="14">
        <f t="shared" si="18"/>
        <v>3</v>
      </c>
      <c r="AA121" s="14" t="str">
        <f t="shared" si="19"/>
        <v>AtkExt</v>
      </c>
      <c r="AB121" s="14">
        <f t="shared" ref="AB121:AB184" si="29">INT(INDEX($E$4:$G$4,X121)*W121*INDEX($Y$5:$AA$46,Q121,X121))</f>
        <v>305</v>
      </c>
      <c r="AC121" s="14" t="str">
        <f t="shared" si="20"/>
        <v>DefExt</v>
      </c>
      <c r="AD121" s="14">
        <f t="shared" si="21"/>
        <v>152</v>
      </c>
      <c r="AE121" s="14" t="str">
        <f t="shared" si="22"/>
        <v>HPExt</v>
      </c>
      <c r="AF121" s="27">
        <f t="shared" si="23"/>
        <v>917</v>
      </c>
      <c r="AG121" s="27" t="str">
        <f t="shared" si="24"/>
        <v>[x]</v>
      </c>
    </row>
    <row r="122" spans="9:33" ht="16.5" x14ac:dyDescent="0.2">
      <c r="I122" s="32"/>
      <c r="P122" s="13">
        <v>66</v>
      </c>
      <c r="Q122" s="14">
        <f t="shared" si="25"/>
        <v>5</v>
      </c>
      <c r="R122" s="14">
        <f t="shared" si="26"/>
        <v>1606007</v>
      </c>
      <c r="S122" s="14" t="str">
        <f t="shared" ref="S122:S185" si="30">INDEX($P$5:$P$46,Q122)&amp;"碎片"&amp;INDEX($R$5:$R$46,Q122)&amp;"等级"&amp;U122</f>
        <v>神器2碎片2等级6</v>
      </c>
      <c r="T122" s="29" t="s">
        <v>520</v>
      </c>
      <c r="U122" s="14">
        <f t="shared" si="27"/>
        <v>6</v>
      </c>
      <c r="V122" s="36">
        <f t="shared" ref="V122:V185" si="31">15%+U122*5%+U122*U122*0.2%</f>
        <v>0.52200000000000002</v>
      </c>
      <c r="W122" s="17">
        <f t="shared" si="28"/>
        <v>5.2200000000000007E-3</v>
      </c>
      <c r="X122" s="14">
        <f t="shared" ref="X122:X185" si="32">INDEX($AB$5:$AB$46,Q122)</f>
        <v>1</v>
      </c>
      <c r="Y122" s="14">
        <f t="shared" ref="Y122:Y185" si="33">INDEX(AC$5:AC$46,$Q122)</f>
        <v>2</v>
      </c>
      <c r="Z122" s="14">
        <f t="shared" ref="Z122:Z185" si="34">INDEX(AD$5:AD$46,$Q122)</f>
        <v>3</v>
      </c>
      <c r="AA122" s="14" t="str">
        <f t="shared" ref="AA122:AA185" si="35">INDEX($Y$3:$AA$3,X122)</f>
        <v>AtkExt</v>
      </c>
      <c r="AB122" s="14">
        <f t="shared" si="29"/>
        <v>354</v>
      </c>
      <c r="AC122" s="14" t="str">
        <f t="shared" ref="AC122:AC185" si="36">IF(Y122&gt;0,INDEX($Y$3:$AA$3,Y122),"[x]")</f>
        <v>DefExt</v>
      </c>
      <c r="AD122" s="14">
        <f t="shared" ref="AD122:AD185" si="37">IF(Y122&gt;0,INT(INDEX($E$4:$G$4,Y122)*W122*INDEX($Y$5:$AA$46,Q122,Y122)),"[x]")</f>
        <v>177</v>
      </c>
      <c r="AE122" s="14" t="str">
        <f t="shared" ref="AE122:AE185" si="38">IF(Z122&gt;0,INDEX($Y$3:$AA$3,Z122),"[x]")</f>
        <v>HPExt</v>
      </c>
      <c r="AF122" s="27">
        <f t="shared" ref="AF122:AF185" si="39">IF(Z122&gt;0,INT(INDEX($E$4:$G$4,Z122)*W122*INDEX($Y$5:$AA$46,Q122,Z122)),"[x]")</f>
        <v>1064</v>
      </c>
      <c r="AG122" s="27" t="str">
        <f t="shared" ref="AG122:AG185" si="40">IF(INDEX($AE$5:$AE$46,Q122)&gt;0,INDEX($AE$5:$AE$46,Q122)*U122,"[x]")</f>
        <v>[x]</v>
      </c>
    </row>
    <row r="123" spans="9:33" ht="16.5" x14ac:dyDescent="0.2">
      <c r="I123" s="32"/>
      <c r="P123" s="13">
        <v>67</v>
      </c>
      <c r="Q123" s="14">
        <f t="shared" si="25"/>
        <v>5</v>
      </c>
      <c r="R123" s="14">
        <f t="shared" si="26"/>
        <v>1606007</v>
      </c>
      <c r="S123" s="14" t="str">
        <f t="shared" si="30"/>
        <v>神器2碎片2等级7</v>
      </c>
      <c r="T123" s="29" t="s">
        <v>520</v>
      </c>
      <c r="U123" s="14">
        <f t="shared" si="27"/>
        <v>7</v>
      </c>
      <c r="V123" s="36">
        <f t="shared" si="31"/>
        <v>0.59799999999999998</v>
      </c>
      <c r="W123" s="17">
        <f t="shared" si="28"/>
        <v>5.9800000000000001E-3</v>
      </c>
      <c r="X123" s="14">
        <f t="shared" si="32"/>
        <v>1</v>
      </c>
      <c r="Y123" s="14">
        <f t="shared" si="33"/>
        <v>2</v>
      </c>
      <c r="Z123" s="14">
        <f t="shared" si="34"/>
        <v>3</v>
      </c>
      <c r="AA123" s="14" t="str">
        <f t="shared" si="35"/>
        <v>AtkExt</v>
      </c>
      <c r="AB123" s="14">
        <f t="shared" si="29"/>
        <v>406</v>
      </c>
      <c r="AC123" s="14" t="str">
        <f t="shared" si="36"/>
        <v>DefExt</v>
      </c>
      <c r="AD123" s="14">
        <f t="shared" si="37"/>
        <v>203</v>
      </c>
      <c r="AE123" s="14" t="str">
        <f t="shared" si="38"/>
        <v>HPExt</v>
      </c>
      <c r="AF123" s="27">
        <f t="shared" si="39"/>
        <v>1219</v>
      </c>
      <c r="AG123" s="27" t="str">
        <f t="shared" si="40"/>
        <v>[x]</v>
      </c>
    </row>
    <row r="124" spans="9:33" ht="16.5" x14ac:dyDescent="0.2">
      <c r="I124" s="32"/>
      <c r="P124" s="13">
        <v>68</v>
      </c>
      <c r="Q124" s="14">
        <f t="shared" si="25"/>
        <v>5</v>
      </c>
      <c r="R124" s="14">
        <f t="shared" si="26"/>
        <v>1606007</v>
      </c>
      <c r="S124" s="14" t="str">
        <f t="shared" si="30"/>
        <v>神器2碎片2等级8</v>
      </c>
      <c r="T124" s="29" t="s">
        <v>520</v>
      </c>
      <c r="U124" s="14">
        <f t="shared" si="27"/>
        <v>8</v>
      </c>
      <c r="V124" s="36">
        <f t="shared" si="31"/>
        <v>0.67800000000000005</v>
      </c>
      <c r="W124" s="17">
        <f t="shared" si="28"/>
        <v>6.7800000000000004E-3</v>
      </c>
      <c r="X124" s="14">
        <f t="shared" si="32"/>
        <v>1</v>
      </c>
      <c r="Y124" s="14">
        <f t="shared" si="33"/>
        <v>2</v>
      </c>
      <c r="Z124" s="14">
        <f t="shared" si="34"/>
        <v>3</v>
      </c>
      <c r="AA124" s="14" t="str">
        <f t="shared" si="35"/>
        <v>AtkExt</v>
      </c>
      <c r="AB124" s="14">
        <f t="shared" si="29"/>
        <v>460</v>
      </c>
      <c r="AC124" s="14" t="str">
        <f t="shared" si="36"/>
        <v>DefExt</v>
      </c>
      <c r="AD124" s="14">
        <f t="shared" si="37"/>
        <v>230</v>
      </c>
      <c r="AE124" s="14" t="str">
        <f t="shared" si="38"/>
        <v>HPExt</v>
      </c>
      <c r="AF124" s="27">
        <f t="shared" si="39"/>
        <v>1382</v>
      </c>
      <c r="AG124" s="27" t="str">
        <f t="shared" si="40"/>
        <v>[x]</v>
      </c>
    </row>
    <row r="125" spans="9:33" ht="16.5" x14ac:dyDescent="0.2">
      <c r="I125" s="32"/>
      <c r="P125" s="13">
        <v>69</v>
      </c>
      <c r="Q125" s="14">
        <f t="shared" si="25"/>
        <v>5</v>
      </c>
      <c r="R125" s="14">
        <f t="shared" si="26"/>
        <v>1606007</v>
      </c>
      <c r="S125" s="14" t="str">
        <f t="shared" si="30"/>
        <v>神器2碎片2等级9</v>
      </c>
      <c r="T125" s="29" t="s">
        <v>520</v>
      </c>
      <c r="U125" s="14">
        <f t="shared" si="27"/>
        <v>9</v>
      </c>
      <c r="V125" s="36">
        <f t="shared" si="31"/>
        <v>0.76200000000000001</v>
      </c>
      <c r="W125" s="17">
        <f t="shared" si="28"/>
        <v>7.62E-3</v>
      </c>
      <c r="X125" s="14">
        <f t="shared" si="32"/>
        <v>1</v>
      </c>
      <c r="Y125" s="14">
        <f t="shared" si="33"/>
        <v>2</v>
      </c>
      <c r="Z125" s="14">
        <f t="shared" si="34"/>
        <v>3</v>
      </c>
      <c r="AA125" s="14" t="str">
        <f t="shared" si="35"/>
        <v>AtkExt</v>
      </c>
      <c r="AB125" s="14">
        <f t="shared" si="29"/>
        <v>517</v>
      </c>
      <c r="AC125" s="14" t="str">
        <f t="shared" si="36"/>
        <v>DefExt</v>
      </c>
      <c r="AD125" s="14">
        <f t="shared" si="37"/>
        <v>258</v>
      </c>
      <c r="AE125" s="14" t="str">
        <f t="shared" si="38"/>
        <v>HPExt</v>
      </c>
      <c r="AF125" s="27">
        <f t="shared" si="39"/>
        <v>1553</v>
      </c>
      <c r="AG125" s="27" t="str">
        <f t="shared" si="40"/>
        <v>[x]</v>
      </c>
    </row>
    <row r="126" spans="9:33" ht="16.5" x14ac:dyDescent="0.2">
      <c r="I126" s="32"/>
      <c r="P126" s="13">
        <v>70</v>
      </c>
      <c r="Q126" s="14">
        <f t="shared" si="25"/>
        <v>5</v>
      </c>
      <c r="R126" s="14">
        <f t="shared" si="26"/>
        <v>1606007</v>
      </c>
      <c r="S126" s="14" t="str">
        <f t="shared" si="30"/>
        <v>神器2碎片2等级10</v>
      </c>
      <c r="T126" s="29" t="s">
        <v>520</v>
      </c>
      <c r="U126" s="14">
        <f t="shared" si="27"/>
        <v>10</v>
      </c>
      <c r="V126" s="36">
        <f t="shared" si="31"/>
        <v>0.85000000000000009</v>
      </c>
      <c r="W126" s="17">
        <f t="shared" si="28"/>
        <v>8.5000000000000006E-3</v>
      </c>
      <c r="X126" s="14">
        <f t="shared" si="32"/>
        <v>1</v>
      </c>
      <c r="Y126" s="14">
        <f t="shared" si="33"/>
        <v>2</v>
      </c>
      <c r="Z126" s="14">
        <f t="shared" si="34"/>
        <v>3</v>
      </c>
      <c r="AA126" s="14" t="str">
        <f t="shared" si="35"/>
        <v>AtkExt</v>
      </c>
      <c r="AB126" s="14">
        <f t="shared" si="29"/>
        <v>577</v>
      </c>
      <c r="AC126" s="14" t="str">
        <f t="shared" si="36"/>
        <v>DefExt</v>
      </c>
      <c r="AD126" s="14">
        <f t="shared" si="37"/>
        <v>288</v>
      </c>
      <c r="AE126" s="14" t="str">
        <f t="shared" si="38"/>
        <v>HPExt</v>
      </c>
      <c r="AF126" s="27">
        <f t="shared" si="39"/>
        <v>1732</v>
      </c>
      <c r="AG126" s="27" t="str">
        <f t="shared" si="40"/>
        <v>[x]</v>
      </c>
    </row>
    <row r="127" spans="9:33" ht="16.5" x14ac:dyDescent="0.2">
      <c r="I127" s="32"/>
      <c r="P127" s="13">
        <v>71</v>
      </c>
      <c r="Q127" s="14">
        <f t="shared" si="25"/>
        <v>5</v>
      </c>
      <c r="R127" s="14">
        <f t="shared" si="26"/>
        <v>1606007</v>
      </c>
      <c r="S127" s="14" t="str">
        <f t="shared" si="30"/>
        <v>神器2碎片2等级11</v>
      </c>
      <c r="T127" s="29" t="s">
        <v>520</v>
      </c>
      <c r="U127" s="14">
        <f t="shared" si="27"/>
        <v>11</v>
      </c>
      <c r="V127" s="36">
        <f t="shared" si="31"/>
        <v>0.94200000000000006</v>
      </c>
      <c r="W127" s="17">
        <f t="shared" si="28"/>
        <v>9.4200000000000013E-3</v>
      </c>
      <c r="X127" s="14">
        <f t="shared" si="32"/>
        <v>1</v>
      </c>
      <c r="Y127" s="14">
        <f t="shared" si="33"/>
        <v>2</v>
      </c>
      <c r="Z127" s="14">
        <f t="shared" si="34"/>
        <v>3</v>
      </c>
      <c r="AA127" s="14" t="str">
        <f t="shared" si="35"/>
        <v>AtkExt</v>
      </c>
      <c r="AB127" s="14">
        <f t="shared" si="29"/>
        <v>639</v>
      </c>
      <c r="AC127" s="14" t="str">
        <f t="shared" si="36"/>
        <v>DefExt</v>
      </c>
      <c r="AD127" s="14">
        <f t="shared" si="37"/>
        <v>319</v>
      </c>
      <c r="AE127" s="14" t="str">
        <f t="shared" si="38"/>
        <v>HPExt</v>
      </c>
      <c r="AF127" s="27">
        <f t="shared" si="39"/>
        <v>1920</v>
      </c>
      <c r="AG127" s="27" t="str">
        <f t="shared" si="40"/>
        <v>[x]</v>
      </c>
    </row>
    <row r="128" spans="9:33" ht="16.5" x14ac:dyDescent="0.2">
      <c r="I128" s="32"/>
      <c r="P128" s="13">
        <v>72</v>
      </c>
      <c r="Q128" s="14">
        <f t="shared" si="25"/>
        <v>5</v>
      </c>
      <c r="R128" s="14">
        <f t="shared" si="26"/>
        <v>1606007</v>
      </c>
      <c r="S128" s="14" t="str">
        <f t="shared" si="30"/>
        <v>神器2碎片2等级12</v>
      </c>
      <c r="T128" s="29" t="s">
        <v>520</v>
      </c>
      <c r="U128" s="14">
        <f t="shared" si="27"/>
        <v>12</v>
      </c>
      <c r="V128" s="36">
        <f t="shared" si="31"/>
        <v>1.0380000000000003</v>
      </c>
      <c r="W128" s="17">
        <f t="shared" si="28"/>
        <v>1.0380000000000002E-2</v>
      </c>
      <c r="X128" s="14">
        <f t="shared" si="32"/>
        <v>1</v>
      </c>
      <c r="Y128" s="14">
        <f t="shared" si="33"/>
        <v>2</v>
      </c>
      <c r="Z128" s="14">
        <f t="shared" si="34"/>
        <v>3</v>
      </c>
      <c r="AA128" s="14" t="str">
        <f t="shared" si="35"/>
        <v>AtkExt</v>
      </c>
      <c r="AB128" s="14">
        <f t="shared" si="29"/>
        <v>705</v>
      </c>
      <c r="AC128" s="14" t="str">
        <f t="shared" si="36"/>
        <v>DefExt</v>
      </c>
      <c r="AD128" s="14">
        <f t="shared" si="37"/>
        <v>352</v>
      </c>
      <c r="AE128" s="14" t="str">
        <f t="shared" si="38"/>
        <v>HPExt</v>
      </c>
      <c r="AF128" s="27">
        <f t="shared" si="39"/>
        <v>2116</v>
      </c>
      <c r="AG128" s="27" t="str">
        <f t="shared" si="40"/>
        <v>[x]</v>
      </c>
    </row>
    <row r="129" spans="9:33" ht="16.5" x14ac:dyDescent="0.2">
      <c r="I129" s="32"/>
      <c r="P129" s="13">
        <v>73</v>
      </c>
      <c r="Q129" s="14">
        <f t="shared" si="25"/>
        <v>5</v>
      </c>
      <c r="R129" s="14">
        <f t="shared" si="26"/>
        <v>1606007</v>
      </c>
      <c r="S129" s="14" t="str">
        <f t="shared" si="30"/>
        <v>神器2碎片2等级13</v>
      </c>
      <c r="T129" s="29" t="s">
        <v>520</v>
      </c>
      <c r="U129" s="14">
        <f t="shared" si="27"/>
        <v>13</v>
      </c>
      <c r="V129" s="36">
        <f t="shared" si="31"/>
        <v>1.1380000000000001</v>
      </c>
      <c r="W129" s="17">
        <f t="shared" si="28"/>
        <v>1.1380000000000001E-2</v>
      </c>
      <c r="X129" s="14">
        <f t="shared" si="32"/>
        <v>1</v>
      </c>
      <c r="Y129" s="14">
        <f t="shared" si="33"/>
        <v>2</v>
      </c>
      <c r="Z129" s="14">
        <f t="shared" si="34"/>
        <v>3</v>
      </c>
      <c r="AA129" s="14" t="str">
        <f t="shared" si="35"/>
        <v>AtkExt</v>
      </c>
      <c r="AB129" s="14">
        <f t="shared" si="29"/>
        <v>773</v>
      </c>
      <c r="AC129" s="14" t="str">
        <f t="shared" si="36"/>
        <v>DefExt</v>
      </c>
      <c r="AD129" s="14">
        <f t="shared" si="37"/>
        <v>386</v>
      </c>
      <c r="AE129" s="14" t="str">
        <f t="shared" si="38"/>
        <v>HPExt</v>
      </c>
      <c r="AF129" s="27">
        <f t="shared" si="39"/>
        <v>2320</v>
      </c>
      <c r="AG129" s="27" t="str">
        <f t="shared" si="40"/>
        <v>[x]</v>
      </c>
    </row>
    <row r="130" spans="9:33" ht="16.5" x14ac:dyDescent="0.2">
      <c r="I130" s="32"/>
      <c r="P130" s="13">
        <v>74</v>
      </c>
      <c r="Q130" s="14">
        <f t="shared" si="25"/>
        <v>5</v>
      </c>
      <c r="R130" s="14">
        <f t="shared" si="26"/>
        <v>1606007</v>
      </c>
      <c r="S130" s="14" t="str">
        <f t="shared" si="30"/>
        <v>神器2碎片2等级14</v>
      </c>
      <c r="T130" s="29" t="s">
        <v>520</v>
      </c>
      <c r="U130" s="14">
        <f t="shared" si="27"/>
        <v>14</v>
      </c>
      <c r="V130" s="36">
        <f t="shared" si="31"/>
        <v>1.242</v>
      </c>
      <c r="W130" s="17">
        <f t="shared" si="28"/>
        <v>1.242E-2</v>
      </c>
      <c r="X130" s="14">
        <f t="shared" si="32"/>
        <v>1</v>
      </c>
      <c r="Y130" s="14">
        <f t="shared" si="33"/>
        <v>2</v>
      </c>
      <c r="Z130" s="14">
        <f t="shared" si="34"/>
        <v>3</v>
      </c>
      <c r="AA130" s="14" t="str">
        <f t="shared" si="35"/>
        <v>AtkExt</v>
      </c>
      <c r="AB130" s="14">
        <f t="shared" si="29"/>
        <v>843</v>
      </c>
      <c r="AC130" s="14" t="str">
        <f t="shared" si="36"/>
        <v>DefExt</v>
      </c>
      <c r="AD130" s="14">
        <f t="shared" si="37"/>
        <v>421</v>
      </c>
      <c r="AE130" s="14" t="str">
        <f t="shared" si="38"/>
        <v>HPExt</v>
      </c>
      <c r="AF130" s="27">
        <f t="shared" si="39"/>
        <v>2532</v>
      </c>
      <c r="AG130" s="27" t="str">
        <f t="shared" si="40"/>
        <v>[x]</v>
      </c>
    </row>
    <row r="131" spans="9:33" ht="16.5" x14ac:dyDescent="0.2">
      <c r="I131" s="32"/>
      <c r="P131" s="13">
        <v>75</v>
      </c>
      <c r="Q131" s="14">
        <f t="shared" si="25"/>
        <v>5</v>
      </c>
      <c r="R131" s="14">
        <f t="shared" si="26"/>
        <v>1606007</v>
      </c>
      <c r="S131" s="14" t="str">
        <f t="shared" si="30"/>
        <v>神器2碎片2等级15</v>
      </c>
      <c r="T131" s="29" t="s">
        <v>520</v>
      </c>
      <c r="U131" s="14">
        <f t="shared" si="27"/>
        <v>15</v>
      </c>
      <c r="V131" s="36">
        <f t="shared" si="31"/>
        <v>1.35</v>
      </c>
      <c r="W131" s="17">
        <f t="shared" si="28"/>
        <v>1.3500000000000002E-2</v>
      </c>
      <c r="X131" s="14">
        <f t="shared" si="32"/>
        <v>1</v>
      </c>
      <c r="Y131" s="14">
        <f t="shared" si="33"/>
        <v>2</v>
      </c>
      <c r="Z131" s="14">
        <f t="shared" si="34"/>
        <v>3</v>
      </c>
      <c r="AA131" s="14" t="str">
        <f t="shared" si="35"/>
        <v>AtkExt</v>
      </c>
      <c r="AB131" s="14">
        <f t="shared" si="29"/>
        <v>917</v>
      </c>
      <c r="AC131" s="14" t="str">
        <f t="shared" si="36"/>
        <v>DefExt</v>
      </c>
      <c r="AD131" s="14">
        <f t="shared" si="37"/>
        <v>458</v>
      </c>
      <c r="AE131" s="14" t="str">
        <f t="shared" si="38"/>
        <v>HPExt</v>
      </c>
      <c r="AF131" s="27">
        <f t="shared" si="39"/>
        <v>2752</v>
      </c>
      <c r="AG131" s="27" t="str">
        <f t="shared" si="40"/>
        <v>[x]</v>
      </c>
    </row>
    <row r="132" spans="9:33" ht="16.5" x14ac:dyDescent="0.2">
      <c r="I132" s="32"/>
      <c r="P132" s="13">
        <v>76</v>
      </c>
      <c r="Q132" s="14">
        <f t="shared" si="25"/>
        <v>6</v>
      </c>
      <c r="R132" s="14">
        <f t="shared" si="26"/>
        <v>1606008</v>
      </c>
      <c r="S132" s="14" t="str">
        <f t="shared" si="30"/>
        <v>神器2碎片3等级1</v>
      </c>
      <c r="T132" s="29" t="s">
        <v>520</v>
      </c>
      <c r="U132" s="14">
        <f t="shared" si="27"/>
        <v>1</v>
      </c>
      <c r="V132" s="36">
        <f t="shared" si="31"/>
        <v>0.20200000000000001</v>
      </c>
      <c r="W132" s="17">
        <f t="shared" si="28"/>
        <v>2.0200000000000001E-3</v>
      </c>
      <c r="X132" s="14">
        <f t="shared" si="32"/>
        <v>2</v>
      </c>
      <c r="Y132" s="14">
        <f t="shared" si="33"/>
        <v>3</v>
      </c>
      <c r="Z132" s="14">
        <f t="shared" si="34"/>
        <v>0</v>
      </c>
      <c r="AA132" s="14" t="str">
        <f t="shared" si="35"/>
        <v>DefExt</v>
      </c>
      <c r="AB132" s="14">
        <f t="shared" si="29"/>
        <v>137</v>
      </c>
      <c r="AC132" s="14" t="str">
        <f t="shared" si="36"/>
        <v>HPExt</v>
      </c>
      <c r="AD132" s="14">
        <f t="shared" si="37"/>
        <v>411</v>
      </c>
      <c r="AE132" s="14" t="str">
        <f t="shared" si="38"/>
        <v>[x]</v>
      </c>
      <c r="AF132" s="27" t="str">
        <f t="shared" si="39"/>
        <v>[x]</v>
      </c>
      <c r="AG132" s="27" t="str">
        <f t="shared" si="40"/>
        <v>[x]</v>
      </c>
    </row>
    <row r="133" spans="9:33" ht="16.5" x14ac:dyDescent="0.2">
      <c r="I133" s="32"/>
      <c r="P133" s="13">
        <v>77</v>
      </c>
      <c r="Q133" s="14">
        <f t="shared" si="25"/>
        <v>6</v>
      </c>
      <c r="R133" s="14">
        <f t="shared" si="26"/>
        <v>1606008</v>
      </c>
      <c r="S133" s="14" t="str">
        <f t="shared" si="30"/>
        <v>神器2碎片3等级2</v>
      </c>
      <c r="T133" s="29" t="s">
        <v>520</v>
      </c>
      <c r="U133" s="14">
        <f t="shared" si="27"/>
        <v>2</v>
      </c>
      <c r="V133" s="36">
        <f t="shared" si="31"/>
        <v>0.25800000000000001</v>
      </c>
      <c r="W133" s="17">
        <f t="shared" si="28"/>
        <v>2.5800000000000003E-3</v>
      </c>
      <c r="X133" s="14">
        <f t="shared" si="32"/>
        <v>2</v>
      </c>
      <c r="Y133" s="14">
        <f t="shared" si="33"/>
        <v>3</v>
      </c>
      <c r="Z133" s="14">
        <f t="shared" si="34"/>
        <v>0</v>
      </c>
      <c r="AA133" s="14" t="str">
        <f t="shared" si="35"/>
        <v>DefExt</v>
      </c>
      <c r="AB133" s="14">
        <f t="shared" si="29"/>
        <v>175</v>
      </c>
      <c r="AC133" s="14" t="str">
        <f t="shared" si="36"/>
        <v>HPExt</v>
      </c>
      <c r="AD133" s="14">
        <f t="shared" si="37"/>
        <v>525</v>
      </c>
      <c r="AE133" s="14" t="str">
        <f t="shared" si="38"/>
        <v>[x]</v>
      </c>
      <c r="AF133" s="27" t="str">
        <f t="shared" si="39"/>
        <v>[x]</v>
      </c>
      <c r="AG133" s="27" t="str">
        <f t="shared" si="40"/>
        <v>[x]</v>
      </c>
    </row>
    <row r="134" spans="9:33" ht="16.5" x14ac:dyDescent="0.2">
      <c r="I134" s="32"/>
      <c r="P134" s="13">
        <v>78</v>
      </c>
      <c r="Q134" s="14">
        <f t="shared" si="25"/>
        <v>6</v>
      </c>
      <c r="R134" s="14">
        <f t="shared" si="26"/>
        <v>1606008</v>
      </c>
      <c r="S134" s="14" t="str">
        <f t="shared" si="30"/>
        <v>神器2碎片3等级3</v>
      </c>
      <c r="T134" s="29" t="s">
        <v>520</v>
      </c>
      <c r="U134" s="14">
        <f t="shared" si="27"/>
        <v>3</v>
      </c>
      <c r="V134" s="36">
        <f t="shared" si="31"/>
        <v>0.31800000000000006</v>
      </c>
      <c r="W134" s="17">
        <f t="shared" si="28"/>
        <v>3.1800000000000005E-3</v>
      </c>
      <c r="X134" s="14">
        <f t="shared" si="32"/>
        <v>2</v>
      </c>
      <c r="Y134" s="14">
        <f t="shared" si="33"/>
        <v>3</v>
      </c>
      <c r="Z134" s="14">
        <f t="shared" si="34"/>
        <v>0</v>
      </c>
      <c r="AA134" s="14" t="str">
        <f t="shared" si="35"/>
        <v>DefExt</v>
      </c>
      <c r="AB134" s="14">
        <f t="shared" si="29"/>
        <v>215</v>
      </c>
      <c r="AC134" s="14" t="str">
        <f t="shared" si="36"/>
        <v>HPExt</v>
      </c>
      <c r="AD134" s="14">
        <f t="shared" si="37"/>
        <v>648</v>
      </c>
      <c r="AE134" s="14" t="str">
        <f t="shared" si="38"/>
        <v>[x]</v>
      </c>
      <c r="AF134" s="27" t="str">
        <f t="shared" si="39"/>
        <v>[x]</v>
      </c>
      <c r="AG134" s="27" t="str">
        <f t="shared" si="40"/>
        <v>[x]</v>
      </c>
    </row>
    <row r="135" spans="9:33" ht="16.5" x14ac:dyDescent="0.2">
      <c r="I135" s="32"/>
      <c r="P135" s="13">
        <v>79</v>
      </c>
      <c r="Q135" s="14">
        <f t="shared" si="25"/>
        <v>6</v>
      </c>
      <c r="R135" s="14">
        <f t="shared" si="26"/>
        <v>1606008</v>
      </c>
      <c r="S135" s="14" t="str">
        <f t="shared" si="30"/>
        <v>神器2碎片3等级4</v>
      </c>
      <c r="T135" s="29" t="s">
        <v>520</v>
      </c>
      <c r="U135" s="14">
        <f t="shared" si="27"/>
        <v>4</v>
      </c>
      <c r="V135" s="36">
        <f t="shared" si="31"/>
        <v>0.38200000000000001</v>
      </c>
      <c r="W135" s="17">
        <f t="shared" si="28"/>
        <v>3.82E-3</v>
      </c>
      <c r="X135" s="14">
        <f t="shared" si="32"/>
        <v>2</v>
      </c>
      <c r="Y135" s="14">
        <f t="shared" si="33"/>
        <v>3</v>
      </c>
      <c r="Z135" s="14">
        <f t="shared" si="34"/>
        <v>0</v>
      </c>
      <c r="AA135" s="14" t="str">
        <f t="shared" si="35"/>
        <v>DefExt</v>
      </c>
      <c r="AB135" s="14">
        <f t="shared" si="29"/>
        <v>259</v>
      </c>
      <c r="AC135" s="14" t="str">
        <f t="shared" si="36"/>
        <v>HPExt</v>
      </c>
      <c r="AD135" s="14">
        <f t="shared" si="37"/>
        <v>778</v>
      </c>
      <c r="AE135" s="14" t="str">
        <f t="shared" si="38"/>
        <v>[x]</v>
      </c>
      <c r="AF135" s="27" t="str">
        <f t="shared" si="39"/>
        <v>[x]</v>
      </c>
      <c r="AG135" s="27" t="str">
        <f t="shared" si="40"/>
        <v>[x]</v>
      </c>
    </row>
    <row r="136" spans="9:33" ht="16.5" x14ac:dyDescent="0.2">
      <c r="I136" s="32"/>
      <c r="P136" s="13">
        <v>80</v>
      </c>
      <c r="Q136" s="14">
        <f t="shared" si="25"/>
        <v>6</v>
      </c>
      <c r="R136" s="14">
        <f t="shared" si="26"/>
        <v>1606008</v>
      </c>
      <c r="S136" s="14" t="str">
        <f t="shared" si="30"/>
        <v>神器2碎片3等级5</v>
      </c>
      <c r="T136" s="29" t="s">
        <v>520</v>
      </c>
      <c r="U136" s="14">
        <f t="shared" si="27"/>
        <v>5</v>
      </c>
      <c r="V136" s="36">
        <f t="shared" si="31"/>
        <v>0.45</v>
      </c>
      <c r="W136" s="17">
        <f t="shared" si="28"/>
        <v>4.5000000000000005E-3</v>
      </c>
      <c r="X136" s="14">
        <f t="shared" si="32"/>
        <v>2</v>
      </c>
      <c r="Y136" s="14">
        <f t="shared" si="33"/>
        <v>3</v>
      </c>
      <c r="Z136" s="14">
        <f t="shared" si="34"/>
        <v>0</v>
      </c>
      <c r="AA136" s="14" t="str">
        <f t="shared" si="35"/>
        <v>DefExt</v>
      </c>
      <c r="AB136" s="14">
        <f t="shared" si="29"/>
        <v>305</v>
      </c>
      <c r="AC136" s="14" t="str">
        <f t="shared" si="36"/>
        <v>HPExt</v>
      </c>
      <c r="AD136" s="14">
        <f t="shared" si="37"/>
        <v>917</v>
      </c>
      <c r="AE136" s="14" t="str">
        <f t="shared" si="38"/>
        <v>[x]</v>
      </c>
      <c r="AF136" s="27" t="str">
        <f t="shared" si="39"/>
        <v>[x]</v>
      </c>
      <c r="AG136" s="27" t="str">
        <f t="shared" si="40"/>
        <v>[x]</v>
      </c>
    </row>
    <row r="137" spans="9:33" ht="16.5" x14ac:dyDescent="0.2">
      <c r="I137" s="32"/>
      <c r="P137" s="13">
        <v>81</v>
      </c>
      <c r="Q137" s="14">
        <f t="shared" si="25"/>
        <v>6</v>
      </c>
      <c r="R137" s="14">
        <f t="shared" si="26"/>
        <v>1606008</v>
      </c>
      <c r="S137" s="14" t="str">
        <f t="shared" si="30"/>
        <v>神器2碎片3等级6</v>
      </c>
      <c r="T137" s="29" t="s">
        <v>520</v>
      </c>
      <c r="U137" s="14">
        <f t="shared" si="27"/>
        <v>6</v>
      </c>
      <c r="V137" s="36">
        <f t="shared" si="31"/>
        <v>0.52200000000000002</v>
      </c>
      <c r="W137" s="17">
        <f t="shared" si="28"/>
        <v>5.2200000000000007E-3</v>
      </c>
      <c r="X137" s="14">
        <f t="shared" si="32"/>
        <v>2</v>
      </c>
      <c r="Y137" s="14">
        <f t="shared" si="33"/>
        <v>3</v>
      </c>
      <c r="Z137" s="14">
        <f t="shared" si="34"/>
        <v>0</v>
      </c>
      <c r="AA137" s="14" t="str">
        <f t="shared" si="35"/>
        <v>DefExt</v>
      </c>
      <c r="AB137" s="14">
        <f t="shared" si="29"/>
        <v>354</v>
      </c>
      <c r="AC137" s="14" t="str">
        <f t="shared" si="36"/>
        <v>HPExt</v>
      </c>
      <c r="AD137" s="14">
        <f t="shared" si="37"/>
        <v>1064</v>
      </c>
      <c r="AE137" s="14" t="str">
        <f t="shared" si="38"/>
        <v>[x]</v>
      </c>
      <c r="AF137" s="27" t="str">
        <f t="shared" si="39"/>
        <v>[x]</v>
      </c>
      <c r="AG137" s="27" t="str">
        <f t="shared" si="40"/>
        <v>[x]</v>
      </c>
    </row>
    <row r="138" spans="9:33" ht="16.5" x14ac:dyDescent="0.2">
      <c r="I138" s="32"/>
      <c r="P138" s="13">
        <v>82</v>
      </c>
      <c r="Q138" s="14">
        <f t="shared" si="25"/>
        <v>6</v>
      </c>
      <c r="R138" s="14">
        <f t="shared" si="26"/>
        <v>1606008</v>
      </c>
      <c r="S138" s="14" t="str">
        <f t="shared" si="30"/>
        <v>神器2碎片3等级7</v>
      </c>
      <c r="T138" s="29" t="s">
        <v>520</v>
      </c>
      <c r="U138" s="14">
        <f t="shared" si="27"/>
        <v>7</v>
      </c>
      <c r="V138" s="36">
        <f t="shared" si="31"/>
        <v>0.59799999999999998</v>
      </c>
      <c r="W138" s="17">
        <f t="shared" si="28"/>
        <v>5.9800000000000001E-3</v>
      </c>
      <c r="X138" s="14">
        <f t="shared" si="32"/>
        <v>2</v>
      </c>
      <c r="Y138" s="14">
        <f t="shared" si="33"/>
        <v>3</v>
      </c>
      <c r="Z138" s="14">
        <f t="shared" si="34"/>
        <v>0</v>
      </c>
      <c r="AA138" s="14" t="str">
        <f t="shared" si="35"/>
        <v>DefExt</v>
      </c>
      <c r="AB138" s="14">
        <f t="shared" si="29"/>
        <v>406</v>
      </c>
      <c r="AC138" s="14" t="str">
        <f t="shared" si="36"/>
        <v>HPExt</v>
      </c>
      <c r="AD138" s="14">
        <f t="shared" si="37"/>
        <v>1219</v>
      </c>
      <c r="AE138" s="14" t="str">
        <f t="shared" si="38"/>
        <v>[x]</v>
      </c>
      <c r="AF138" s="27" t="str">
        <f t="shared" si="39"/>
        <v>[x]</v>
      </c>
      <c r="AG138" s="27" t="str">
        <f t="shared" si="40"/>
        <v>[x]</v>
      </c>
    </row>
    <row r="139" spans="9:33" ht="16.5" x14ac:dyDescent="0.2">
      <c r="I139" s="32"/>
      <c r="P139" s="13">
        <v>83</v>
      </c>
      <c r="Q139" s="14">
        <f t="shared" si="25"/>
        <v>6</v>
      </c>
      <c r="R139" s="14">
        <f t="shared" si="26"/>
        <v>1606008</v>
      </c>
      <c r="S139" s="14" t="str">
        <f t="shared" si="30"/>
        <v>神器2碎片3等级8</v>
      </c>
      <c r="T139" s="29" t="s">
        <v>520</v>
      </c>
      <c r="U139" s="14">
        <f t="shared" si="27"/>
        <v>8</v>
      </c>
      <c r="V139" s="36">
        <f t="shared" si="31"/>
        <v>0.67800000000000005</v>
      </c>
      <c r="W139" s="17">
        <f t="shared" si="28"/>
        <v>6.7800000000000004E-3</v>
      </c>
      <c r="X139" s="14">
        <f t="shared" si="32"/>
        <v>2</v>
      </c>
      <c r="Y139" s="14">
        <f t="shared" si="33"/>
        <v>3</v>
      </c>
      <c r="Z139" s="14">
        <f t="shared" si="34"/>
        <v>0</v>
      </c>
      <c r="AA139" s="14" t="str">
        <f t="shared" si="35"/>
        <v>DefExt</v>
      </c>
      <c r="AB139" s="14">
        <f t="shared" si="29"/>
        <v>460</v>
      </c>
      <c r="AC139" s="14" t="str">
        <f t="shared" si="36"/>
        <v>HPExt</v>
      </c>
      <c r="AD139" s="14">
        <f t="shared" si="37"/>
        <v>1382</v>
      </c>
      <c r="AE139" s="14" t="str">
        <f t="shared" si="38"/>
        <v>[x]</v>
      </c>
      <c r="AF139" s="27" t="str">
        <f t="shared" si="39"/>
        <v>[x]</v>
      </c>
      <c r="AG139" s="27" t="str">
        <f t="shared" si="40"/>
        <v>[x]</v>
      </c>
    </row>
    <row r="140" spans="9:33" ht="16.5" x14ac:dyDescent="0.2">
      <c r="I140" s="32"/>
      <c r="P140" s="13">
        <v>84</v>
      </c>
      <c r="Q140" s="14">
        <f t="shared" si="25"/>
        <v>6</v>
      </c>
      <c r="R140" s="14">
        <f t="shared" si="26"/>
        <v>1606008</v>
      </c>
      <c r="S140" s="14" t="str">
        <f t="shared" si="30"/>
        <v>神器2碎片3等级9</v>
      </c>
      <c r="T140" s="29" t="s">
        <v>520</v>
      </c>
      <c r="U140" s="14">
        <f t="shared" si="27"/>
        <v>9</v>
      </c>
      <c r="V140" s="36">
        <f t="shared" si="31"/>
        <v>0.76200000000000001</v>
      </c>
      <c r="W140" s="17">
        <f t="shared" si="28"/>
        <v>7.62E-3</v>
      </c>
      <c r="X140" s="14">
        <f t="shared" si="32"/>
        <v>2</v>
      </c>
      <c r="Y140" s="14">
        <f t="shared" si="33"/>
        <v>3</v>
      </c>
      <c r="Z140" s="14">
        <f t="shared" si="34"/>
        <v>0</v>
      </c>
      <c r="AA140" s="14" t="str">
        <f t="shared" si="35"/>
        <v>DefExt</v>
      </c>
      <c r="AB140" s="14">
        <f t="shared" si="29"/>
        <v>517</v>
      </c>
      <c r="AC140" s="14" t="str">
        <f t="shared" si="36"/>
        <v>HPExt</v>
      </c>
      <c r="AD140" s="14">
        <f t="shared" si="37"/>
        <v>1553</v>
      </c>
      <c r="AE140" s="14" t="str">
        <f t="shared" si="38"/>
        <v>[x]</v>
      </c>
      <c r="AF140" s="27" t="str">
        <f t="shared" si="39"/>
        <v>[x]</v>
      </c>
      <c r="AG140" s="27" t="str">
        <f t="shared" si="40"/>
        <v>[x]</v>
      </c>
    </row>
    <row r="141" spans="9:33" ht="16.5" x14ac:dyDescent="0.2">
      <c r="I141" s="32"/>
      <c r="P141" s="13">
        <v>85</v>
      </c>
      <c r="Q141" s="14">
        <f t="shared" si="25"/>
        <v>6</v>
      </c>
      <c r="R141" s="14">
        <f t="shared" si="26"/>
        <v>1606008</v>
      </c>
      <c r="S141" s="14" t="str">
        <f t="shared" si="30"/>
        <v>神器2碎片3等级10</v>
      </c>
      <c r="T141" s="29" t="s">
        <v>520</v>
      </c>
      <c r="U141" s="14">
        <f t="shared" si="27"/>
        <v>10</v>
      </c>
      <c r="V141" s="36">
        <f t="shared" si="31"/>
        <v>0.85000000000000009</v>
      </c>
      <c r="W141" s="17">
        <f t="shared" si="28"/>
        <v>8.5000000000000006E-3</v>
      </c>
      <c r="X141" s="14">
        <f t="shared" si="32"/>
        <v>2</v>
      </c>
      <c r="Y141" s="14">
        <f t="shared" si="33"/>
        <v>3</v>
      </c>
      <c r="Z141" s="14">
        <f t="shared" si="34"/>
        <v>0</v>
      </c>
      <c r="AA141" s="14" t="str">
        <f t="shared" si="35"/>
        <v>DefExt</v>
      </c>
      <c r="AB141" s="14">
        <f t="shared" si="29"/>
        <v>577</v>
      </c>
      <c r="AC141" s="14" t="str">
        <f t="shared" si="36"/>
        <v>HPExt</v>
      </c>
      <c r="AD141" s="14">
        <f t="shared" si="37"/>
        <v>1732</v>
      </c>
      <c r="AE141" s="14" t="str">
        <f t="shared" si="38"/>
        <v>[x]</v>
      </c>
      <c r="AF141" s="27" t="str">
        <f t="shared" si="39"/>
        <v>[x]</v>
      </c>
      <c r="AG141" s="27" t="str">
        <f t="shared" si="40"/>
        <v>[x]</v>
      </c>
    </row>
    <row r="142" spans="9:33" ht="16.5" x14ac:dyDescent="0.2">
      <c r="I142" s="32"/>
      <c r="P142" s="13">
        <v>86</v>
      </c>
      <c r="Q142" s="14">
        <f t="shared" si="25"/>
        <v>6</v>
      </c>
      <c r="R142" s="14">
        <f t="shared" si="26"/>
        <v>1606008</v>
      </c>
      <c r="S142" s="14" t="str">
        <f t="shared" si="30"/>
        <v>神器2碎片3等级11</v>
      </c>
      <c r="T142" s="29" t="s">
        <v>520</v>
      </c>
      <c r="U142" s="14">
        <f t="shared" si="27"/>
        <v>11</v>
      </c>
      <c r="V142" s="36">
        <f t="shared" si="31"/>
        <v>0.94200000000000006</v>
      </c>
      <c r="W142" s="17">
        <f t="shared" si="28"/>
        <v>9.4200000000000013E-3</v>
      </c>
      <c r="X142" s="14">
        <f t="shared" si="32"/>
        <v>2</v>
      </c>
      <c r="Y142" s="14">
        <f t="shared" si="33"/>
        <v>3</v>
      </c>
      <c r="Z142" s="14">
        <f t="shared" si="34"/>
        <v>0</v>
      </c>
      <c r="AA142" s="14" t="str">
        <f t="shared" si="35"/>
        <v>DefExt</v>
      </c>
      <c r="AB142" s="14">
        <f t="shared" si="29"/>
        <v>639</v>
      </c>
      <c r="AC142" s="14" t="str">
        <f t="shared" si="36"/>
        <v>HPExt</v>
      </c>
      <c r="AD142" s="14">
        <f t="shared" si="37"/>
        <v>1920</v>
      </c>
      <c r="AE142" s="14" t="str">
        <f t="shared" si="38"/>
        <v>[x]</v>
      </c>
      <c r="AF142" s="27" t="str">
        <f t="shared" si="39"/>
        <v>[x]</v>
      </c>
      <c r="AG142" s="27" t="str">
        <f t="shared" si="40"/>
        <v>[x]</v>
      </c>
    </row>
    <row r="143" spans="9:33" ht="16.5" x14ac:dyDescent="0.2">
      <c r="I143" s="32"/>
      <c r="P143" s="13">
        <v>87</v>
      </c>
      <c r="Q143" s="14">
        <f t="shared" si="25"/>
        <v>6</v>
      </c>
      <c r="R143" s="14">
        <f t="shared" si="26"/>
        <v>1606008</v>
      </c>
      <c r="S143" s="14" t="str">
        <f t="shared" si="30"/>
        <v>神器2碎片3等级12</v>
      </c>
      <c r="T143" s="29" t="s">
        <v>520</v>
      </c>
      <c r="U143" s="14">
        <f t="shared" si="27"/>
        <v>12</v>
      </c>
      <c r="V143" s="36">
        <f t="shared" si="31"/>
        <v>1.0380000000000003</v>
      </c>
      <c r="W143" s="17">
        <f t="shared" si="28"/>
        <v>1.0380000000000002E-2</v>
      </c>
      <c r="X143" s="14">
        <f t="shared" si="32"/>
        <v>2</v>
      </c>
      <c r="Y143" s="14">
        <f t="shared" si="33"/>
        <v>3</v>
      </c>
      <c r="Z143" s="14">
        <f t="shared" si="34"/>
        <v>0</v>
      </c>
      <c r="AA143" s="14" t="str">
        <f t="shared" si="35"/>
        <v>DefExt</v>
      </c>
      <c r="AB143" s="14">
        <f t="shared" si="29"/>
        <v>704</v>
      </c>
      <c r="AC143" s="14" t="str">
        <f t="shared" si="36"/>
        <v>HPExt</v>
      </c>
      <c r="AD143" s="14">
        <f t="shared" si="37"/>
        <v>2116</v>
      </c>
      <c r="AE143" s="14" t="str">
        <f t="shared" si="38"/>
        <v>[x]</v>
      </c>
      <c r="AF143" s="27" t="str">
        <f t="shared" si="39"/>
        <v>[x]</v>
      </c>
      <c r="AG143" s="27" t="str">
        <f t="shared" si="40"/>
        <v>[x]</v>
      </c>
    </row>
    <row r="144" spans="9:33" ht="16.5" x14ac:dyDescent="0.2">
      <c r="I144" s="32"/>
      <c r="P144" s="13">
        <v>88</v>
      </c>
      <c r="Q144" s="14">
        <f t="shared" si="25"/>
        <v>6</v>
      </c>
      <c r="R144" s="14">
        <f t="shared" si="26"/>
        <v>1606008</v>
      </c>
      <c r="S144" s="14" t="str">
        <f t="shared" si="30"/>
        <v>神器2碎片3等级13</v>
      </c>
      <c r="T144" s="29" t="s">
        <v>520</v>
      </c>
      <c r="U144" s="14">
        <f t="shared" si="27"/>
        <v>13</v>
      </c>
      <c r="V144" s="36">
        <f t="shared" si="31"/>
        <v>1.1380000000000001</v>
      </c>
      <c r="W144" s="17">
        <f t="shared" si="28"/>
        <v>1.1380000000000001E-2</v>
      </c>
      <c r="X144" s="14">
        <f t="shared" si="32"/>
        <v>2</v>
      </c>
      <c r="Y144" s="14">
        <f t="shared" si="33"/>
        <v>3</v>
      </c>
      <c r="Z144" s="14">
        <f t="shared" si="34"/>
        <v>0</v>
      </c>
      <c r="AA144" s="14" t="str">
        <f t="shared" si="35"/>
        <v>DefExt</v>
      </c>
      <c r="AB144" s="14">
        <f t="shared" si="29"/>
        <v>772</v>
      </c>
      <c r="AC144" s="14" t="str">
        <f t="shared" si="36"/>
        <v>HPExt</v>
      </c>
      <c r="AD144" s="14">
        <f t="shared" si="37"/>
        <v>2320</v>
      </c>
      <c r="AE144" s="14" t="str">
        <f t="shared" si="38"/>
        <v>[x]</v>
      </c>
      <c r="AF144" s="27" t="str">
        <f t="shared" si="39"/>
        <v>[x]</v>
      </c>
      <c r="AG144" s="27" t="str">
        <f t="shared" si="40"/>
        <v>[x]</v>
      </c>
    </row>
    <row r="145" spans="9:33" ht="16.5" x14ac:dyDescent="0.2">
      <c r="I145" s="32"/>
      <c r="P145" s="13">
        <v>89</v>
      </c>
      <c r="Q145" s="14">
        <f t="shared" si="25"/>
        <v>6</v>
      </c>
      <c r="R145" s="14">
        <f t="shared" si="26"/>
        <v>1606008</v>
      </c>
      <c r="S145" s="14" t="str">
        <f t="shared" si="30"/>
        <v>神器2碎片3等级14</v>
      </c>
      <c r="T145" s="29" t="s">
        <v>520</v>
      </c>
      <c r="U145" s="14">
        <f t="shared" si="27"/>
        <v>14</v>
      </c>
      <c r="V145" s="36">
        <f t="shared" si="31"/>
        <v>1.242</v>
      </c>
      <c r="W145" s="17">
        <f t="shared" si="28"/>
        <v>1.242E-2</v>
      </c>
      <c r="X145" s="14">
        <f t="shared" si="32"/>
        <v>2</v>
      </c>
      <c r="Y145" s="14">
        <f t="shared" si="33"/>
        <v>3</v>
      </c>
      <c r="Z145" s="14">
        <f t="shared" si="34"/>
        <v>0</v>
      </c>
      <c r="AA145" s="14" t="str">
        <f t="shared" si="35"/>
        <v>DefExt</v>
      </c>
      <c r="AB145" s="14">
        <f t="shared" si="29"/>
        <v>843</v>
      </c>
      <c r="AC145" s="14" t="str">
        <f t="shared" si="36"/>
        <v>HPExt</v>
      </c>
      <c r="AD145" s="14">
        <f t="shared" si="37"/>
        <v>2532</v>
      </c>
      <c r="AE145" s="14" t="str">
        <f t="shared" si="38"/>
        <v>[x]</v>
      </c>
      <c r="AF145" s="27" t="str">
        <f t="shared" si="39"/>
        <v>[x]</v>
      </c>
      <c r="AG145" s="27" t="str">
        <f t="shared" si="40"/>
        <v>[x]</v>
      </c>
    </row>
    <row r="146" spans="9:33" ht="16.5" x14ac:dyDescent="0.2">
      <c r="I146" s="32"/>
      <c r="P146" s="13">
        <v>90</v>
      </c>
      <c r="Q146" s="14">
        <f t="shared" si="25"/>
        <v>6</v>
      </c>
      <c r="R146" s="14">
        <f t="shared" si="26"/>
        <v>1606008</v>
      </c>
      <c r="S146" s="14" t="str">
        <f t="shared" si="30"/>
        <v>神器2碎片3等级15</v>
      </c>
      <c r="T146" s="29" t="s">
        <v>520</v>
      </c>
      <c r="U146" s="14">
        <f t="shared" si="27"/>
        <v>15</v>
      </c>
      <c r="V146" s="36">
        <f t="shared" si="31"/>
        <v>1.35</v>
      </c>
      <c r="W146" s="17">
        <f t="shared" si="28"/>
        <v>1.3500000000000002E-2</v>
      </c>
      <c r="X146" s="14">
        <f t="shared" si="32"/>
        <v>2</v>
      </c>
      <c r="Y146" s="14">
        <f t="shared" si="33"/>
        <v>3</v>
      </c>
      <c r="Z146" s="14">
        <f t="shared" si="34"/>
        <v>0</v>
      </c>
      <c r="AA146" s="14" t="str">
        <f t="shared" si="35"/>
        <v>DefExt</v>
      </c>
      <c r="AB146" s="14">
        <f t="shared" si="29"/>
        <v>916</v>
      </c>
      <c r="AC146" s="14" t="str">
        <f t="shared" si="36"/>
        <v>HPExt</v>
      </c>
      <c r="AD146" s="14">
        <f t="shared" si="37"/>
        <v>2752</v>
      </c>
      <c r="AE146" s="14" t="str">
        <f t="shared" si="38"/>
        <v>[x]</v>
      </c>
      <c r="AF146" s="27" t="str">
        <f t="shared" si="39"/>
        <v>[x]</v>
      </c>
      <c r="AG146" s="27" t="str">
        <f t="shared" si="40"/>
        <v>[x]</v>
      </c>
    </row>
    <row r="147" spans="9:33" ht="16.5" x14ac:dyDescent="0.2">
      <c r="I147" s="32"/>
      <c r="P147" s="13">
        <v>91</v>
      </c>
      <c r="Q147" s="14">
        <f t="shared" si="25"/>
        <v>7</v>
      </c>
      <c r="R147" s="14">
        <f t="shared" si="26"/>
        <v>1606009</v>
      </c>
      <c r="S147" s="14" t="str">
        <f t="shared" si="30"/>
        <v>神器2碎片4等级1</v>
      </c>
      <c r="T147" s="29" t="s">
        <v>520</v>
      </c>
      <c r="U147" s="14">
        <f t="shared" si="27"/>
        <v>1</v>
      </c>
      <c r="V147" s="36">
        <f t="shared" si="31"/>
        <v>0.20200000000000001</v>
      </c>
      <c r="W147" s="17">
        <f t="shared" si="28"/>
        <v>4.0400000000000002E-3</v>
      </c>
      <c r="X147" s="14">
        <f t="shared" si="32"/>
        <v>1</v>
      </c>
      <c r="Y147" s="14">
        <f t="shared" si="33"/>
        <v>2</v>
      </c>
      <c r="Z147" s="14">
        <f t="shared" si="34"/>
        <v>3</v>
      </c>
      <c r="AA147" s="14" t="str">
        <f t="shared" si="35"/>
        <v>AtkExt</v>
      </c>
      <c r="AB147" s="14">
        <f t="shared" si="29"/>
        <v>274</v>
      </c>
      <c r="AC147" s="14" t="str">
        <f t="shared" si="36"/>
        <v>DefExt</v>
      </c>
      <c r="AD147" s="14">
        <f t="shared" si="37"/>
        <v>137</v>
      </c>
      <c r="AE147" s="14" t="str">
        <f t="shared" si="38"/>
        <v>HPExt</v>
      </c>
      <c r="AF147" s="27">
        <f t="shared" si="39"/>
        <v>823</v>
      </c>
      <c r="AG147" s="27" t="str">
        <f t="shared" si="40"/>
        <v>[x]</v>
      </c>
    </row>
    <row r="148" spans="9:33" ht="16.5" x14ac:dyDescent="0.2">
      <c r="I148" s="32"/>
      <c r="P148" s="13">
        <v>92</v>
      </c>
      <c r="Q148" s="14">
        <f t="shared" si="25"/>
        <v>7</v>
      </c>
      <c r="R148" s="14">
        <f t="shared" si="26"/>
        <v>1606009</v>
      </c>
      <c r="S148" s="14" t="str">
        <f t="shared" si="30"/>
        <v>神器2碎片4等级2</v>
      </c>
      <c r="T148" s="29" t="s">
        <v>520</v>
      </c>
      <c r="U148" s="14">
        <f t="shared" si="27"/>
        <v>2</v>
      </c>
      <c r="V148" s="36">
        <f t="shared" si="31"/>
        <v>0.25800000000000001</v>
      </c>
      <c r="W148" s="17">
        <f t="shared" si="28"/>
        <v>5.1600000000000005E-3</v>
      </c>
      <c r="X148" s="14">
        <f t="shared" si="32"/>
        <v>1</v>
      </c>
      <c r="Y148" s="14">
        <f t="shared" si="33"/>
        <v>2</v>
      </c>
      <c r="Z148" s="14">
        <f t="shared" si="34"/>
        <v>3</v>
      </c>
      <c r="AA148" s="14" t="str">
        <f t="shared" si="35"/>
        <v>AtkExt</v>
      </c>
      <c r="AB148" s="14">
        <f t="shared" si="29"/>
        <v>350</v>
      </c>
      <c r="AC148" s="14" t="str">
        <f t="shared" si="36"/>
        <v>DefExt</v>
      </c>
      <c r="AD148" s="14">
        <f t="shared" si="37"/>
        <v>175</v>
      </c>
      <c r="AE148" s="14" t="str">
        <f t="shared" si="38"/>
        <v>HPExt</v>
      </c>
      <c r="AF148" s="27">
        <f t="shared" si="39"/>
        <v>1051</v>
      </c>
      <c r="AG148" s="27" t="str">
        <f t="shared" si="40"/>
        <v>[x]</v>
      </c>
    </row>
    <row r="149" spans="9:33" ht="16.5" x14ac:dyDescent="0.2">
      <c r="I149" s="32"/>
      <c r="P149" s="13">
        <v>93</v>
      </c>
      <c r="Q149" s="14">
        <f t="shared" si="25"/>
        <v>7</v>
      </c>
      <c r="R149" s="14">
        <f t="shared" si="26"/>
        <v>1606009</v>
      </c>
      <c r="S149" s="14" t="str">
        <f t="shared" si="30"/>
        <v>神器2碎片4等级3</v>
      </c>
      <c r="T149" s="29" t="s">
        <v>520</v>
      </c>
      <c r="U149" s="14">
        <f t="shared" si="27"/>
        <v>3</v>
      </c>
      <c r="V149" s="36">
        <f t="shared" si="31"/>
        <v>0.31800000000000006</v>
      </c>
      <c r="W149" s="17">
        <f t="shared" si="28"/>
        <v>6.3600000000000011E-3</v>
      </c>
      <c r="X149" s="14">
        <f t="shared" si="32"/>
        <v>1</v>
      </c>
      <c r="Y149" s="14">
        <f t="shared" si="33"/>
        <v>2</v>
      </c>
      <c r="Z149" s="14">
        <f t="shared" si="34"/>
        <v>3</v>
      </c>
      <c r="AA149" s="14" t="str">
        <f t="shared" si="35"/>
        <v>AtkExt</v>
      </c>
      <c r="AB149" s="14">
        <f t="shared" si="29"/>
        <v>432</v>
      </c>
      <c r="AC149" s="14" t="str">
        <f t="shared" si="36"/>
        <v>DefExt</v>
      </c>
      <c r="AD149" s="14">
        <f t="shared" si="37"/>
        <v>215</v>
      </c>
      <c r="AE149" s="14" t="str">
        <f t="shared" si="38"/>
        <v>HPExt</v>
      </c>
      <c r="AF149" s="27">
        <f t="shared" si="39"/>
        <v>1296</v>
      </c>
      <c r="AG149" s="27" t="str">
        <f t="shared" si="40"/>
        <v>[x]</v>
      </c>
    </row>
    <row r="150" spans="9:33" ht="16.5" x14ac:dyDescent="0.2">
      <c r="I150" s="32"/>
      <c r="P150" s="13">
        <v>94</v>
      </c>
      <c r="Q150" s="14">
        <f t="shared" si="25"/>
        <v>7</v>
      </c>
      <c r="R150" s="14">
        <f t="shared" si="26"/>
        <v>1606009</v>
      </c>
      <c r="S150" s="14" t="str">
        <f t="shared" si="30"/>
        <v>神器2碎片4等级4</v>
      </c>
      <c r="T150" s="29" t="s">
        <v>520</v>
      </c>
      <c r="U150" s="14">
        <f t="shared" si="27"/>
        <v>4</v>
      </c>
      <c r="V150" s="36">
        <f t="shared" si="31"/>
        <v>0.38200000000000001</v>
      </c>
      <c r="W150" s="17">
        <f t="shared" si="28"/>
        <v>7.6400000000000001E-3</v>
      </c>
      <c r="X150" s="14">
        <f t="shared" si="32"/>
        <v>1</v>
      </c>
      <c r="Y150" s="14">
        <f t="shared" si="33"/>
        <v>2</v>
      </c>
      <c r="Z150" s="14">
        <f t="shared" si="34"/>
        <v>3</v>
      </c>
      <c r="AA150" s="14" t="str">
        <f t="shared" si="35"/>
        <v>AtkExt</v>
      </c>
      <c r="AB150" s="14">
        <f t="shared" si="29"/>
        <v>518</v>
      </c>
      <c r="AC150" s="14" t="str">
        <f t="shared" si="36"/>
        <v>DefExt</v>
      </c>
      <c r="AD150" s="14">
        <f t="shared" si="37"/>
        <v>259</v>
      </c>
      <c r="AE150" s="14" t="str">
        <f t="shared" si="38"/>
        <v>HPExt</v>
      </c>
      <c r="AF150" s="27">
        <f t="shared" si="39"/>
        <v>1557</v>
      </c>
      <c r="AG150" s="27" t="str">
        <f t="shared" si="40"/>
        <v>[x]</v>
      </c>
    </row>
    <row r="151" spans="9:33" ht="16.5" x14ac:dyDescent="0.2">
      <c r="I151" s="32"/>
      <c r="P151" s="13">
        <v>95</v>
      </c>
      <c r="Q151" s="14">
        <f t="shared" si="25"/>
        <v>7</v>
      </c>
      <c r="R151" s="14">
        <f t="shared" si="26"/>
        <v>1606009</v>
      </c>
      <c r="S151" s="14" t="str">
        <f t="shared" si="30"/>
        <v>神器2碎片4等级5</v>
      </c>
      <c r="T151" s="29" t="s">
        <v>520</v>
      </c>
      <c r="U151" s="14">
        <f t="shared" si="27"/>
        <v>5</v>
      </c>
      <c r="V151" s="36">
        <f t="shared" si="31"/>
        <v>0.45</v>
      </c>
      <c r="W151" s="17">
        <f t="shared" si="28"/>
        <v>9.0000000000000011E-3</v>
      </c>
      <c r="X151" s="14">
        <f t="shared" si="32"/>
        <v>1</v>
      </c>
      <c r="Y151" s="14">
        <f t="shared" si="33"/>
        <v>2</v>
      </c>
      <c r="Z151" s="14">
        <f t="shared" si="34"/>
        <v>3</v>
      </c>
      <c r="AA151" s="14" t="str">
        <f t="shared" si="35"/>
        <v>AtkExt</v>
      </c>
      <c r="AB151" s="14">
        <f t="shared" si="29"/>
        <v>611</v>
      </c>
      <c r="AC151" s="14" t="str">
        <f t="shared" si="36"/>
        <v>DefExt</v>
      </c>
      <c r="AD151" s="14">
        <f t="shared" si="37"/>
        <v>305</v>
      </c>
      <c r="AE151" s="14" t="str">
        <f t="shared" si="38"/>
        <v>HPExt</v>
      </c>
      <c r="AF151" s="27">
        <f t="shared" si="39"/>
        <v>1834</v>
      </c>
      <c r="AG151" s="27" t="str">
        <f t="shared" si="40"/>
        <v>[x]</v>
      </c>
    </row>
    <row r="152" spans="9:33" ht="16.5" x14ac:dyDescent="0.2">
      <c r="I152" s="32"/>
      <c r="P152" s="13">
        <v>96</v>
      </c>
      <c r="Q152" s="14">
        <f t="shared" si="25"/>
        <v>7</v>
      </c>
      <c r="R152" s="14">
        <f t="shared" si="26"/>
        <v>1606009</v>
      </c>
      <c r="S152" s="14" t="str">
        <f t="shared" si="30"/>
        <v>神器2碎片4等级6</v>
      </c>
      <c r="T152" s="29" t="s">
        <v>520</v>
      </c>
      <c r="U152" s="14">
        <f t="shared" si="27"/>
        <v>6</v>
      </c>
      <c r="V152" s="36">
        <f t="shared" si="31"/>
        <v>0.52200000000000002</v>
      </c>
      <c r="W152" s="17">
        <f t="shared" si="28"/>
        <v>1.0440000000000001E-2</v>
      </c>
      <c r="X152" s="14">
        <f t="shared" si="32"/>
        <v>1</v>
      </c>
      <c r="Y152" s="14">
        <f t="shared" si="33"/>
        <v>2</v>
      </c>
      <c r="Z152" s="14">
        <f t="shared" si="34"/>
        <v>3</v>
      </c>
      <c r="AA152" s="14" t="str">
        <f t="shared" si="35"/>
        <v>AtkExt</v>
      </c>
      <c r="AB152" s="14">
        <f t="shared" si="29"/>
        <v>709</v>
      </c>
      <c r="AC152" s="14" t="str">
        <f t="shared" si="36"/>
        <v>DefExt</v>
      </c>
      <c r="AD152" s="14">
        <f t="shared" si="37"/>
        <v>354</v>
      </c>
      <c r="AE152" s="14" t="str">
        <f t="shared" si="38"/>
        <v>HPExt</v>
      </c>
      <c r="AF152" s="27">
        <f t="shared" si="39"/>
        <v>2128</v>
      </c>
      <c r="AG152" s="27" t="str">
        <f t="shared" si="40"/>
        <v>[x]</v>
      </c>
    </row>
    <row r="153" spans="9:33" ht="16.5" x14ac:dyDescent="0.2">
      <c r="I153" s="32"/>
      <c r="P153" s="13">
        <v>97</v>
      </c>
      <c r="Q153" s="14">
        <f t="shared" si="25"/>
        <v>7</v>
      </c>
      <c r="R153" s="14">
        <f t="shared" si="26"/>
        <v>1606009</v>
      </c>
      <c r="S153" s="14" t="str">
        <f t="shared" si="30"/>
        <v>神器2碎片4等级7</v>
      </c>
      <c r="T153" s="29" t="s">
        <v>520</v>
      </c>
      <c r="U153" s="14">
        <f t="shared" si="27"/>
        <v>7</v>
      </c>
      <c r="V153" s="36">
        <f t="shared" si="31"/>
        <v>0.59799999999999998</v>
      </c>
      <c r="W153" s="17">
        <f t="shared" si="28"/>
        <v>1.196E-2</v>
      </c>
      <c r="X153" s="14">
        <f t="shared" si="32"/>
        <v>1</v>
      </c>
      <c r="Y153" s="14">
        <f t="shared" si="33"/>
        <v>2</v>
      </c>
      <c r="Z153" s="14">
        <f t="shared" si="34"/>
        <v>3</v>
      </c>
      <c r="AA153" s="14" t="str">
        <f t="shared" si="35"/>
        <v>AtkExt</v>
      </c>
      <c r="AB153" s="14">
        <f t="shared" si="29"/>
        <v>812</v>
      </c>
      <c r="AC153" s="14" t="str">
        <f t="shared" si="36"/>
        <v>DefExt</v>
      </c>
      <c r="AD153" s="14">
        <f t="shared" si="37"/>
        <v>406</v>
      </c>
      <c r="AE153" s="14" t="str">
        <f t="shared" si="38"/>
        <v>HPExt</v>
      </c>
      <c r="AF153" s="27">
        <f t="shared" si="39"/>
        <v>2438</v>
      </c>
      <c r="AG153" s="27" t="str">
        <f t="shared" si="40"/>
        <v>[x]</v>
      </c>
    </row>
    <row r="154" spans="9:33" ht="16.5" x14ac:dyDescent="0.2">
      <c r="I154" s="32"/>
      <c r="P154" s="13">
        <v>98</v>
      </c>
      <c r="Q154" s="14">
        <f t="shared" si="25"/>
        <v>7</v>
      </c>
      <c r="R154" s="14">
        <f t="shared" si="26"/>
        <v>1606009</v>
      </c>
      <c r="S154" s="14" t="str">
        <f t="shared" si="30"/>
        <v>神器2碎片4等级8</v>
      </c>
      <c r="T154" s="29" t="s">
        <v>520</v>
      </c>
      <c r="U154" s="14">
        <f t="shared" si="27"/>
        <v>8</v>
      </c>
      <c r="V154" s="36">
        <f t="shared" si="31"/>
        <v>0.67800000000000005</v>
      </c>
      <c r="W154" s="17">
        <f t="shared" si="28"/>
        <v>1.3560000000000001E-2</v>
      </c>
      <c r="X154" s="14">
        <f t="shared" si="32"/>
        <v>1</v>
      </c>
      <c r="Y154" s="14">
        <f t="shared" si="33"/>
        <v>2</v>
      </c>
      <c r="Z154" s="14">
        <f t="shared" si="34"/>
        <v>3</v>
      </c>
      <c r="AA154" s="14" t="str">
        <f t="shared" si="35"/>
        <v>AtkExt</v>
      </c>
      <c r="AB154" s="14">
        <f t="shared" si="29"/>
        <v>921</v>
      </c>
      <c r="AC154" s="14" t="str">
        <f t="shared" si="36"/>
        <v>DefExt</v>
      </c>
      <c r="AD154" s="14">
        <f t="shared" si="37"/>
        <v>460</v>
      </c>
      <c r="AE154" s="14" t="str">
        <f t="shared" si="38"/>
        <v>HPExt</v>
      </c>
      <c r="AF154" s="27">
        <f t="shared" si="39"/>
        <v>2764</v>
      </c>
      <c r="AG154" s="27" t="str">
        <f t="shared" si="40"/>
        <v>[x]</v>
      </c>
    </row>
    <row r="155" spans="9:33" ht="16.5" x14ac:dyDescent="0.2">
      <c r="I155" s="32"/>
      <c r="P155" s="13">
        <v>99</v>
      </c>
      <c r="Q155" s="14">
        <f t="shared" si="25"/>
        <v>7</v>
      </c>
      <c r="R155" s="14">
        <f t="shared" si="26"/>
        <v>1606009</v>
      </c>
      <c r="S155" s="14" t="str">
        <f t="shared" si="30"/>
        <v>神器2碎片4等级9</v>
      </c>
      <c r="T155" s="29" t="s">
        <v>520</v>
      </c>
      <c r="U155" s="14">
        <f t="shared" si="27"/>
        <v>9</v>
      </c>
      <c r="V155" s="36">
        <f t="shared" si="31"/>
        <v>0.76200000000000001</v>
      </c>
      <c r="W155" s="17">
        <f t="shared" si="28"/>
        <v>1.524E-2</v>
      </c>
      <c r="X155" s="14">
        <f t="shared" si="32"/>
        <v>1</v>
      </c>
      <c r="Y155" s="14">
        <f t="shared" si="33"/>
        <v>2</v>
      </c>
      <c r="Z155" s="14">
        <f t="shared" si="34"/>
        <v>3</v>
      </c>
      <c r="AA155" s="14" t="str">
        <f t="shared" si="35"/>
        <v>AtkExt</v>
      </c>
      <c r="AB155" s="14">
        <f t="shared" si="29"/>
        <v>1035</v>
      </c>
      <c r="AC155" s="14" t="str">
        <f t="shared" si="36"/>
        <v>DefExt</v>
      </c>
      <c r="AD155" s="14">
        <f t="shared" si="37"/>
        <v>517</v>
      </c>
      <c r="AE155" s="14" t="str">
        <f t="shared" si="38"/>
        <v>HPExt</v>
      </c>
      <c r="AF155" s="27">
        <f t="shared" si="39"/>
        <v>3107</v>
      </c>
      <c r="AG155" s="27" t="str">
        <f t="shared" si="40"/>
        <v>[x]</v>
      </c>
    </row>
    <row r="156" spans="9:33" ht="16.5" x14ac:dyDescent="0.2">
      <c r="I156" s="32"/>
      <c r="P156" s="13">
        <v>100</v>
      </c>
      <c r="Q156" s="14">
        <f t="shared" si="25"/>
        <v>7</v>
      </c>
      <c r="R156" s="14">
        <f t="shared" si="26"/>
        <v>1606009</v>
      </c>
      <c r="S156" s="14" t="str">
        <f t="shared" si="30"/>
        <v>神器2碎片4等级10</v>
      </c>
      <c r="T156" s="29" t="s">
        <v>520</v>
      </c>
      <c r="U156" s="14">
        <f t="shared" si="27"/>
        <v>10</v>
      </c>
      <c r="V156" s="36">
        <f t="shared" si="31"/>
        <v>0.85000000000000009</v>
      </c>
      <c r="W156" s="17">
        <f t="shared" si="28"/>
        <v>1.7000000000000001E-2</v>
      </c>
      <c r="X156" s="14">
        <f t="shared" si="32"/>
        <v>1</v>
      </c>
      <c r="Y156" s="14">
        <f t="shared" si="33"/>
        <v>2</v>
      </c>
      <c r="Z156" s="14">
        <f t="shared" si="34"/>
        <v>3</v>
      </c>
      <c r="AA156" s="14" t="str">
        <f t="shared" si="35"/>
        <v>AtkExt</v>
      </c>
      <c r="AB156" s="14">
        <f t="shared" si="29"/>
        <v>1154</v>
      </c>
      <c r="AC156" s="14" t="str">
        <f t="shared" si="36"/>
        <v>DefExt</v>
      </c>
      <c r="AD156" s="14">
        <f t="shared" si="37"/>
        <v>577</v>
      </c>
      <c r="AE156" s="14" t="str">
        <f t="shared" si="38"/>
        <v>HPExt</v>
      </c>
      <c r="AF156" s="27">
        <f t="shared" si="39"/>
        <v>3465</v>
      </c>
      <c r="AG156" s="27" t="str">
        <f t="shared" si="40"/>
        <v>[x]</v>
      </c>
    </row>
    <row r="157" spans="9:33" ht="16.5" x14ac:dyDescent="0.2">
      <c r="I157" s="32"/>
      <c r="P157" s="13">
        <v>101</v>
      </c>
      <c r="Q157" s="14">
        <f t="shared" si="25"/>
        <v>7</v>
      </c>
      <c r="R157" s="14">
        <f t="shared" si="26"/>
        <v>1606009</v>
      </c>
      <c r="S157" s="14" t="str">
        <f t="shared" si="30"/>
        <v>神器2碎片4等级11</v>
      </c>
      <c r="T157" s="29" t="s">
        <v>520</v>
      </c>
      <c r="U157" s="14">
        <f t="shared" si="27"/>
        <v>11</v>
      </c>
      <c r="V157" s="36">
        <f t="shared" si="31"/>
        <v>0.94200000000000006</v>
      </c>
      <c r="W157" s="17">
        <f t="shared" si="28"/>
        <v>1.8840000000000003E-2</v>
      </c>
      <c r="X157" s="14">
        <f t="shared" si="32"/>
        <v>1</v>
      </c>
      <c r="Y157" s="14">
        <f t="shared" si="33"/>
        <v>2</v>
      </c>
      <c r="Z157" s="14">
        <f t="shared" si="34"/>
        <v>3</v>
      </c>
      <c r="AA157" s="14" t="str">
        <f t="shared" si="35"/>
        <v>AtkExt</v>
      </c>
      <c r="AB157" s="14">
        <f t="shared" si="29"/>
        <v>1279</v>
      </c>
      <c r="AC157" s="14" t="str">
        <f t="shared" si="36"/>
        <v>DefExt</v>
      </c>
      <c r="AD157" s="14">
        <f t="shared" si="37"/>
        <v>639</v>
      </c>
      <c r="AE157" s="14" t="str">
        <f t="shared" si="38"/>
        <v>HPExt</v>
      </c>
      <c r="AF157" s="27">
        <f t="shared" si="39"/>
        <v>3840</v>
      </c>
      <c r="AG157" s="27" t="str">
        <f t="shared" si="40"/>
        <v>[x]</v>
      </c>
    </row>
    <row r="158" spans="9:33" ht="16.5" x14ac:dyDescent="0.2">
      <c r="I158" s="32"/>
      <c r="P158" s="13">
        <v>102</v>
      </c>
      <c r="Q158" s="14">
        <f t="shared" si="25"/>
        <v>7</v>
      </c>
      <c r="R158" s="14">
        <f t="shared" si="26"/>
        <v>1606009</v>
      </c>
      <c r="S158" s="14" t="str">
        <f t="shared" si="30"/>
        <v>神器2碎片4等级12</v>
      </c>
      <c r="T158" s="29" t="s">
        <v>520</v>
      </c>
      <c r="U158" s="14">
        <f t="shared" si="27"/>
        <v>12</v>
      </c>
      <c r="V158" s="36">
        <f t="shared" si="31"/>
        <v>1.0380000000000003</v>
      </c>
      <c r="W158" s="17">
        <f t="shared" si="28"/>
        <v>2.0760000000000004E-2</v>
      </c>
      <c r="X158" s="14">
        <f t="shared" si="32"/>
        <v>1</v>
      </c>
      <c r="Y158" s="14">
        <f t="shared" si="33"/>
        <v>2</v>
      </c>
      <c r="Z158" s="14">
        <f t="shared" si="34"/>
        <v>3</v>
      </c>
      <c r="AA158" s="14" t="str">
        <f t="shared" si="35"/>
        <v>AtkExt</v>
      </c>
      <c r="AB158" s="14">
        <f t="shared" si="29"/>
        <v>1410</v>
      </c>
      <c r="AC158" s="14" t="str">
        <f t="shared" si="36"/>
        <v>DefExt</v>
      </c>
      <c r="AD158" s="14">
        <f t="shared" si="37"/>
        <v>704</v>
      </c>
      <c r="AE158" s="14" t="str">
        <f t="shared" si="38"/>
        <v>HPExt</v>
      </c>
      <c r="AF158" s="27">
        <f t="shared" si="39"/>
        <v>4232</v>
      </c>
      <c r="AG158" s="27" t="str">
        <f t="shared" si="40"/>
        <v>[x]</v>
      </c>
    </row>
    <row r="159" spans="9:33" ht="16.5" x14ac:dyDescent="0.2">
      <c r="I159" s="32"/>
      <c r="P159" s="13">
        <v>103</v>
      </c>
      <c r="Q159" s="14">
        <f t="shared" si="25"/>
        <v>7</v>
      </c>
      <c r="R159" s="14">
        <f t="shared" si="26"/>
        <v>1606009</v>
      </c>
      <c r="S159" s="14" t="str">
        <f t="shared" si="30"/>
        <v>神器2碎片4等级13</v>
      </c>
      <c r="T159" s="29" t="s">
        <v>520</v>
      </c>
      <c r="U159" s="14">
        <f t="shared" si="27"/>
        <v>13</v>
      </c>
      <c r="V159" s="36">
        <f t="shared" si="31"/>
        <v>1.1380000000000001</v>
      </c>
      <c r="W159" s="17">
        <f t="shared" si="28"/>
        <v>2.2760000000000002E-2</v>
      </c>
      <c r="X159" s="14">
        <f t="shared" si="32"/>
        <v>1</v>
      </c>
      <c r="Y159" s="14">
        <f t="shared" si="33"/>
        <v>2</v>
      </c>
      <c r="Z159" s="14">
        <f t="shared" si="34"/>
        <v>3</v>
      </c>
      <c r="AA159" s="14" t="str">
        <f t="shared" si="35"/>
        <v>AtkExt</v>
      </c>
      <c r="AB159" s="14">
        <f t="shared" si="29"/>
        <v>1546</v>
      </c>
      <c r="AC159" s="14" t="str">
        <f t="shared" si="36"/>
        <v>DefExt</v>
      </c>
      <c r="AD159" s="14">
        <f t="shared" si="37"/>
        <v>772</v>
      </c>
      <c r="AE159" s="14" t="str">
        <f t="shared" si="38"/>
        <v>HPExt</v>
      </c>
      <c r="AF159" s="27">
        <f t="shared" si="39"/>
        <v>4640</v>
      </c>
      <c r="AG159" s="27" t="str">
        <f t="shared" si="40"/>
        <v>[x]</v>
      </c>
    </row>
    <row r="160" spans="9:33" ht="16.5" x14ac:dyDescent="0.2">
      <c r="I160" s="32"/>
      <c r="P160" s="13">
        <v>104</v>
      </c>
      <c r="Q160" s="14">
        <f t="shared" si="25"/>
        <v>7</v>
      </c>
      <c r="R160" s="14">
        <f t="shared" si="26"/>
        <v>1606009</v>
      </c>
      <c r="S160" s="14" t="str">
        <f t="shared" si="30"/>
        <v>神器2碎片4等级14</v>
      </c>
      <c r="T160" s="29" t="s">
        <v>520</v>
      </c>
      <c r="U160" s="14">
        <f t="shared" si="27"/>
        <v>14</v>
      </c>
      <c r="V160" s="36">
        <f t="shared" si="31"/>
        <v>1.242</v>
      </c>
      <c r="W160" s="17">
        <f t="shared" si="28"/>
        <v>2.4840000000000001E-2</v>
      </c>
      <c r="X160" s="14">
        <f t="shared" si="32"/>
        <v>1</v>
      </c>
      <c r="Y160" s="14">
        <f t="shared" si="33"/>
        <v>2</v>
      </c>
      <c r="Z160" s="14">
        <f t="shared" si="34"/>
        <v>3</v>
      </c>
      <c r="AA160" s="14" t="str">
        <f t="shared" si="35"/>
        <v>AtkExt</v>
      </c>
      <c r="AB160" s="14">
        <f t="shared" si="29"/>
        <v>1687</v>
      </c>
      <c r="AC160" s="14" t="str">
        <f t="shared" si="36"/>
        <v>DefExt</v>
      </c>
      <c r="AD160" s="14">
        <f t="shared" si="37"/>
        <v>843</v>
      </c>
      <c r="AE160" s="14" t="str">
        <f t="shared" si="38"/>
        <v>HPExt</v>
      </c>
      <c r="AF160" s="27">
        <f t="shared" si="39"/>
        <v>5064</v>
      </c>
      <c r="AG160" s="27" t="str">
        <f t="shared" si="40"/>
        <v>[x]</v>
      </c>
    </row>
    <row r="161" spans="9:33" ht="16.5" x14ac:dyDescent="0.2">
      <c r="I161" s="32"/>
      <c r="P161" s="13">
        <v>105</v>
      </c>
      <c r="Q161" s="14">
        <f t="shared" si="25"/>
        <v>7</v>
      </c>
      <c r="R161" s="14">
        <f t="shared" si="26"/>
        <v>1606009</v>
      </c>
      <c r="S161" s="14" t="str">
        <f t="shared" si="30"/>
        <v>神器2碎片4等级15</v>
      </c>
      <c r="T161" s="29" t="s">
        <v>520</v>
      </c>
      <c r="U161" s="14">
        <f t="shared" si="27"/>
        <v>15</v>
      </c>
      <c r="V161" s="36">
        <f t="shared" si="31"/>
        <v>1.35</v>
      </c>
      <c r="W161" s="17">
        <f t="shared" si="28"/>
        <v>2.7000000000000003E-2</v>
      </c>
      <c r="X161" s="14">
        <f t="shared" si="32"/>
        <v>1</v>
      </c>
      <c r="Y161" s="14">
        <f t="shared" si="33"/>
        <v>2</v>
      </c>
      <c r="Z161" s="14">
        <f t="shared" si="34"/>
        <v>3</v>
      </c>
      <c r="AA161" s="14" t="str">
        <f t="shared" si="35"/>
        <v>AtkExt</v>
      </c>
      <c r="AB161" s="14">
        <f t="shared" si="29"/>
        <v>1834</v>
      </c>
      <c r="AC161" s="14" t="str">
        <f t="shared" si="36"/>
        <v>DefExt</v>
      </c>
      <c r="AD161" s="14">
        <f t="shared" si="37"/>
        <v>916</v>
      </c>
      <c r="AE161" s="14" t="str">
        <f t="shared" si="38"/>
        <v>HPExt</v>
      </c>
      <c r="AF161" s="27">
        <f t="shared" si="39"/>
        <v>5504</v>
      </c>
      <c r="AG161" s="27" t="str">
        <f t="shared" si="40"/>
        <v>[x]</v>
      </c>
    </row>
    <row r="162" spans="9:33" ht="16.5" x14ac:dyDescent="0.2">
      <c r="I162" s="32"/>
      <c r="P162" s="13">
        <v>106</v>
      </c>
      <c r="Q162" s="14">
        <f t="shared" si="25"/>
        <v>8</v>
      </c>
      <c r="R162" s="14">
        <f t="shared" si="26"/>
        <v>1606010</v>
      </c>
      <c r="S162" s="14" t="str">
        <f t="shared" si="30"/>
        <v>神器2碎片5等级1</v>
      </c>
      <c r="T162" s="29" t="s">
        <v>520</v>
      </c>
      <c r="U162" s="14">
        <f t="shared" si="27"/>
        <v>1</v>
      </c>
      <c r="V162" s="36">
        <f t="shared" si="31"/>
        <v>0.20200000000000001</v>
      </c>
      <c r="W162" s="17">
        <f t="shared" si="28"/>
        <v>6.0600000000000003E-3</v>
      </c>
      <c r="X162" s="14">
        <f t="shared" si="32"/>
        <v>1</v>
      </c>
      <c r="Y162" s="14">
        <f t="shared" si="33"/>
        <v>2</v>
      </c>
      <c r="Z162" s="14">
        <f t="shared" si="34"/>
        <v>0</v>
      </c>
      <c r="AA162" s="14" t="str">
        <f t="shared" si="35"/>
        <v>AtkExt</v>
      </c>
      <c r="AB162" s="14">
        <f t="shared" si="29"/>
        <v>823</v>
      </c>
      <c r="AC162" s="14" t="str">
        <f t="shared" si="36"/>
        <v>DefExt</v>
      </c>
      <c r="AD162" s="14">
        <f t="shared" si="37"/>
        <v>205</v>
      </c>
      <c r="AE162" s="14" t="str">
        <f t="shared" si="38"/>
        <v>[x]</v>
      </c>
      <c r="AF162" s="27" t="str">
        <f t="shared" si="39"/>
        <v>[x]</v>
      </c>
      <c r="AG162" s="27" t="str">
        <f t="shared" si="40"/>
        <v>[x]</v>
      </c>
    </row>
    <row r="163" spans="9:33" ht="16.5" x14ac:dyDescent="0.2">
      <c r="I163" s="32"/>
      <c r="P163" s="13">
        <v>107</v>
      </c>
      <c r="Q163" s="14">
        <f t="shared" si="25"/>
        <v>8</v>
      </c>
      <c r="R163" s="14">
        <f t="shared" si="26"/>
        <v>1606010</v>
      </c>
      <c r="S163" s="14" t="str">
        <f t="shared" si="30"/>
        <v>神器2碎片5等级2</v>
      </c>
      <c r="T163" s="29" t="s">
        <v>520</v>
      </c>
      <c r="U163" s="14">
        <f t="shared" si="27"/>
        <v>2</v>
      </c>
      <c r="V163" s="36">
        <f t="shared" si="31"/>
        <v>0.25800000000000001</v>
      </c>
      <c r="W163" s="17">
        <f t="shared" si="28"/>
        <v>7.7400000000000004E-3</v>
      </c>
      <c r="X163" s="14">
        <f t="shared" si="32"/>
        <v>1</v>
      </c>
      <c r="Y163" s="14">
        <f t="shared" si="33"/>
        <v>2</v>
      </c>
      <c r="Z163" s="14">
        <f t="shared" si="34"/>
        <v>0</v>
      </c>
      <c r="AA163" s="14" t="str">
        <f t="shared" si="35"/>
        <v>AtkExt</v>
      </c>
      <c r="AB163" s="14">
        <f t="shared" si="29"/>
        <v>1051</v>
      </c>
      <c r="AC163" s="14" t="str">
        <f t="shared" si="36"/>
        <v>DefExt</v>
      </c>
      <c r="AD163" s="14">
        <f t="shared" si="37"/>
        <v>262</v>
      </c>
      <c r="AE163" s="14" t="str">
        <f t="shared" si="38"/>
        <v>[x]</v>
      </c>
      <c r="AF163" s="27" t="str">
        <f t="shared" si="39"/>
        <v>[x]</v>
      </c>
      <c r="AG163" s="27" t="str">
        <f t="shared" si="40"/>
        <v>[x]</v>
      </c>
    </row>
    <row r="164" spans="9:33" ht="16.5" x14ac:dyDescent="0.2">
      <c r="I164" s="32"/>
      <c r="P164" s="13">
        <v>108</v>
      </c>
      <c r="Q164" s="14">
        <f t="shared" si="25"/>
        <v>8</v>
      </c>
      <c r="R164" s="14">
        <f t="shared" si="26"/>
        <v>1606010</v>
      </c>
      <c r="S164" s="14" t="str">
        <f t="shared" si="30"/>
        <v>神器2碎片5等级3</v>
      </c>
      <c r="T164" s="29" t="s">
        <v>520</v>
      </c>
      <c r="U164" s="14">
        <f t="shared" si="27"/>
        <v>3</v>
      </c>
      <c r="V164" s="36">
        <f t="shared" si="31"/>
        <v>0.31800000000000006</v>
      </c>
      <c r="W164" s="17">
        <f t="shared" si="28"/>
        <v>9.5400000000000016E-3</v>
      </c>
      <c r="X164" s="14">
        <f t="shared" si="32"/>
        <v>1</v>
      </c>
      <c r="Y164" s="14">
        <f t="shared" si="33"/>
        <v>2</v>
      </c>
      <c r="Z164" s="14">
        <f t="shared" si="34"/>
        <v>0</v>
      </c>
      <c r="AA164" s="14" t="str">
        <f t="shared" si="35"/>
        <v>AtkExt</v>
      </c>
      <c r="AB164" s="14">
        <f t="shared" si="29"/>
        <v>1296</v>
      </c>
      <c r="AC164" s="14" t="str">
        <f t="shared" si="36"/>
        <v>DefExt</v>
      </c>
      <c r="AD164" s="14">
        <f t="shared" si="37"/>
        <v>323</v>
      </c>
      <c r="AE164" s="14" t="str">
        <f t="shared" si="38"/>
        <v>[x]</v>
      </c>
      <c r="AF164" s="27" t="str">
        <f t="shared" si="39"/>
        <v>[x]</v>
      </c>
      <c r="AG164" s="27" t="str">
        <f t="shared" si="40"/>
        <v>[x]</v>
      </c>
    </row>
    <row r="165" spans="9:33" ht="16.5" x14ac:dyDescent="0.2">
      <c r="I165" s="32"/>
      <c r="P165" s="13">
        <v>109</v>
      </c>
      <c r="Q165" s="14">
        <f t="shared" si="25"/>
        <v>8</v>
      </c>
      <c r="R165" s="14">
        <f t="shared" si="26"/>
        <v>1606010</v>
      </c>
      <c r="S165" s="14" t="str">
        <f t="shared" si="30"/>
        <v>神器2碎片5等级4</v>
      </c>
      <c r="T165" s="29" t="s">
        <v>520</v>
      </c>
      <c r="U165" s="14">
        <f t="shared" si="27"/>
        <v>4</v>
      </c>
      <c r="V165" s="36">
        <f t="shared" si="31"/>
        <v>0.38200000000000001</v>
      </c>
      <c r="W165" s="17">
        <f t="shared" si="28"/>
        <v>1.146E-2</v>
      </c>
      <c r="X165" s="14">
        <f t="shared" si="32"/>
        <v>1</v>
      </c>
      <c r="Y165" s="14">
        <f t="shared" si="33"/>
        <v>2</v>
      </c>
      <c r="Z165" s="14">
        <f t="shared" si="34"/>
        <v>0</v>
      </c>
      <c r="AA165" s="14" t="str">
        <f t="shared" si="35"/>
        <v>AtkExt</v>
      </c>
      <c r="AB165" s="14">
        <f t="shared" si="29"/>
        <v>1556</v>
      </c>
      <c r="AC165" s="14" t="str">
        <f t="shared" si="36"/>
        <v>DefExt</v>
      </c>
      <c r="AD165" s="14">
        <f t="shared" si="37"/>
        <v>389</v>
      </c>
      <c r="AE165" s="14" t="str">
        <f t="shared" si="38"/>
        <v>[x]</v>
      </c>
      <c r="AF165" s="27" t="str">
        <f t="shared" si="39"/>
        <v>[x]</v>
      </c>
      <c r="AG165" s="27" t="str">
        <f t="shared" si="40"/>
        <v>[x]</v>
      </c>
    </row>
    <row r="166" spans="9:33" ht="16.5" x14ac:dyDescent="0.2">
      <c r="I166" s="32"/>
      <c r="P166" s="13">
        <v>110</v>
      </c>
      <c r="Q166" s="14">
        <f t="shared" si="25"/>
        <v>8</v>
      </c>
      <c r="R166" s="14">
        <f t="shared" si="26"/>
        <v>1606010</v>
      </c>
      <c r="S166" s="14" t="str">
        <f t="shared" si="30"/>
        <v>神器2碎片5等级5</v>
      </c>
      <c r="T166" s="29" t="s">
        <v>520</v>
      </c>
      <c r="U166" s="14">
        <f t="shared" si="27"/>
        <v>5</v>
      </c>
      <c r="V166" s="36">
        <f t="shared" si="31"/>
        <v>0.45</v>
      </c>
      <c r="W166" s="17">
        <f t="shared" si="28"/>
        <v>1.35E-2</v>
      </c>
      <c r="X166" s="14">
        <f t="shared" si="32"/>
        <v>1</v>
      </c>
      <c r="Y166" s="14">
        <f t="shared" si="33"/>
        <v>2</v>
      </c>
      <c r="Z166" s="14">
        <f t="shared" si="34"/>
        <v>0</v>
      </c>
      <c r="AA166" s="14" t="str">
        <f t="shared" si="35"/>
        <v>AtkExt</v>
      </c>
      <c r="AB166" s="14">
        <f t="shared" si="29"/>
        <v>1834</v>
      </c>
      <c r="AC166" s="14" t="str">
        <f t="shared" si="36"/>
        <v>DefExt</v>
      </c>
      <c r="AD166" s="14">
        <f t="shared" si="37"/>
        <v>458</v>
      </c>
      <c r="AE166" s="14" t="str">
        <f t="shared" si="38"/>
        <v>[x]</v>
      </c>
      <c r="AF166" s="27" t="str">
        <f t="shared" si="39"/>
        <v>[x]</v>
      </c>
      <c r="AG166" s="27" t="str">
        <f t="shared" si="40"/>
        <v>[x]</v>
      </c>
    </row>
    <row r="167" spans="9:33" ht="16.5" x14ac:dyDescent="0.2">
      <c r="I167" s="32"/>
      <c r="P167" s="13">
        <v>111</v>
      </c>
      <c r="Q167" s="14">
        <f t="shared" si="25"/>
        <v>8</v>
      </c>
      <c r="R167" s="14">
        <f t="shared" si="26"/>
        <v>1606010</v>
      </c>
      <c r="S167" s="14" t="str">
        <f t="shared" si="30"/>
        <v>神器2碎片5等级6</v>
      </c>
      <c r="T167" s="29" t="s">
        <v>520</v>
      </c>
      <c r="U167" s="14">
        <f t="shared" si="27"/>
        <v>6</v>
      </c>
      <c r="V167" s="36">
        <f t="shared" si="31"/>
        <v>0.52200000000000002</v>
      </c>
      <c r="W167" s="17">
        <f t="shared" si="28"/>
        <v>1.566E-2</v>
      </c>
      <c r="X167" s="14">
        <f t="shared" si="32"/>
        <v>1</v>
      </c>
      <c r="Y167" s="14">
        <f t="shared" si="33"/>
        <v>2</v>
      </c>
      <c r="Z167" s="14">
        <f t="shared" si="34"/>
        <v>0</v>
      </c>
      <c r="AA167" s="14" t="str">
        <f t="shared" si="35"/>
        <v>AtkExt</v>
      </c>
      <c r="AB167" s="14">
        <f t="shared" si="29"/>
        <v>2127</v>
      </c>
      <c r="AC167" s="14" t="str">
        <f t="shared" si="36"/>
        <v>DefExt</v>
      </c>
      <c r="AD167" s="14">
        <f t="shared" si="37"/>
        <v>531</v>
      </c>
      <c r="AE167" s="14" t="str">
        <f t="shared" si="38"/>
        <v>[x]</v>
      </c>
      <c r="AF167" s="27" t="str">
        <f t="shared" si="39"/>
        <v>[x]</v>
      </c>
      <c r="AG167" s="27" t="str">
        <f t="shared" si="40"/>
        <v>[x]</v>
      </c>
    </row>
    <row r="168" spans="9:33" ht="16.5" x14ac:dyDescent="0.2">
      <c r="I168" s="32"/>
      <c r="P168" s="13">
        <v>112</v>
      </c>
      <c r="Q168" s="14">
        <f t="shared" si="25"/>
        <v>8</v>
      </c>
      <c r="R168" s="14">
        <f t="shared" si="26"/>
        <v>1606010</v>
      </c>
      <c r="S168" s="14" t="str">
        <f t="shared" si="30"/>
        <v>神器2碎片5等级7</v>
      </c>
      <c r="T168" s="29" t="s">
        <v>520</v>
      </c>
      <c r="U168" s="14">
        <f t="shared" si="27"/>
        <v>7</v>
      </c>
      <c r="V168" s="36">
        <f t="shared" si="31"/>
        <v>0.59799999999999998</v>
      </c>
      <c r="W168" s="17">
        <f t="shared" si="28"/>
        <v>1.7939999999999998E-2</v>
      </c>
      <c r="X168" s="14">
        <f t="shared" si="32"/>
        <v>1</v>
      </c>
      <c r="Y168" s="14">
        <f t="shared" si="33"/>
        <v>2</v>
      </c>
      <c r="Z168" s="14">
        <f t="shared" si="34"/>
        <v>0</v>
      </c>
      <c r="AA168" s="14" t="str">
        <f t="shared" si="35"/>
        <v>AtkExt</v>
      </c>
      <c r="AB168" s="14">
        <f t="shared" si="29"/>
        <v>2437</v>
      </c>
      <c r="AC168" s="14" t="str">
        <f t="shared" si="36"/>
        <v>DefExt</v>
      </c>
      <c r="AD168" s="14">
        <f t="shared" si="37"/>
        <v>609</v>
      </c>
      <c r="AE168" s="14" t="str">
        <f t="shared" si="38"/>
        <v>[x]</v>
      </c>
      <c r="AF168" s="27" t="str">
        <f t="shared" si="39"/>
        <v>[x]</v>
      </c>
      <c r="AG168" s="27" t="str">
        <f t="shared" si="40"/>
        <v>[x]</v>
      </c>
    </row>
    <row r="169" spans="9:33" ht="16.5" x14ac:dyDescent="0.2">
      <c r="I169" s="32"/>
      <c r="P169" s="13">
        <v>113</v>
      </c>
      <c r="Q169" s="14">
        <f t="shared" si="25"/>
        <v>8</v>
      </c>
      <c r="R169" s="14">
        <f t="shared" si="26"/>
        <v>1606010</v>
      </c>
      <c r="S169" s="14" t="str">
        <f t="shared" si="30"/>
        <v>神器2碎片5等级8</v>
      </c>
      <c r="T169" s="29" t="s">
        <v>520</v>
      </c>
      <c r="U169" s="14">
        <f t="shared" si="27"/>
        <v>8</v>
      </c>
      <c r="V169" s="36">
        <f t="shared" si="31"/>
        <v>0.67800000000000005</v>
      </c>
      <c r="W169" s="17">
        <f t="shared" si="28"/>
        <v>2.034E-2</v>
      </c>
      <c r="X169" s="14">
        <f t="shared" si="32"/>
        <v>1</v>
      </c>
      <c r="Y169" s="14">
        <f t="shared" si="33"/>
        <v>2</v>
      </c>
      <c r="Z169" s="14">
        <f t="shared" si="34"/>
        <v>0</v>
      </c>
      <c r="AA169" s="14" t="str">
        <f t="shared" si="35"/>
        <v>AtkExt</v>
      </c>
      <c r="AB169" s="14">
        <f t="shared" si="29"/>
        <v>2763</v>
      </c>
      <c r="AC169" s="14" t="str">
        <f t="shared" si="36"/>
        <v>DefExt</v>
      </c>
      <c r="AD169" s="14">
        <f t="shared" si="37"/>
        <v>690</v>
      </c>
      <c r="AE169" s="14" t="str">
        <f t="shared" si="38"/>
        <v>[x]</v>
      </c>
      <c r="AF169" s="27" t="str">
        <f t="shared" si="39"/>
        <v>[x]</v>
      </c>
      <c r="AG169" s="27" t="str">
        <f t="shared" si="40"/>
        <v>[x]</v>
      </c>
    </row>
    <row r="170" spans="9:33" ht="16.5" x14ac:dyDescent="0.2">
      <c r="I170" s="32"/>
      <c r="P170" s="13">
        <v>114</v>
      </c>
      <c r="Q170" s="14">
        <f t="shared" si="25"/>
        <v>8</v>
      </c>
      <c r="R170" s="14">
        <f t="shared" si="26"/>
        <v>1606010</v>
      </c>
      <c r="S170" s="14" t="str">
        <f t="shared" si="30"/>
        <v>神器2碎片5等级9</v>
      </c>
      <c r="T170" s="29" t="s">
        <v>520</v>
      </c>
      <c r="U170" s="14">
        <f t="shared" si="27"/>
        <v>9</v>
      </c>
      <c r="V170" s="36">
        <f t="shared" si="31"/>
        <v>0.76200000000000001</v>
      </c>
      <c r="W170" s="17">
        <f t="shared" si="28"/>
        <v>2.2859999999999998E-2</v>
      </c>
      <c r="X170" s="14">
        <f t="shared" si="32"/>
        <v>1</v>
      </c>
      <c r="Y170" s="14">
        <f t="shared" si="33"/>
        <v>2</v>
      </c>
      <c r="Z170" s="14">
        <f t="shared" si="34"/>
        <v>0</v>
      </c>
      <c r="AA170" s="14" t="str">
        <f t="shared" si="35"/>
        <v>AtkExt</v>
      </c>
      <c r="AB170" s="14">
        <f t="shared" si="29"/>
        <v>3105</v>
      </c>
      <c r="AC170" s="14" t="str">
        <f t="shared" si="36"/>
        <v>DefExt</v>
      </c>
      <c r="AD170" s="14">
        <f t="shared" si="37"/>
        <v>776</v>
      </c>
      <c r="AE170" s="14" t="str">
        <f t="shared" si="38"/>
        <v>[x]</v>
      </c>
      <c r="AF170" s="27" t="str">
        <f t="shared" si="39"/>
        <v>[x]</v>
      </c>
      <c r="AG170" s="27" t="str">
        <f t="shared" si="40"/>
        <v>[x]</v>
      </c>
    </row>
    <row r="171" spans="9:33" ht="16.5" x14ac:dyDescent="0.2">
      <c r="I171" s="32"/>
      <c r="P171" s="13">
        <v>115</v>
      </c>
      <c r="Q171" s="14">
        <f t="shared" si="25"/>
        <v>8</v>
      </c>
      <c r="R171" s="14">
        <f t="shared" si="26"/>
        <v>1606010</v>
      </c>
      <c r="S171" s="14" t="str">
        <f t="shared" si="30"/>
        <v>神器2碎片5等级10</v>
      </c>
      <c r="T171" s="29" t="s">
        <v>520</v>
      </c>
      <c r="U171" s="14">
        <f t="shared" si="27"/>
        <v>10</v>
      </c>
      <c r="V171" s="36">
        <f t="shared" si="31"/>
        <v>0.85000000000000009</v>
      </c>
      <c r="W171" s="17">
        <f t="shared" si="28"/>
        <v>2.5500000000000002E-2</v>
      </c>
      <c r="X171" s="14">
        <f t="shared" si="32"/>
        <v>1</v>
      </c>
      <c r="Y171" s="14">
        <f t="shared" si="33"/>
        <v>2</v>
      </c>
      <c r="Z171" s="14">
        <f t="shared" si="34"/>
        <v>0</v>
      </c>
      <c r="AA171" s="14" t="str">
        <f t="shared" si="35"/>
        <v>AtkExt</v>
      </c>
      <c r="AB171" s="14">
        <f t="shared" si="29"/>
        <v>3464</v>
      </c>
      <c r="AC171" s="14" t="str">
        <f t="shared" si="36"/>
        <v>DefExt</v>
      </c>
      <c r="AD171" s="14">
        <f t="shared" si="37"/>
        <v>865</v>
      </c>
      <c r="AE171" s="14" t="str">
        <f t="shared" si="38"/>
        <v>[x]</v>
      </c>
      <c r="AF171" s="27" t="str">
        <f t="shared" si="39"/>
        <v>[x]</v>
      </c>
      <c r="AG171" s="27" t="str">
        <f t="shared" si="40"/>
        <v>[x]</v>
      </c>
    </row>
    <row r="172" spans="9:33" ht="16.5" x14ac:dyDescent="0.2">
      <c r="I172" s="32"/>
      <c r="P172" s="13">
        <v>116</v>
      </c>
      <c r="Q172" s="14">
        <f t="shared" si="25"/>
        <v>8</v>
      </c>
      <c r="R172" s="14">
        <f t="shared" si="26"/>
        <v>1606010</v>
      </c>
      <c r="S172" s="14" t="str">
        <f t="shared" si="30"/>
        <v>神器2碎片5等级11</v>
      </c>
      <c r="T172" s="29" t="s">
        <v>520</v>
      </c>
      <c r="U172" s="14">
        <f t="shared" si="27"/>
        <v>11</v>
      </c>
      <c r="V172" s="36">
        <f t="shared" si="31"/>
        <v>0.94200000000000006</v>
      </c>
      <c r="W172" s="17">
        <f t="shared" si="28"/>
        <v>2.826E-2</v>
      </c>
      <c r="X172" s="14">
        <f t="shared" si="32"/>
        <v>1</v>
      </c>
      <c r="Y172" s="14">
        <f t="shared" si="33"/>
        <v>2</v>
      </c>
      <c r="Z172" s="14">
        <f t="shared" si="34"/>
        <v>0</v>
      </c>
      <c r="AA172" s="14" t="str">
        <f t="shared" si="35"/>
        <v>AtkExt</v>
      </c>
      <c r="AB172" s="14">
        <f t="shared" si="29"/>
        <v>3839</v>
      </c>
      <c r="AC172" s="14" t="str">
        <f t="shared" si="36"/>
        <v>DefExt</v>
      </c>
      <c r="AD172" s="14">
        <f t="shared" si="37"/>
        <v>959</v>
      </c>
      <c r="AE172" s="14" t="str">
        <f t="shared" si="38"/>
        <v>[x]</v>
      </c>
      <c r="AF172" s="27" t="str">
        <f t="shared" si="39"/>
        <v>[x]</v>
      </c>
      <c r="AG172" s="27" t="str">
        <f t="shared" si="40"/>
        <v>[x]</v>
      </c>
    </row>
    <row r="173" spans="9:33" ht="16.5" x14ac:dyDescent="0.2">
      <c r="I173" s="32"/>
      <c r="P173" s="13">
        <v>117</v>
      </c>
      <c r="Q173" s="14">
        <f t="shared" si="25"/>
        <v>8</v>
      </c>
      <c r="R173" s="14">
        <f t="shared" si="26"/>
        <v>1606010</v>
      </c>
      <c r="S173" s="14" t="str">
        <f t="shared" si="30"/>
        <v>神器2碎片5等级12</v>
      </c>
      <c r="T173" s="29" t="s">
        <v>520</v>
      </c>
      <c r="U173" s="14">
        <f t="shared" si="27"/>
        <v>12</v>
      </c>
      <c r="V173" s="36">
        <f t="shared" si="31"/>
        <v>1.0380000000000003</v>
      </c>
      <c r="W173" s="17">
        <f t="shared" si="28"/>
        <v>3.1140000000000008E-2</v>
      </c>
      <c r="X173" s="14">
        <f t="shared" si="32"/>
        <v>1</v>
      </c>
      <c r="Y173" s="14">
        <f t="shared" si="33"/>
        <v>2</v>
      </c>
      <c r="Z173" s="14">
        <f t="shared" si="34"/>
        <v>0</v>
      </c>
      <c r="AA173" s="14" t="str">
        <f t="shared" si="35"/>
        <v>AtkExt</v>
      </c>
      <c r="AB173" s="14">
        <f t="shared" si="29"/>
        <v>4230</v>
      </c>
      <c r="AC173" s="14" t="str">
        <f t="shared" si="36"/>
        <v>DefExt</v>
      </c>
      <c r="AD173" s="14">
        <f t="shared" si="37"/>
        <v>1057</v>
      </c>
      <c r="AE173" s="14" t="str">
        <f t="shared" si="38"/>
        <v>[x]</v>
      </c>
      <c r="AF173" s="27" t="str">
        <f t="shared" si="39"/>
        <v>[x]</v>
      </c>
      <c r="AG173" s="27" t="str">
        <f t="shared" si="40"/>
        <v>[x]</v>
      </c>
    </row>
    <row r="174" spans="9:33" ht="16.5" x14ac:dyDescent="0.2">
      <c r="I174" s="32"/>
      <c r="P174" s="13">
        <v>118</v>
      </c>
      <c r="Q174" s="14">
        <f t="shared" si="25"/>
        <v>8</v>
      </c>
      <c r="R174" s="14">
        <f t="shared" si="26"/>
        <v>1606010</v>
      </c>
      <c r="S174" s="14" t="str">
        <f t="shared" si="30"/>
        <v>神器2碎片5等级13</v>
      </c>
      <c r="T174" s="29" t="s">
        <v>520</v>
      </c>
      <c r="U174" s="14">
        <f t="shared" si="27"/>
        <v>13</v>
      </c>
      <c r="V174" s="36">
        <f t="shared" si="31"/>
        <v>1.1380000000000001</v>
      </c>
      <c r="W174" s="17">
        <f t="shared" si="28"/>
        <v>3.4140000000000004E-2</v>
      </c>
      <c r="X174" s="14">
        <f t="shared" si="32"/>
        <v>1</v>
      </c>
      <c r="Y174" s="14">
        <f t="shared" si="33"/>
        <v>2</v>
      </c>
      <c r="Z174" s="14">
        <f t="shared" si="34"/>
        <v>0</v>
      </c>
      <c r="AA174" s="14" t="str">
        <f t="shared" si="35"/>
        <v>AtkExt</v>
      </c>
      <c r="AB174" s="14">
        <f t="shared" si="29"/>
        <v>4638</v>
      </c>
      <c r="AC174" s="14" t="str">
        <f t="shared" si="36"/>
        <v>DefExt</v>
      </c>
      <c r="AD174" s="14">
        <f t="shared" si="37"/>
        <v>1158</v>
      </c>
      <c r="AE174" s="14" t="str">
        <f t="shared" si="38"/>
        <v>[x]</v>
      </c>
      <c r="AF174" s="27" t="str">
        <f t="shared" si="39"/>
        <v>[x]</v>
      </c>
      <c r="AG174" s="27" t="str">
        <f t="shared" si="40"/>
        <v>[x]</v>
      </c>
    </row>
    <row r="175" spans="9:33" ht="16.5" x14ac:dyDescent="0.2">
      <c r="I175" s="32"/>
      <c r="P175" s="13">
        <v>119</v>
      </c>
      <c r="Q175" s="14">
        <f t="shared" si="25"/>
        <v>8</v>
      </c>
      <c r="R175" s="14">
        <f t="shared" si="26"/>
        <v>1606010</v>
      </c>
      <c r="S175" s="14" t="str">
        <f t="shared" si="30"/>
        <v>神器2碎片5等级14</v>
      </c>
      <c r="T175" s="29" t="s">
        <v>520</v>
      </c>
      <c r="U175" s="14">
        <f t="shared" si="27"/>
        <v>14</v>
      </c>
      <c r="V175" s="36">
        <f t="shared" si="31"/>
        <v>1.242</v>
      </c>
      <c r="W175" s="17">
        <f t="shared" si="28"/>
        <v>3.7260000000000001E-2</v>
      </c>
      <c r="X175" s="14">
        <f t="shared" si="32"/>
        <v>1</v>
      </c>
      <c r="Y175" s="14">
        <f t="shared" si="33"/>
        <v>2</v>
      </c>
      <c r="Z175" s="14">
        <f t="shared" si="34"/>
        <v>0</v>
      </c>
      <c r="AA175" s="14" t="str">
        <f t="shared" si="35"/>
        <v>AtkExt</v>
      </c>
      <c r="AB175" s="14">
        <f t="shared" si="29"/>
        <v>5061</v>
      </c>
      <c r="AC175" s="14" t="str">
        <f t="shared" si="36"/>
        <v>DefExt</v>
      </c>
      <c r="AD175" s="14">
        <f t="shared" si="37"/>
        <v>1264</v>
      </c>
      <c r="AE175" s="14" t="str">
        <f t="shared" si="38"/>
        <v>[x]</v>
      </c>
      <c r="AF175" s="27" t="str">
        <f t="shared" si="39"/>
        <v>[x]</v>
      </c>
      <c r="AG175" s="27" t="str">
        <f t="shared" si="40"/>
        <v>[x]</v>
      </c>
    </row>
    <row r="176" spans="9:33" ht="16.5" x14ac:dyDescent="0.2">
      <c r="I176" s="32"/>
      <c r="P176" s="13">
        <v>120</v>
      </c>
      <c r="Q176" s="14">
        <f t="shared" si="25"/>
        <v>8</v>
      </c>
      <c r="R176" s="14">
        <f t="shared" si="26"/>
        <v>1606010</v>
      </c>
      <c r="S176" s="14" t="str">
        <f t="shared" si="30"/>
        <v>神器2碎片5等级15</v>
      </c>
      <c r="T176" s="29" t="s">
        <v>520</v>
      </c>
      <c r="U176" s="14">
        <f t="shared" si="27"/>
        <v>15</v>
      </c>
      <c r="V176" s="36">
        <f t="shared" si="31"/>
        <v>1.35</v>
      </c>
      <c r="W176" s="17">
        <f t="shared" si="28"/>
        <v>4.0500000000000001E-2</v>
      </c>
      <c r="X176" s="14">
        <f t="shared" si="32"/>
        <v>1</v>
      </c>
      <c r="Y176" s="14">
        <f t="shared" si="33"/>
        <v>2</v>
      </c>
      <c r="Z176" s="14">
        <f t="shared" si="34"/>
        <v>0</v>
      </c>
      <c r="AA176" s="14" t="str">
        <f t="shared" si="35"/>
        <v>AtkExt</v>
      </c>
      <c r="AB176" s="14">
        <f t="shared" si="29"/>
        <v>5502</v>
      </c>
      <c r="AC176" s="14" t="str">
        <f t="shared" si="36"/>
        <v>DefExt</v>
      </c>
      <c r="AD176" s="14">
        <f t="shared" si="37"/>
        <v>1374</v>
      </c>
      <c r="AE176" s="14" t="str">
        <f t="shared" si="38"/>
        <v>[x]</v>
      </c>
      <c r="AF176" s="27" t="str">
        <f t="shared" si="39"/>
        <v>[x]</v>
      </c>
      <c r="AG176" s="27" t="str">
        <f t="shared" si="40"/>
        <v>[x]</v>
      </c>
    </row>
    <row r="177" spans="9:33" ht="16.5" x14ac:dyDescent="0.2">
      <c r="I177" s="32"/>
      <c r="P177" s="13">
        <v>121</v>
      </c>
      <c r="Q177" s="14">
        <f t="shared" si="25"/>
        <v>9</v>
      </c>
      <c r="R177" s="14">
        <f t="shared" si="26"/>
        <v>1606011</v>
      </c>
      <c r="S177" s="14" t="str">
        <f t="shared" si="30"/>
        <v>神器3碎片1等级1</v>
      </c>
      <c r="T177" s="29" t="s">
        <v>520</v>
      </c>
      <c r="U177" s="14">
        <f t="shared" si="27"/>
        <v>1</v>
      </c>
      <c r="V177" s="36">
        <f t="shared" si="31"/>
        <v>0.20200000000000001</v>
      </c>
      <c r="W177" s="17">
        <f t="shared" si="28"/>
        <v>2.0200000000000001E-3</v>
      </c>
      <c r="X177" s="14">
        <f t="shared" si="32"/>
        <v>2</v>
      </c>
      <c r="Y177" s="14">
        <f t="shared" si="33"/>
        <v>3</v>
      </c>
      <c r="Z177" s="14">
        <f t="shared" si="34"/>
        <v>0</v>
      </c>
      <c r="AA177" s="14" t="str">
        <f t="shared" si="35"/>
        <v>DefExt</v>
      </c>
      <c r="AB177" s="14">
        <f t="shared" si="29"/>
        <v>68</v>
      </c>
      <c r="AC177" s="14" t="str">
        <f t="shared" si="36"/>
        <v>HPExt</v>
      </c>
      <c r="AD177" s="14">
        <f t="shared" si="37"/>
        <v>823</v>
      </c>
      <c r="AE177" s="14" t="str">
        <f t="shared" si="38"/>
        <v>[x]</v>
      </c>
      <c r="AF177" s="27" t="str">
        <f t="shared" si="39"/>
        <v>[x]</v>
      </c>
      <c r="AG177" s="27" t="str">
        <f t="shared" si="40"/>
        <v>[x]</v>
      </c>
    </row>
    <row r="178" spans="9:33" ht="16.5" x14ac:dyDescent="0.2">
      <c r="I178" s="32"/>
      <c r="P178" s="13">
        <v>122</v>
      </c>
      <c r="Q178" s="14">
        <f t="shared" si="25"/>
        <v>9</v>
      </c>
      <c r="R178" s="14">
        <f t="shared" si="26"/>
        <v>1606011</v>
      </c>
      <c r="S178" s="14" t="str">
        <f t="shared" si="30"/>
        <v>神器3碎片1等级2</v>
      </c>
      <c r="T178" s="29" t="s">
        <v>520</v>
      </c>
      <c r="U178" s="14">
        <f t="shared" si="27"/>
        <v>2</v>
      </c>
      <c r="V178" s="36">
        <f t="shared" si="31"/>
        <v>0.25800000000000001</v>
      </c>
      <c r="W178" s="17">
        <f t="shared" si="28"/>
        <v>2.5800000000000003E-3</v>
      </c>
      <c r="X178" s="14">
        <f t="shared" si="32"/>
        <v>2</v>
      </c>
      <c r="Y178" s="14">
        <f t="shared" si="33"/>
        <v>3</v>
      </c>
      <c r="Z178" s="14">
        <f t="shared" si="34"/>
        <v>0</v>
      </c>
      <c r="AA178" s="14" t="str">
        <f t="shared" si="35"/>
        <v>DefExt</v>
      </c>
      <c r="AB178" s="14">
        <f t="shared" si="29"/>
        <v>87</v>
      </c>
      <c r="AC178" s="14" t="str">
        <f t="shared" si="36"/>
        <v>HPExt</v>
      </c>
      <c r="AD178" s="14">
        <f t="shared" si="37"/>
        <v>1051</v>
      </c>
      <c r="AE178" s="14" t="str">
        <f t="shared" si="38"/>
        <v>[x]</v>
      </c>
      <c r="AF178" s="27" t="str">
        <f t="shared" si="39"/>
        <v>[x]</v>
      </c>
      <c r="AG178" s="27" t="str">
        <f t="shared" si="40"/>
        <v>[x]</v>
      </c>
    </row>
    <row r="179" spans="9:33" ht="16.5" x14ac:dyDescent="0.2">
      <c r="I179" s="32"/>
      <c r="P179" s="13">
        <v>123</v>
      </c>
      <c r="Q179" s="14">
        <f t="shared" si="25"/>
        <v>9</v>
      </c>
      <c r="R179" s="14">
        <f t="shared" si="26"/>
        <v>1606011</v>
      </c>
      <c r="S179" s="14" t="str">
        <f t="shared" si="30"/>
        <v>神器3碎片1等级3</v>
      </c>
      <c r="T179" s="29" t="s">
        <v>520</v>
      </c>
      <c r="U179" s="14">
        <f t="shared" si="27"/>
        <v>3</v>
      </c>
      <c r="V179" s="36">
        <f t="shared" si="31"/>
        <v>0.31800000000000006</v>
      </c>
      <c r="W179" s="17">
        <f t="shared" si="28"/>
        <v>3.1800000000000005E-3</v>
      </c>
      <c r="X179" s="14">
        <f t="shared" si="32"/>
        <v>2</v>
      </c>
      <c r="Y179" s="14">
        <f t="shared" si="33"/>
        <v>3</v>
      </c>
      <c r="Z179" s="14">
        <f t="shared" si="34"/>
        <v>0</v>
      </c>
      <c r="AA179" s="14" t="str">
        <f t="shared" si="35"/>
        <v>DefExt</v>
      </c>
      <c r="AB179" s="14">
        <f t="shared" si="29"/>
        <v>107</v>
      </c>
      <c r="AC179" s="14" t="str">
        <f t="shared" si="36"/>
        <v>HPExt</v>
      </c>
      <c r="AD179" s="14">
        <f t="shared" si="37"/>
        <v>1296</v>
      </c>
      <c r="AE179" s="14" t="str">
        <f t="shared" si="38"/>
        <v>[x]</v>
      </c>
      <c r="AF179" s="27" t="str">
        <f t="shared" si="39"/>
        <v>[x]</v>
      </c>
      <c r="AG179" s="27" t="str">
        <f t="shared" si="40"/>
        <v>[x]</v>
      </c>
    </row>
    <row r="180" spans="9:33" ht="16.5" x14ac:dyDescent="0.2">
      <c r="I180" s="32"/>
      <c r="P180" s="13">
        <v>124</v>
      </c>
      <c r="Q180" s="14">
        <f t="shared" si="25"/>
        <v>9</v>
      </c>
      <c r="R180" s="14">
        <f t="shared" si="26"/>
        <v>1606011</v>
      </c>
      <c r="S180" s="14" t="str">
        <f t="shared" si="30"/>
        <v>神器3碎片1等级4</v>
      </c>
      <c r="T180" s="29" t="s">
        <v>520</v>
      </c>
      <c r="U180" s="14">
        <f t="shared" si="27"/>
        <v>4</v>
      </c>
      <c r="V180" s="36">
        <f t="shared" si="31"/>
        <v>0.38200000000000001</v>
      </c>
      <c r="W180" s="17">
        <f t="shared" si="28"/>
        <v>3.82E-3</v>
      </c>
      <c r="X180" s="14">
        <f t="shared" si="32"/>
        <v>2</v>
      </c>
      <c r="Y180" s="14">
        <f t="shared" si="33"/>
        <v>3</v>
      </c>
      <c r="Z180" s="14">
        <f t="shared" si="34"/>
        <v>0</v>
      </c>
      <c r="AA180" s="14" t="str">
        <f t="shared" si="35"/>
        <v>DefExt</v>
      </c>
      <c r="AB180" s="14">
        <f t="shared" si="29"/>
        <v>129</v>
      </c>
      <c r="AC180" s="14" t="str">
        <f t="shared" si="36"/>
        <v>HPExt</v>
      </c>
      <c r="AD180" s="14">
        <f t="shared" si="37"/>
        <v>1557</v>
      </c>
      <c r="AE180" s="14" t="str">
        <f t="shared" si="38"/>
        <v>[x]</v>
      </c>
      <c r="AF180" s="27" t="str">
        <f t="shared" si="39"/>
        <v>[x]</v>
      </c>
      <c r="AG180" s="27" t="str">
        <f t="shared" si="40"/>
        <v>[x]</v>
      </c>
    </row>
    <row r="181" spans="9:33" ht="16.5" x14ac:dyDescent="0.2">
      <c r="I181" s="32"/>
      <c r="P181" s="13">
        <v>125</v>
      </c>
      <c r="Q181" s="14">
        <f t="shared" si="25"/>
        <v>9</v>
      </c>
      <c r="R181" s="14">
        <f t="shared" si="26"/>
        <v>1606011</v>
      </c>
      <c r="S181" s="14" t="str">
        <f t="shared" si="30"/>
        <v>神器3碎片1等级5</v>
      </c>
      <c r="T181" s="29" t="s">
        <v>520</v>
      </c>
      <c r="U181" s="14">
        <f t="shared" si="27"/>
        <v>5</v>
      </c>
      <c r="V181" s="36">
        <f t="shared" si="31"/>
        <v>0.45</v>
      </c>
      <c r="W181" s="17">
        <f t="shared" si="28"/>
        <v>4.5000000000000005E-3</v>
      </c>
      <c r="X181" s="14">
        <f t="shared" si="32"/>
        <v>2</v>
      </c>
      <c r="Y181" s="14">
        <f t="shared" si="33"/>
        <v>3</v>
      </c>
      <c r="Z181" s="14">
        <f t="shared" si="34"/>
        <v>0</v>
      </c>
      <c r="AA181" s="14" t="str">
        <f t="shared" si="35"/>
        <v>DefExt</v>
      </c>
      <c r="AB181" s="14">
        <f t="shared" si="29"/>
        <v>152</v>
      </c>
      <c r="AC181" s="14" t="str">
        <f t="shared" si="36"/>
        <v>HPExt</v>
      </c>
      <c r="AD181" s="14">
        <f t="shared" si="37"/>
        <v>1834</v>
      </c>
      <c r="AE181" s="14" t="str">
        <f t="shared" si="38"/>
        <v>[x]</v>
      </c>
      <c r="AF181" s="27" t="str">
        <f t="shared" si="39"/>
        <v>[x]</v>
      </c>
      <c r="AG181" s="27" t="str">
        <f t="shared" si="40"/>
        <v>[x]</v>
      </c>
    </row>
    <row r="182" spans="9:33" ht="16.5" x14ac:dyDescent="0.2">
      <c r="I182" s="32"/>
      <c r="P182" s="13">
        <v>126</v>
      </c>
      <c r="Q182" s="14">
        <f t="shared" si="25"/>
        <v>9</v>
      </c>
      <c r="R182" s="14">
        <f t="shared" si="26"/>
        <v>1606011</v>
      </c>
      <c r="S182" s="14" t="str">
        <f t="shared" si="30"/>
        <v>神器3碎片1等级6</v>
      </c>
      <c r="T182" s="29" t="s">
        <v>520</v>
      </c>
      <c r="U182" s="14">
        <f t="shared" si="27"/>
        <v>6</v>
      </c>
      <c r="V182" s="36">
        <f t="shared" si="31"/>
        <v>0.52200000000000002</v>
      </c>
      <c r="W182" s="17">
        <f t="shared" si="28"/>
        <v>5.2200000000000007E-3</v>
      </c>
      <c r="X182" s="14">
        <f t="shared" si="32"/>
        <v>2</v>
      </c>
      <c r="Y182" s="14">
        <f t="shared" si="33"/>
        <v>3</v>
      </c>
      <c r="Z182" s="14">
        <f t="shared" si="34"/>
        <v>0</v>
      </c>
      <c r="AA182" s="14" t="str">
        <f t="shared" si="35"/>
        <v>DefExt</v>
      </c>
      <c r="AB182" s="14">
        <f t="shared" si="29"/>
        <v>177</v>
      </c>
      <c r="AC182" s="14" t="str">
        <f t="shared" si="36"/>
        <v>HPExt</v>
      </c>
      <c r="AD182" s="14">
        <f t="shared" si="37"/>
        <v>2128</v>
      </c>
      <c r="AE182" s="14" t="str">
        <f t="shared" si="38"/>
        <v>[x]</v>
      </c>
      <c r="AF182" s="27" t="str">
        <f t="shared" si="39"/>
        <v>[x]</v>
      </c>
      <c r="AG182" s="27" t="str">
        <f t="shared" si="40"/>
        <v>[x]</v>
      </c>
    </row>
    <row r="183" spans="9:33" ht="16.5" x14ac:dyDescent="0.2">
      <c r="I183" s="32"/>
      <c r="P183" s="13">
        <v>127</v>
      </c>
      <c r="Q183" s="14">
        <f t="shared" si="25"/>
        <v>9</v>
      </c>
      <c r="R183" s="14">
        <f t="shared" si="26"/>
        <v>1606011</v>
      </c>
      <c r="S183" s="14" t="str">
        <f t="shared" si="30"/>
        <v>神器3碎片1等级7</v>
      </c>
      <c r="T183" s="29" t="s">
        <v>520</v>
      </c>
      <c r="U183" s="14">
        <f t="shared" si="27"/>
        <v>7</v>
      </c>
      <c r="V183" s="36">
        <f t="shared" si="31"/>
        <v>0.59799999999999998</v>
      </c>
      <c r="W183" s="17">
        <f t="shared" si="28"/>
        <v>5.9800000000000001E-3</v>
      </c>
      <c r="X183" s="14">
        <f t="shared" si="32"/>
        <v>2</v>
      </c>
      <c r="Y183" s="14">
        <f t="shared" si="33"/>
        <v>3</v>
      </c>
      <c r="Z183" s="14">
        <f t="shared" si="34"/>
        <v>0</v>
      </c>
      <c r="AA183" s="14" t="str">
        <f t="shared" si="35"/>
        <v>DefExt</v>
      </c>
      <c r="AB183" s="14">
        <f t="shared" si="29"/>
        <v>203</v>
      </c>
      <c r="AC183" s="14" t="str">
        <f t="shared" si="36"/>
        <v>HPExt</v>
      </c>
      <c r="AD183" s="14">
        <f t="shared" si="37"/>
        <v>2438</v>
      </c>
      <c r="AE183" s="14" t="str">
        <f t="shared" si="38"/>
        <v>[x]</v>
      </c>
      <c r="AF183" s="27" t="str">
        <f t="shared" si="39"/>
        <v>[x]</v>
      </c>
      <c r="AG183" s="27" t="str">
        <f t="shared" si="40"/>
        <v>[x]</v>
      </c>
    </row>
    <row r="184" spans="9:33" ht="16.5" x14ac:dyDescent="0.2">
      <c r="I184" s="32"/>
      <c r="P184" s="13">
        <v>128</v>
      </c>
      <c r="Q184" s="14">
        <f t="shared" si="25"/>
        <v>9</v>
      </c>
      <c r="R184" s="14">
        <f t="shared" si="26"/>
        <v>1606011</v>
      </c>
      <c r="S184" s="14" t="str">
        <f t="shared" si="30"/>
        <v>神器3碎片1等级8</v>
      </c>
      <c r="T184" s="29" t="s">
        <v>520</v>
      </c>
      <c r="U184" s="14">
        <f t="shared" si="27"/>
        <v>8</v>
      </c>
      <c r="V184" s="36">
        <f t="shared" si="31"/>
        <v>0.67800000000000005</v>
      </c>
      <c r="W184" s="17">
        <f t="shared" si="28"/>
        <v>6.7800000000000004E-3</v>
      </c>
      <c r="X184" s="14">
        <f t="shared" si="32"/>
        <v>2</v>
      </c>
      <c r="Y184" s="14">
        <f t="shared" si="33"/>
        <v>3</v>
      </c>
      <c r="Z184" s="14">
        <f t="shared" si="34"/>
        <v>0</v>
      </c>
      <c r="AA184" s="14" t="str">
        <f t="shared" si="35"/>
        <v>DefExt</v>
      </c>
      <c r="AB184" s="14">
        <f t="shared" si="29"/>
        <v>230</v>
      </c>
      <c r="AC184" s="14" t="str">
        <f t="shared" si="36"/>
        <v>HPExt</v>
      </c>
      <c r="AD184" s="14">
        <f t="shared" si="37"/>
        <v>2764</v>
      </c>
      <c r="AE184" s="14" t="str">
        <f t="shared" si="38"/>
        <v>[x]</v>
      </c>
      <c r="AF184" s="27" t="str">
        <f t="shared" si="39"/>
        <v>[x]</v>
      </c>
      <c r="AG184" s="27" t="str">
        <f t="shared" si="40"/>
        <v>[x]</v>
      </c>
    </row>
    <row r="185" spans="9:33" ht="16.5" x14ac:dyDescent="0.2">
      <c r="I185" s="32"/>
      <c r="P185" s="13">
        <v>129</v>
      </c>
      <c r="Q185" s="14">
        <f t="shared" ref="Q185:Q248" si="41">MATCH(P185-1,$X$4:$X$46,1)</f>
        <v>9</v>
      </c>
      <c r="R185" s="14">
        <f t="shared" ref="R185:R248" si="42">INDEX($S$5:$S$46,Q185)</f>
        <v>1606011</v>
      </c>
      <c r="S185" s="14" t="str">
        <f t="shared" si="30"/>
        <v>神器3碎片1等级9</v>
      </c>
      <c r="T185" s="29" t="s">
        <v>520</v>
      </c>
      <c r="U185" s="14">
        <f t="shared" ref="U185:U248" si="43">P185-INDEX($X$4:$X$46,Q185)</f>
        <v>9</v>
      </c>
      <c r="V185" s="36">
        <f t="shared" si="31"/>
        <v>0.76200000000000001</v>
      </c>
      <c r="W185" s="17">
        <f t="shared" ref="W185:W248" si="44">INDEX($V$5:$V$46,Q185)*V185</f>
        <v>7.62E-3</v>
      </c>
      <c r="X185" s="14">
        <f t="shared" si="32"/>
        <v>2</v>
      </c>
      <c r="Y185" s="14">
        <f t="shared" si="33"/>
        <v>3</v>
      </c>
      <c r="Z185" s="14">
        <f t="shared" si="34"/>
        <v>0</v>
      </c>
      <c r="AA185" s="14" t="str">
        <f t="shared" si="35"/>
        <v>DefExt</v>
      </c>
      <c r="AB185" s="14">
        <f t="shared" ref="AB185:AB248" si="45">INT(INDEX($E$4:$G$4,X185)*W185*INDEX($Y$5:$AA$46,Q185,X185))</f>
        <v>258</v>
      </c>
      <c r="AC185" s="14" t="str">
        <f t="shared" si="36"/>
        <v>HPExt</v>
      </c>
      <c r="AD185" s="14">
        <f t="shared" si="37"/>
        <v>3107</v>
      </c>
      <c r="AE185" s="14" t="str">
        <f t="shared" si="38"/>
        <v>[x]</v>
      </c>
      <c r="AF185" s="27" t="str">
        <f t="shared" si="39"/>
        <v>[x]</v>
      </c>
      <c r="AG185" s="27" t="str">
        <f t="shared" si="40"/>
        <v>[x]</v>
      </c>
    </row>
    <row r="186" spans="9:33" ht="16.5" x14ac:dyDescent="0.2">
      <c r="I186" s="32"/>
      <c r="P186" s="13">
        <v>130</v>
      </c>
      <c r="Q186" s="14">
        <f t="shared" si="41"/>
        <v>9</v>
      </c>
      <c r="R186" s="14">
        <f t="shared" si="42"/>
        <v>1606011</v>
      </c>
      <c r="S186" s="14" t="str">
        <f t="shared" ref="S186:S249" si="46">INDEX($P$5:$P$46,Q186)&amp;"碎片"&amp;INDEX($R$5:$R$46,Q186)&amp;"等级"&amp;U186</f>
        <v>神器3碎片1等级10</v>
      </c>
      <c r="T186" s="29" t="s">
        <v>520</v>
      </c>
      <c r="U186" s="14">
        <f t="shared" si="43"/>
        <v>10</v>
      </c>
      <c r="V186" s="36">
        <f t="shared" ref="V186:V249" si="47">15%+U186*5%+U186*U186*0.2%</f>
        <v>0.85000000000000009</v>
      </c>
      <c r="W186" s="17">
        <f t="shared" si="44"/>
        <v>8.5000000000000006E-3</v>
      </c>
      <c r="X186" s="14">
        <f t="shared" ref="X186:X249" si="48">INDEX($AB$5:$AB$46,Q186)</f>
        <v>2</v>
      </c>
      <c r="Y186" s="14">
        <f t="shared" ref="Y186:Y249" si="49">INDEX(AC$5:AC$46,$Q186)</f>
        <v>3</v>
      </c>
      <c r="Z186" s="14">
        <f t="shared" ref="Z186:Z249" si="50">INDEX(AD$5:AD$46,$Q186)</f>
        <v>0</v>
      </c>
      <c r="AA186" s="14" t="str">
        <f t="shared" ref="AA186:AA249" si="51">INDEX($Y$3:$AA$3,X186)</f>
        <v>DefExt</v>
      </c>
      <c r="AB186" s="14">
        <f t="shared" si="45"/>
        <v>288</v>
      </c>
      <c r="AC186" s="14" t="str">
        <f t="shared" ref="AC186:AC249" si="52">IF(Y186&gt;0,INDEX($Y$3:$AA$3,Y186),"[x]")</f>
        <v>HPExt</v>
      </c>
      <c r="AD186" s="14">
        <f t="shared" ref="AD186:AD249" si="53">IF(Y186&gt;0,INT(INDEX($E$4:$G$4,Y186)*W186*INDEX($Y$5:$AA$46,Q186,Y186)),"[x]")</f>
        <v>3465</v>
      </c>
      <c r="AE186" s="14" t="str">
        <f t="shared" ref="AE186:AE249" si="54">IF(Z186&gt;0,INDEX($Y$3:$AA$3,Z186),"[x]")</f>
        <v>[x]</v>
      </c>
      <c r="AF186" s="27" t="str">
        <f t="shared" ref="AF186:AF249" si="55">IF(Z186&gt;0,INT(INDEX($E$4:$G$4,Z186)*W186*INDEX($Y$5:$AA$46,Q186,Z186)),"[x]")</f>
        <v>[x]</v>
      </c>
      <c r="AG186" s="27" t="str">
        <f t="shared" ref="AG186:AG249" si="56">IF(INDEX($AE$5:$AE$46,Q186)&gt;0,INDEX($AE$5:$AE$46,Q186)*U186,"[x]")</f>
        <v>[x]</v>
      </c>
    </row>
    <row r="187" spans="9:33" ht="16.5" x14ac:dyDescent="0.2">
      <c r="I187" s="32"/>
      <c r="P187" s="13">
        <v>131</v>
      </c>
      <c r="Q187" s="14">
        <f t="shared" si="41"/>
        <v>9</v>
      </c>
      <c r="R187" s="14">
        <f t="shared" si="42"/>
        <v>1606011</v>
      </c>
      <c r="S187" s="14" t="str">
        <f t="shared" si="46"/>
        <v>神器3碎片1等级11</v>
      </c>
      <c r="T187" s="29" t="s">
        <v>520</v>
      </c>
      <c r="U187" s="14">
        <f t="shared" si="43"/>
        <v>11</v>
      </c>
      <c r="V187" s="36">
        <f t="shared" si="47"/>
        <v>0.94200000000000006</v>
      </c>
      <c r="W187" s="17">
        <f t="shared" si="44"/>
        <v>9.4200000000000013E-3</v>
      </c>
      <c r="X187" s="14">
        <f t="shared" si="48"/>
        <v>2</v>
      </c>
      <c r="Y187" s="14">
        <f t="shared" si="49"/>
        <v>3</v>
      </c>
      <c r="Z187" s="14">
        <f t="shared" si="50"/>
        <v>0</v>
      </c>
      <c r="AA187" s="14" t="str">
        <f t="shared" si="51"/>
        <v>DefExt</v>
      </c>
      <c r="AB187" s="14">
        <f t="shared" si="45"/>
        <v>319</v>
      </c>
      <c r="AC187" s="14" t="str">
        <f t="shared" si="52"/>
        <v>HPExt</v>
      </c>
      <c r="AD187" s="14">
        <f t="shared" si="53"/>
        <v>3840</v>
      </c>
      <c r="AE187" s="14" t="str">
        <f t="shared" si="54"/>
        <v>[x]</v>
      </c>
      <c r="AF187" s="27" t="str">
        <f t="shared" si="55"/>
        <v>[x]</v>
      </c>
      <c r="AG187" s="27" t="str">
        <f t="shared" si="56"/>
        <v>[x]</v>
      </c>
    </row>
    <row r="188" spans="9:33" ht="16.5" x14ac:dyDescent="0.2">
      <c r="I188" s="32"/>
      <c r="P188" s="13">
        <v>132</v>
      </c>
      <c r="Q188" s="14">
        <f t="shared" si="41"/>
        <v>9</v>
      </c>
      <c r="R188" s="14">
        <f t="shared" si="42"/>
        <v>1606011</v>
      </c>
      <c r="S188" s="14" t="str">
        <f t="shared" si="46"/>
        <v>神器3碎片1等级12</v>
      </c>
      <c r="T188" s="29" t="s">
        <v>520</v>
      </c>
      <c r="U188" s="14">
        <f t="shared" si="43"/>
        <v>12</v>
      </c>
      <c r="V188" s="36">
        <f t="shared" si="47"/>
        <v>1.0380000000000003</v>
      </c>
      <c r="W188" s="17">
        <f t="shared" si="44"/>
        <v>1.0380000000000002E-2</v>
      </c>
      <c r="X188" s="14">
        <f t="shared" si="48"/>
        <v>2</v>
      </c>
      <c r="Y188" s="14">
        <f t="shared" si="49"/>
        <v>3</v>
      </c>
      <c r="Z188" s="14">
        <f t="shared" si="50"/>
        <v>0</v>
      </c>
      <c r="AA188" s="14" t="str">
        <f t="shared" si="51"/>
        <v>DefExt</v>
      </c>
      <c r="AB188" s="14">
        <f t="shared" si="45"/>
        <v>352</v>
      </c>
      <c r="AC188" s="14" t="str">
        <f t="shared" si="52"/>
        <v>HPExt</v>
      </c>
      <c r="AD188" s="14">
        <f t="shared" si="53"/>
        <v>4232</v>
      </c>
      <c r="AE188" s="14" t="str">
        <f t="shared" si="54"/>
        <v>[x]</v>
      </c>
      <c r="AF188" s="27" t="str">
        <f t="shared" si="55"/>
        <v>[x]</v>
      </c>
      <c r="AG188" s="27" t="str">
        <f t="shared" si="56"/>
        <v>[x]</v>
      </c>
    </row>
    <row r="189" spans="9:33" ht="16.5" x14ac:dyDescent="0.2">
      <c r="I189" s="32"/>
      <c r="P189" s="13">
        <v>133</v>
      </c>
      <c r="Q189" s="14">
        <f t="shared" si="41"/>
        <v>9</v>
      </c>
      <c r="R189" s="14">
        <f t="shared" si="42"/>
        <v>1606011</v>
      </c>
      <c r="S189" s="14" t="str">
        <f t="shared" si="46"/>
        <v>神器3碎片1等级13</v>
      </c>
      <c r="T189" s="29" t="s">
        <v>520</v>
      </c>
      <c r="U189" s="14">
        <f t="shared" si="43"/>
        <v>13</v>
      </c>
      <c r="V189" s="36">
        <f t="shared" si="47"/>
        <v>1.1380000000000001</v>
      </c>
      <c r="W189" s="17">
        <f t="shared" si="44"/>
        <v>1.1380000000000001E-2</v>
      </c>
      <c r="X189" s="14">
        <f t="shared" si="48"/>
        <v>2</v>
      </c>
      <c r="Y189" s="14">
        <f t="shared" si="49"/>
        <v>3</v>
      </c>
      <c r="Z189" s="14">
        <f t="shared" si="50"/>
        <v>0</v>
      </c>
      <c r="AA189" s="14" t="str">
        <f t="shared" si="51"/>
        <v>DefExt</v>
      </c>
      <c r="AB189" s="14">
        <f t="shared" si="45"/>
        <v>386</v>
      </c>
      <c r="AC189" s="14" t="str">
        <f t="shared" si="52"/>
        <v>HPExt</v>
      </c>
      <c r="AD189" s="14">
        <f t="shared" si="53"/>
        <v>4640</v>
      </c>
      <c r="AE189" s="14" t="str">
        <f t="shared" si="54"/>
        <v>[x]</v>
      </c>
      <c r="AF189" s="27" t="str">
        <f t="shared" si="55"/>
        <v>[x]</v>
      </c>
      <c r="AG189" s="27" t="str">
        <f t="shared" si="56"/>
        <v>[x]</v>
      </c>
    </row>
    <row r="190" spans="9:33" ht="16.5" x14ac:dyDescent="0.2">
      <c r="I190" s="32"/>
      <c r="P190" s="13">
        <v>134</v>
      </c>
      <c r="Q190" s="14">
        <f t="shared" si="41"/>
        <v>9</v>
      </c>
      <c r="R190" s="14">
        <f t="shared" si="42"/>
        <v>1606011</v>
      </c>
      <c r="S190" s="14" t="str">
        <f t="shared" si="46"/>
        <v>神器3碎片1等级14</v>
      </c>
      <c r="T190" s="29" t="s">
        <v>520</v>
      </c>
      <c r="U190" s="14">
        <f t="shared" si="43"/>
        <v>14</v>
      </c>
      <c r="V190" s="36">
        <f t="shared" si="47"/>
        <v>1.242</v>
      </c>
      <c r="W190" s="17">
        <f t="shared" si="44"/>
        <v>1.242E-2</v>
      </c>
      <c r="X190" s="14">
        <f t="shared" si="48"/>
        <v>2</v>
      </c>
      <c r="Y190" s="14">
        <f t="shared" si="49"/>
        <v>3</v>
      </c>
      <c r="Z190" s="14">
        <f t="shared" si="50"/>
        <v>0</v>
      </c>
      <c r="AA190" s="14" t="str">
        <f t="shared" si="51"/>
        <v>DefExt</v>
      </c>
      <c r="AB190" s="14">
        <f t="shared" si="45"/>
        <v>421</v>
      </c>
      <c r="AC190" s="14" t="str">
        <f t="shared" si="52"/>
        <v>HPExt</v>
      </c>
      <c r="AD190" s="14">
        <f t="shared" si="53"/>
        <v>5064</v>
      </c>
      <c r="AE190" s="14" t="str">
        <f t="shared" si="54"/>
        <v>[x]</v>
      </c>
      <c r="AF190" s="27" t="str">
        <f t="shared" si="55"/>
        <v>[x]</v>
      </c>
      <c r="AG190" s="27" t="str">
        <f t="shared" si="56"/>
        <v>[x]</v>
      </c>
    </row>
    <row r="191" spans="9:33" ht="16.5" x14ac:dyDescent="0.2">
      <c r="I191" s="32"/>
      <c r="P191" s="13">
        <v>135</v>
      </c>
      <c r="Q191" s="14">
        <f t="shared" si="41"/>
        <v>9</v>
      </c>
      <c r="R191" s="14">
        <f t="shared" si="42"/>
        <v>1606011</v>
      </c>
      <c r="S191" s="14" t="str">
        <f t="shared" si="46"/>
        <v>神器3碎片1等级15</v>
      </c>
      <c r="T191" s="29" t="s">
        <v>520</v>
      </c>
      <c r="U191" s="14">
        <f t="shared" si="43"/>
        <v>15</v>
      </c>
      <c r="V191" s="36">
        <f t="shared" si="47"/>
        <v>1.35</v>
      </c>
      <c r="W191" s="17">
        <f t="shared" si="44"/>
        <v>1.3500000000000002E-2</v>
      </c>
      <c r="X191" s="14">
        <f t="shared" si="48"/>
        <v>2</v>
      </c>
      <c r="Y191" s="14">
        <f t="shared" si="49"/>
        <v>3</v>
      </c>
      <c r="Z191" s="14">
        <f t="shared" si="50"/>
        <v>0</v>
      </c>
      <c r="AA191" s="14" t="str">
        <f t="shared" si="51"/>
        <v>DefExt</v>
      </c>
      <c r="AB191" s="14">
        <f t="shared" si="45"/>
        <v>458</v>
      </c>
      <c r="AC191" s="14" t="str">
        <f t="shared" si="52"/>
        <v>HPExt</v>
      </c>
      <c r="AD191" s="14">
        <f t="shared" si="53"/>
        <v>5504</v>
      </c>
      <c r="AE191" s="14" t="str">
        <f t="shared" si="54"/>
        <v>[x]</v>
      </c>
      <c r="AF191" s="27" t="str">
        <f t="shared" si="55"/>
        <v>[x]</v>
      </c>
      <c r="AG191" s="27" t="str">
        <f t="shared" si="56"/>
        <v>[x]</v>
      </c>
    </row>
    <row r="192" spans="9:33" ht="16.5" x14ac:dyDescent="0.2">
      <c r="I192" s="32"/>
      <c r="P192" s="13">
        <v>136</v>
      </c>
      <c r="Q192" s="14">
        <f t="shared" si="41"/>
        <v>9</v>
      </c>
      <c r="R192" s="14">
        <f t="shared" si="42"/>
        <v>1606011</v>
      </c>
      <c r="S192" s="14" t="str">
        <f t="shared" si="46"/>
        <v>神器3碎片1等级16</v>
      </c>
      <c r="T192" s="29" t="s">
        <v>520</v>
      </c>
      <c r="U192" s="14">
        <f t="shared" si="43"/>
        <v>16</v>
      </c>
      <c r="V192" s="36">
        <f t="shared" si="47"/>
        <v>1.4620000000000002</v>
      </c>
      <c r="W192" s="17">
        <f t="shared" si="44"/>
        <v>1.4620000000000003E-2</v>
      </c>
      <c r="X192" s="14">
        <f t="shared" si="48"/>
        <v>2</v>
      </c>
      <c r="Y192" s="14">
        <f t="shared" si="49"/>
        <v>3</v>
      </c>
      <c r="Z192" s="14">
        <f t="shared" si="50"/>
        <v>0</v>
      </c>
      <c r="AA192" s="14" t="str">
        <f t="shared" si="51"/>
        <v>DefExt</v>
      </c>
      <c r="AB192" s="14">
        <f t="shared" si="45"/>
        <v>496</v>
      </c>
      <c r="AC192" s="14" t="str">
        <f t="shared" si="52"/>
        <v>HPExt</v>
      </c>
      <c r="AD192" s="14">
        <f t="shared" si="53"/>
        <v>5961</v>
      </c>
      <c r="AE192" s="14" t="str">
        <f t="shared" si="54"/>
        <v>[x]</v>
      </c>
      <c r="AF192" s="27" t="str">
        <f t="shared" si="55"/>
        <v>[x]</v>
      </c>
      <c r="AG192" s="27" t="str">
        <f t="shared" si="56"/>
        <v>[x]</v>
      </c>
    </row>
    <row r="193" spans="9:33" ht="16.5" x14ac:dyDescent="0.2">
      <c r="I193" s="32"/>
      <c r="P193" s="13">
        <v>137</v>
      </c>
      <c r="Q193" s="14">
        <f t="shared" si="41"/>
        <v>9</v>
      </c>
      <c r="R193" s="14">
        <f t="shared" si="42"/>
        <v>1606011</v>
      </c>
      <c r="S193" s="14" t="str">
        <f t="shared" si="46"/>
        <v>神器3碎片1等级17</v>
      </c>
      <c r="T193" s="29" t="s">
        <v>520</v>
      </c>
      <c r="U193" s="14">
        <f t="shared" si="43"/>
        <v>17</v>
      </c>
      <c r="V193" s="36">
        <f t="shared" si="47"/>
        <v>1.5779999999999998</v>
      </c>
      <c r="W193" s="17">
        <f t="shared" si="44"/>
        <v>1.5779999999999999E-2</v>
      </c>
      <c r="X193" s="14">
        <f t="shared" si="48"/>
        <v>2</v>
      </c>
      <c r="Y193" s="14">
        <f t="shared" si="49"/>
        <v>3</v>
      </c>
      <c r="Z193" s="14">
        <f t="shared" si="50"/>
        <v>0</v>
      </c>
      <c r="AA193" s="14" t="str">
        <f t="shared" si="51"/>
        <v>DefExt</v>
      </c>
      <c r="AB193" s="14">
        <f t="shared" si="45"/>
        <v>535</v>
      </c>
      <c r="AC193" s="14" t="str">
        <f t="shared" si="52"/>
        <v>HPExt</v>
      </c>
      <c r="AD193" s="14">
        <f t="shared" si="53"/>
        <v>6434</v>
      </c>
      <c r="AE193" s="14" t="str">
        <f t="shared" si="54"/>
        <v>[x]</v>
      </c>
      <c r="AF193" s="27" t="str">
        <f t="shared" si="55"/>
        <v>[x]</v>
      </c>
      <c r="AG193" s="27" t="str">
        <f t="shared" si="56"/>
        <v>[x]</v>
      </c>
    </row>
    <row r="194" spans="9:33" ht="16.5" x14ac:dyDescent="0.2">
      <c r="I194" s="32"/>
      <c r="P194" s="13">
        <v>138</v>
      </c>
      <c r="Q194" s="14">
        <f t="shared" si="41"/>
        <v>9</v>
      </c>
      <c r="R194" s="14">
        <f t="shared" si="42"/>
        <v>1606011</v>
      </c>
      <c r="S194" s="14" t="str">
        <f t="shared" si="46"/>
        <v>神器3碎片1等级18</v>
      </c>
      <c r="T194" s="29" t="s">
        <v>520</v>
      </c>
      <c r="U194" s="14">
        <f t="shared" si="43"/>
        <v>18</v>
      </c>
      <c r="V194" s="36">
        <f t="shared" si="47"/>
        <v>1.698</v>
      </c>
      <c r="W194" s="17">
        <f t="shared" si="44"/>
        <v>1.6979999999999999E-2</v>
      </c>
      <c r="X194" s="14">
        <f t="shared" si="48"/>
        <v>2</v>
      </c>
      <c r="Y194" s="14">
        <f t="shared" si="49"/>
        <v>3</v>
      </c>
      <c r="Z194" s="14">
        <f t="shared" si="50"/>
        <v>0</v>
      </c>
      <c r="AA194" s="14" t="str">
        <f t="shared" si="51"/>
        <v>DefExt</v>
      </c>
      <c r="AB194" s="14">
        <f t="shared" si="45"/>
        <v>576</v>
      </c>
      <c r="AC194" s="14" t="str">
        <f t="shared" si="52"/>
        <v>HPExt</v>
      </c>
      <c r="AD194" s="14">
        <f t="shared" si="53"/>
        <v>6923</v>
      </c>
      <c r="AE194" s="14" t="str">
        <f t="shared" si="54"/>
        <v>[x]</v>
      </c>
      <c r="AF194" s="27" t="str">
        <f t="shared" si="55"/>
        <v>[x]</v>
      </c>
      <c r="AG194" s="27" t="str">
        <f t="shared" si="56"/>
        <v>[x]</v>
      </c>
    </row>
    <row r="195" spans="9:33" ht="16.5" x14ac:dyDescent="0.2">
      <c r="I195" s="32"/>
      <c r="P195" s="13">
        <v>139</v>
      </c>
      <c r="Q195" s="14">
        <f t="shared" si="41"/>
        <v>9</v>
      </c>
      <c r="R195" s="14">
        <f t="shared" si="42"/>
        <v>1606011</v>
      </c>
      <c r="S195" s="14" t="str">
        <f t="shared" si="46"/>
        <v>神器3碎片1等级19</v>
      </c>
      <c r="T195" s="29" t="s">
        <v>520</v>
      </c>
      <c r="U195" s="14">
        <f t="shared" si="43"/>
        <v>19</v>
      </c>
      <c r="V195" s="36">
        <f t="shared" si="47"/>
        <v>1.8220000000000001</v>
      </c>
      <c r="W195" s="17">
        <f t="shared" si="44"/>
        <v>1.822E-2</v>
      </c>
      <c r="X195" s="14">
        <f t="shared" si="48"/>
        <v>2</v>
      </c>
      <c r="Y195" s="14">
        <f t="shared" si="49"/>
        <v>3</v>
      </c>
      <c r="Z195" s="14">
        <f t="shared" si="50"/>
        <v>0</v>
      </c>
      <c r="AA195" s="14" t="str">
        <f t="shared" si="51"/>
        <v>DefExt</v>
      </c>
      <c r="AB195" s="14">
        <f t="shared" si="45"/>
        <v>618</v>
      </c>
      <c r="AC195" s="14" t="str">
        <f t="shared" si="52"/>
        <v>HPExt</v>
      </c>
      <c r="AD195" s="14">
        <f t="shared" si="53"/>
        <v>7429</v>
      </c>
      <c r="AE195" s="14" t="str">
        <f t="shared" si="54"/>
        <v>[x]</v>
      </c>
      <c r="AF195" s="27" t="str">
        <f t="shared" si="55"/>
        <v>[x]</v>
      </c>
      <c r="AG195" s="27" t="str">
        <f t="shared" si="56"/>
        <v>[x]</v>
      </c>
    </row>
    <row r="196" spans="9:33" ht="16.5" x14ac:dyDescent="0.2">
      <c r="I196" s="32"/>
      <c r="P196" s="13">
        <v>140</v>
      </c>
      <c r="Q196" s="14">
        <f t="shared" si="41"/>
        <v>9</v>
      </c>
      <c r="R196" s="14">
        <f t="shared" si="42"/>
        <v>1606011</v>
      </c>
      <c r="S196" s="14" t="str">
        <f t="shared" si="46"/>
        <v>神器3碎片1等级20</v>
      </c>
      <c r="T196" s="29" t="s">
        <v>520</v>
      </c>
      <c r="U196" s="14">
        <f t="shared" si="43"/>
        <v>20</v>
      </c>
      <c r="V196" s="36">
        <f t="shared" si="47"/>
        <v>1.95</v>
      </c>
      <c r="W196" s="17">
        <f t="shared" si="44"/>
        <v>1.95E-2</v>
      </c>
      <c r="X196" s="14">
        <f t="shared" si="48"/>
        <v>2</v>
      </c>
      <c r="Y196" s="14">
        <f t="shared" si="49"/>
        <v>3</v>
      </c>
      <c r="Z196" s="14">
        <f t="shared" si="50"/>
        <v>0</v>
      </c>
      <c r="AA196" s="14" t="str">
        <f t="shared" si="51"/>
        <v>DefExt</v>
      </c>
      <c r="AB196" s="14">
        <f t="shared" si="45"/>
        <v>661</v>
      </c>
      <c r="AC196" s="14" t="str">
        <f t="shared" si="52"/>
        <v>HPExt</v>
      </c>
      <c r="AD196" s="14">
        <f t="shared" si="53"/>
        <v>7951</v>
      </c>
      <c r="AE196" s="14" t="str">
        <f t="shared" si="54"/>
        <v>[x]</v>
      </c>
      <c r="AF196" s="27" t="str">
        <f t="shared" si="55"/>
        <v>[x]</v>
      </c>
      <c r="AG196" s="27" t="str">
        <f t="shared" si="56"/>
        <v>[x]</v>
      </c>
    </row>
    <row r="197" spans="9:33" ht="16.5" x14ac:dyDescent="0.2">
      <c r="I197" s="32"/>
      <c r="P197" s="13">
        <v>141</v>
      </c>
      <c r="Q197" s="14">
        <f t="shared" si="41"/>
        <v>9</v>
      </c>
      <c r="R197" s="14">
        <f t="shared" si="42"/>
        <v>1606011</v>
      </c>
      <c r="S197" s="14" t="str">
        <f t="shared" si="46"/>
        <v>神器3碎片1等级21</v>
      </c>
      <c r="T197" s="29" t="s">
        <v>520</v>
      </c>
      <c r="U197" s="14">
        <f t="shared" si="43"/>
        <v>21</v>
      </c>
      <c r="V197" s="36">
        <f t="shared" si="47"/>
        <v>2.0819999999999999</v>
      </c>
      <c r="W197" s="17">
        <f t="shared" si="44"/>
        <v>2.0819999999999998E-2</v>
      </c>
      <c r="X197" s="14">
        <f t="shared" si="48"/>
        <v>2</v>
      </c>
      <c r="Y197" s="14">
        <f t="shared" si="49"/>
        <v>3</v>
      </c>
      <c r="Z197" s="14">
        <f t="shared" si="50"/>
        <v>0</v>
      </c>
      <c r="AA197" s="14" t="str">
        <f t="shared" si="51"/>
        <v>DefExt</v>
      </c>
      <c r="AB197" s="14">
        <f t="shared" si="45"/>
        <v>706</v>
      </c>
      <c r="AC197" s="14" t="str">
        <f t="shared" si="52"/>
        <v>HPExt</v>
      </c>
      <c r="AD197" s="14">
        <f t="shared" si="53"/>
        <v>8489</v>
      </c>
      <c r="AE197" s="14" t="str">
        <f t="shared" si="54"/>
        <v>[x]</v>
      </c>
      <c r="AF197" s="27" t="str">
        <f t="shared" si="55"/>
        <v>[x]</v>
      </c>
      <c r="AG197" s="27" t="str">
        <f t="shared" si="56"/>
        <v>[x]</v>
      </c>
    </row>
    <row r="198" spans="9:33" ht="16.5" x14ac:dyDescent="0.2">
      <c r="I198" s="32"/>
      <c r="P198" s="13">
        <v>142</v>
      </c>
      <c r="Q198" s="14">
        <f t="shared" si="41"/>
        <v>10</v>
      </c>
      <c r="R198" s="14">
        <f t="shared" si="42"/>
        <v>1606012</v>
      </c>
      <c r="S198" s="14" t="str">
        <f t="shared" si="46"/>
        <v>神器3碎片2等级1</v>
      </c>
      <c r="T198" s="29" t="s">
        <v>520</v>
      </c>
      <c r="U198" s="14">
        <f t="shared" si="43"/>
        <v>1</v>
      </c>
      <c r="V198" s="36">
        <f t="shared" si="47"/>
        <v>0.20200000000000001</v>
      </c>
      <c r="W198" s="17">
        <f t="shared" si="44"/>
        <v>4.0400000000000002E-3</v>
      </c>
      <c r="X198" s="14">
        <f t="shared" si="48"/>
        <v>1</v>
      </c>
      <c r="Y198" s="14">
        <f t="shared" si="49"/>
        <v>3</v>
      </c>
      <c r="Z198" s="14">
        <f t="shared" si="50"/>
        <v>0</v>
      </c>
      <c r="AA198" s="14" t="str">
        <f t="shared" si="51"/>
        <v>AtkExt</v>
      </c>
      <c r="AB198" s="14">
        <f t="shared" si="45"/>
        <v>274</v>
      </c>
      <c r="AC198" s="14" t="str">
        <f t="shared" si="52"/>
        <v>HPExt</v>
      </c>
      <c r="AD198" s="14">
        <f t="shared" si="53"/>
        <v>1647</v>
      </c>
      <c r="AE198" s="14" t="str">
        <f t="shared" si="54"/>
        <v>[x]</v>
      </c>
      <c r="AF198" s="27" t="str">
        <f t="shared" si="55"/>
        <v>[x]</v>
      </c>
      <c r="AG198" s="27" t="str">
        <f t="shared" si="56"/>
        <v>[x]</v>
      </c>
    </row>
    <row r="199" spans="9:33" ht="16.5" x14ac:dyDescent="0.2">
      <c r="I199" s="32"/>
      <c r="P199" s="13">
        <v>143</v>
      </c>
      <c r="Q199" s="14">
        <f t="shared" si="41"/>
        <v>10</v>
      </c>
      <c r="R199" s="14">
        <f t="shared" si="42"/>
        <v>1606012</v>
      </c>
      <c r="S199" s="14" t="str">
        <f t="shared" si="46"/>
        <v>神器3碎片2等级2</v>
      </c>
      <c r="T199" s="29" t="s">
        <v>520</v>
      </c>
      <c r="U199" s="14">
        <f t="shared" si="43"/>
        <v>2</v>
      </c>
      <c r="V199" s="36">
        <f t="shared" si="47"/>
        <v>0.25800000000000001</v>
      </c>
      <c r="W199" s="17">
        <f t="shared" si="44"/>
        <v>5.1600000000000005E-3</v>
      </c>
      <c r="X199" s="14">
        <f t="shared" si="48"/>
        <v>1</v>
      </c>
      <c r="Y199" s="14">
        <f t="shared" si="49"/>
        <v>3</v>
      </c>
      <c r="Z199" s="14">
        <f t="shared" si="50"/>
        <v>0</v>
      </c>
      <c r="AA199" s="14" t="str">
        <f t="shared" si="51"/>
        <v>AtkExt</v>
      </c>
      <c r="AB199" s="14">
        <f t="shared" si="45"/>
        <v>350</v>
      </c>
      <c r="AC199" s="14" t="str">
        <f t="shared" si="52"/>
        <v>HPExt</v>
      </c>
      <c r="AD199" s="14">
        <f t="shared" si="53"/>
        <v>2103</v>
      </c>
      <c r="AE199" s="14" t="str">
        <f t="shared" si="54"/>
        <v>[x]</v>
      </c>
      <c r="AF199" s="27" t="str">
        <f t="shared" si="55"/>
        <v>[x]</v>
      </c>
      <c r="AG199" s="27" t="str">
        <f t="shared" si="56"/>
        <v>[x]</v>
      </c>
    </row>
    <row r="200" spans="9:33" ht="16.5" x14ac:dyDescent="0.2">
      <c r="I200" s="32"/>
      <c r="P200" s="13">
        <v>144</v>
      </c>
      <c r="Q200" s="14">
        <f t="shared" si="41"/>
        <v>10</v>
      </c>
      <c r="R200" s="14">
        <f t="shared" si="42"/>
        <v>1606012</v>
      </c>
      <c r="S200" s="14" t="str">
        <f t="shared" si="46"/>
        <v>神器3碎片2等级3</v>
      </c>
      <c r="T200" s="29" t="s">
        <v>520</v>
      </c>
      <c r="U200" s="14">
        <f t="shared" si="43"/>
        <v>3</v>
      </c>
      <c r="V200" s="36">
        <f t="shared" si="47"/>
        <v>0.31800000000000006</v>
      </c>
      <c r="W200" s="17">
        <f t="shared" si="44"/>
        <v>6.3600000000000011E-3</v>
      </c>
      <c r="X200" s="14">
        <f t="shared" si="48"/>
        <v>1</v>
      </c>
      <c r="Y200" s="14">
        <f t="shared" si="49"/>
        <v>3</v>
      </c>
      <c r="Z200" s="14">
        <f t="shared" si="50"/>
        <v>0</v>
      </c>
      <c r="AA200" s="14" t="str">
        <f t="shared" si="51"/>
        <v>AtkExt</v>
      </c>
      <c r="AB200" s="14">
        <f t="shared" si="45"/>
        <v>432</v>
      </c>
      <c r="AC200" s="14" t="str">
        <f t="shared" si="52"/>
        <v>HPExt</v>
      </c>
      <c r="AD200" s="14">
        <f t="shared" si="53"/>
        <v>2593</v>
      </c>
      <c r="AE200" s="14" t="str">
        <f t="shared" si="54"/>
        <v>[x]</v>
      </c>
      <c r="AF200" s="27" t="str">
        <f t="shared" si="55"/>
        <v>[x]</v>
      </c>
      <c r="AG200" s="27" t="str">
        <f t="shared" si="56"/>
        <v>[x]</v>
      </c>
    </row>
    <row r="201" spans="9:33" ht="16.5" x14ac:dyDescent="0.2">
      <c r="I201" s="32"/>
      <c r="P201" s="13">
        <v>145</v>
      </c>
      <c r="Q201" s="14">
        <f t="shared" si="41"/>
        <v>10</v>
      </c>
      <c r="R201" s="14">
        <f t="shared" si="42"/>
        <v>1606012</v>
      </c>
      <c r="S201" s="14" t="str">
        <f t="shared" si="46"/>
        <v>神器3碎片2等级4</v>
      </c>
      <c r="T201" s="29" t="s">
        <v>520</v>
      </c>
      <c r="U201" s="14">
        <f t="shared" si="43"/>
        <v>4</v>
      </c>
      <c r="V201" s="36">
        <f t="shared" si="47"/>
        <v>0.38200000000000001</v>
      </c>
      <c r="W201" s="17">
        <f t="shared" si="44"/>
        <v>7.6400000000000001E-3</v>
      </c>
      <c r="X201" s="14">
        <f t="shared" si="48"/>
        <v>1</v>
      </c>
      <c r="Y201" s="14">
        <f t="shared" si="49"/>
        <v>3</v>
      </c>
      <c r="Z201" s="14">
        <f t="shared" si="50"/>
        <v>0</v>
      </c>
      <c r="AA201" s="14" t="str">
        <f t="shared" si="51"/>
        <v>AtkExt</v>
      </c>
      <c r="AB201" s="14">
        <f t="shared" si="45"/>
        <v>518</v>
      </c>
      <c r="AC201" s="14" t="str">
        <f t="shared" si="52"/>
        <v>HPExt</v>
      </c>
      <c r="AD201" s="14">
        <f t="shared" si="53"/>
        <v>3115</v>
      </c>
      <c r="AE201" s="14" t="str">
        <f t="shared" si="54"/>
        <v>[x]</v>
      </c>
      <c r="AF201" s="27" t="str">
        <f t="shared" si="55"/>
        <v>[x]</v>
      </c>
      <c r="AG201" s="27" t="str">
        <f t="shared" si="56"/>
        <v>[x]</v>
      </c>
    </row>
    <row r="202" spans="9:33" ht="16.5" x14ac:dyDescent="0.2">
      <c r="I202" s="32"/>
      <c r="P202" s="13">
        <v>146</v>
      </c>
      <c r="Q202" s="14">
        <f t="shared" si="41"/>
        <v>10</v>
      </c>
      <c r="R202" s="14">
        <f t="shared" si="42"/>
        <v>1606012</v>
      </c>
      <c r="S202" s="14" t="str">
        <f t="shared" si="46"/>
        <v>神器3碎片2等级5</v>
      </c>
      <c r="T202" s="29" t="s">
        <v>520</v>
      </c>
      <c r="U202" s="14">
        <f t="shared" si="43"/>
        <v>5</v>
      </c>
      <c r="V202" s="36">
        <f t="shared" si="47"/>
        <v>0.45</v>
      </c>
      <c r="W202" s="17">
        <f t="shared" si="44"/>
        <v>9.0000000000000011E-3</v>
      </c>
      <c r="X202" s="14">
        <f t="shared" si="48"/>
        <v>1</v>
      </c>
      <c r="Y202" s="14">
        <f t="shared" si="49"/>
        <v>3</v>
      </c>
      <c r="Z202" s="14">
        <f t="shared" si="50"/>
        <v>0</v>
      </c>
      <c r="AA202" s="14" t="str">
        <f t="shared" si="51"/>
        <v>AtkExt</v>
      </c>
      <c r="AB202" s="14">
        <f t="shared" si="45"/>
        <v>611</v>
      </c>
      <c r="AC202" s="14" t="str">
        <f t="shared" si="52"/>
        <v>HPExt</v>
      </c>
      <c r="AD202" s="14">
        <f t="shared" si="53"/>
        <v>3669</v>
      </c>
      <c r="AE202" s="14" t="str">
        <f t="shared" si="54"/>
        <v>[x]</v>
      </c>
      <c r="AF202" s="27" t="str">
        <f t="shared" si="55"/>
        <v>[x]</v>
      </c>
      <c r="AG202" s="27" t="str">
        <f t="shared" si="56"/>
        <v>[x]</v>
      </c>
    </row>
    <row r="203" spans="9:33" ht="16.5" x14ac:dyDescent="0.2">
      <c r="I203" s="32"/>
      <c r="P203" s="13">
        <v>147</v>
      </c>
      <c r="Q203" s="14">
        <f t="shared" si="41"/>
        <v>10</v>
      </c>
      <c r="R203" s="14">
        <f t="shared" si="42"/>
        <v>1606012</v>
      </c>
      <c r="S203" s="14" t="str">
        <f t="shared" si="46"/>
        <v>神器3碎片2等级6</v>
      </c>
      <c r="T203" s="29" t="s">
        <v>520</v>
      </c>
      <c r="U203" s="14">
        <f t="shared" si="43"/>
        <v>6</v>
      </c>
      <c r="V203" s="36">
        <f t="shared" si="47"/>
        <v>0.52200000000000002</v>
      </c>
      <c r="W203" s="17">
        <f t="shared" si="44"/>
        <v>1.0440000000000001E-2</v>
      </c>
      <c r="X203" s="14">
        <f t="shared" si="48"/>
        <v>1</v>
      </c>
      <c r="Y203" s="14">
        <f t="shared" si="49"/>
        <v>3</v>
      </c>
      <c r="Z203" s="14">
        <f t="shared" si="50"/>
        <v>0</v>
      </c>
      <c r="AA203" s="14" t="str">
        <f t="shared" si="51"/>
        <v>AtkExt</v>
      </c>
      <c r="AB203" s="14">
        <f t="shared" si="45"/>
        <v>709</v>
      </c>
      <c r="AC203" s="14" t="str">
        <f t="shared" si="52"/>
        <v>HPExt</v>
      </c>
      <c r="AD203" s="14">
        <f t="shared" si="53"/>
        <v>4256</v>
      </c>
      <c r="AE203" s="14" t="str">
        <f t="shared" si="54"/>
        <v>[x]</v>
      </c>
      <c r="AF203" s="27" t="str">
        <f t="shared" si="55"/>
        <v>[x]</v>
      </c>
      <c r="AG203" s="27" t="str">
        <f t="shared" si="56"/>
        <v>[x]</v>
      </c>
    </row>
    <row r="204" spans="9:33" ht="16.5" x14ac:dyDescent="0.2">
      <c r="I204" s="32"/>
      <c r="P204" s="13">
        <v>148</v>
      </c>
      <c r="Q204" s="14">
        <f t="shared" si="41"/>
        <v>10</v>
      </c>
      <c r="R204" s="14">
        <f t="shared" si="42"/>
        <v>1606012</v>
      </c>
      <c r="S204" s="14" t="str">
        <f t="shared" si="46"/>
        <v>神器3碎片2等级7</v>
      </c>
      <c r="T204" s="29" t="s">
        <v>520</v>
      </c>
      <c r="U204" s="14">
        <f t="shared" si="43"/>
        <v>7</v>
      </c>
      <c r="V204" s="36">
        <f t="shared" si="47"/>
        <v>0.59799999999999998</v>
      </c>
      <c r="W204" s="17">
        <f t="shared" si="44"/>
        <v>1.196E-2</v>
      </c>
      <c r="X204" s="14">
        <f t="shared" si="48"/>
        <v>1</v>
      </c>
      <c r="Y204" s="14">
        <f t="shared" si="49"/>
        <v>3</v>
      </c>
      <c r="Z204" s="14">
        <f t="shared" si="50"/>
        <v>0</v>
      </c>
      <c r="AA204" s="14" t="str">
        <f t="shared" si="51"/>
        <v>AtkExt</v>
      </c>
      <c r="AB204" s="14">
        <f t="shared" si="45"/>
        <v>812</v>
      </c>
      <c r="AC204" s="14" t="str">
        <f t="shared" si="52"/>
        <v>HPExt</v>
      </c>
      <c r="AD204" s="14">
        <f t="shared" si="53"/>
        <v>4876</v>
      </c>
      <c r="AE204" s="14" t="str">
        <f t="shared" si="54"/>
        <v>[x]</v>
      </c>
      <c r="AF204" s="27" t="str">
        <f t="shared" si="55"/>
        <v>[x]</v>
      </c>
      <c r="AG204" s="27" t="str">
        <f t="shared" si="56"/>
        <v>[x]</v>
      </c>
    </row>
    <row r="205" spans="9:33" ht="16.5" x14ac:dyDescent="0.2">
      <c r="I205" s="32"/>
      <c r="P205" s="13">
        <v>149</v>
      </c>
      <c r="Q205" s="14">
        <f t="shared" si="41"/>
        <v>10</v>
      </c>
      <c r="R205" s="14">
        <f t="shared" si="42"/>
        <v>1606012</v>
      </c>
      <c r="S205" s="14" t="str">
        <f t="shared" si="46"/>
        <v>神器3碎片2等级8</v>
      </c>
      <c r="T205" s="29" t="s">
        <v>520</v>
      </c>
      <c r="U205" s="14">
        <f t="shared" si="43"/>
        <v>8</v>
      </c>
      <c r="V205" s="36">
        <f t="shared" si="47"/>
        <v>0.67800000000000005</v>
      </c>
      <c r="W205" s="17">
        <f t="shared" si="44"/>
        <v>1.3560000000000001E-2</v>
      </c>
      <c r="X205" s="14">
        <f t="shared" si="48"/>
        <v>1</v>
      </c>
      <c r="Y205" s="14">
        <f t="shared" si="49"/>
        <v>3</v>
      </c>
      <c r="Z205" s="14">
        <f t="shared" si="50"/>
        <v>0</v>
      </c>
      <c r="AA205" s="14" t="str">
        <f t="shared" si="51"/>
        <v>AtkExt</v>
      </c>
      <c r="AB205" s="14">
        <f t="shared" si="45"/>
        <v>921</v>
      </c>
      <c r="AC205" s="14" t="str">
        <f t="shared" si="52"/>
        <v>HPExt</v>
      </c>
      <c r="AD205" s="14">
        <f t="shared" si="53"/>
        <v>5529</v>
      </c>
      <c r="AE205" s="14" t="str">
        <f t="shared" si="54"/>
        <v>[x]</v>
      </c>
      <c r="AF205" s="27" t="str">
        <f t="shared" si="55"/>
        <v>[x]</v>
      </c>
      <c r="AG205" s="27" t="str">
        <f t="shared" si="56"/>
        <v>[x]</v>
      </c>
    </row>
    <row r="206" spans="9:33" ht="16.5" x14ac:dyDescent="0.2">
      <c r="I206" s="32"/>
      <c r="P206" s="13">
        <v>150</v>
      </c>
      <c r="Q206" s="14">
        <f t="shared" si="41"/>
        <v>10</v>
      </c>
      <c r="R206" s="14">
        <f t="shared" si="42"/>
        <v>1606012</v>
      </c>
      <c r="S206" s="14" t="str">
        <f t="shared" si="46"/>
        <v>神器3碎片2等级9</v>
      </c>
      <c r="T206" s="29" t="s">
        <v>520</v>
      </c>
      <c r="U206" s="14">
        <f t="shared" si="43"/>
        <v>9</v>
      </c>
      <c r="V206" s="36">
        <f t="shared" si="47"/>
        <v>0.76200000000000001</v>
      </c>
      <c r="W206" s="17">
        <f t="shared" si="44"/>
        <v>1.524E-2</v>
      </c>
      <c r="X206" s="14">
        <f t="shared" si="48"/>
        <v>1</v>
      </c>
      <c r="Y206" s="14">
        <f t="shared" si="49"/>
        <v>3</v>
      </c>
      <c r="Z206" s="14">
        <f t="shared" si="50"/>
        <v>0</v>
      </c>
      <c r="AA206" s="14" t="str">
        <f t="shared" si="51"/>
        <v>AtkExt</v>
      </c>
      <c r="AB206" s="14">
        <f t="shared" si="45"/>
        <v>1035</v>
      </c>
      <c r="AC206" s="14" t="str">
        <f t="shared" si="52"/>
        <v>HPExt</v>
      </c>
      <c r="AD206" s="14">
        <f t="shared" si="53"/>
        <v>6214</v>
      </c>
      <c r="AE206" s="14" t="str">
        <f t="shared" si="54"/>
        <v>[x]</v>
      </c>
      <c r="AF206" s="27" t="str">
        <f t="shared" si="55"/>
        <v>[x]</v>
      </c>
      <c r="AG206" s="27" t="str">
        <f t="shared" si="56"/>
        <v>[x]</v>
      </c>
    </row>
    <row r="207" spans="9:33" ht="16.5" x14ac:dyDescent="0.2">
      <c r="I207" s="32"/>
      <c r="P207" s="13">
        <v>151</v>
      </c>
      <c r="Q207" s="14">
        <f t="shared" si="41"/>
        <v>10</v>
      </c>
      <c r="R207" s="14">
        <f t="shared" si="42"/>
        <v>1606012</v>
      </c>
      <c r="S207" s="14" t="str">
        <f t="shared" si="46"/>
        <v>神器3碎片2等级10</v>
      </c>
      <c r="T207" s="29" t="s">
        <v>520</v>
      </c>
      <c r="U207" s="14">
        <f t="shared" si="43"/>
        <v>10</v>
      </c>
      <c r="V207" s="36">
        <f t="shared" si="47"/>
        <v>0.85000000000000009</v>
      </c>
      <c r="W207" s="17">
        <f t="shared" si="44"/>
        <v>1.7000000000000001E-2</v>
      </c>
      <c r="X207" s="14">
        <f t="shared" si="48"/>
        <v>1</v>
      </c>
      <c r="Y207" s="14">
        <f t="shared" si="49"/>
        <v>3</v>
      </c>
      <c r="Z207" s="14">
        <f t="shared" si="50"/>
        <v>0</v>
      </c>
      <c r="AA207" s="14" t="str">
        <f t="shared" si="51"/>
        <v>AtkExt</v>
      </c>
      <c r="AB207" s="14">
        <f t="shared" si="45"/>
        <v>1154</v>
      </c>
      <c r="AC207" s="14" t="str">
        <f t="shared" si="52"/>
        <v>HPExt</v>
      </c>
      <c r="AD207" s="14">
        <f t="shared" si="53"/>
        <v>6931</v>
      </c>
      <c r="AE207" s="14" t="str">
        <f t="shared" si="54"/>
        <v>[x]</v>
      </c>
      <c r="AF207" s="27" t="str">
        <f t="shared" si="55"/>
        <v>[x]</v>
      </c>
      <c r="AG207" s="27" t="str">
        <f t="shared" si="56"/>
        <v>[x]</v>
      </c>
    </row>
    <row r="208" spans="9:33" ht="16.5" x14ac:dyDescent="0.2">
      <c r="I208" s="32"/>
      <c r="P208" s="13">
        <v>152</v>
      </c>
      <c r="Q208" s="14">
        <f t="shared" si="41"/>
        <v>10</v>
      </c>
      <c r="R208" s="14">
        <f t="shared" si="42"/>
        <v>1606012</v>
      </c>
      <c r="S208" s="14" t="str">
        <f t="shared" si="46"/>
        <v>神器3碎片2等级11</v>
      </c>
      <c r="T208" s="29" t="s">
        <v>520</v>
      </c>
      <c r="U208" s="14">
        <f t="shared" si="43"/>
        <v>11</v>
      </c>
      <c r="V208" s="36">
        <f t="shared" si="47"/>
        <v>0.94200000000000006</v>
      </c>
      <c r="W208" s="17">
        <f t="shared" si="44"/>
        <v>1.8840000000000003E-2</v>
      </c>
      <c r="X208" s="14">
        <f t="shared" si="48"/>
        <v>1</v>
      </c>
      <c r="Y208" s="14">
        <f t="shared" si="49"/>
        <v>3</v>
      </c>
      <c r="Z208" s="14">
        <f t="shared" si="50"/>
        <v>0</v>
      </c>
      <c r="AA208" s="14" t="str">
        <f t="shared" si="51"/>
        <v>AtkExt</v>
      </c>
      <c r="AB208" s="14">
        <f t="shared" si="45"/>
        <v>1279</v>
      </c>
      <c r="AC208" s="14" t="str">
        <f t="shared" si="52"/>
        <v>HPExt</v>
      </c>
      <c r="AD208" s="14">
        <f t="shared" si="53"/>
        <v>7681</v>
      </c>
      <c r="AE208" s="14" t="str">
        <f t="shared" si="54"/>
        <v>[x]</v>
      </c>
      <c r="AF208" s="27" t="str">
        <f t="shared" si="55"/>
        <v>[x]</v>
      </c>
      <c r="AG208" s="27" t="str">
        <f t="shared" si="56"/>
        <v>[x]</v>
      </c>
    </row>
    <row r="209" spans="9:33" ht="16.5" x14ac:dyDescent="0.2">
      <c r="I209" s="32"/>
      <c r="P209" s="13">
        <v>153</v>
      </c>
      <c r="Q209" s="14">
        <f t="shared" si="41"/>
        <v>10</v>
      </c>
      <c r="R209" s="14">
        <f t="shared" si="42"/>
        <v>1606012</v>
      </c>
      <c r="S209" s="14" t="str">
        <f t="shared" si="46"/>
        <v>神器3碎片2等级12</v>
      </c>
      <c r="T209" s="29" t="s">
        <v>520</v>
      </c>
      <c r="U209" s="14">
        <f t="shared" si="43"/>
        <v>12</v>
      </c>
      <c r="V209" s="36">
        <f t="shared" si="47"/>
        <v>1.0380000000000003</v>
      </c>
      <c r="W209" s="17">
        <f t="shared" si="44"/>
        <v>2.0760000000000004E-2</v>
      </c>
      <c r="X209" s="14">
        <f t="shared" si="48"/>
        <v>1</v>
      </c>
      <c r="Y209" s="14">
        <f t="shared" si="49"/>
        <v>3</v>
      </c>
      <c r="Z209" s="14">
        <f t="shared" si="50"/>
        <v>0</v>
      </c>
      <c r="AA209" s="14" t="str">
        <f t="shared" si="51"/>
        <v>AtkExt</v>
      </c>
      <c r="AB209" s="14">
        <f t="shared" si="45"/>
        <v>1410</v>
      </c>
      <c r="AC209" s="14" t="str">
        <f t="shared" si="52"/>
        <v>HPExt</v>
      </c>
      <c r="AD209" s="14">
        <f t="shared" si="53"/>
        <v>8464</v>
      </c>
      <c r="AE209" s="14" t="str">
        <f t="shared" si="54"/>
        <v>[x]</v>
      </c>
      <c r="AF209" s="27" t="str">
        <f t="shared" si="55"/>
        <v>[x]</v>
      </c>
      <c r="AG209" s="27" t="str">
        <f t="shared" si="56"/>
        <v>[x]</v>
      </c>
    </row>
    <row r="210" spans="9:33" ht="16.5" x14ac:dyDescent="0.2">
      <c r="I210" s="32"/>
      <c r="P210" s="13">
        <v>154</v>
      </c>
      <c r="Q210" s="14">
        <f t="shared" si="41"/>
        <v>10</v>
      </c>
      <c r="R210" s="14">
        <f t="shared" si="42"/>
        <v>1606012</v>
      </c>
      <c r="S210" s="14" t="str">
        <f t="shared" si="46"/>
        <v>神器3碎片2等级13</v>
      </c>
      <c r="T210" s="29" t="s">
        <v>520</v>
      </c>
      <c r="U210" s="14">
        <f t="shared" si="43"/>
        <v>13</v>
      </c>
      <c r="V210" s="36">
        <f t="shared" si="47"/>
        <v>1.1380000000000001</v>
      </c>
      <c r="W210" s="17">
        <f t="shared" si="44"/>
        <v>2.2760000000000002E-2</v>
      </c>
      <c r="X210" s="14">
        <f t="shared" si="48"/>
        <v>1</v>
      </c>
      <c r="Y210" s="14">
        <f t="shared" si="49"/>
        <v>3</v>
      </c>
      <c r="Z210" s="14">
        <f t="shared" si="50"/>
        <v>0</v>
      </c>
      <c r="AA210" s="14" t="str">
        <f t="shared" si="51"/>
        <v>AtkExt</v>
      </c>
      <c r="AB210" s="14">
        <f t="shared" si="45"/>
        <v>1546</v>
      </c>
      <c r="AC210" s="14" t="str">
        <f t="shared" si="52"/>
        <v>HPExt</v>
      </c>
      <c r="AD210" s="14">
        <f t="shared" si="53"/>
        <v>9280</v>
      </c>
      <c r="AE210" s="14" t="str">
        <f t="shared" si="54"/>
        <v>[x]</v>
      </c>
      <c r="AF210" s="27" t="str">
        <f t="shared" si="55"/>
        <v>[x]</v>
      </c>
      <c r="AG210" s="27" t="str">
        <f t="shared" si="56"/>
        <v>[x]</v>
      </c>
    </row>
    <row r="211" spans="9:33" ht="16.5" x14ac:dyDescent="0.2">
      <c r="I211" s="32"/>
      <c r="P211" s="13">
        <v>155</v>
      </c>
      <c r="Q211" s="14">
        <f t="shared" si="41"/>
        <v>10</v>
      </c>
      <c r="R211" s="14">
        <f t="shared" si="42"/>
        <v>1606012</v>
      </c>
      <c r="S211" s="14" t="str">
        <f t="shared" si="46"/>
        <v>神器3碎片2等级14</v>
      </c>
      <c r="T211" s="29" t="s">
        <v>520</v>
      </c>
      <c r="U211" s="14">
        <f t="shared" si="43"/>
        <v>14</v>
      </c>
      <c r="V211" s="36">
        <f t="shared" si="47"/>
        <v>1.242</v>
      </c>
      <c r="W211" s="17">
        <f t="shared" si="44"/>
        <v>2.4840000000000001E-2</v>
      </c>
      <c r="X211" s="14">
        <f t="shared" si="48"/>
        <v>1</v>
      </c>
      <c r="Y211" s="14">
        <f t="shared" si="49"/>
        <v>3</v>
      </c>
      <c r="Z211" s="14">
        <f t="shared" si="50"/>
        <v>0</v>
      </c>
      <c r="AA211" s="14" t="str">
        <f t="shared" si="51"/>
        <v>AtkExt</v>
      </c>
      <c r="AB211" s="14">
        <f t="shared" si="45"/>
        <v>1687</v>
      </c>
      <c r="AC211" s="14" t="str">
        <f t="shared" si="52"/>
        <v>HPExt</v>
      </c>
      <c r="AD211" s="14">
        <f t="shared" si="53"/>
        <v>10128</v>
      </c>
      <c r="AE211" s="14" t="str">
        <f t="shared" si="54"/>
        <v>[x]</v>
      </c>
      <c r="AF211" s="27" t="str">
        <f t="shared" si="55"/>
        <v>[x]</v>
      </c>
      <c r="AG211" s="27" t="str">
        <f t="shared" si="56"/>
        <v>[x]</v>
      </c>
    </row>
    <row r="212" spans="9:33" ht="16.5" x14ac:dyDescent="0.2">
      <c r="I212" s="32"/>
      <c r="P212" s="13">
        <v>156</v>
      </c>
      <c r="Q212" s="14">
        <f t="shared" si="41"/>
        <v>10</v>
      </c>
      <c r="R212" s="14">
        <f t="shared" si="42"/>
        <v>1606012</v>
      </c>
      <c r="S212" s="14" t="str">
        <f t="shared" si="46"/>
        <v>神器3碎片2等级15</v>
      </c>
      <c r="T212" s="29" t="s">
        <v>520</v>
      </c>
      <c r="U212" s="14">
        <f t="shared" si="43"/>
        <v>15</v>
      </c>
      <c r="V212" s="36">
        <f t="shared" si="47"/>
        <v>1.35</v>
      </c>
      <c r="W212" s="17">
        <f t="shared" si="44"/>
        <v>2.7000000000000003E-2</v>
      </c>
      <c r="X212" s="14">
        <f t="shared" si="48"/>
        <v>1</v>
      </c>
      <c r="Y212" s="14">
        <f t="shared" si="49"/>
        <v>3</v>
      </c>
      <c r="Z212" s="14">
        <f t="shared" si="50"/>
        <v>0</v>
      </c>
      <c r="AA212" s="14" t="str">
        <f t="shared" si="51"/>
        <v>AtkExt</v>
      </c>
      <c r="AB212" s="14">
        <f t="shared" si="45"/>
        <v>1834</v>
      </c>
      <c r="AC212" s="14" t="str">
        <f t="shared" si="52"/>
        <v>HPExt</v>
      </c>
      <c r="AD212" s="14">
        <f t="shared" si="53"/>
        <v>11009</v>
      </c>
      <c r="AE212" s="14" t="str">
        <f t="shared" si="54"/>
        <v>[x]</v>
      </c>
      <c r="AF212" s="27" t="str">
        <f t="shared" si="55"/>
        <v>[x]</v>
      </c>
      <c r="AG212" s="27" t="str">
        <f t="shared" si="56"/>
        <v>[x]</v>
      </c>
    </row>
    <row r="213" spans="9:33" ht="16.5" x14ac:dyDescent="0.2">
      <c r="I213" s="32"/>
      <c r="P213" s="13">
        <v>157</v>
      </c>
      <c r="Q213" s="14">
        <f t="shared" si="41"/>
        <v>10</v>
      </c>
      <c r="R213" s="14">
        <f t="shared" si="42"/>
        <v>1606012</v>
      </c>
      <c r="S213" s="14" t="str">
        <f t="shared" si="46"/>
        <v>神器3碎片2等级16</v>
      </c>
      <c r="T213" s="29" t="s">
        <v>520</v>
      </c>
      <c r="U213" s="14">
        <f t="shared" si="43"/>
        <v>16</v>
      </c>
      <c r="V213" s="36">
        <f t="shared" si="47"/>
        <v>1.4620000000000002</v>
      </c>
      <c r="W213" s="17">
        <f t="shared" si="44"/>
        <v>2.9240000000000006E-2</v>
      </c>
      <c r="X213" s="14">
        <f t="shared" si="48"/>
        <v>1</v>
      </c>
      <c r="Y213" s="14">
        <f t="shared" si="49"/>
        <v>3</v>
      </c>
      <c r="Z213" s="14">
        <f t="shared" si="50"/>
        <v>0</v>
      </c>
      <c r="AA213" s="14" t="str">
        <f t="shared" si="51"/>
        <v>AtkExt</v>
      </c>
      <c r="AB213" s="14">
        <f t="shared" si="45"/>
        <v>1986</v>
      </c>
      <c r="AC213" s="14" t="str">
        <f t="shared" si="52"/>
        <v>HPExt</v>
      </c>
      <c r="AD213" s="14">
        <f t="shared" si="53"/>
        <v>11922</v>
      </c>
      <c r="AE213" s="14" t="str">
        <f t="shared" si="54"/>
        <v>[x]</v>
      </c>
      <c r="AF213" s="27" t="str">
        <f t="shared" si="55"/>
        <v>[x]</v>
      </c>
      <c r="AG213" s="27" t="str">
        <f t="shared" si="56"/>
        <v>[x]</v>
      </c>
    </row>
    <row r="214" spans="9:33" ht="16.5" x14ac:dyDescent="0.2">
      <c r="I214" s="32"/>
      <c r="P214" s="13">
        <v>158</v>
      </c>
      <c r="Q214" s="14">
        <f t="shared" si="41"/>
        <v>10</v>
      </c>
      <c r="R214" s="14">
        <f t="shared" si="42"/>
        <v>1606012</v>
      </c>
      <c r="S214" s="14" t="str">
        <f t="shared" si="46"/>
        <v>神器3碎片2等级17</v>
      </c>
      <c r="T214" s="29" t="s">
        <v>520</v>
      </c>
      <c r="U214" s="14">
        <f t="shared" si="43"/>
        <v>17</v>
      </c>
      <c r="V214" s="36">
        <f t="shared" si="47"/>
        <v>1.5779999999999998</v>
      </c>
      <c r="W214" s="17">
        <f t="shared" si="44"/>
        <v>3.1559999999999998E-2</v>
      </c>
      <c r="X214" s="14">
        <f t="shared" si="48"/>
        <v>1</v>
      </c>
      <c r="Y214" s="14">
        <f t="shared" si="49"/>
        <v>3</v>
      </c>
      <c r="Z214" s="14">
        <f t="shared" si="50"/>
        <v>0</v>
      </c>
      <c r="AA214" s="14" t="str">
        <f t="shared" si="51"/>
        <v>AtkExt</v>
      </c>
      <c r="AB214" s="14">
        <f t="shared" si="45"/>
        <v>2143</v>
      </c>
      <c r="AC214" s="14" t="str">
        <f t="shared" si="52"/>
        <v>HPExt</v>
      </c>
      <c r="AD214" s="14">
        <f t="shared" si="53"/>
        <v>12868</v>
      </c>
      <c r="AE214" s="14" t="str">
        <f t="shared" si="54"/>
        <v>[x]</v>
      </c>
      <c r="AF214" s="27" t="str">
        <f t="shared" si="55"/>
        <v>[x]</v>
      </c>
      <c r="AG214" s="27" t="str">
        <f t="shared" si="56"/>
        <v>[x]</v>
      </c>
    </row>
    <row r="215" spans="9:33" ht="16.5" x14ac:dyDescent="0.2">
      <c r="I215" s="32"/>
      <c r="P215" s="13">
        <v>159</v>
      </c>
      <c r="Q215" s="14">
        <f t="shared" si="41"/>
        <v>10</v>
      </c>
      <c r="R215" s="14">
        <f t="shared" si="42"/>
        <v>1606012</v>
      </c>
      <c r="S215" s="14" t="str">
        <f t="shared" si="46"/>
        <v>神器3碎片2等级18</v>
      </c>
      <c r="T215" s="29" t="s">
        <v>520</v>
      </c>
      <c r="U215" s="14">
        <f t="shared" si="43"/>
        <v>18</v>
      </c>
      <c r="V215" s="36">
        <f t="shared" si="47"/>
        <v>1.698</v>
      </c>
      <c r="W215" s="17">
        <f t="shared" si="44"/>
        <v>3.3959999999999997E-2</v>
      </c>
      <c r="X215" s="14">
        <f t="shared" si="48"/>
        <v>1</v>
      </c>
      <c r="Y215" s="14">
        <f t="shared" si="49"/>
        <v>3</v>
      </c>
      <c r="Z215" s="14">
        <f t="shared" si="50"/>
        <v>0</v>
      </c>
      <c r="AA215" s="14" t="str">
        <f t="shared" si="51"/>
        <v>AtkExt</v>
      </c>
      <c r="AB215" s="14">
        <f t="shared" si="45"/>
        <v>2306</v>
      </c>
      <c r="AC215" s="14" t="str">
        <f t="shared" si="52"/>
        <v>HPExt</v>
      </c>
      <c r="AD215" s="14">
        <f t="shared" si="53"/>
        <v>13846</v>
      </c>
      <c r="AE215" s="14" t="str">
        <f t="shared" si="54"/>
        <v>[x]</v>
      </c>
      <c r="AF215" s="27" t="str">
        <f t="shared" si="55"/>
        <v>[x]</v>
      </c>
      <c r="AG215" s="27" t="str">
        <f t="shared" si="56"/>
        <v>[x]</v>
      </c>
    </row>
    <row r="216" spans="9:33" ht="16.5" x14ac:dyDescent="0.2">
      <c r="I216" s="32"/>
      <c r="P216" s="13">
        <v>160</v>
      </c>
      <c r="Q216" s="14">
        <f t="shared" si="41"/>
        <v>10</v>
      </c>
      <c r="R216" s="14">
        <f t="shared" si="42"/>
        <v>1606012</v>
      </c>
      <c r="S216" s="14" t="str">
        <f t="shared" si="46"/>
        <v>神器3碎片2等级19</v>
      </c>
      <c r="T216" s="29" t="s">
        <v>520</v>
      </c>
      <c r="U216" s="14">
        <f t="shared" si="43"/>
        <v>19</v>
      </c>
      <c r="V216" s="36">
        <f t="shared" si="47"/>
        <v>1.8220000000000001</v>
      </c>
      <c r="W216" s="17">
        <f t="shared" si="44"/>
        <v>3.644E-2</v>
      </c>
      <c r="X216" s="14">
        <f t="shared" si="48"/>
        <v>1</v>
      </c>
      <c r="Y216" s="14">
        <f t="shared" si="49"/>
        <v>3</v>
      </c>
      <c r="Z216" s="14">
        <f t="shared" si="50"/>
        <v>0</v>
      </c>
      <c r="AA216" s="14" t="str">
        <f t="shared" si="51"/>
        <v>AtkExt</v>
      </c>
      <c r="AB216" s="14">
        <f t="shared" si="45"/>
        <v>2475</v>
      </c>
      <c r="AC216" s="14" t="str">
        <f t="shared" si="52"/>
        <v>HPExt</v>
      </c>
      <c r="AD216" s="14">
        <f t="shared" si="53"/>
        <v>14858</v>
      </c>
      <c r="AE216" s="14" t="str">
        <f t="shared" si="54"/>
        <v>[x]</v>
      </c>
      <c r="AF216" s="27" t="str">
        <f t="shared" si="55"/>
        <v>[x]</v>
      </c>
      <c r="AG216" s="27" t="str">
        <f t="shared" si="56"/>
        <v>[x]</v>
      </c>
    </row>
    <row r="217" spans="9:33" ht="16.5" x14ac:dyDescent="0.2">
      <c r="I217" s="32"/>
      <c r="P217" s="13">
        <v>161</v>
      </c>
      <c r="Q217" s="14">
        <f t="shared" si="41"/>
        <v>10</v>
      </c>
      <c r="R217" s="14">
        <f t="shared" si="42"/>
        <v>1606012</v>
      </c>
      <c r="S217" s="14" t="str">
        <f t="shared" si="46"/>
        <v>神器3碎片2等级20</v>
      </c>
      <c r="T217" s="29" t="s">
        <v>520</v>
      </c>
      <c r="U217" s="14">
        <f t="shared" si="43"/>
        <v>20</v>
      </c>
      <c r="V217" s="36">
        <f t="shared" si="47"/>
        <v>1.95</v>
      </c>
      <c r="W217" s="17">
        <f t="shared" si="44"/>
        <v>3.9E-2</v>
      </c>
      <c r="X217" s="14">
        <f t="shared" si="48"/>
        <v>1</v>
      </c>
      <c r="Y217" s="14">
        <f t="shared" si="49"/>
        <v>3</v>
      </c>
      <c r="Z217" s="14">
        <f t="shared" si="50"/>
        <v>0</v>
      </c>
      <c r="AA217" s="14" t="str">
        <f t="shared" si="51"/>
        <v>AtkExt</v>
      </c>
      <c r="AB217" s="14">
        <f t="shared" si="45"/>
        <v>2649</v>
      </c>
      <c r="AC217" s="14" t="str">
        <f t="shared" si="52"/>
        <v>HPExt</v>
      </c>
      <c r="AD217" s="14">
        <f t="shared" si="53"/>
        <v>15902</v>
      </c>
      <c r="AE217" s="14" t="str">
        <f t="shared" si="54"/>
        <v>[x]</v>
      </c>
      <c r="AF217" s="27" t="str">
        <f t="shared" si="55"/>
        <v>[x]</v>
      </c>
      <c r="AG217" s="27" t="str">
        <f t="shared" si="56"/>
        <v>[x]</v>
      </c>
    </row>
    <row r="218" spans="9:33" ht="16.5" x14ac:dyDescent="0.2">
      <c r="I218" s="32"/>
      <c r="P218" s="13">
        <v>162</v>
      </c>
      <c r="Q218" s="14">
        <f t="shared" si="41"/>
        <v>10</v>
      </c>
      <c r="R218" s="14">
        <f t="shared" si="42"/>
        <v>1606012</v>
      </c>
      <c r="S218" s="14" t="str">
        <f t="shared" si="46"/>
        <v>神器3碎片2等级21</v>
      </c>
      <c r="T218" s="29" t="s">
        <v>520</v>
      </c>
      <c r="U218" s="14">
        <f t="shared" si="43"/>
        <v>21</v>
      </c>
      <c r="V218" s="36">
        <f t="shared" si="47"/>
        <v>2.0819999999999999</v>
      </c>
      <c r="W218" s="17">
        <f t="shared" si="44"/>
        <v>4.1639999999999996E-2</v>
      </c>
      <c r="X218" s="14">
        <f t="shared" si="48"/>
        <v>1</v>
      </c>
      <c r="Y218" s="14">
        <f t="shared" si="49"/>
        <v>3</v>
      </c>
      <c r="Z218" s="14">
        <f t="shared" si="50"/>
        <v>0</v>
      </c>
      <c r="AA218" s="14" t="str">
        <f t="shared" si="51"/>
        <v>AtkExt</v>
      </c>
      <c r="AB218" s="14">
        <f t="shared" si="45"/>
        <v>2828</v>
      </c>
      <c r="AC218" s="14" t="str">
        <f t="shared" si="52"/>
        <v>HPExt</v>
      </c>
      <c r="AD218" s="14">
        <f t="shared" si="53"/>
        <v>16978</v>
      </c>
      <c r="AE218" s="14" t="str">
        <f t="shared" si="54"/>
        <v>[x]</v>
      </c>
      <c r="AF218" s="27" t="str">
        <f t="shared" si="55"/>
        <v>[x]</v>
      </c>
      <c r="AG218" s="27" t="str">
        <f t="shared" si="56"/>
        <v>[x]</v>
      </c>
    </row>
    <row r="219" spans="9:33" ht="16.5" x14ac:dyDescent="0.2">
      <c r="I219" s="32"/>
      <c r="P219" s="13">
        <v>163</v>
      </c>
      <c r="Q219" s="14">
        <f t="shared" si="41"/>
        <v>11</v>
      </c>
      <c r="R219" s="14">
        <f t="shared" si="42"/>
        <v>1606013</v>
      </c>
      <c r="S219" s="14" t="str">
        <f t="shared" si="46"/>
        <v>神器3碎片3等级1</v>
      </c>
      <c r="T219" s="29" t="s">
        <v>520</v>
      </c>
      <c r="U219" s="14">
        <f t="shared" si="43"/>
        <v>1</v>
      </c>
      <c r="V219" s="36">
        <f t="shared" si="47"/>
        <v>0.20200000000000001</v>
      </c>
      <c r="W219" s="17">
        <f t="shared" si="44"/>
        <v>4.0400000000000002E-3</v>
      </c>
      <c r="X219" s="14">
        <f t="shared" si="48"/>
        <v>2</v>
      </c>
      <c r="Y219" s="14">
        <f t="shared" si="49"/>
        <v>3</v>
      </c>
      <c r="Z219" s="14">
        <f t="shared" si="50"/>
        <v>0</v>
      </c>
      <c r="AA219" s="14" t="str">
        <f t="shared" si="51"/>
        <v>DefExt</v>
      </c>
      <c r="AB219" s="14">
        <f t="shared" si="45"/>
        <v>137</v>
      </c>
      <c r="AC219" s="14" t="str">
        <f t="shared" si="52"/>
        <v>HPExt</v>
      </c>
      <c r="AD219" s="14">
        <f t="shared" si="53"/>
        <v>1647</v>
      </c>
      <c r="AE219" s="14" t="str">
        <f t="shared" si="54"/>
        <v>[x]</v>
      </c>
      <c r="AF219" s="27" t="str">
        <f t="shared" si="55"/>
        <v>[x]</v>
      </c>
      <c r="AG219" s="27" t="str">
        <f t="shared" si="56"/>
        <v>[x]</v>
      </c>
    </row>
    <row r="220" spans="9:33" ht="16.5" x14ac:dyDescent="0.2">
      <c r="I220" s="32"/>
      <c r="P220" s="13">
        <v>164</v>
      </c>
      <c r="Q220" s="14">
        <f t="shared" si="41"/>
        <v>11</v>
      </c>
      <c r="R220" s="14">
        <f t="shared" si="42"/>
        <v>1606013</v>
      </c>
      <c r="S220" s="14" t="str">
        <f t="shared" si="46"/>
        <v>神器3碎片3等级2</v>
      </c>
      <c r="T220" s="29" t="s">
        <v>520</v>
      </c>
      <c r="U220" s="14">
        <f t="shared" si="43"/>
        <v>2</v>
      </c>
      <c r="V220" s="36">
        <f t="shared" si="47"/>
        <v>0.25800000000000001</v>
      </c>
      <c r="W220" s="17">
        <f t="shared" si="44"/>
        <v>5.1600000000000005E-3</v>
      </c>
      <c r="X220" s="14">
        <f t="shared" si="48"/>
        <v>2</v>
      </c>
      <c r="Y220" s="14">
        <f t="shared" si="49"/>
        <v>3</v>
      </c>
      <c r="Z220" s="14">
        <f t="shared" si="50"/>
        <v>0</v>
      </c>
      <c r="AA220" s="14" t="str">
        <f t="shared" si="51"/>
        <v>DefExt</v>
      </c>
      <c r="AB220" s="14">
        <f t="shared" si="45"/>
        <v>175</v>
      </c>
      <c r="AC220" s="14" t="str">
        <f t="shared" si="52"/>
        <v>HPExt</v>
      </c>
      <c r="AD220" s="14">
        <f t="shared" si="53"/>
        <v>2103</v>
      </c>
      <c r="AE220" s="14" t="str">
        <f t="shared" si="54"/>
        <v>[x]</v>
      </c>
      <c r="AF220" s="27" t="str">
        <f t="shared" si="55"/>
        <v>[x]</v>
      </c>
      <c r="AG220" s="27" t="str">
        <f t="shared" si="56"/>
        <v>[x]</v>
      </c>
    </row>
    <row r="221" spans="9:33" ht="16.5" x14ac:dyDescent="0.2">
      <c r="I221" s="32"/>
      <c r="P221" s="13">
        <v>165</v>
      </c>
      <c r="Q221" s="14">
        <f t="shared" si="41"/>
        <v>11</v>
      </c>
      <c r="R221" s="14">
        <f t="shared" si="42"/>
        <v>1606013</v>
      </c>
      <c r="S221" s="14" t="str">
        <f t="shared" si="46"/>
        <v>神器3碎片3等级3</v>
      </c>
      <c r="T221" s="29" t="s">
        <v>520</v>
      </c>
      <c r="U221" s="14">
        <f t="shared" si="43"/>
        <v>3</v>
      </c>
      <c r="V221" s="36">
        <f t="shared" si="47"/>
        <v>0.31800000000000006</v>
      </c>
      <c r="W221" s="17">
        <f t="shared" si="44"/>
        <v>6.3600000000000011E-3</v>
      </c>
      <c r="X221" s="14">
        <f t="shared" si="48"/>
        <v>2</v>
      </c>
      <c r="Y221" s="14">
        <f t="shared" si="49"/>
        <v>3</v>
      </c>
      <c r="Z221" s="14">
        <f t="shared" si="50"/>
        <v>0</v>
      </c>
      <c r="AA221" s="14" t="str">
        <f t="shared" si="51"/>
        <v>DefExt</v>
      </c>
      <c r="AB221" s="14">
        <f t="shared" si="45"/>
        <v>215</v>
      </c>
      <c r="AC221" s="14" t="str">
        <f t="shared" si="52"/>
        <v>HPExt</v>
      </c>
      <c r="AD221" s="14">
        <f t="shared" si="53"/>
        <v>2593</v>
      </c>
      <c r="AE221" s="14" t="str">
        <f t="shared" si="54"/>
        <v>[x]</v>
      </c>
      <c r="AF221" s="27" t="str">
        <f t="shared" si="55"/>
        <v>[x]</v>
      </c>
      <c r="AG221" s="27" t="str">
        <f t="shared" si="56"/>
        <v>[x]</v>
      </c>
    </row>
    <row r="222" spans="9:33" ht="16.5" x14ac:dyDescent="0.2">
      <c r="I222" s="32"/>
      <c r="P222" s="13">
        <v>166</v>
      </c>
      <c r="Q222" s="14">
        <f t="shared" si="41"/>
        <v>11</v>
      </c>
      <c r="R222" s="14">
        <f t="shared" si="42"/>
        <v>1606013</v>
      </c>
      <c r="S222" s="14" t="str">
        <f t="shared" si="46"/>
        <v>神器3碎片3等级4</v>
      </c>
      <c r="T222" s="29" t="s">
        <v>520</v>
      </c>
      <c r="U222" s="14">
        <f t="shared" si="43"/>
        <v>4</v>
      </c>
      <c r="V222" s="36">
        <f t="shared" si="47"/>
        <v>0.38200000000000001</v>
      </c>
      <c r="W222" s="17">
        <f t="shared" si="44"/>
        <v>7.6400000000000001E-3</v>
      </c>
      <c r="X222" s="14">
        <f t="shared" si="48"/>
        <v>2</v>
      </c>
      <c r="Y222" s="14">
        <f t="shared" si="49"/>
        <v>3</v>
      </c>
      <c r="Z222" s="14">
        <f t="shared" si="50"/>
        <v>0</v>
      </c>
      <c r="AA222" s="14" t="str">
        <f t="shared" si="51"/>
        <v>DefExt</v>
      </c>
      <c r="AB222" s="14">
        <f t="shared" si="45"/>
        <v>259</v>
      </c>
      <c r="AC222" s="14" t="str">
        <f t="shared" si="52"/>
        <v>HPExt</v>
      </c>
      <c r="AD222" s="14">
        <f t="shared" si="53"/>
        <v>3115</v>
      </c>
      <c r="AE222" s="14" t="str">
        <f t="shared" si="54"/>
        <v>[x]</v>
      </c>
      <c r="AF222" s="27" t="str">
        <f t="shared" si="55"/>
        <v>[x]</v>
      </c>
      <c r="AG222" s="27" t="str">
        <f t="shared" si="56"/>
        <v>[x]</v>
      </c>
    </row>
    <row r="223" spans="9:33" ht="16.5" x14ac:dyDescent="0.2">
      <c r="I223" s="32"/>
      <c r="P223" s="13">
        <v>167</v>
      </c>
      <c r="Q223" s="14">
        <f t="shared" si="41"/>
        <v>11</v>
      </c>
      <c r="R223" s="14">
        <f t="shared" si="42"/>
        <v>1606013</v>
      </c>
      <c r="S223" s="14" t="str">
        <f t="shared" si="46"/>
        <v>神器3碎片3等级5</v>
      </c>
      <c r="T223" s="29" t="s">
        <v>520</v>
      </c>
      <c r="U223" s="14">
        <f t="shared" si="43"/>
        <v>5</v>
      </c>
      <c r="V223" s="36">
        <f t="shared" si="47"/>
        <v>0.45</v>
      </c>
      <c r="W223" s="17">
        <f t="shared" si="44"/>
        <v>9.0000000000000011E-3</v>
      </c>
      <c r="X223" s="14">
        <f t="shared" si="48"/>
        <v>2</v>
      </c>
      <c r="Y223" s="14">
        <f t="shared" si="49"/>
        <v>3</v>
      </c>
      <c r="Z223" s="14">
        <f t="shared" si="50"/>
        <v>0</v>
      </c>
      <c r="AA223" s="14" t="str">
        <f t="shared" si="51"/>
        <v>DefExt</v>
      </c>
      <c r="AB223" s="14">
        <f t="shared" si="45"/>
        <v>305</v>
      </c>
      <c r="AC223" s="14" t="str">
        <f t="shared" si="52"/>
        <v>HPExt</v>
      </c>
      <c r="AD223" s="14">
        <f t="shared" si="53"/>
        <v>3669</v>
      </c>
      <c r="AE223" s="14" t="str">
        <f t="shared" si="54"/>
        <v>[x]</v>
      </c>
      <c r="AF223" s="27" t="str">
        <f t="shared" si="55"/>
        <v>[x]</v>
      </c>
      <c r="AG223" s="27" t="str">
        <f t="shared" si="56"/>
        <v>[x]</v>
      </c>
    </row>
    <row r="224" spans="9:33" ht="16.5" x14ac:dyDescent="0.2">
      <c r="I224" s="32"/>
      <c r="P224" s="13">
        <v>168</v>
      </c>
      <c r="Q224" s="14">
        <f t="shared" si="41"/>
        <v>11</v>
      </c>
      <c r="R224" s="14">
        <f t="shared" si="42"/>
        <v>1606013</v>
      </c>
      <c r="S224" s="14" t="str">
        <f t="shared" si="46"/>
        <v>神器3碎片3等级6</v>
      </c>
      <c r="T224" s="29" t="s">
        <v>520</v>
      </c>
      <c r="U224" s="14">
        <f t="shared" si="43"/>
        <v>6</v>
      </c>
      <c r="V224" s="36">
        <f t="shared" si="47"/>
        <v>0.52200000000000002</v>
      </c>
      <c r="W224" s="17">
        <f t="shared" si="44"/>
        <v>1.0440000000000001E-2</v>
      </c>
      <c r="X224" s="14">
        <f t="shared" si="48"/>
        <v>2</v>
      </c>
      <c r="Y224" s="14">
        <f t="shared" si="49"/>
        <v>3</v>
      </c>
      <c r="Z224" s="14">
        <f t="shared" si="50"/>
        <v>0</v>
      </c>
      <c r="AA224" s="14" t="str">
        <f t="shared" si="51"/>
        <v>DefExt</v>
      </c>
      <c r="AB224" s="14">
        <f t="shared" si="45"/>
        <v>354</v>
      </c>
      <c r="AC224" s="14" t="str">
        <f t="shared" si="52"/>
        <v>HPExt</v>
      </c>
      <c r="AD224" s="14">
        <f t="shared" si="53"/>
        <v>4256</v>
      </c>
      <c r="AE224" s="14" t="str">
        <f t="shared" si="54"/>
        <v>[x]</v>
      </c>
      <c r="AF224" s="27" t="str">
        <f t="shared" si="55"/>
        <v>[x]</v>
      </c>
      <c r="AG224" s="27" t="str">
        <f t="shared" si="56"/>
        <v>[x]</v>
      </c>
    </row>
    <row r="225" spans="9:33" ht="16.5" x14ac:dyDescent="0.2">
      <c r="I225" s="32"/>
      <c r="P225" s="13">
        <v>169</v>
      </c>
      <c r="Q225" s="14">
        <f t="shared" si="41"/>
        <v>11</v>
      </c>
      <c r="R225" s="14">
        <f t="shared" si="42"/>
        <v>1606013</v>
      </c>
      <c r="S225" s="14" t="str">
        <f t="shared" si="46"/>
        <v>神器3碎片3等级7</v>
      </c>
      <c r="T225" s="29" t="s">
        <v>520</v>
      </c>
      <c r="U225" s="14">
        <f t="shared" si="43"/>
        <v>7</v>
      </c>
      <c r="V225" s="36">
        <f t="shared" si="47"/>
        <v>0.59799999999999998</v>
      </c>
      <c r="W225" s="17">
        <f t="shared" si="44"/>
        <v>1.196E-2</v>
      </c>
      <c r="X225" s="14">
        <f t="shared" si="48"/>
        <v>2</v>
      </c>
      <c r="Y225" s="14">
        <f t="shared" si="49"/>
        <v>3</v>
      </c>
      <c r="Z225" s="14">
        <f t="shared" si="50"/>
        <v>0</v>
      </c>
      <c r="AA225" s="14" t="str">
        <f t="shared" si="51"/>
        <v>DefExt</v>
      </c>
      <c r="AB225" s="14">
        <f t="shared" si="45"/>
        <v>406</v>
      </c>
      <c r="AC225" s="14" t="str">
        <f t="shared" si="52"/>
        <v>HPExt</v>
      </c>
      <c r="AD225" s="14">
        <f t="shared" si="53"/>
        <v>4876</v>
      </c>
      <c r="AE225" s="14" t="str">
        <f t="shared" si="54"/>
        <v>[x]</v>
      </c>
      <c r="AF225" s="27" t="str">
        <f t="shared" si="55"/>
        <v>[x]</v>
      </c>
      <c r="AG225" s="27" t="str">
        <f t="shared" si="56"/>
        <v>[x]</v>
      </c>
    </row>
    <row r="226" spans="9:33" ht="16.5" x14ac:dyDescent="0.2">
      <c r="I226" s="32"/>
      <c r="P226" s="13">
        <v>170</v>
      </c>
      <c r="Q226" s="14">
        <f t="shared" si="41"/>
        <v>11</v>
      </c>
      <c r="R226" s="14">
        <f t="shared" si="42"/>
        <v>1606013</v>
      </c>
      <c r="S226" s="14" t="str">
        <f t="shared" si="46"/>
        <v>神器3碎片3等级8</v>
      </c>
      <c r="T226" s="29" t="s">
        <v>520</v>
      </c>
      <c r="U226" s="14">
        <f t="shared" si="43"/>
        <v>8</v>
      </c>
      <c r="V226" s="36">
        <f t="shared" si="47"/>
        <v>0.67800000000000005</v>
      </c>
      <c r="W226" s="17">
        <f t="shared" si="44"/>
        <v>1.3560000000000001E-2</v>
      </c>
      <c r="X226" s="14">
        <f t="shared" si="48"/>
        <v>2</v>
      </c>
      <c r="Y226" s="14">
        <f t="shared" si="49"/>
        <v>3</v>
      </c>
      <c r="Z226" s="14">
        <f t="shared" si="50"/>
        <v>0</v>
      </c>
      <c r="AA226" s="14" t="str">
        <f t="shared" si="51"/>
        <v>DefExt</v>
      </c>
      <c r="AB226" s="14">
        <f t="shared" si="45"/>
        <v>460</v>
      </c>
      <c r="AC226" s="14" t="str">
        <f t="shared" si="52"/>
        <v>HPExt</v>
      </c>
      <c r="AD226" s="14">
        <f t="shared" si="53"/>
        <v>5529</v>
      </c>
      <c r="AE226" s="14" t="str">
        <f t="shared" si="54"/>
        <v>[x]</v>
      </c>
      <c r="AF226" s="27" t="str">
        <f t="shared" si="55"/>
        <v>[x]</v>
      </c>
      <c r="AG226" s="27" t="str">
        <f t="shared" si="56"/>
        <v>[x]</v>
      </c>
    </row>
    <row r="227" spans="9:33" ht="16.5" x14ac:dyDescent="0.2">
      <c r="I227" s="32"/>
      <c r="P227" s="13">
        <v>171</v>
      </c>
      <c r="Q227" s="14">
        <f t="shared" si="41"/>
        <v>11</v>
      </c>
      <c r="R227" s="14">
        <f t="shared" si="42"/>
        <v>1606013</v>
      </c>
      <c r="S227" s="14" t="str">
        <f t="shared" si="46"/>
        <v>神器3碎片3等级9</v>
      </c>
      <c r="T227" s="29" t="s">
        <v>520</v>
      </c>
      <c r="U227" s="14">
        <f t="shared" si="43"/>
        <v>9</v>
      </c>
      <c r="V227" s="36">
        <f t="shared" si="47"/>
        <v>0.76200000000000001</v>
      </c>
      <c r="W227" s="17">
        <f t="shared" si="44"/>
        <v>1.524E-2</v>
      </c>
      <c r="X227" s="14">
        <f t="shared" si="48"/>
        <v>2</v>
      </c>
      <c r="Y227" s="14">
        <f t="shared" si="49"/>
        <v>3</v>
      </c>
      <c r="Z227" s="14">
        <f t="shared" si="50"/>
        <v>0</v>
      </c>
      <c r="AA227" s="14" t="str">
        <f t="shared" si="51"/>
        <v>DefExt</v>
      </c>
      <c r="AB227" s="14">
        <f t="shared" si="45"/>
        <v>517</v>
      </c>
      <c r="AC227" s="14" t="str">
        <f t="shared" si="52"/>
        <v>HPExt</v>
      </c>
      <c r="AD227" s="14">
        <f t="shared" si="53"/>
        <v>6214</v>
      </c>
      <c r="AE227" s="14" t="str">
        <f t="shared" si="54"/>
        <v>[x]</v>
      </c>
      <c r="AF227" s="27" t="str">
        <f t="shared" si="55"/>
        <v>[x]</v>
      </c>
      <c r="AG227" s="27" t="str">
        <f t="shared" si="56"/>
        <v>[x]</v>
      </c>
    </row>
    <row r="228" spans="9:33" ht="16.5" x14ac:dyDescent="0.2">
      <c r="I228" s="32"/>
      <c r="P228" s="13">
        <v>172</v>
      </c>
      <c r="Q228" s="14">
        <f t="shared" si="41"/>
        <v>11</v>
      </c>
      <c r="R228" s="14">
        <f t="shared" si="42"/>
        <v>1606013</v>
      </c>
      <c r="S228" s="14" t="str">
        <f t="shared" si="46"/>
        <v>神器3碎片3等级10</v>
      </c>
      <c r="T228" s="29" t="s">
        <v>520</v>
      </c>
      <c r="U228" s="14">
        <f t="shared" si="43"/>
        <v>10</v>
      </c>
      <c r="V228" s="36">
        <f t="shared" si="47"/>
        <v>0.85000000000000009</v>
      </c>
      <c r="W228" s="17">
        <f t="shared" si="44"/>
        <v>1.7000000000000001E-2</v>
      </c>
      <c r="X228" s="14">
        <f t="shared" si="48"/>
        <v>2</v>
      </c>
      <c r="Y228" s="14">
        <f t="shared" si="49"/>
        <v>3</v>
      </c>
      <c r="Z228" s="14">
        <f t="shared" si="50"/>
        <v>0</v>
      </c>
      <c r="AA228" s="14" t="str">
        <f t="shared" si="51"/>
        <v>DefExt</v>
      </c>
      <c r="AB228" s="14">
        <f t="shared" si="45"/>
        <v>577</v>
      </c>
      <c r="AC228" s="14" t="str">
        <f t="shared" si="52"/>
        <v>HPExt</v>
      </c>
      <c r="AD228" s="14">
        <f t="shared" si="53"/>
        <v>6931</v>
      </c>
      <c r="AE228" s="14" t="str">
        <f t="shared" si="54"/>
        <v>[x]</v>
      </c>
      <c r="AF228" s="27" t="str">
        <f t="shared" si="55"/>
        <v>[x]</v>
      </c>
      <c r="AG228" s="27" t="str">
        <f t="shared" si="56"/>
        <v>[x]</v>
      </c>
    </row>
    <row r="229" spans="9:33" ht="16.5" x14ac:dyDescent="0.2">
      <c r="I229" s="32"/>
      <c r="P229" s="13">
        <v>173</v>
      </c>
      <c r="Q229" s="14">
        <f t="shared" si="41"/>
        <v>11</v>
      </c>
      <c r="R229" s="14">
        <f t="shared" si="42"/>
        <v>1606013</v>
      </c>
      <c r="S229" s="14" t="str">
        <f t="shared" si="46"/>
        <v>神器3碎片3等级11</v>
      </c>
      <c r="T229" s="29" t="s">
        <v>520</v>
      </c>
      <c r="U229" s="14">
        <f t="shared" si="43"/>
        <v>11</v>
      </c>
      <c r="V229" s="36">
        <f t="shared" si="47"/>
        <v>0.94200000000000006</v>
      </c>
      <c r="W229" s="17">
        <f t="shared" si="44"/>
        <v>1.8840000000000003E-2</v>
      </c>
      <c r="X229" s="14">
        <f t="shared" si="48"/>
        <v>2</v>
      </c>
      <c r="Y229" s="14">
        <f t="shared" si="49"/>
        <v>3</v>
      </c>
      <c r="Z229" s="14">
        <f t="shared" si="50"/>
        <v>0</v>
      </c>
      <c r="AA229" s="14" t="str">
        <f t="shared" si="51"/>
        <v>DefExt</v>
      </c>
      <c r="AB229" s="14">
        <f t="shared" si="45"/>
        <v>639</v>
      </c>
      <c r="AC229" s="14" t="str">
        <f t="shared" si="52"/>
        <v>HPExt</v>
      </c>
      <c r="AD229" s="14">
        <f t="shared" si="53"/>
        <v>7681</v>
      </c>
      <c r="AE229" s="14" t="str">
        <f t="shared" si="54"/>
        <v>[x]</v>
      </c>
      <c r="AF229" s="27" t="str">
        <f t="shared" si="55"/>
        <v>[x]</v>
      </c>
      <c r="AG229" s="27" t="str">
        <f t="shared" si="56"/>
        <v>[x]</v>
      </c>
    </row>
    <row r="230" spans="9:33" ht="16.5" x14ac:dyDescent="0.2">
      <c r="I230" s="32"/>
      <c r="P230" s="13">
        <v>174</v>
      </c>
      <c r="Q230" s="14">
        <f t="shared" si="41"/>
        <v>11</v>
      </c>
      <c r="R230" s="14">
        <f t="shared" si="42"/>
        <v>1606013</v>
      </c>
      <c r="S230" s="14" t="str">
        <f t="shared" si="46"/>
        <v>神器3碎片3等级12</v>
      </c>
      <c r="T230" s="29" t="s">
        <v>520</v>
      </c>
      <c r="U230" s="14">
        <f t="shared" si="43"/>
        <v>12</v>
      </c>
      <c r="V230" s="36">
        <f t="shared" si="47"/>
        <v>1.0380000000000003</v>
      </c>
      <c r="W230" s="17">
        <f t="shared" si="44"/>
        <v>2.0760000000000004E-2</v>
      </c>
      <c r="X230" s="14">
        <f t="shared" si="48"/>
        <v>2</v>
      </c>
      <c r="Y230" s="14">
        <f t="shared" si="49"/>
        <v>3</v>
      </c>
      <c r="Z230" s="14">
        <f t="shared" si="50"/>
        <v>0</v>
      </c>
      <c r="AA230" s="14" t="str">
        <f t="shared" si="51"/>
        <v>DefExt</v>
      </c>
      <c r="AB230" s="14">
        <f t="shared" si="45"/>
        <v>704</v>
      </c>
      <c r="AC230" s="14" t="str">
        <f t="shared" si="52"/>
        <v>HPExt</v>
      </c>
      <c r="AD230" s="14">
        <f t="shared" si="53"/>
        <v>8464</v>
      </c>
      <c r="AE230" s="14" t="str">
        <f t="shared" si="54"/>
        <v>[x]</v>
      </c>
      <c r="AF230" s="27" t="str">
        <f t="shared" si="55"/>
        <v>[x]</v>
      </c>
      <c r="AG230" s="27" t="str">
        <f t="shared" si="56"/>
        <v>[x]</v>
      </c>
    </row>
    <row r="231" spans="9:33" ht="16.5" x14ac:dyDescent="0.2">
      <c r="I231" s="32"/>
      <c r="P231" s="13">
        <v>175</v>
      </c>
      <c r="Q231" s="14">
        <f t="shared" si="41"/>
        <v>11</v>
      </c>
      <c r="R231" s="14">
        <f t="shared" si="42"/>
        <v>1606013</v>
      </c>
      <c r="S231" s="14" t="str">
        <f t="shared" si="46"/>
        <v>神器3碎片3等级13</v>
      </c>
      <c r="T231" s="29" t="s">
        <v>520</v>
      </c>
      <c r="U231" s="14">
        <f t="shared" si="43"/>
        <v>13</v>
      </c>
      <c r="V231" s="36">
        <f t="shared" si="47"/>
        <v>1.1380000000000001</v>
      </c>
      <c r="W231" s="17">
        <f t="shared" si="44"/>
        <v>2.2760000000000002E-2</v>
      </c>
      <c r="X231" s="14">
        <f t="shared" si="48"/>
        <v>2</v>
      </c>
      <c r="Y231" s="14">
        <f t="shared" si="49"/>
        <v>3</v>
      </c>
      <c r="Z231" s="14">
        <f t="shared" si="50"/>
        <v>0</v>
      </c>
      <c r="AA231" s="14" t="str">
        <f t="shared" si="51"/>
        <v>DefExt</v>
      </c>
      <c r="AB231" s="14">
        <f t="shared" si="45"/>
        <v>772</v>
      </c>
      <c r="AC231" s="14" t="str">
        <f t="shared" si="52"/>
        <v>HPExt</v>
      </c>
      <c r="AD231" s="14">
        <f t="shared" si="53"/>
        <v>9280</v>
      </c>
      <c r="AE231" s="14" t="str">
        <f t="shared" si="54"/>
        <v>[x]</v>
      </c>
      <c r="AF231" s="27" t="str">
        <f t="shared" si="55"/>
        <v>[x]</v>
      </c>
      <c r="AG231" s="27" t="str">
        <f t="shared" si="56"/>
        <v>[x]</v>
      </c>
    </row>
    <row r="232" spans="9:33" ht="16.5" x14ac:dyDescent="0.2">
      <c r="I232" s="32"/>
      <c r="P232" s="13">
        <v>176</v>
      </c>
      <c r="Q232" s="14">
        <f t="shared" si="41"/>
        <v>11</v>
      </c>
      <c r="R232" s="14">
        <f t="shared" si="42"/>
        <v>1606013</v>
      </c>
      <c r="S232" s="14" t="str">
        <f t="shared" si="46"/>
        <v>神器3碎片3等级14</v>
      </c>
      <c r="T232" s="29" t="s">
        <v>520</v>
      </c>
      <c r="U232" s="14">
        <f t="shared" si="43"/>
        <v>14</v>
      </c>
      <c r="V232" s="36">
        <f t="shared" si="47"/>
        <v>1.242</v>
      </c>
      <c r="W232" s="17">
        <f t="shared" si="44"/>
        <v>2.4840000000000001E-2</v>
      </c>
      <c r="X232" s="14">
        <f t="shared" si="48"/>
        <v>2</v>
      </c>
      <c r="Y232" s="14">
        <f t="shared" si="49"/>
        <v>3</v>
      </c>
      <c r="Z232" s="14">
        <f t="shared" si="50"/>
        <v>0</v>
      </c>
      <c r="AA232" s="14" t="str">
        <f t="shared" si="51"/>
        <v>DefExt</v>
      </c>
      <c r="AB232" s="14">
        <f t="shared" si="45"/>
        <v>843</v>
      </c>
      <c r="AC232" s="14" t="str">
        <f t="shared" si="52"/>
        <v>HPExt</v>
      </c>
      <c r="AD232" s="14">
        <f t="shared" si="53"/>
        <v>10128</v>
      </c>
      <c r="AE232" s="14" t="str">
        <f t="shared" si="54"/>
        <v>[x]</v>
      </c>
      <c r="AF232" s="27" t="str">
        <f t="shared" si="55"/>
        <v>[x]</v>
      </c>
      <c r="AG232" s="27" t="str">
        <f t="shared" si="56"/>
        <v>[x]</v>
      </c>
    </row>
    <row r="233" spans="9:33" ht="16.5" x14ac:dyDescent="0.2">
      <c r="I233" s="32"/>
      <c r="P233" s="13">
        <v>177</v>
      </c>
      <c r="Q233" s="14">
        <f t="shared" si="41"/>
        <v>11</v>
      </c>
      <c r="R233" s="14">
        <f t="shared" si="42"/>
        <v>1606013</v>
      </c>
      <c r="S233" s="14" t="str">
        <f t="shared" si="46"/>
        <v>神器3碎片3等级15</v>
      </c>
      <c r="T233" s="29" t="s">
        <v>520</v>
      </c>
      <c r="U233" s="14">
        <f t="shared" si="43"/>
        <v>15</v>
      </c>
      <c r="V233" s="36">
        <f t="shared" si="47"/>
        <v>1.35</v>
      </c>
      <c r="W233" s="17">
        <f t="shared" si="44"/>
        <v>2.7000000000000003E-2</v>
      </c>
      <c r="X233" s="14">
        <f t="shared" si="48"/>
        <v>2</v>
      </c>
      <c r="Y233" s="14">
        <f t="shared" si="49"/>
        <v>3</v>
      </c>
      <c r="Z233" s="14">
        <f t="shared" si="50"/>
        <v>0</v>
      </c>
      <c r="AA233" s="14" t="str">
        <f t="shared" si="51"/>
        <v>DefExt</v>
      </c>
      <c r="AB233" s="14">
        <f t="shared" si="45"/>
        <v>916</v>
      </c>
      <c r="AC233" s="14" t="str">
        <f t="shared" si="52"/>
        <v>HPExt</v>
      </c>
      <c r="AD233" s="14">
        <f t="shared" si="53"/>
        <v>11009</v>
      </c>
      <c r="AE233" s="14" t="str">
        <f t="shared" si="54"/>
        <v>[x]</v>
      </c>
      <c r="AF233" s="27" t="str">
        <f t="shared" si="55"/>
        <v>[x]</v>
      </c>
      <c r="AG233" s="27" t="str">
        <f t="shared" si="56"/>
        <v>[x]</v>
      </c>
    </row>
    <row r="234" spans="9:33" ht="16.5" x14ac:dyDescent="0.2">
      <c r="I234" s="32"/>
      <c r="P234" s="13">
        <v>178</v>
      </c>
      <c r="Q234" s="14">
        <f t="shared" si="41"/>
        <v>11</v>
      </c>
      <c r="R234" s="14">
        <f t="shared" si="42"/>
        <v>1606013</v>
      </c>
      <c r="S234" s="14" t="str">
        <f t="shared" si="46"/>
        <v>神器3碎片3等级16</v>
      </c>
      <c r="T234" s="29" t="s">
        <v>520</v>
      </c>
      <c r="U234" s="14">
        <f t="shared" si="43"/>
        <v>16</v>
      </c>
      <c r="V234" s="36">
        <f t="shared" si="47"/>
        <v>1.4620000000000002</v>
      </c>
      <c r="W234" s="17">
        <f t="shared" si="44"/>
        <v>2.9240000000000006E-2</v>
      </c>
      <c r="X234" s="14">
        <f t="shared" si="48"/>
        <v>2</v>
      </c>
      <c r="Y234" s="14">
        <f t="shared" si="49"/>
        <v>3</v>
      </c>
      <c r="Z234" s="14">
        <f t="shared" si="50"/>
        <v>0</v>
      </c>
      <c r="AA234" s="14" t="str">
        <f t="shared" si="51"/>
        <v>DefExt</v>
      </c>
      <c r="AB234" s="14">
        <f t="shared" si="45"/>
        <v>992</v>
      </c>
      <c r="AC234" s="14" t="str">
        <f t="shared" si="52"/>
        <v>HPExt</v>
      </c>
      <c r="AD234" s="14">
        <f t="shared" si="53"/>
        <v>11922</v>
      </c>
      <c r="AE234" s="14" t="str">
        <f t="shared" si="54"/>
        <v>[x]</v>
      </c>
      <c r="AF234" s="27" t="str">
        <f t="shared" si="55"/>
        <v>[x]</v>
      </c>
      <c r="AG234" s="27" t="str">
        <f t="shared" si="56"/>
        <v>[x]</v>
      </c>
    </row>
    <row r="235" spans="9:33" ht="16.5" x14ac:dyDescent="0.2">
      <c r="I235" s="32"/>
      <c r="P235" s="13">
        <v>179</v>
      </c>
      <c r="Q235" s="14">
        <f t="shared" si="41"/>
        <v>11</v>
      </c>
      <c r="R235" s="14">
        <f t="shared" si="42"/>
        <v>1606013</v>
      </c>
      <c r="S235" s="14" t="str">
        <f t="shared" si="46"/>
        <v>神器3碎片3等级17</v>
      </c>
      <c r="T235" s="29" t="s">
        <v>520</v>
      </c>
      <c r="U235" s="14">
        <f t="shared" si="43"/>
        <v>17</v>
      </c>
      <c r="V235" s="36">
        <f t="shared" si="47"/>
        <v>1.5779999999999998</v>
      </c>
      <c r="W235" s="17">
        <f t="shared" si="44"/>
        <v>3.1559999999999998E-2</v>
      </c>
      <c r="X235" s="14">
        <f t="shared" si="48"/>
        <v>2</v>
      </c>
      <c r="Y235" s="14">
        <f t="shared" si="49"/>
        <v>3</v>
      </c>
      <c r="Z235" s="14">
        <f t="shared" si="50"/>
        <v>0</v>
      </c>
      <c r="AA235" s="14" t="str">
        <f t="shared" si="51"/>
        <v>DefExt</v>
      </c>
      <c r="AB235" s="14">
        <f t="shared" si="45"/>
        <v>1071</v>
      </c>
      <c r="AC235" s="14" t="str">
        <f t="shared" si="52"/>
        <v>HPExt</v>
      </c>
      <c r="AD235" s="14">
        <f t="shared" si="53"/>
        <v>12868</v>
      </c>
      <c r="AE235" s="14" t="str">
        <f t="shared" si="54"/>
        <v>[x]</v>
      </c>
      <c r="AF235" s="27" t="str">
        <f t="shared" si="55"/>
        <v>[x]</v>
      </c>
      <c r="AG235" s="27" t="str">
        <f t="shared" si="56"/>
        <v>[x]</v>
      </c>
    </row>
    <row r="236" spans="9:33" ht="16.5" x14ac:dyDescent="0.2">
      <c r="I236" s="32"/>
      <c r="P236" s="13">
        <v>180</v>
      </c>
      <c r="Q236" s="14">
        <f t="shared" si="41"/>
        <v>11</v>
      </c>
      <c r="R236" s="14">
        <f t="shared" si="42"/>
        <v>1606013</v>
      </c>
      <c r="S236" s="14" t="str">
        <f t="shared" si="46"/>
        <v>神器3碎片3等级18</v>
      </c>
      <c r="T236" s="29" t="s">
        <v>520</v>
      </c>
      <c r="U236" s="14">
        <f t="shared" si="43"/>
        <v>18</v>
      </c>
      <c r="V236" s="36">
        <f t="shared" si="47"/>
        <v>1.698</v>
      </c>
      <c r="W236" s="17">
        <f t="shared" si="44"/>
        <v>3.3959999999999997E-2</v>
      </c>
      <c r="X236" s="14">
        <f t="shared" si="48"/>
        <v>2</v>
      </c>
      <c r="Y236" s="14">
        <f t="shared" si="49"/>
        <v>3</v>
      </c>
      <c r="Z236" s="14">
        <f t="shared" si="50"/>
        <v>0</v>
      </c>
      <c r="AA236" s="14" t="str">
        <f t="shared" si="51"/>
        <v>DefExt</v>
      </c>
      <c r="AB236" s="14">
        <f t="shared" si="45"/>
        <v>1152</v>
      </c>
      <c r="AC236" s="14" t="str">
        <f t="shared" si="52"/>
        <v>HPExt</v>
      </c>
      <c r="AD236" s="14">
        <f t="shared" si="53"/>
        <v>13846</v>
      </c>
      <c r="AE236" s="14" t="str">
        <f t="shared" si="54"/>
        <v>[x]</v>
      </c>
      <c r="AF236" s="27" t="str">
        <f t="shared" si="55"/>
        <v>[x]</v>
      </c>
      <c r="AG236" s="27" t="str">
        <f t="shared" si="56"/>
        <v>[x]</v>
      </c>
    </row>
    <row r="237" spans="9:33" ht="16.5" x14ac:dyDescent="0.2">
      <c r="P237" s="13">
        <v>181</v>
      </c>
      <c r="Q237" s="14">
        <f t="shared" si="41"/>
        <v>11</v>
      </c>
      <c r="R237" s="14">
        <f t="shared" si="42"/>
        <v>1606013</v>
      </c>
      <c r="S237" s="14" t="str">
        <f t="shared" si="46"/>
        <v>神器3碎片3等级19</v>
      </c>
      <c r="T237" s="29" t="s">
        <v>520</v>
      </c>
      <c r="U237" s="14">
        <f t="shared" si="43"/>
        <v>19</v>
      </c>
      <c r="V237" s="36">
        <f t="shared" si="47"/>
        <v>1.8220000000000001</v>
      </c>
      <c r="W237" s="17">
        <f t="shared" si="44"/>
        <v>3.644E-2</v>
      </c>
      <c r="X237" s="14">
        <f t="shared" si="48"/>
        <v>2</v>
      </c>
      <c r="Y237" s="14">
        <f t="shared" si="49"/>
        <v>3</v>
      </c>
      <c r="Z237" s="14">
        <f t="shared" si="50"/>
        <v>0</v>
      </c>
      <c r="AA237" s="14" t="str">
        <f t="shared" si="51"/>
        <v>DefExt</v>
      </c>
      <c r="AB237" s="14">
        <f t="shared" si="45"/>
        <v>1237</v>
      </c>
      <c r="AC237" s="14" t="str">
        <f t="shared" si="52"/>
        <v>HPExt</v>
      </c>
      <c r="AD237" s="14">
        <f t="shared" si="53"/>
        <v>14858</v>
      </c>
      <c r="AE237" s="14" t="str">
        <f t="shared" si="54"/>
        <v>[x]</v>
      </c>
      <c r="AF237" s="27" t="str">
        <f t="shared" si="55"/>
        <v>[x]</v>
      </c>
      <c r="AG237" s="27" t="str">
        <f t="shared" si="56"/>
        <v>[x]</v>
      </c>
    </row>
    <row r="238" spans="9:33" ht="16.5" x14ac:dyDescent="0.2">
      <c r="P238" s="13">
        <v>182</v>
      </c>
      <c r="Q238" s="14">
        <f t="shared" si="41"/>
        <v>11</v>
      </c>
      <c r="R238" s="14">
        <f t="shared" si="42"/>
        <v>1606013</v>
      </c>
      <c r="S238" s="14" t="str">
        <f t="shared" si="46"/>
        <v>神器3碎片3等级20</v>
      </c>
      <c r="T238" s="29" t="s">
        <v>520</v>
      </c>
      <c r="U238" s="14">
        <f t="shared" si="43"/>
        <v>20</v>
      </c>
      <c r="V238" s="36">
        <f t="shared" si="47"/>
        <v>1.95</v>
      </c>
      <c r="W238" s="17">
        <f t="shared" si="44"/>
        <v>3.9E-2</v>
      </c>
      <c r="X238" s="14">
        <f t="shared" si="48"/>
        <v>2</v>
      </c>
      <c r="Y238" s="14">
        <f t="shared" si="49"/>
        <v>3</v>
      </c>
      <c r="Z238" s="14">
        <f t="shared" si="50"/>
        <v>0</v>
      </c>
      <c r="AA238" s="14" t="str">
        <f t="shared" si="51"/>
        <v>DefExt</v>
      </c>
      <c r="AB238" s="14">
        <f t="shared" si="45"/>
        <v>1323</v>
      </c>
      <c r="AC238" s="14" t="str">
        <f t="shared" si="52"/>
        <v>HPExt</v>
      </c>
      <c r="AD238" s="14">
        <f t="shared" si="53"/>
        <v>15902</v>
      </c>
      <c r="AE238" s="14" t="str">
        <f t="shared" si="54"/>
        <v>[x]</v>
      </c>
      <c r="AF238" s="27" t="str">
        <f t="shared" si="55"/>
        <v>[x]</v>
      </c>
      <c r="AG238" s="27" t="str">
        <f t="shared" si="56"/>
        <v>[x]</v>
      </c>
    </row>
    <row r="239" spans="9:33" ht="16.5" x14ac:dyDescent="0.2">
      <c r="P239" s="13">
        <v>183</v>
      </c>
      <c r="Q239" s="14">
        <f t="shared" si="41"/>
        <v>11</v>
      </c>
      <c r="R239" s="14">
        <f t="shared" si="42"/>
        <v>1606013</v>
      </c>
      <c r="S239" s="14" t="str">
        <f t="shared" si="46"/>
        <v>神器3碎片3等级21</v>
      </c>
      <c r="T239" s="29" t="s">
        <v>520</v>
      </c>
      <c r="U239" s="14">
        <f t="shared" si="43"/>
        <v>21</v>
      </c>
      <c r="V239" s="36">
        <f t="shared" si="47"/>
        <v>2.0819999999999999</v>
      </c>
      <c r="W239" s="17">
        <f t="shared" si="44"/>
        <v>4.1639999999999996E-2</v>
      </c>
      <c r="X239" s="14">
        <f t="shared" si="48"/>
        <v>2</v>
      </c>
      <c r="Y239" s="14">
        <f t="shared" si="49"/>
        <v>3</v>
      </c>
      <c r="Z239" s="14">
        <f t="shared" si="50"/>
        <v>0</v>
      </c>
      <c r="AA239" s="14" t="str">
        <f t="shared" si="51"/>
        <v>DefExt</v>
      </c>
      <c r="AB239" s="14">
        <f t="shared" si="45"/>
        <v>1413</v>
      </c>
      <c r="AC239" s="14" t="str">
        <f t="shared" si="52"/>
        <v>HPExt</v>
      </c>
      <c r="AD239" s="14">
        <f t="shared" si="53"/>
        <v>16978</v>
      </c>
      <c r="AE239" s="14" t="str">
        <f t="shared" si="54"/>
        <v>[x]</v>
      </c>
      <c r="AF239" s="27" t="str">
        <f t="shared" si="55"/>
        <v>[x]</v>
      </c>
      <c r="AG239" s="27" t="str">
        <f t="shared" si="56"/>
        <v>[x]</v>
      </c>
    </row>
    <row r="240" spans="9:33" ht="16.5" x14ac:dyDescent="0.2">
      <c r="P240" s="13">
        <v>184</v>
      </c>
      <c r="Q240" s="14">
        <f t="shared" si="41"/>
        <v>12</v>
      </c>
      <c r="R240" s="14">
        <f t="shared" si="42"/>
        <v>1606014</v>
      </c>
      <c r="S240" s="14" t="str">
        <f t="shared" si="46"/>
        <v>神器3碎片4等级1</v>
      </c>
      <c r="T240" s="29" t="s">
        <v>520</v>
      </c>
      <c r="U240" s="14">
        <f t="shared" si="43"/>
        <v>1</v>
      </c>
      <c r="V240" s="36">
        <f t="shared" si="47"/>
        <v>0.20200000000000001</v>
      </c>
      <c r="W240" s="17">
        <f t="shared" si="44"/>
        <v>6.0600000000000003E-3</v>
      </c>
      <c r="X240" s="14">
        <f t="shared" si="48"/>
        <v>2</v>
      </c>
      <c r="Y240" s="14">
        <f t="shared" si="49"/>
        <v>3</v>
      </c>
      <c r="Z240" s="14">
        <f t="shared" si="50"/>
        <v>0</v>
      </c>
      <c r="AA240" s="14" t="str">
        <f t="shared" si="51"/>
        <v>DefExt</v>
      </c>
      <c r="AB240" s="14">
        <f t="shared" si="45"/>
        <v>205</v>
      </c>
      <c r="AC240" s="14" t="str">
        <f t="shared" si="52"/>
        <v>HPExt</v>
      </c>
      <c r="AD240" s="14">
        <f t="shared" si="53"/>
        <v>2470</v>
      </c>
      <c r="AE240" s="14" t="str">
        <f t="shared" si="54"/>
        <v>[x]</v>
      </c>
      <c r="AF240" s="27" t="str">
        <f t="shared" si="55"/>
        <v>[x]</v>
      </c>
      <c r="AG240" s="27" t="str">
        <f t="shared" si="56"/>
        <v>[x]</v>
      </c>
    </row>
    <row r="241" spans="16:33" ht="16.5" x14ac:dyDescent="0.2">
      <c r="P241" s="13">
        <v>185</v>
      </c>
      <c r="Q241" s="14">
        <f t="shared" si="41"/>
        <v>12</v>
      </c>
      <c r="R241" s="14">
        <f t="shared" si="42"/>
        <v>1606014</v>
      </c>
      <c r="S241" s="14" t="str">
        <f t="shared" si="46"/>
        <v>神器3碎片4等级2</v>
      </c>
      <c r="T241" s="29" t="s">
        <v>520</v>
      </c>
      <c r="U241" s="14">
        <f t="shared" si="43"/>
        <v>2</v>
      </c>
      <c r="V241" s="36">
        <f t="shared" si="47"/>
        <v>0.25800000000000001</v>
      </c>
      <c r="W241" s="17">
        <f t="shared" si="44"/>
        <v>7.7400000000000004E-3</v>
      </c>
      <c r="X241" s="14">
        <f t="shared" si="48"/>
        <v>2</v>
      </c>
      <c r="Y241" s="14">
        <f t="shared" si="49"/>
        <v>3</v>
      </c>
      <c r="Z241" s="14">
        <f t="shared" si="50"/>
        <v>0</v>
      </c>
      <c r="AA241" s="14" t="str">
        <f t="shared" si="51"/>
        <v>DefExt</v>
      </c>
      <c r="AB241" s="14">
        <f t="shared" si="45"/>
        <v>262</v>
      </c>
      <c r="AC241" s="14" t="str">
        <f t="shared" si="52"/>
        <v>HPExt</v>
      </c>
      <c r="AD241" s="14">
        <f t="shared" si="53"/>
        <v>3155</v>
      </c>
      <c r="AE241" s="14" t="str">
        <f t="shared" si="54"/>
        <v>[x]</v>
      </c>
      <c r="AF241" s="27" t="str">
        <f t="shared" si="55"/>
        <v>[x]</v>
      </c>
      <c r="AG241" s="27" t="str">
        <f t="shared" si="56"/>
        <v>[x]</v>
      </c>
    </row>
    <row r="242" spans="16:33" ht="16.5" x14ac:dyDescent="0.2">
      <c r="P242" s="13">
        <v>186</v>
      </c>
      <c r="Q242" s="14">
        <f t="shared" si="41"/>
        <v>12</v>
      </c>
      <c r="R242" s="14">
        <f t="shared" si="42"/>
        <v>1606014</v>
      </c>
      <c r="S242" s="14" t="str">
        <f t="shared" si="46"/>
        <v>神器3碎片4等级3</v>
      </c>
      <c r="T242" s="29" t="s">
        <v>520</v>
      </c>
      <c r="U242" s="14">
        <f t="shared" si="43"/>
        <v>3</v>
      </c>
      <c r="V242" s="36">
        <f t="shared" si="47"/>
        <v>0.31800000000000006</v>
      </c>
      <c r="W242" s="17">
        <f t="shared" si="44"/>
        <v>9.5400000000000016E-3</v>
      </c>
      <c r="X242" s="14">
        <f t="shared" si="48"/>
        <v>2</v>
      </c>
      <c r="Y242" s="14">
        <f t="shared" si="49"/>
        <v>3</v>
      </c>
      <c r="Z242" s="14">
        <f t="shared" si="50"/>
        <v>0</v>
      </c>
      <c r="AA242" s="14" t="str">
        <f t="shared" si="51"/>
        <v>DefExt</v>
      </c>
      <c r="AB242" s="14">
        <f t="shared" si="45"/>
        <v>323</v>
      </c>
      <c r="AC242" s="14" t="str">
        <f t="shared" si="52"/>
        <v>HPExt</v>
      </c>
      <c r="AD242" s="14">
        <f t="shared" si="53"/>
        <v>3889</v>
      </c>
      <c r="AE242" s="14" t="str">
        <f t="shared" si="54"/>
        <v>[x]</v>
      </c>
      <c r="AF242" s="27" t="str">
        <f t="shared" si="55"/>
        <v>[x]</v>
      </c>
      <c r="AG242" s="27" t="str">
        <f t="shared" si="56"/>
        <v>[x]</v>
      </c>
    </row>
    <row r="243" spans="16:33" ht="16.5" x14ac:dyDescent="0.2">
      <c r="P243" s="13">
        <v>187</v>
      </c>
      <c r="Q243" s="14">
        <f t="shared" si="41"/>
        <v>12</v>
      </c>
      <c r="R243" s="14">
        <f t="shared" si="42"/>
        <v>1606014</v>
      </c>
      <c r="S243" s="14" t="str">
        <f t="shared" si="46"/>
        <v>神器3碎片4等级4</v>
      </c>
      <c r="T243" s="29" t="s">
        <v>520</v>
      </c>
      <c r="U243" s="14">
        <f t="shared" si="43"/>
        <v>4</v>
      </c>
      <c r="V243" s="36">
        <f t="shared" si="47"/>
        <v>0.38200000000000001</v>
      </c>
      <c r="W243" s="17">
        <f t="shared" si="44"/>
        <v>1.146E-2</v>
      </c>
      <c r="X243" s="14">
        <f t="shared" si="48"/>
        <v>2</v>
      </c>
      <c r="Y243" s="14">
        <f t="shared" si="49"/>
        <v>3</v>
      </c>
      <c r="Z243" s="14">
        <f t="shared" si="50"/>
        <v>0</v>
      </c>
      <c r="AA243" s="14" t="str">
        <f t="shared" si="51"/>
        <v>DefExt</v>
      </c>
      <c r="AB243" s="14">
        <f t="shared" si="45"/>
        <v>389</v>
      </c>
      <c r="AC243" s="14" t="str">
        <f t="shared" si="52"/>
        <v>HPExt</v>
      </c>
      <c r="AD243" s="14">
        <f t="shared" si="53"/>
        <v>4672</v>
      </c>
      <c r="AE243" s="14" t="str">
        <f t="shared" si="54"/>
        <v>[x]</v>
      </c>
      <c r="AF243" s="27" t="str">
        <f t="shared" si="55"/>
        <v>[x]</v>
      </c>
      <c r="AG243" s="27" t="str">
        <f t="shared" si="56"/>
        <v>[x]</v>
      </c>
    </row>
    <row r="244" spans="16:33" ht="16.5" x14ac:dyDescent="0.2">
      <c r="P244" s="13">
        <v>188</v>
      </c>
      <c r="Q244" s="14">
        <f t="shared" si="41"/>
        <v>12</v>
      </c>
      <c r="R244" s="14">
        <f t="shared" si="42"/>
        <v>1606014</v>
      </c>
      <c r="S244" s="14" t="str">
        <f t="shared" si="46"/>
        <v>神器3碎片4等级5</v>
      </c>
      <c r="T244" s="29" t="s">
        <v>520</v>
      </c>
      <c r="U244" s="14">
        <f t="shared" si="43"/>
        <v>5</v>
      </c>
      <c r="V244" s="36">
        <f t="shared" si="47"/>
        <v>0.45</v>
      </c>
      <c r="W244" s="17">
        <f t="shared" si="44"/>
        <v>1.35E-2</v>
      </c>
      <c r="X244" s="14">
        <f t="shared" si="48"/>
        <v>2</v>
      </c>
      <c r="Y244" s="14">
        <f t="shared" si="49"/>
        <v>3</v>
      </c>
      <c r="Z244" s="14">
        <f t="shared" si="50"/>
        <v>0</v>
      </c>
      <c r="AA244" s="14" t="str">
        <f t="shared" si="51"/>
        <v>DefExt</v>
      </c>
      <c r="AB244" s="14">
        <f t="shared" si="45"/>
        <v>458</v>
      </c>
      <c r="AC244" s="14" t="str">
        <f t="shared" si="52"/>
        <v>HPExt</v>
      </c>
      <c r="AD244" s="14">
        <f t="shared" si="53"/>
        <v>5504</v>
      </c>
      <c r="AE244" s="14" t="str">
        <f t="shared" si="54"/>
        <v>[x]</v>
      </c>
      <c r="AF244" s="27" t="str">
        <f t="shared" si="55"/>
        <v>[x]</v>
      </c>
      <c r="AG244" s="27" t="str">
        <f t="shared" si="56"/>
        <v>[x]</v>
      </c>
    </row>
    <row r="245" spans="16:33" ht="16.5" x14ac:dyDescent="0.2">
      <c r="P245" s="13">
        <v>189</v>
      </c>
      <c r="Q245" s="14">
        <f t="shared" si="41"/>
        <v>12</v>
      </c>
      <c r="R245" s="14">
        <f t="shared" si="42"/>
        <v>1606014</v>
      </c>
      <c r="S245" s="14" t="str">
        <f t="shared" si="46"/>
        <v>神器3碎片4等级6</v>
      </c>
      <c r="T245" s="29" t="s">
        <v>520</v>
      </c>
      <c r="U245" s="14">
        <f t="shared" si="43"/>
        <v>6</v>
      </c>
      <c r="V245" s="36">
        <f t="shared" si="47"/>
        <v>0.52200000000000002</v>
      </c>
      <c r="W245" s="17">
        <f t="shared" si="44"/>
        <v>1.566E-2</v>
      </c>
      <c r="X245" s="14">
        <f t="shared" si="48"/>
        <v>2</v>
      </c>
      <c r="Y245" s="14">
        <f t="shared" si="49"/>
        <v>3</v>
      </c>
      <c r="Z245" s="14">
        <f t="shared" si="50"/>
        <v>0</v>
      </c>
      <c r="AA245" s="14" t="str">
        <f t="shared" si="51"/>
        <v>DefExt</v>
      </c>
      <c r="AB245" s="14">
        <f t="shared" si="45"/>
        <v>531</v>
      </c>
      <c r="AC245" s="14" t="str">
        <f t="shared" si="52"/>
        <v>HPExt</v>
      </c>
      <c r="AD245" s="14">
        <f t="shared" si="53"/>
        <v>6385</v>
      </c>
      <c r="AE245" s="14" t="str">
        <f t="shared" si="54"/>
        <v>[x]</v>
      </c>
      <c r="AF245" s="27" t="str">
        <f t="shared" si="55"/>
        <v>[x]</v>
      </c>
      <c r="AG245" s="27" t="str">
        <f t="shared" si="56"/>
        <v>[x]</v>
      </c>
    </row>
    <row r="246" spans="16:33" ht="16.5" x14ac:dyDescent="0.2">
      <c r="P246" s="13">
        <v>190</v>
      </c>
      <c r="Q246" s="14">
        <f t="shared" si="41"/>
        <v>12</v>
      </c>
      <c r="R246" s="14">
        <f t="shared" si="42"/>
        <v>1606014</v>
      </c>
      <c r="S246" s="14" t="str">
        <f t="shared" si="46"/>
        <v>神器3碎片4等级7</v>
      </c>
      <c r="T246" s="29" t="s">
        <v>520</v>
      </c>
      <c r="U246" s="14">
        <f t="shared" si="43"/>
        <v>7</v>
      </c>
      <c r="V246" s="36">
        <f t="shared" si="47"/>
        <v>0.59799999999999998</v>
      </c>
      <c r="W246" s="17">
        <f t="shared" si="44"/>
        <v>1.7939999999999998E-2</v>
      </c>
      <c r="X246" s="14">
        <f t="shared" si="48"/>
        <v>2</v>
      </c>
      <c r="Y246" s="14">
        <f t="shared" si="49"/>
        <v>3</v>
      </c>
      <c r="Z246" s="14">
        <f t="shared" si="50"/>
        <v>0</v>
      </c>
      <c r="AA246" s="14" t="str">
        <f t="shared" si="51"/>
        <v>DefExt</v>
      </c>
      <c r="AB246" s="14">
        <f t="shared" si="45"/>
        <v>609</v>
      </c>
      <c r="AC246" s="14" t="str">
        <f t="shared" si="52"/>
        <v>HPExt</v>
      </c>
      <c r="AD246" s="14">
        <f t="shared" si="53"/>
        <v>7314</v>
      </c>
      <c r="AE246" s="14" t="str">
        <f t="shared" si="54"/>
        <v>[x]</v>
      </c>
      <c r="AF246" s="27" t="str">
        <f t="shared" si="55"/>
        <v>[x]</v>
      </c>
      <c r="AG246" s="27" t="str">
        <f t="shared" si="56"/>
        <v>[x]</v>
      </c>
    </row>
    <row r="247" spans="16:33" ht="16.5" x14ac:dyDescent="0.2">
      <c r="P247" s="13">
        <v>191</v>
      </c>
      <c r="Q247" s="14">
        <f t="shared" si="41"/>
        <v>12</v>
      </c>
      <c r="R247" s="14">
        <f t="shared" si="42"/>
        <v>1606014</v>
      </c>
      <c r="S247" s="14" t="str">
        <f t="shared" si="46"/>
        <v>神器3碎片4等级8</v>
      </c>
      <c r="T247" s="29" t="s">
        <v>520</v>
      </c>
      <c r="U247" s="14">
        <f t="shared" si="43"/>
        <v>8</v>
      </c>
      <c r="V247" s="36">
        <f t="shared" si="47"/>
        <v>0.67800000000000005</v>
      </c>
      <c r="W247" s="17">
        <f t="shared" si="44"/>
        <v>2.034E-2</v>
      </c>
      <c r="X247" s="14">
        <f t="shared" si="48"/>
        <v>2</v>
      </c>
      <c r="Y247" s="14">
        <f t="shared" si="49"/>
        <v>3</v>
      </c>
      <c r="Z247" s="14">
        <f t="shared" si="50"/>
        <v>0</v>
      </c>
      <c r="AA247" s="14" t="str">
        <f t="shared" si="51"/>
        <v>DefExt</v>
      </c>
      <c r="AB247" s="14">
        <f t="shared" si="45"/>
        <v>690</v>
      </c>
      <c r="AC247" s="14" t="str">
        <f t="shared" si="52"/>
        <v>HPExt</v>
      </c>
      <c r="AD247" s="14">
        <f t="shared" si="53"/>
        <v>8293</v>
      </c>
      <c r="AE247" s="14" t="str">
        <f t="shared" si="54"/>
        <v>[x]</v>
      </c>
      <c r="AF247" s="27" t="str">
        <f t="shared" si="55"/>
        <v>[x]</v>
      </c>
      <c r="AG247" s="27" t="str">
        <f t="shared" si="56"/>
        <v>[x]</v>
      </c>
    </row>
    <row r="248" spans="16:33" ht="16.5" x14ac:dyDescent="0.2">
      <c r="P248" s="13">
        <v>192</v>
      </c>
      <c r="Q248" s="14">
        <f t="shared" si="41"/>
        <v>12</v>
      </c>
      <c r="R248" s="14">
        <f t="shared" si="42"/>
        <v>1606014</v>
      </c>
      <c r="S248" s="14" t="str">
        <f t="shared" si="46"/>
        <v>神器3碎片4等级9</v>
      </c>
      <c r="T248" s="29" t="s">
        <v>520</v>
      </c>
      <c r="U248" s="14">
        <f t="shared" si="43"/>
        <v>9</v>
      </c>
      <c r="V248" s="36">
        <f t="shared" si="47"/>
        <v>0.76200000000000001</v>
      </c>
      <c r="W248" s="17">
        <f t="shared" si="44"/>
        <v>2.2859999999999998E-2</v>
      </c>
      <c r="X248" s="14">
        <f t="shared" si="48"/>
        <v>2</v>
      </c>
      <c r="Y248" s="14">
        <f t="shared" si="49"/>
        <v>3</v>
      </c>
      <c r="Z248" s="14">
        <f t="shared" si="50"/>
        <v>0</v>
      </c>
      <c r="AA248" s="14" t="str">
        <f t="shared" si="51"/>
        <v>DefExt</v>
      </c>
      <c r="AB248" s="14">
        <f t="shared" si="45"/>
        <v>776</v>
      </c>
      <c r="AC248" s="14" t="str">
        <f t="shared" si="52"/>
        <v>HPExt</v>
      </c>
      <c r="AD248" s="14">
        <f t="shared" si="53"/>
        <v>9321</v>
      </c>
      <c r="AE248" s="14" t="str">
        <f t="shared" si="54"/>
        <v>[x]</v>
      </c>
      <c r="AF248" s="27" t="str">
        <f t="shared" si="55"/>
        <v>[x]</v>
      </c>
      <c r="AG248" s="27" t="str">
        <f t="shared" si="56"/>
        <v>[x]</v>
      </c>
    </row>
    <row r="249" spans="16:33" ht="16.5" x14ac:dyDescent="0.2">
      <c r="P249" s="13">
        <v>193</v>
      </c>
      <c r="Q249" s="14">
        <f t="shared" ref="Q249:Q312" si="57">MATCH(P249-1,$X$4:$X$46,1)</f>
        <v>12</v>
      </c>
      <c r="R249" s="14">
        <f t="shared" ref="R249:R312" si="58">INDEX($S$5:$S$46,Q249)</f>
        <v>1606014</v>
      </c>
      <c r="S249" s="14" t="str">
        <f t="shared" si="46"/>
        <v>神器3碎片4等级10</v>
      </c>
      <c r="T249" s="29" t="s">
        <v>520</v>
      </c>
      <c r="U249" s="14">
        <f t="shared" ref="U249:U312" si="59">P249-INDEX($X$4:$X$46,Q249)</f>
        <v>10</v>
      </c>
      <c r="V249" s="36">
        <f t="shared" si="47"/>
        <v>0.85000000000000009</v>
      </c>
      <c r="W249" s="17">
        <f t="shared" ref="W249:W312" si="60">INDEX($V$5:$V$46,Q249)*V249</f>
        <v>2.5500000000000002E-2</v>
      </c>
      <c r="X249" s="14">
        <f t="shared" si="48"/>
        <v>2</v>
      </c>
      <c r="Y249" s="14">
        <f t="shared" si="49"/>
        <v>3</v>
      </c>
      <c r="Z249" s="14">
        <f t="shared" si="50"/>
        <v>0</v>
      </c>
      <c r="AA249" s="14" t="str">
        <f t="shared" si="51"/>
        <v>DefExt</v>
      </c>
      <c r="AB249" s="14">
        <f t="shared" ref="AB249:AB312" si="61">INT(INDEX($E$4:$G$4,X249)*W249*INDEX($Y$5:$AA$46,Q249,X249))</f>
        <v>865</v>
      </c>
      <c r="AC249" s="14" t="str">
        <f t="shared" si="52"/>
        <v>HPExt</v>
      </c>
      <c r="AD249" s="14">
        <f t="shared" si="53"/>
        <v>10397</v>
      </c>
      <c r="AE249" s="14" t="str">
        <f t="shared" si="54"/>
        <v>[x]</v>
      </c>
      <c r="AF249" s="27" t="str">
        <f t="shared" si="55"/>
        <v>[x]</v>
      </c>
      <c r="AG249" s="27" t="str">
        <f t="shared" si="56"/>
        <v>[x]</v>
      </c>
    </row>
    <row r="250" spans="16:33" ht="16.5" x14ac:dyDescent="0.2">
      <c r="P250" s="13">
        <v>194</v>
      </c>
      <c r="Q250" s="14">
        <f t="shared" si="57"/>
        <v>12</v>
      </c>
      <c r="R250" s="14">
        <f t="shared" si="58"/>
        <v>1606014</v>
      </c>
      <c r="S250" s="14" t="str">
        <f t="shared" ref="S250:S313" si="62">INDEX($P$5:$P$46,Q250)&amp;"碎片"&amp;INDEX($R$5:$R$46,Q250)&amp;"等级"&amp;U250</f>
        <v>神器3碎片4等级11</v>
      </c>
      <c r="T250" s="29" t="s">
        <v>520</v>
      </c>
      <c r="U250" s="14">
        <f t="shared" si="59"/>
        <v>11</v>
      </c>
      <c r="V250" s="36">
        <f t="shared" ref="V250:V313" si="63">15%+U250*5%+U250*U250*0.2%</f>
        <v>0.94200000000000006</v>
      </c>
      <c r="W250" s="17">
        <f t="shared" si="60"/>
        <v>2.826E-2</v>
      </c>
      <c r="X250" s="14">
        <f t="shared" ref="X250:X313" si="64">INDEX($AB$5:$AB$46,Q250)</f>
        <v>2</v>
      </c>
      <c r="Y250" s="14">
        <f t="shared" ref="Y250:Y313" si="65">INDEX(AC$5:AC$46,$Q250)</f>
        <v>3</v>
      </c>
      <c r="Z250" s="14">
        <f t="shared" ref="Z250:Z313" si="66">INDEX(AD$5:AD$46,$Q250)</f>
        <v>0</v>
      </c>
      <c r="AA250" s="14" t="str">
        <f t="shared" ref="AA250:AA313" si="67">INDEX($Y$3:$AA$3,X250)</f>
        <v>DefExt</v>
      </c>
      <c r="AB250" s="14">
        <f t="shared" si="61"/>
        <v>959</v>
      </c>
      <c r="AC250" s="14" t="str">
        <f t="shared" ref="AC250:AC313" si="68">IF(Y250&gt;0,INDEX($Y$3:$AA$3,Y250),"[x]")</f>
        <v>HPExt</v>
      </c>
      <c r="AD250" s="14">
        <f t="shared" ref="AD250:AD313" si="69">IF(Y250&gt;0,INT(INDEX($E$4:$G$4,Y250)*W250*INDEX($Y$5:$AA$46,Q250,Y250)),"[x]")</f>
        <v>11522</v>
      </c>
      <c r="AE250" s="14" t="str">
        <f t="shared" ref="AE250:AE313" si="70">IF(Z250&gt;0,INDEX($Y$3:$AA$3,Z250),"[x]")</f>
        <v>[x]</v>
      </c>
      <c r="AF250" s="27" t="str">
        <f t="shared" ref="AF250:AF313" si="71">IF(Z250&gt;0,INT(INDEX($E$4:$G$4,Z250)*W250*INDEX($Y$5:$AA$46,Q250,Z250)),"[x]")</f>
        <v>[x]</v>
      </c>
      <c r="AG250" s="27" t="str">
        <f t="shared" ref="AG250:AG313" si="72">IF(INDEX($AE$5:$AE$46,Q250)&gt;0,INDEX($AE$5:$AE$46,Q250)*U250,"[x]")</f>
        <v>[x]</v>
      </c>
    </row>
    <row r="251" spans="16:33" ht="16.5" x14ac:dyDescent="0.2">
      <c r="P251" s="13">
        <v>195</v>
      </c>
      <c r="Q251" s="14">
        <f t="shared" si="57"/>
        <v>12</v>
      </c>
      <c r="R251" s="14">
        <f t="shared" si="58"/>
        <v>1606014</v>
      </c>
      <c r="S251" s="14" t="str">
        <f t="shared" si="62"/>
        <v>神器3碎片4等级12</v>
      </c>
      <c r="T251" s="29" t="s">
        <v>520</v>
      </c>
      <c r="U251" s="14">
        <f t="shared" si="59"/>
        <v>12</v>
      </c>
      <c r="V251" s="36">
        <f t="shared" si="63"/>
        <v>1.0380000000000003</v>
      </c>
      <c r="W251" s="17">
        <f t="shared" si="60"/>
        <v>3.1140000000000008E-2</v>
      </c>
      <c r="X251" s="14">
        <f t="shared" si="64"/>
        <v>2</v>
      </c>
      <c r="Y251" s="14">
        <f t="shared" si="65"/>
        <v>3</v>
      </c>
      <c r="Z251" s="14">
        <f t="shared" si="66"/>
        <v>0</v>
      </c>
      <c r="AA251" s="14" t="str">
        <f t="shared" si="67"/>
        <v>DefExt</v>
      </c>
      <c r="AB251" s="14">
        <f t="shared" si="61"/>
        <v>1057</v>
      </c>
      <c r="AC251" s="14" t="str">
        <f t="shared" si="68"/>
        <v>HPExt</v>
      </c>
      <c r="AD251" s="14">
        <f t="shared" si="69"/>
        <v>12697</v>
      </c>
      <c r="AE251" s="14" t="str">
        <f t="shared" si="70"/>
        <v>[x]</v>
      </c>
      <c r="AF251" s="27" t="str">
        <f t="shared" si="71"/>
        <v>[x]</v>
      </c>
      <c r="AG251" s="27" t="str">
        <f t="shared" si="72"/>
        <v>[x]</v>
      </c>
    </row>
    <row r="252" spans="16:33" ht="16.5" x14ac:dyDescent="0.2">
      <c r="P252" s="13">
        <v>196</v>
      </c>
      <c r="Q252" s="14">
        <f t="shared" si="57"/>
        <v>12</v>
      </c>
      <c r="R252" s="14">
        <f t="shared" si="58"/>
        <v>1606014</v>
      </c>
      <c r="S252" s="14" t="str">
        <f t="shared" si="62"/>
        <v>神器3碎片4等级13</v>
      </c>
      <c r="T252" s="29" t="s">
        <v>520</v>
      </c>
      <c r="U252" s="14">
        <f t="shared" si="59"/>
        <v>13</v>
      </c>
      <c r="V252" s="36">
        <f t="shared" si="63"/>
        <v>1.1380000000000001</v>
      </c>
      <c r="W252" s="17">
        <f t="shared" si="60"/>
        <v>3.4140000000000004E-2</v>
      </c>
      <c r="X252" s="14">
        <f t="shared" si="64"/>
        <v>2</v>
      </c>
      <c r="Y252" s="14">
        <f t="shared" si="65"/>
        <v>3</v>
      </c>
      <c r="Z252" s="14">
        <f t="shared" si="66"/>
        <v>0</v>
      </c>
      <c r="AA252" s="14" t="str">
        <f t="shared" si="67"/>
        <v>DefExt</v>
      </c>
      <c r="AB252" s="14">
        <f t="shared" si="61"/>
        <v>1158</v>
      </c>
      <c r="AC252" s="14" t="str">
        <f t="shared" si="68"/>
        <v>HPExt</v>
      </c>
      <c r="AD252" s="14">
        <f t="shared" si="69"/>
        <v>13920</v>
      </c>
      <c r="AE252" s="14" t="str">
        <f t="shared" si="70"/>
        <v>[x]</v>
      </c>
      <c r="AF252" s="27" t="str">
        <f t="shared" si="71"/>
        <v>[x]</v>
      </c>
      <c r="AG252" s="27" t="str">
        <f t="shared" si="72"/>
        <v>[x]</v>
      </c>
    </row>
    <row r="253" spans="16:33" ht="16.5" x14ac:dyDescent="0.2">
      <c r="P253" s="13">
        <v>197</v>
      </c>
      <c r="Q253" s="14">
        <f t="shared" si="57"/>
        <v>12</v>
      </c>
      <c r="R253" s="14">
        <f t="shared" si="58"/>
        <v>1606014</v>
      </c>
      <c r="S253" s="14" t="str">
        <f t="shared" si="62"/>
        <v>神器3碎片4等级14</v>
      </c>
      <c r="T253" s="29" t="s">
        <v>520</v>
      </c>
      <c r="U253" s="14">
        <f t="shared" si="59"/>
        <v>14</v>
      </c>
      <c r="V253" s="36">
        <f t="shared" si="63"/>
        <v>1.242</v>
      </c>
      <c r="W253" s="17">
        <f t="shared" si="60"/>
        <v>3.7260000000000001E-2</v>
      </c>
      <c r="X253" s="14">
        <f t="shared" si="64"/>
        <v>2</v>
      </c>
      <c r="Y253" s="14">
        <f t="shared" si="65"/>
        <v>3</v>
      </c>
      <c r="Z253" s="14">
        <f t="shared" si="66"/>
        <v>0</v>
      </c>
      <c r="AA253" s="14" t="str">
        <f t="shared" si="67"/>
        <v>DefExt</v>
      </c>
      <c r="AB253" s="14">
        <f t="shared" si="61"/>
        <v>1264</v>
      </c>
      <c r="AC253" s="14" t="str">
        <f t="shared" si="68"/>
        <v>HPExt</v>
      </c>
      <c r="AD253" s="14">
        <f t="shared" si="69"/>
        <v>15192</v>
      </c>
      <c r="AE253" s="14" t="str">
        <f t="shared" si="70"/>
        <v>[x]</v>
      </c>
      <c r="AF253" s="27" t="str">
        <f t="shared" si="71"/>
        <v>[x]</v>
      </c>
      <c r="AG253" s="27" t="str">
        <f t="shared" si="72"/>
        <v>[x]</v>
      </c>
    </row>
    <row r="254" spans="16:33" ht="16.5" x14ac:dyDescent="0.2">
      <c r="P254" s="13">
        <v>198</v>
      </c>
      <c r="Q254" s="14">
        <f t="shared" si="57"/>
        <v>12</v>
      </c>
      <c r="R254" s="14">
        <f t="shared" si="58"/>
        <v>1606014</v>
      </c>
      <c r="S254" s="14" t="str">
        <f t="shared" si="62"/>
        <v>神器3碎片4等级15</v>
      </c>
      <c r="T254" s="29" t="s">
        <v>520</v>
      </c>
      <c r="U254" s="14">
        <f t="shared" si="59"/>
        <v>15</v>
      </c>
      <c r="V254" s="36">
        <f t="shared" si="63"/>
        <v>1.35</v>
      </c>
      <c r="W254" s="17">
        <f t="shared" si="60"/>
        <v>4.0500000000000001E-2</v>
      </c>
      <c r="X254" s="14">
        <f t="shared" si="64"/>
        <v>2</v>
      </c>
      <c r="Y254" s="14">
        <f t="shared" si="65"/>
        <v>3</v>
      </c>
      <c r="Z254" s="14">
        <f t="shared" si="66"/>
        <v>0</v>
      </c>
      <c r="AA254" s="14" t="str">
        <f t="shared" si="67"/>
        <v>DefExt</v>
      </c>
      <c r="AB254" s="14">
        <f t="shared" si="61"/>
        <v>1374</v>
      </c>
      <c r="AC254" s="14" t="str">
        <f t="shared" si="68"/>
        <v>HPExt</v>
      </c>
      <c r="AD254" s="14">
        <f t="shared" si="69"/>
        <v>16513</v>
      </c>
      <c r="AE254" s="14" t="str">
        <f t="shared" si="70"/>
        <v>[x]</v>
      </c>
      <c r="AF254" s="27" t="str">
        <f t="shared" si="71"/>
        <v>[x]</v>
      </c>
      <c r="AG254" s="27" t="str">
        <f t="shared" si="72"/>
        <v>[x]</v>
      </c>
    </row>
    <row r="255" spans="16:33" ht="16.5" x14ac:dyDescent="0.2">
      <c r="P255" s="13">
        <v>199</v>
      </c>
      <c r="Q255" s="14">
        <f t="shared" si="57"/>
        <v>12</v>
      </c>
      <c r="R255" s="14">
        <f t="shared" si="58"/>
        <v>1606014</v>
      </c>
      <c r="S255" s="14" t="str">
        <f t="shared" si="62"/>
        <v>神器3碎片4等级16</v>
      </c>
      <c r="T255" s="29" t="s">
        <v>520</v>
      </c>
      <c r="U255" s="14">
        <f t="shared" si="59"/>
        <v>16</v>
      </c>
      <c r="V255" s="36">
        <f t="shared" si="63"/>
        <v>1.4620000000000002</v>
      </c>
      <c r="W255" s="17">
        <f t="shared" si="60"/>
        <v>4.3860000000000003E-2</v>
      </c>
      <c r="X255" s="14">
        <f t="shared" si="64"/>
        <v>2</v>
      </c>
      <c r="Y255" s="14">
        <f t="shared" si="65"/>
        <v>3</v>
      </c>
      <c r="Z255" s="14">
        <f t="shared" si="66"/>
        <v>0</v>
      </c>
      <c r="AA255" s="14" t="str">
        <f t="shared" si="67"/>
        <v>DefExt</v>
      </c>
      <c r="AB255" s="14">
        <f t="shared" si="61"/>
        <v>1488</v>
      </c>
      <c r="AC255" s="14" t="str">
        <f t="shared" si="68"/>
        <v>HPExt</v>
      </c>
      <c r="AD255" s="14">
        <f t="shared" si="69"/>
        <v>17883</v>
      </c>
      <c r="AE255" s="14" t="str">
        <f t="shared" si="70"/>
        <v>[x]</v>
      </c>
      <c r="AF255" s="27" t="str">
        <f t="shared" si="71"/>
        <v>[x]</v>
      </c>
      <c r="AG255" s="27" t="str">
        <f t="shared" si="72"/>
        <v>[x]</v>
      </c>
    </row>
    <row r="256" spans="16:33" ht="16.5" x14ac:dyDescent="0.2">
      <c r="P256" s="13">
        <v>200</v>
      </c>
      <c r="Q256" s="14">
        <f t="shared" si="57"/>
        <v>12</v>
      </c>
      <c r="R256" s="14">
        <f t="shared" si="58"/>
        <v>1606014</v>
      </c>
      <c r="S256" s="14" t="str">
        <f t="shared" si="62"/>
        <v>神器3碎片4等级17</v>
      </c>
      <c r="T256" s="29" t="s">
        <v>520</v>
      </c>
      <c r="U256" s="14">
        <f t="shared" si="59"/>
        <v>17</v>
      </c>
      <c r="V256" s="36">
        <f t="shared" si="63"/>
        <v>1.5779999999999998</v>
      </c>
      <c r="W256" s="17">
        <f t="shared" si="60"/>
        <v>4.7339999999999993E-2</v>
      </c>
      <c r="X256" s="14">
        <f t="shared" si="64"/>
        <v>2</v>
      </c>
      <c r="Y256" s="14">
        <f t="shared" si="65"/>
        <v>3</v>
      </c>
      <c r="Z256" s="14">
        <f t="shared" si="66"/>
        <v>0</v>
      </c>
      <c r="AA256" s="14" t="str">
        <f t="shared" si="67"/>
        <v>DefExt</v>
      </c>
      <c r="AB256" s="14">
        <f t="shared" si="61"/>
        <v>1607</v>
      </c>
      <c r="AC256" s="14" t="str">
        <f t="shared" si="68"/>
        <v>HPExt</v>
      </c>
      <c r="AD256" s="14">
        <f t="shared" si="69"/>
        <v>19302</v>
      </c>
      <c r="AE256" s="14" t="str">
        <f t="shared" si="70"/>
        <v>[x]</v>
      </c>
      <c r="AF256" s="27" t="str">
        <f t="shared" si="71"/>
        <v>[x]</v>
      </c>
      <c r="AG256" s="27" t="str">
        <f t="shared" si="72"/>
        <v>[x]</v>
      </c>
    </row>
    <row r="257" spans="16:33" ht="16.5" x14ac:dyDescent="0.2">
      <c r="P257" s="13">
        <v>201</v>
      </c>
      <c r="Q257" s="14">
        <f t="shared" si="57"/>
        <v>12</v>
      </c>
      <c r="R257" s="14">
        <f t="shared" si="58"/>
        <v>1606014</v>
      </c>
      <c r="S257" s="14" t="str">
        <f t="shared" si="62"/>
        <v>神器3碎片4等级18</v>
      </c>
      <c r="T257" s="29" t="s">
        <v>520</v>
      </c>
      <c r="U257" s="14">
        <f t="shared" si="59"/>
        <v>18</v>
      </c>
      <c r="V257" s="36">
        <f t="shared" si="63"/>
        <v>1.698</v>
      </c>
      <c r="W257" s="17">
        <f t="shared" si="60"/>
        <v>5.0939999999999999E-2</v>
      </c>
      <c r="X257" s="14">
        <f t="shared" si="64"/>
        <v>2</v>
      </c>
      <c r="Y257" s="14">
        <f t="shared" si="65"/>
        <v>3</v>
      </c>
      <c r="Z257" s="14">
        <f t="shared" si="66"/>
        <v>0</v>
      </c>
      <c r="AA257" s="14" t="str">
        <f t="shared" si="67"/>
        <v>DefExt</v>
      </c>
      <c r="AB257" s="14">
        <f t="shared" si="61"/>
        <v>1729</v>
      </c>
      <c r="AC257" s="14" t="str">
        <f t="shared" si="68"/>
        <v>HPExt</v>
      </c>
      <c r="AD257" s="14">
        <f t="shared" si="69"/>
        <v>20770</v>
      </c>
      <c r="AE257" s="14" t="str">
        <f t="shared" si="70"/>
        <v>[x]</v>
      </c>
      <c r="AF257" s="27" t="str">
        <f t="shared" si="71"/>
        <v>[x]</v>
      </c>
      <c r="AG257" s="27" t="str">
        <f t="shared" si="72"/>
        <v>[x]</v>
      </c>
    </row>
    <row r="258" spans="16:33" ht="16.5" x14ac:dyDescent="0.2">
      <c r="P258" s="13">
        <v>202</v>
      </c>
      <c r="Q258" s="14">
        <f t="shared" si="57"/>
        <v>12</v>
      </c>
      <c r="R258" s="14">
        <f t="shared" si="58"/>
        <v>1606014</v>
      </c>
      <c r="S258" s="14" t="str">
        <f t="shared" si="62"/>
        <v>神器3碎片4等级19</v>
      </c>
      <c r="T258" s="29" t="s">
        <v>520</v>
      </c>
      <c r="U258" s="14">
        <f t="shared" si="59"/>
        <v>19</v>
      </c>
      <c r="V258" s="36">
        <f t="shared" si="63"/>
        <v>1.8220000000000001</v>
      </c>
      <c r="W258" s="17">
        <f t="shared" si="60"/>
        <v>5.466E-2</v>
      </c>
      <c r="X258" s="14">
        <f t="shared" si="64"/>
        <v>2</v>
      </c>
      <c r="Y258" s="14">
        <f t="shared" si="65"/>
        <v>3</v>
      </c>
      <c r="Z258" s="14">
        <f t="shared" si="66"/>
        <v>0</v>
      </c>
      <c r="AA258" s="14" t="str">
        <f t="shared" si="67"/>
        <v>DefExt</v>
      </c>
      <c r="AB258" s="14">
        <f t="shared" si="61"/>
        <v>1855</v>
      </c>
      <c r="AC258" s="14" t="str">
        <f t="shared" si="68"/>
        <v>HPExt</v>
      </c>
      <c r="AD258" s="14">
        <f t="shared" si="69"/>
        <v>22287</v>
      </c>
      <c r="AE258" s="14" t="str">
        <f t="shared" si="70"/>
        <v>[x]</v>
      </c>
      <c r="AF258" s="27" t="str">
        <f t="shared" si="71"/>
        <v>[x]</v>
      </c>
      <c r="AG258" s="27" t="str">
        <f t="shared" si="72"/>
        <v>[x]</v>
      </c>
    </row>
    <row r="259" spans="16:33" ht="16.5" x14ac:dyDescent="0.2">
      <c r="P259" s="13">
        <v>203</v>
      </c>
      <c r="Q259" s="14">
        <f t="shared" si="57"/>
        <v>12</v>
      </c>
      <c r="R259" s="14">
        <f t="shared" si="58"/>
        <v>1606014</v>
      </c>
      <c r="S259" s="14" t="str">
        <f t="shared" si="62"/>
        <v>神器3碎片4等级20</v>
      </c>
      <c r="T259" s="29" t="s">
        <v>520</v>
      </c>
      <c r="U259" s="14">
        <f t="shared" si="59"/>
        <v>20</v>
      </c>
      <c r="V259" s="36">
        <f t="shared" si="63"/>
        <v>1.95</v>
      </c>
      <c r="W259" s="17">
        <f t="shared" si="60"/>
        <v>5.8499999999999996E-2</v>
      </c>
      <c r="X259" s="14">
        <f t="shared" si="64"/>
        <v>2</v>
      </c>
      <c r="Y259" s="14">
        <f t="shared" si="65"/>
        <v>3</v>
      </c>
      <c r="Z259" s="14">
        <f t="shared" si="66"/>
        <v>0</v>
      </c>
      <c r="AA259" s="14" t="str">
        <f t="shared" si="67"/>
        <v>DefExt</v>
      </c>
      <c r="AB259" s="14">
        <f t="shared" si="61"/>
        <v>1985</v>
      </c>
      <c r="AC259" s="14" t="str">
        <f t="shared" si="68"/>
        <v>HPExt</v>
      </c>
      <c r="AD259" s="14">
        <f t="shared" si="69"/>
        <v>23853</v>
      </c>
      <c r="AE259" s="14" t="str">
        <f t="shared" si="70"/>
        <v>[x]</v>
      </c>
      <c r="AF259" s="27" t="str">
        <f t="shared" si="71"/>
        <v>[x]</v>
      </c>
      <c r="AG259" s="27" t="str">
        <f t="shared" si="72"/>
        <v>[x]</v>
      </c>
    </row>
    <row r="260" spans="16:33" ht="16.5" x14ac:dyDescent="0.2">
      <c r="P260" s="13">
        <v>204</v>
      </c>
      <c r="Q260" s="14">
        <f t="shared" si="57"/>
        <v>12</v>
      </c>
      <c r="R260" s="14">
        <f t="shared" si="58"/>
        <v>1606014</v>
      </c>
      <c r="S260" s="14" t="str">
        <f t="shared" si="62"/>
        <v>神器3碎片4等级21</v>
      </c>
      <c r="T260" s="29" t="s">
        <v>520</v>
      </c>
      <c r="U260" s="14">
        <f t="shared" si="59"/>
        <v>21</v>
      </c>
      <c r="V260" s="36">
        <f t="shared" si="63"/>
        <v>2.0819999999999999</v>
      </c>
      <c r="W260" s="17">
        <f t="shared" si="60"/>
        <v>6.2459999999999995E-2</v>
      </c>
      <c r="X260" s="14">
        <f t="shared" si="64"/>
        <v>2</v>
      </c>
      <c r="Y260" s="14">
        <f t="shared" si="65"/>
        <v>3</v>
      </c>
      <c r="Z260" s="14">
        <f t="shared" si="66"/>
        <v>0</v>
      </c>
      <c r="AA260" s="14" t="str">
        <f t="shared" si="67"/>
        <v>DefExt</v>
      </c>
      <c r="AB260" s="14">
        <f t="shared" si="61"/>
        <v>2120</v>
      </c>
      <c r="AC260" s="14" t="str">
        <f t="shared" si="68"/>
        <v>HPExt</v>
      </c>
      <c r="AD260" s="14">
        <f t="shared" si="69"/>
        <v>25467</v>
      </c>
      <c r="AE260" s="14" t="str">
        <f t="shared" si="70"/>
        <v>[x]</v>
      </c>
      <c r="AF260" s="27" t="str">
        <f t="shared" si="71"/>
        <v>[x]</v>
      </c>
      <c r="AG260" s="27" t="str">
        <f t="shared" si="72"/>
        <v>[x]</v>
      </c>
    </row>
    <row r="261" spans="16:33" ht="16.5" x14ac:dyDescent="0.2">
      <c r="P261" s="13">
        <v>205</v>
      </c>
      <c r="Q261" s="14">
        <f t="shared" si="57"/>
        <v>13</v>
      </c>
      <c r="R261" s="14">
        <f t="shared" si="58"/>
        <v>1606015</v>
      </c>
      <c r="S261" s="14" t="str">
        <f t="shared" si="62"/>
        <v>神器3碎片5等级1</v>
      </c>
      <c r="T261" s="29" t="s">
        <v>520</v>
      </c>
      <c r="U261" s="14">
        <f t="shared" si="59"/>
        <v>1</v>
      </c>
      <c r="V261" s="36">
        <f t="shared" si="63"/>
        <v>0.20200000000000001</v>
      </c>
      <c r="W261" s="17">
        <f t="shared" si="60"/>
        <v>6.0600000000000003E-3</v>
      </c>
      <c r="X261" s="14">
        <f t="shared" si="64"/>
        <v>1</v>
      </c>
      <c r="Y261" s="14">
        <f t="shared" si="65"/>
        <v>3</v>
      </c>
      <c r="Z261" s="14">
        <f t="shared" si="66"/>
        <v>0</v>
      </c>
      <c r="AA261" s="14" t="str">
        <f t="shared" si="67"/>
        <v>AtkExt</v>
      </c>
      <c r="AB261" s="14">
        <f t="shared" si="61"/>
        <v>411</v>
      </c>
      <c r="AC261" s="14" t="str">
        <f t="shared" si="68"/>
        <v>HPExt</v>
      </c>
      <c r="AD261" s="14">
        <f t="shared" si="69"/>
        <v>2470</v>
      </c>
      <c r="AE261" s="14" t="str">
        <f t="shared" si="70"/>
        <v>[x]</v>
      </c>
      <c r="AF261" s="27" t="str">
        <f t="shared" si="71"/>
        <v>[x]</v>
      </c>
      <c r="AG261" s="27" t="str">
        <f t="shared" si="72"/>
        <v>[x]</v>
      </c>
    </row>
    <row r="262" spans="16:33" ht="16.5" x14ac:dyDescent="0.2">
      <c r="P262" s="13">
        <v>206</v>
      </c>
      <c r="Q262" s="14">
        <f t="shared" si="57"/>
        <v>13</v>
      </c>
      <c r="R262" s="14">
        <f t="shared" si="58"/>
        <v>1606015</v>
      </c>
      <c r="S262" s="14" t="str">
        <f t="shared" si="62"/>
        <v>神器3碎片5等级2</v>
      </c>
      <c r="T262" s="29" t="s">
        <v>520</v>
      </c>
      <c r="U262" s="14">
        <f t="shared" si="59"/>
        <v>2</v>
      </c>
      <c r="V262" s="36">
        <f t="shared" si="63"/>
        <v>0.25800000000000001</v>
      </c>
      <c r="W262" s="17">
        <f t="shared" si="60"/>
        <v>7.7400000000000004E-3</v>
      </c>
      <c r="X262" s="14">
        <f t="shared" si="64"/>
        <v>1</v>
      </c>
      <c r="Y262" s="14">
        <f t="shared" si="65"/>
        <v>3</v>
      </c>
      <c r="Z262" s="14">
        <f t="shared" si="66"/>
        <v>0</v>
      </c>
      <c r="AA262" s="14" t="str">
        <f t="shared" si="67"/>
        <v>AtkExt</v>
      </c>
      <c r="AB262" s="14">
        <f t="shared" si="61"/>
        <v>525</v>
      </c>
      <c r="AC262" s="14" t="str">
        <f t="shared" si="68"/>
        <v>HPExt</v>
      </c>
      <c r="AD262" s="14">
        <f t="shared" si="69"/>
        <v>3155</v>
      </c>
      <c r="AE262" s="14" t="str">
        <f t="shared" si="70"/>
        <v>[x]</v>
      </c>
      <c r="AF262" s="27" t="str">
        <f t="shared" si="71"/>
        <v>[x]</v>
      </c>
      <c r="AG262" s="27" t="str">
        <f t="shared" si="72"/>
        <v>[x]</v>
      </c>
    </row>
    <row r="263" spans="16:33" ht="16.5" x14ac:dyDescent="0.2">
      <c r="P263" s="13">
        <v>207</v>
      </c>
      <c r="Q263" s="14">
        <f t="shared" si="57"/>
        <v>13</v>
      </c>
      <c r="R263" s="14">
        <f t="shared" si="58"/>
        <v>1606015</v>
      </c>
      <c r="S263" s="14" t="str">
        <f t="shared" si="62"/>
        <v>神器3碎片5等级3</v>
      </c>
      <c r="T263" s="29" t="s">
        <v>520</v>
      </c>
      <c r="U263" s="14">
        <f t="shared" si="59"/>
        <v>3</v>
      </c>
      <c r="V263" s="36">
        <f t="shared" si="63"/>
        <v>0.31800000000000006</v>
      </c>
      <c r="W263" s="17">
        <f t="shared" si="60"/>
        <v>9.5400000000000016E-3</v>
      </c>
      <c r="X263" s="14">
        <f t="shared" si="64"/>
        <v>1</v>
      </c>
      <c r="Y263" s="14">
        <f t="shared" si="65"/>
        <v>3</v>
      </c>
      <c r="Z263" s="14">
        <f t="shared" si="66"/>
        <v>0</v>
      </c>
      <c r="AA263" s="14" t="str">
        <f t="shared" si="67"/>
        <v>AtkExt</v>
      </c>
      <c r="AB263" s="14">
        <f t="shared" si="61"/>
        <v>648</v>
      </c>
      <c r="AC263" s="14" t="str">
        <f t="shared" si="68"/>
        <v>HPExt</v>
      </c>
      <c r="AD263" s="14">
        <f t="shared" si="69"/>
        <v>3889</v>
      </c>
      <c r="AE263" s="14" t="str">
        <f t="shared" si="70"/>
        <v>[x]</v>
      </c>
      <c r="AF263" s="27" t="str">
        <f t="shared" si="71"/>
        <v>[x]</v>
      </c>
      <c r="AG263" s="27" t="str">
        <f t="shared" si="72"/>
        <v>[x]</v>
      </c>
    </row>
    <row r="264" spans="16:33" ht="16.5" x14ac:dyDescent="0.2">
      <c r="P264" s="13">
        <v>208</v>
      </c>
      <c r="Q264" s="14">
        <f t="shared" si="57"/>
        <v>13</v>
      </c>
      <c r="R264" s="14">
        <f t="shared" si="58"/>
        <v>1606015</v>
      </c>
      <c r="S264" s="14" t="str">
        <f t="shared" si="62"/>
        <v>神器3碎片5等级4</v>
      </c>
      <c r="T264" s="29" t="s">
        <v>520</v>
      </c>
      <c r="U264" s="14">
        <f t="shared" si="59"/>
        <v>4</v>
      </c>
      <c r="V264" s="36">
        <f t="shared" si="63"/>
        <v>0.38200000000000001</v>
      </c>
      <c r="W264" s="17">
        <f t="shared" si="60"/>
        <v>1.146E-2</v>
      </c>
      <c r="X264" s="14">
        <f t="shared" si="64"/>
        <v>1</v>
      </c>
      <c r="Y264" s="14">
        <f t="shared" si="65"/>
        <v>3</v>
      </c>
      <c r="Z264" s="14">
        <f t="shared" si="66"/>
        <v>0</v>
      </c>
      <c r="AA264" s="14" t="str">
        <f t="shared" si="67"/>
        <v>AtkExt</v>
      </c>
      <c r="AB264" s="14">
        <f t="shared" si="61"/>
        <v>778</v>
      </c>
      <c r="AC264" s="14" t="str">
        <f t="shared" si="68"/>
        <v>HPExt</v>
      </c>
      <c r="AD264" s="14">
        <f t="shared" si="69"/>
        <v>4672</v>
      </c>
      <c r="AE264" s="14" t="str">
        <f t="shared" si="70"/>
        <v>[x]</v>
      </c>
      <c r="AF264" s="27" t="str">
        <f t="shared" si="71"/>
        <v>[x]</v>
      </c>
      <c r="AG264" s="27" t="str">
        <f t="shared" si="72"/>
        <v>[x]</v>
      </c>
    </row>
    <row r="265" spans="16:33" ht="16.5" x14ac:dyDescent="0.2">
      <c r="P265" s="13">
        <v>209</v>
      </c>
      <c r="Q265" s="14">
        <f t="shared" si="57"/>
        <v>13</v>
      </c>
      <c r="R265" s="14">
        <f t="shared" si="58"/>
        <v>1606015</v>
      </c>
      <c r="S265" s="14" t="str">
        <f t="shared" si="62"/>
        <v>神器3碎片5等级5</v>
      </c>
      <c r="T265" s="29" t="s">
        <v>520</v>
      </c>
      <c r="U265" s="14">
        <f t="shared" si="59"/>
        <v>5</v>
      </c>
      <c r="V265" s="36">
        <f t="shared" si="63"/>
        <v>0.45</v>
      </c>
      <c r="W265" s="17">
        <f t="shared" si="60"/>
        <v>1.35E-2</v>
      </c>
      <c r="X265" s="14">
        <f t="shared" si="64"/>
        <v>1</v>
      </c>
      <c r="Y265" s="14">
        <f t="shared" si="65"/>
        <v>3</v>
      </c>
      <c r="Z265" s="14">
        <f t="shared" si="66"/>
        <v>0</v>
      </c>
      <c r="AA265" s="14" t="str">
        <f t="shared" si="67"/>
        <v>AtkExt</v>
      </c>
      <c r="AB265" s="14">
        <f t="shared" si="61"/>
        <v>917</v>
      </c>
      <c r="AC265" s="14" t="str">
        <f t="shared" si="68"/>
        <v>HPExt</v>
      </c>
      <c r="AD265" s="14">
        <f t="shared" si="69"/>
        <v>5504</v>
      </c>
      <c r="AE265" s="14" t="str">
        <f t="shared" si="70"/>
        <v>[x]</v>
      </c>
      <c r="AF265" s="27" t="str">
        <f t="shared" si="71"/>
        <v>[x]</v>
      </c>
      <c r="AG265" s="27" t="str">
        <f t="shared" si="72"/>
        <v>[x]</v>
      </c>
    </row>
    <row r="266" spans="16:33" ht="16.5" x14ac:dyDescent="0.2">
      <c r="P266" s="13">
        <v>210</v>
      </c>
      <c r="Q266" s="14">
        <f t="shared" si="57"/>
        <v>13</v>
      </c>
      <c r="R266" s="14">
        <f t="shared" si="58"/>
        <v>1606015</v>
      </c>
      <c r="S266" s="14" t="str">
        <f t="shared" si="62"/>
        <v>神器3碎片5等级6</v>
      </c>
      <c r="T266" s="29" t="s">
        <v>520</v>
      </c>
      <c r="U266" s="14">
        <f t="shared" si="59"/>
        <v>6</v>
      </c>
      <c r="V266" s="36">
        <f t="shared" si="63"/>
        <v>0.52200000000000002</v>
      </c>
      <c r="W266" s="17">
        <f t="shared" si="60"/>
        <v>1.566E-2</v>
      </c>
      <c r="X266" s="14">
        <f t="shared" si="64"/>
        <v>1</v>
      </c>
      <c r="Y266" s="14">
        <f t="shared" si="65"/>
        <v>3</v>
      </c>
      <c r="Z266" s="14">
        <f t="shared" si="66"/>
        <v>0</v>
      </c>
      <c r="AA266" s="14" t="str">
        <f t="shared" si="67"/>
        <v>AtkExt</v>
      </c>
      <c r="AB266" s="14">
        <f t="shared" si="61"/>
        <v>1063</v>
      </c>
      <c r="AC266" s="14" t="str">
        <f t="shared" si="68"/>
        <v>HPExt</v>
      </c>
      <c r="AD266" s="14">
        <f t="shared" si="69"/>
        <v>6385</v>
      </c>
      <c r="AE266" s="14" t="str">
        <f t="shared" si="70"/>
        <v>[x]</v>
      </c>
      <c r="AF266" s="27" t="str">
        <f t="shared" si="71"/>
        <v>[x]</v>
      </c>
      <c r="AG266" s="27" t="str">
        <f t="shared" si="72"/>
        <v>[x]</v>
      </c>
    </row>
    <row r="267" spans="16:33" ht="16.5" x14ac:dyDescent="0.2">
      <c r="P267" s="13">
        <v>211</v>
      </c>
      <c r="Q267" s="14">
        <f t="shared" si="57"/>
        <v>13</v>
      </c>
      <c r="R267" s="14">
        <f t="shared" si="58"/>
        <v>1606015</v>
      </c>
      <c r="S267" s="14" t="str">
        <f t="shared" si="62"/>
        <v>神器3碎片5等级7</v>
      </c>
      <c r="T267" s="29" t="s">
        <v>520</v>
      </c>
      <c r="U267" s="14">
        <f t="shared" si="59"/>
        <v>7</v>
      </c>
      <c r="V267" s="36">
        <f t="shared" si="63"/>
        <v>0.59799999999999998</v>
      </c>
      <c r="W267" s="17">
        <f t="shared" si="60"/>
        <v>1.7939999999999998E-2</v>
      </c>
      <c r="X267" s="14">
        <f t="shared" si="64"/>
        <v>1</v>
      </c>
      <c r="Y267" s="14">
        <f t="shared" si="65"/>
        <v>3</v>
      </c>
      <c r="Z267" s="14">
        <f t="shared" si="66"/>
        <v>0</v>
      </c>
      <c r="AA267" s="14" t="str">
        <f t="shared" si="67"/>
        <v>AtkExt</v>
      </c>
      <c r="AB267" s="14">
        <f t="shared" si="61"/>
        <v>1218</v>
      </c>
      <c r="AC267" s="14" t="str">
        <f t="shared" si="68"/>
        <v>HPExt</v>
      </c>
      <c r="AD267" s="14">
        <f t="shared" si="69"/>
        <v>7314</v>
      </c>
      <c r="AE267" s="14" t="str">
        <f t="shared" si="70"/>
        <v>[x]</v>
      </c>
      <c r="AF267" s="27" t="str">
        <f t="shared" si="71"/>
        <v>[x]</v>
      </c>
      <c r="AG267" s="27" t="str">
        <f t="shared" si="72"/>
        <v>[x]</v>
      </c>
    </row>
    <row r="268" spans="16:33" ht="16.5" x14ac:dyDescent="0.2">
      <c r="P268" s="13">
        <v>212</v>
      </c>
      <c r="Q268" s="14">
        <f t="shared" si="57"/>
        <v>13</v>
      </c>
      <c r="R268" s="14">
        <f t="shared" si="58"/>
        <v>1606015</v>
      </c>
      <c r="S268" s="14" t="str">
        <f t="shared" si="62"/>
        <v>神器3碎片5等级8</v>
      </c>
      <c r="T268" s="29" t="s">
        <v>520</v>
      </c>
      <c r="U268" s="14">
        <f t="shared" si="59"/>
        <v>8</v>
      </c>
      <c r="V268" s="36">
        <f t="shared" si="63"/>
        <v>0.67800000000000005</v>
      </c>
      <c r="W268" s="17">
        <f t="shared" si="60"/>
        <v>2.034E-2</v>
      </c>
      <c r="X268" s="14">
        <f t="shared" si="64"/>
        <v>1</v>
      </c>
      <c r="Y268" s="14">
        <f t="shared" si="65"/>
        <v>3</v>
      </c>
      <c r="Z268" s="14">
        <f t="shared" si="66"/>
        <v>0</v>
      </c>
      <c r="AA268" s="14" t="str">
        <f t="shared" si="67"/>
        <v>AtkExt</v>
      </c>
      <c r="AB268" s="14">
        <f t="shared" si="61"/>
        <v>1381</v>
      </c>
      <c r="AC268" s="14" t="str">
        <f t="shared" si="68"/>
        <v>HPExt</v>
      </c>
      <c r="AD268" s="14">
        <f t="shared" si="69"/>
        <v>8293</v>
      </c>
      <c r="AE268" s="14" t="str">
        <f t="shared" si="70"/>
        <v>[x]</v>
      </c>
      <c r="AF268" s="27" t="str">
        <f t="shared" si="71"/>
        <v>[x]</v>
      </c>
      <c r="AG268" s="27" t="str">
        <f t="shared" si="72"/>
        <v>[x]</v>
      </c>
    </row>
    <row r="269" spans="16:33" ht="16.5" x14ac:dyDescent="0.2">
      <c r="P269" s="13">
        <v>213</v>
      </c>
      <c r="Q269" s="14">
        <f t="shared" si="57"/>
        <v>13</v>
      </c>
      <c r="R269" s="14">
        <f t="shared" si="58"/>
        <v>1606015</v>
      </c>
      <c r="S269" s="14" t="str">
        <f t="shared" si="62"/>
        <v>神器3碎片5等级9</v>
      </c>
      <c r="T269" s="29" t="s">
        <v>520</v>
      </c>
      <c r="U269" s="14">
        <f t="shared" si="59"/>
        <v>9</v>
      </c>
      <c r="V269" s="36">
        <f t="shared" si="63"/>
        <v>0.76200000000000001</v>
      </c>
      <c r="W269" s="17">
        <f t="shared" si="60"/>
        <v>2.2859999999999998E-2</v>
      </c>
      <c r="X269" s="14">
        <f t="shared" si="64"/>
        <v>1</v>
      </c>
      <c r="Y269" s="14">
        <f t="shared" si="65"/>
        <v>3</v>
      </c>
      <c r="Z269" s="14">
        <f t="shared" si="66"/>
        <v>0</v>
      </c>
      <c r="AA269" s="14" t="str">
        <f t="shared" si="67"/>
        <v>AtkExt</v>
      </c>
      <c r="AB269" s="14">
        <f t="shared" si="61"/>
        <v>1552</v>
      </c>
      <c r="AC269" s="14" t="str">
        <f t="shared" si="68"/>
        <v>HPExt</v>
      </c>
      <c r="AD269" s="14">
        <f t="shared" si="69"/>
        <v>9321</v>
      </c>
      <c r="AE269" s="14" t="str">
        <f t="shared" si="70"/>
        <v>[x]</v>
      </c>
      <c r="AF269" s="27" t="str">
        <f t="shared" si="71"/>
        <v>[x]</v>
      </c>
      <c r="AG269" s="27" t="str">
        <f t="shared" si="72"/>
        <v>[x]</v>
      </c>
    </row>
    <row r="270" spans="16:33" ht="16.5" x14ac:dyDescent="0.2">
      <c r="P270" s="13">
        <v>214</v>
      </c>
      <c r="Q270" s="14">
        <f t="shared" si="57"/>
        <v>13</v>
      </c>
      <c r="R270" s="14">
        <f t="shared" si="58"/>
        <v>1606015</v>
      </c>
      <c r="S270" s="14" t="str">
        <f t="shared" si="62"/>
        <v>神器3碎片5等级10</v>
      </c>
      <c r="T270" s="29" t="s">
        <v>520</v>
      </c>
      <c r="U270" s="14">
        <f t="shared" si="59"/>
        <v>10</v>
      </c>
      <c r="V270" s="36">
        <f t="shared" si="63"/>
        <v>0.85000000000000009</v>
      </c>
      <c r="W270" s="17">
        <f t="shared" si="60"/>
        <v>2.5500000000000002E-2</v>
      </c>
      <c r="X270" s="14">
        <f t="shared" si="64"/>
        <v>1</v>
      </c>
      <c r="Y270" s="14">
        <f t="shared" si="65"/>
        <v>3</v>
      </c>
      <c r="Z270" s="14">
        <f t="shared" si="66"/>
        <v>0</v>
      </c>
      <c r="AA270" s="14" t="str">
        <f t="shared" si="67"/>
        <v>AtkExt</v>
      </c>
      <c r="AB270" s="14">
        <f t="shared" si="61"/>
        <v>1732</v>
      </c>
      <c r="AC270" s="14" t="str">
        <f t="shared" si="68"/>
        <v>HPExt</v>
      </c>
      <c r="AD270" s="14">
        <f t="shared" si="69"/>
        <v>10397</v>
      </c>
      <c r="AE270" s="14" t="str">
        <f t="shared" si="70"/>
        <v>[x]</v>
      </c>
      <c r="AF270" s="27" t="str">
        <f t="shared" si="71"/>
        <v>[x]</v>
      </c>
      <c r="AG270" s="27" t="str">
        <f t="shared" si="72"/>
        <v>[x]</v>
      </c>
    </row>
    <row r="271" spans="16:33" ht="16.5" x14ac:dyDescent="0.2">
      <c r="P271" s="13">
        <v>215</v>
      </c>
      <c r="Q271" s="14">
        <f t="shared" si="57"/>
        <v>13</v>
      </c>
      <c r="R271" s="14">
        <f t="shared" si="58"/>
        <v>1606015</v>
      </c>
      <c r="S271" s="14" t="str">
        <f t="shared" si="62"/>
        <v>神器3碎片5等级11</v>
      </c>
      <c r="T271" s="29" t="s">
        <v>520</v>
      </c>
      <c r="U271" s="14">
        <f t="shared" si="59"/>
        <v>11</v>
      </c>
      <c r="V271" s="36">
        <f t="shared" si="63"/>
        <v>0.94200000000000006</v>
      </c>
      <c r="W271" s="17">
        <f t="shared" si="60"/>
        <v>2.826E-2</v>
      </c>
      <c r="X271" s="14">
        <f t="shared" si="64"/>
        <v>1</v>
      </c>
      <c r="Y271" s="14">
        <f t="shared" si="65"/>
        <v>3</v>
      </c>
      <c r="Z271" s="14">
        <f t="shared" si="66"/>
        <v>0</v>
      </c>
      <c r="AA271" s="14" t="str">
        <f t="shared" si="67"/>
        <v>AtkExt</v>
      </c>
      <c r="AB271" s="14">
        <f t="shared" si="61"/>
        <v>1919</v>
      </c>
      <c r="AC271" s="14" t="str">
        <f t="shared" si="68"/>
        <v>HPExt</v>
      </c>
      <c r="AD271" s="14">
        <f t="shared" si="69"/>
        <v>11522</v>
      </c>
      <c r="AE271" s="14" t="str">
        <f t="shared" si="70"/>
        <v>[x]</v>
      </c>
      <c r="AF271" s="27" t="str">
        <f t="shared" si="71"/>
        <v>[x]</v>
      </c>
      <c r="AG271" s="27" t="str">
        <f t="shared" si="72"/>
        <v>[x]</v>
      </c>
    </row>
    <row r="272" spans="16:33" ht="16.5" x14ac:dyDescent="0.2">
      <c r="P272" s="13">
        <v>216</v>
      </c>
      <c r="Q272" s="14">
        <f t="shared" si="57"/>
        <v>13</v>
      </c>
      <c r="R272" s="14">
        <f t="shared" si="58"/>
        <v>1606015</v>
      </c>
      <c r="S272" s="14" t="str">
        <f t="shared" si="62"/>
        <v>神器3碎片5等级12</v>
      </c>
      <c r="T272" s="29" t="s">
        <v>520</v>
      </c>
      <c r="U272" s="14">
        <f t="shared" si="59"/>
        <v>12</v>
      </c>
      <c r="V272" s="36">
        <f t="shared" si="63"/>
        <v>1.0380000000000003</v>
      </c>
      <c r="W272" s="17">
        <f t="shared" si="60"/>
        <v>3.1140000000000008E-2</v>
      </c>
      <c r="X272" s="14">
        <f t="shared" si="64"/>
        <v>1</v>
      </c>
      <c r="Y272" s="14">
        <f t="shared" si="65"/>
        <v>3</v>
      </c>
      <c r="Z272" s="14">
        <f t="shared" si="66"/>
        <v>0</v>
      </c>
      <c r="AA272" s="14" t="str">
        <f t="shared" si="67"/>
        <v>AtkExt</v>
      </c>
      <c r="AB272" s="14">
        <f t="shared" si="61"/>
        <v>2115</v>
      </c>
      <c r="AC272" s="14" t="str">
        <f t="shared" si="68"/>
        <v>HPExt</v>
      </c>
      <c r="AD272" s="14">
        <f t="shared" si="69"/>
        <v>12697</v>
      </c>
      <c r="AE272" s="14" t="str">
        <f t="shared" si="70"/>
        <v>[x]</v>
      </c>
      <c r="AF272" s="27" t="str">
        <f t="shared" si="71"/>
        <v>[x]</v>
      </c>
      <c r="AG272" s="27" t="str">
        <f t="shared" si="72"/>
        <v>[x]</v>
      </c>
    </row>
    <row r="273" spans="16:33" ht="16.5" x14ac:dyDescent="0.2">
      <c r="P273" s="13">
        <v>217</v>
      </c>
      <c r="Q273" s="14">
        <f t="shared" si="57"/>
        <v>13</v>
      </c>
      <c r="R273" s="14">
        <f t="shared" si="58"/>
        <v>1606015</v>
      </c>
      <c r="S273" s="14" t="str">
        <f t="shared" si="62"/>
        <v>神器3碎片5等级13</v>
      </c>
      <c r="T273" s="29" t="s">
        <v>520</v>
      </c>
      <c r="U273" s="14">
        <f t="shared" si="59"/>
        <v>13</v>
      </c>
      <c r="V273" s="36">
        <f t="shared" si="63"/>
        <v>1.1380000000000001</v>
      </c>
      <c r="W273" s="17">
        <f t="shared" si="60"/>
        <v>3.4140000000000004E-2</v>
      </c>
      <c r="X273" s="14">
        <f t="shared" si="64"/>
        <v>1</v>
      </c>
      <c r="Y273" s="14">
        <f t="shared" si="65"/>
        <v>3</v>
      </c>
      <c r="Z273" s="14">
        <f t="shared" si="66"/>
        <v>0</v>
      </c>
      <c r="AA273" s="14" t="str">
        <f t="shared" si="67"/>
        <v>AtkExt</v>
      </c>
      <c r="AB273" s="14">
        <f t="shared" si="61"/>
        <v>2319</v>
      </c>
      <c r="AC273" s="14" t="str">
        <f t="shared" si="68"/>
        <v>HPExt</v>
      </c>
      <c r="AD273" s="14">
        <f t="shared" si="69"/>
        <v>13920</v>
      </c>
      <c r="AE273" s="14" t="str">
        <f t="shared" si="70"/>
        <v>[x]</v>
      </c>
      <c r="AF273" s="27" t="str">
        <f t="shared" si="71"/>
        <v>[x]</v>
      </c>
      <c r="AG273" s="27" t="str">
        <f t="shared" si="72"/>
        <v>[x]</v>
      </c>
    </row>
    <row r="274" spans="16:33" ht="16.5" x14ac:dyDescent="0.2">
      <c r="P274" s="13">
        <v>218</v>
      </c>
      <c r="Q274" s="14">
        <f t="shared" si="57"/>
        <v>13</v>
      </c>
      <c r="R274" s="14">
        <f t="shared" si="58"/>
        <v>1606015</v>
      </c>
      <c r="S274" s="14" t="str">
        <f t="shared" si="62"/>
        <v>神器3碎片5等级14</v>
      </c>
      <c r="T274" s="29" t="s">
        <v>520</v>
      </c>
      <c r="U274" s="14">
        <f t="shared" si="59"/>
        <v>14</v>
      </c>
      <c r="V274" s="36">
        <f t="shared" si="63"/>
        <v>1.242</v>
      </c>
      <c r="W274" s="17">
        <f t="shared" si="60"/>
        <v>3.7260000000000001E-2</v>
      </c>
      <c r="X274" s="14">
        <f t="shared" si="64"/>
        <v>1</v>
      </c>
      <c r="Y274" s="14">
        <f t="shared" si="65"/>
        <v>3</v>
      </c>
      <c r="Z274" s="14">
        <f t="shared" si="66"/>
        <v>0</v>
      </c>
      <c r="AA274" s="14" t="str">
        <f t="shared" si="67"/>
        <v>AtkExt</v>
      </c>
      <c r="AB274" s="14">
        <f t="shared" si="61"/>
        <v>2530</v>
      </c>
      <c r="AC274" s="14" t="str">
        <f t="shared" si="68"/>
        <v>HPExt</v>
      </c>
      <c r="AD274" s="14">
        <f t="shared" si="69"/>
        <v>15192</v>
      </c>
      <c r="AE274" s="14" t="str">
        <f t="shared" si="70"/>
        <v>[x]</v>
      </c>
      <c r="AF274" s="27" t="str">
        <f t="shared" si="71"/>
        <v>[x]</v>
      </c>
      <c r="AG274" s="27" t="str">
        <f t="shared" si="72"/>
        <v>[x]</v>
      </c>
    </row>
    <row r="275" spans="16:33" ht="16.5" x14ac:dyDescent="0.2">
      <c r="P275" s="13">
        <v>219</v>
      </c>
      <c r="Q275" s="14">
        <f t="shared" si="57"/>
        <v>13</v>
      </c>
      <c r="R275" s="14">
        <f t="shared" si="58"/>
        <v>1606015</v>
      </c>
      <c r="S275" s="14" t="str">
        <f t="shared" si="62"/>
        <v>神器3碎片5等级15</v>
      </c>
      <c r="T275" s="29" t="s">
        <v>520</v>
      </c>
      <c r="U275" s="14">
        <f t="shared" si="59"/>
        <v>15</v>
      </c>
      <c r="V275" s="36">
        <f t="shared" si="63"/>
        <v>1.35</v>
      </c>
      <c r="W275" s="17">
        <f t="shared" si="60"/>
        <v>4.0500000000000001E-2</v>
      </c>
      <c r="X275" s="14">
        <f t="shared" si="64"/>
        <v>1</v>
      </c>
      <c r="Y275" s="14">
        <f t="shared" si="65"/>
        <v>3</v>
      </c>
      <c r="Z275" s="14">
        <f t="shared" si="66"/>
        <v>0</v>
      </c>
      <c r="AA275" s="14" t="str">
        <f t="shared" si="67"/>
        <v>AtkExt</v>
      </c>
      <c r="AB275" s="14">
        <f t="shared" si="61"/>
        <v>2751</v>
      </c>
      <c r="AC275" s="14" t="str">
        <f t="shared" si="68"/>
        <v>HPExt</v>
      </c>
      <c r="AD275" s="14">
        <f t="shared" si="69"/>
        <v>16513</v>
      </c>
      <c r="AE275" s="14" t="str">
        <f t="shared" si="70"/>
        <v>[x]</v>
      </c>
      <c r="AF275" s="27" t="str">
        <f t="shared" si="71"/>
        <v>[x]</v>
      </c>
      <c r="AG275" s="27" t="str">
        <f t="shared" si="72"/>
        <v>[x]</v>
      </c>
    </row>
    <row r="276" spans="16:33" ht="16.5" x14ac:dyDescent="0.2">
      <c r="P276" s="13">
        <v>220</v>
      </c>
      <c r="Q276" s="14">
        <f t="shared" si="57"/>
        <v>13</v>
      </c>
      <c r="R276" s="14">
        <f t="shared" si="58"/>
        <v>1606015</v>
      </c>
      <c r="S276" s="14" t="str">
        <f t="shared" si="62"/>
        <v>神器3碎片5等级16</v>
      </c>
      <c r="T276" s="29" t="s">
        <v>520</v>
      </c>
      <c r="U276" s="14">
        <f t="shared" si="59"/>
        <v>16</v>
      </c>
      <c r="V276" s="36">
        <f t="shared" si="63"/>
        <v>1.4620000000000002</v>
      </c>
      <c r="W276" s="17">
        <f t="shared" si="60"/>
        <v>4.3860000000000003E-2</v>
      </c>
      <c r="X276" s="14">
        <f t="shared" si="64"/>
        <v>1</v>
      </c>
      <c r="Y276" s="14">
        <f t="shared" si="65"/>
        <v>3</v>
      </c>
      <c r="Z276" s="14">
        <f t="shared" si="66"/>
        <v>0</v>
      </c>
      <c r="AA276" s="14" t="str">
        <f t="shared" si="67"/>
        <v>AtkExt</v>
      </c>
      <c r="AB276" s="14">
        <f t="shared" si="61"/>
        <v>2979</v>
      </c>
      <c r="AC276" s="14" t="str">
        <f t="shared" si="68"/>
        <v>HPExt</v>
      </c>
      <c r="AD276" s="14">
        <f t="shared" si="69"/>
        <v>17883</v>
      </c>
      <c r="AE276" s="14" t="str">
        <f t="shared" si="70"/>
        <v>[x]</v>
      </c>
      <c r="AF276" s="27" t="str">
        <f t="shared" si="71"/>
        <v>[x]</v>
      </c>
      <c r="AG276" s="27" t="str">
        <f t="shared" si="72"/>
        <v>[x]</v>
      </c>
    </row>
    <row r="277" spans="16:33" ht="16.5" x14ac:dyDescent="0.2">
      <c r="P277" s="13">
        <v>221</v>
      </c>
      <c r="Q277" s="14">
        <f t="shared" si="57"/>
        <v>13</v>
      </c>
      <c r="R277" s="14">
        <f t="shared" si="58"/>
        <v>1606015</v>
      </c>
      <c r="S277" s="14" t="str">
        <f t="shared" si="62"/>
        <v>神器3碎片5等级17</v>
      </c>
      <c r="T277" s="29" t="s">
        <v>520</v>
      </c>
      <c r="U277" s="14">
        <f t="shared" si="59"/>
        <v>17</v>
      </c>
      <c r="V277" s="36">
        <f t="shared" si="63"/>
        <v>1.5779999999999998</v>
      </c>
      <c r="W277" s="17">
        <f t="shared" si="60"/>
        <v>4.7339999999999993E-2</v>
      </c>
      <c r="X277" s="14">
        <f t="shared" si="64"/>
        <v>1</v>
      </c>
      <c r="Y277" s="14">
        <f t="shared" si="65"/>
        <v>3</v>
      </c>
      <c r="Z277" s="14">
        <f t="shared" si="66"/>
        <v>0</v>
      </c>
      <c r="AA277" s="14" t="str">
        <f t="shared" si="67"/>
        <v>AtkExt</v>
      </c>
      <c r="AB277" s="14">
        <f t="shared" si="61"/>
        <v>3215</v>
      </c>
      <c r="AC277" s="14" t="str">
        <f t="shared" si="68"/>
        <v>HPExt</v>
      </c>
      <c r="AD277" s="14">
        <f t="shared" si="69"/>
        <v>19302</v>
      </c>
      <c r="AE277" s="14" t="str">
        <f t="shared" si="70"/>
        <v>[x]</v>
      </c>
      <c r="AF277" s="27" t="str">
        <f t="shared" si="71"/>
        <v>[x]</v>
      </c>
      <c r="AG277" s="27" t="str">
        <f t="shared" si="72"/>
        <v>[x]</v>
      </c>
    </row>
    <row r="278" spans="16:33" ht="16.5" x14ac:dyDescent="0.2">
      <c r="P278" s="13">
        <v>222</v>
      </c>
      <c r="Q278" s="14">
        <f t="shared" si="57"/>
        <v>13</v>
      </c>
      <c r="R278" s="14">
        <f t="shared" si="58"/>
        <v>1606015</v>
      </c>
      <c r="S278" s="14" t="str">
        <f t="shared" si="62"/>
        <v>神器3碎片5等级18</v>
      </c>
      <c r="T278" s="29" t="s">
        <v>520</v>
      </c>
      <c r="U278" s="14">
        <f t="shared" si="59"/>
        <v>18</v>
      </c>
      <c r="V278" s="36">
        <f t="shared" si="63"/>
        <v>1.698</v>
      </c>
      <c r="W278" s="17">
        <f t="shared" si="60"/>
        <v>5.0939999999999999E-2</v>
      </c>
      <c r="X278" s="14">
        <f t="shared" si="64"/>
        <v>1</v>
      </c>
      <c r="Y278" s="14">
        <f t="shared" si="65"/>
        <v>3</v>
      </c>
      <c r="Z278" s="14">
        <f t="shared" si="66"/>
        <v>0</v>
      </c>
      <c r="AA278" s="14" t="str">
        <f t="shared" si="67"/>
        <v>AtkExt</v>
      </c>
      <c r="AB278" s="14">
        <f t="shared" si="61"/>
        <v>3460</v>
      </c>
      <c r="AC278" s="14" t="str">
        <f t="shared" si="68"/>
        <v>HPExt</v>
      </c>
      <c r="AD278" s="14">
        <f t="shared" si="69"/>
        <v>20770</v>
      </c>
      <c r="AE278" s="14" t="str">
        <f t="shared" si="70"/>
        <v>[x]</v>
      </c>
      <c r="AF278" s="27" t="str">
        <f t="shared" si="71"/>
        <v>[x]</v>
      </c>
      <c r="AG278" s="27" t="str">
        <f t="shared" si="72"/>
        <v>[x]</v>
      </c>
    </row>
    <row r="279" spans="16:33" ht="16.5" x14ac:dyDescent="0.2">
      <c r="P279" s="13">
        <v>223</v>
      </c>
      <c r="Q279" s="14">
        <f t="shared" si="57"/>
        <v>13</v>
      </c>
      <c r="R279" s="14">
        <f t="shared" si="58"/>
        <v>1606015</v>
      </c>
      <c r="S279" s="14" t="str">
        <f t="shared" si="62"/>
        <v>神器3碎片5等级19</v>
      </c>
      <c r="T279" s="29" t="s">
        <v>520</v>
      </c>
      <c r="U279" s="14">
        <f t="shared" si="59"/>
        <v>19</v>
      </c>
      <c r="V279" s="36">
        <f t="shared" si="63"/>
        <v>1.8220000000000001</v>
      </c>
      <c r="W279" s="17">
        <f t="shared" si="60"/>
        <v>5.466E-2</v>
      </c>
      <c r="X279" s="14">
        <f t="shared" si="64"/>
        <v>1</v>
      </c>
      <c r="Y279" s="14">
        <f t="shared" si="65"/>
        <v>3</v>
      </c>
      <c r="Z279" s="14">
        <f t="shared" si="66"/>
        <v>0</v>
      </c>
      <c r="AA279" s="14" t="str">
        <f t="shared" si="67"/>
        <v>AtkExt</v>
      </c>
      <c r="AB279" s="14">
        <f t="shared" si="61"/>
        <v>3712</v>
      </c>
      <c r="AC279" s="14" t="str">
        <f t="shared" si="68"/>
        <v>HPExt</v>
      </c>
      <c r="AD279" s="14">
        <f t="shared" si="69"/>
        <v>22287</v>
      </c>
      <c r="AE279" s="14" t="str">
        <f t="shared" si="70"/>
        <v>[x]</v>
      </c>
      <c r="AF279" s="27" t="str">
        <f t="shared" si="71"/>
        <v>[x]</v>
      </c>
      <c r="AG279" s="27" t="str">
        <f t="shared" si="72"/>
        <v>[x]</v>
      </c>
    </row>
    <row r="280" spans="16:33" ht="16.5" x14ac:dyDescent="0.2">
      <c r="P280" s="13">
        <v>224</v>
      </c>
      <c r="Q280" s="14">
        <f t="shared" si="57"/>
        <v>13</v>
      </c>
      <c r="R280" s="14">
        <f t="shared" si="58"/>
        <v>1606015</v>
      </c>
      <c r="S280" s="14" t="str">
        <f t="shared" si="62"/>
        <v>神器3碎片5等级20</v>
      </c>
      <c r="T280" s="29" t="s">
        <v>520</v>
      </c>
      <c r="U280" s="14">
        <f t="shared" si="59"/>
        <v>20</v>
      </c>
      <c r="V280" s="36">
        <f t="shared" si="63"/>
        <v>1.95</v>
      </c>
      <c r="W280" s="17">
        <f t="shared" si="60"/>
        <v>5.8499999999999996E-2</v>
      </c>
      <c r="X280" s="14">
        <f t="shared" si="64"/>
        <v>1</v>
      </c>
      <c r="Y280" s="14">
        <f t="shared" si="65"/>
        <v>3</v>
      </c>
      <c r="Z280" s="14">
        <f t="shared" si="66"/>
        <v>0</v>
      </c>
      <c r="AA280" s="14" t="str">
        <f t="shared" si="67"/>
        <v>AtkExt</v>
      </c>
      <c r="AB280" s="14">
        <f t="shared" si="61"/>
        <v>3973</v>
      </c>
      <c r="AC280" s="14" t="str">
        <f t="shared" si="68"/>
        <v>HPExt</v>
      </c>
      <c r="AD280" s="14">
        <f t="shared" si="69"/>
        <v>23853</v>
      </c>
      <c r="AE280" s="14" t="str">
        <f t="shared" si="70"/>
        <v>[x]</v>
      </c>
      <c r="AF280" s="27" t="str">
        <f t="shared" si="71"/>
        <v>[x]</v>
      </c>
      <c r="AG280" s="27" t="str">
        <f t="shared" si="72"/>
        <v>[x]</v>
      </c>
    </row>
    <row r="281" spans="16:33" ht="16.5" x14ac:dyDescent="0.2">
      <c r="P281" s="13">
        <v>225</v>
      </c>
      <c r="Q281" s="14">
        <f t="shared" si="57"/>
        <v>13</v>
      </c>
      <c r="R281" s="14">
        <f t="shared" si="58"/>
        <v>1606015</v>
      </c>
      <c r="S281" s="14" t="str">
        <f t="shared" si="62"/>
        <v>神器3碎片5等级21</v>
      </c>
      <c r="T281" s="29" t="s">
        <v>520</v>
      </c>
      <c r="U281" s="14">
        <f t="shared" si="59"/>
        <v>21</v>
      </c>
      <c r="V281" s="36">
        <f t="shared" si="63"/>
        <v>2.0819999999999999</v>
      </c>
      <c r="W281" s="17">
        <f t="shared" si="60"/>
        <v>6.2459999999999995E-2</v>
      </c>
      <c r="X281" s="14">
        <f t="shared" si="64"/>
        <v>1</v>
      </c>
      <c r="Y281" s="14">
        <f t="shared" si="65"/>
        <v>3</v>
      </c>
      <c r="Z281" s="14">
        <f t="shared" si="66"/>
        <v>0</v>
      </c>
      <c r="AA281" s="14" t="str">
        <f t="shared" si="67"/>
        <v>AtkExt</v>
      </c>
      <c r="AB281" s="14">
        <f t="shared" si="61"/>
        <v>4242</v>
      </c>
      <c r="AC281" s="14" t="str">
        <f t="shared" si="68"/>
        <v>HPExt</v>
      </c>
      <c r="AD281" s="14">
        <f t="shared" si="69"/>
        <v>25467</v>
      </c>
      <c r="AE281" s="14" t="str">
        <f t="shared" si="70"/>
        <v>[x]</v>
      </c>
      <c r="AF281" s="27" t="str">
        <f t="shared" si="71"/>
        <v>[x]</v>
      </c>
      <c r="AG281" s="27" t="str">
        <f t="shared" si="72"/>
        <v>[x]</v>
      </c>
    </row>
    <row r="282" spans="16:33" ht="16.5" x14ac:dyDescent="0.2">
      <c r="P282" s="13">
        <v>226</v>
      </c>
      <c r="Q282" s="14">
        <f t="shared" si="57"/>
        <v>14</v>
      </c>
      <c r="R282" s="14">
        <f t="shared" si="58"/>
        <v>1606016</v>
      </c>
      <c r="S282" s="14" t="str">
        <f t="shared" si="62"/>
        <v>神器3碎片6等级1</v>
      </c>
      <c r="T282" s="29" t="s">
        <v>520</v>
      </c>
      <c r="U282" s="14">
        <f t="shared" si="59"/>
        <v>1</v>
      </c>
      <c r="V282" s="36">
        <f t="shared" si="63"/>
        <v>0.20200000000000001</v>
      </c>
      <c r="W282" s="17">
        <f t="shared" si="60"/>
        <v>1.0100000000000001E-2</v>
      </c>
      <c r="X282" s="14">
        <f t="shared" si="64"/>
        <v>1</v>
      </c>
      <c r="Y282" s="14">
        <f t="shared" si="65"/>
        <v>0</v>
      </c>
      <c r="Z282" s="14">
        <f t="shared" si="66"/>
        <v>0</v>
      </c>
      <c r="AA282" s="14" t="str">
        <f t="shared" si="67"/>
        <v>AtkExt</v>
      </c>
      <c r="AB282" s="14">
        <f t="shared" si="61"/>
        <v>2058</v>
      </c>
      <c r="AC282" s="14" t="str">
        <f t="shared" si="68"/>
        <v>[x]</v>
      </c>
      <c r="AD282" s="14" t="str">
        <f t="shared" si="69"/>
        <v>[x]</v>
      </c>
      <c r="AE282" s="14" t="str">
        <f t="shared" si="70"/>
        <v>[x]</v>
      </c>
      <c r="AF282" s="27" t="str">
        <f t="shared" si="71"/>
        <v>[x]</v>
      </c>
      <c r="AG282" s="27">
        <f t="shared" si="72"/>
        <v>2</v>
      </c>
    </row>
    <row r="283" spans="16:33" ht="16.5" x14ac:dyDescent="0.2">
      <c r="P283" s="13">
        <v>227</v>
      </c>
      <c r="Q283" s="14">
        <f t="shared" si="57"/>
        <v>14</v>
      </c>
      <c r="R283" s="14">
        <f t="shared" si="58"/>
        <v>1606016</v>
      </c>
      <c r="S283" s="14" t="str">
        <f t="shared" si="62"/>
        <v>神器3碎片6等级2</v>
      </c>
      <c r="T283" s="29" t="s">
        <v>520</v>
      </c>
      <c r="U283" s="14">
        <f t="shared" si="59"/>
        <v>2</v>
      </c>
      <c r="V283" s="36">
        <f t="shared" si="63"/>
        <v>0.25800000000000001</v>
      </c>
      <c r="W283" s="17">
        <f t="shared" si="60"/>
        <v>1.2900000000000002E-2</v>
      </c>
      <c r="X283" s="14">
        <f t="shared" si="64"/>
        <v>1</v>
      </c>
      <c r="Y283" s="14">
        <f t="shared" si="65"/>
        <v>0</v>
      </c>
      <c r="Z283" s="14">
        <f t="shared" si="66"/>
        <v>0</v>
      </c>
      <c r="AA283" s="14" t="str">
        <f t="shared" si="67"/>
        <v>AtkExt</v>
      </c>
      <c r="AB283" s="14">
        <f t="shared" si="61"/>
        <v>2628</v>
      </c>
      <c r="AC283" s="14" t="str">
        <f t="shared" si="68"/>
        <v>[x]</v>
      </c>
      <c r="AD283" s="14" t="str">
        <f t="shared" si="69"/>
        <v>[x]</v>
      </c>
      <c r="AE283" s="14" t="str">
        <f t="shared" si="70"/>
        <v>[x]</v>
      </c>
      <c r="AF283" s="27" t="str">
        <f t="shared" si="71"/>
        <v>[x]</v>
      </c>
      <c r="AG283" s="27">
        <f t="shared" si="72"/>
        <v>4</v>
      </c>
    </row>
    <row r="284" spans="16:33" ht="16.5" x14ac:dyDescent="0.2">
      <c r="P284" s="13">
        <v>228</v>
      </c>
      <c r="Q284" s="14">
        <f t="shared" si="57"/>
        <v>14</v>
      </c>
      <c r="R284" s="14">
        <f t="shared" si="58"/>
        <v>1606016</v>
      </c>
      <c r="S284" s="14" t="str">
        <f t="shared" si="62"/>
        <v>神器3碎片6等级3</v>
      </c>
      <c r="T284" s="29" t="s">
        <v>520</v>
      </c>
      <c r="U284" s="14">
        <f t="shared" si="59"/>
        <v>3</v>
      </c>
      <c r="V284" s="36">
        <f t="shared" si="63"/>
        <v>0.31800000000000006</v>
      </c>
      <c r="W284" s="17">
        <f t="shared" si="60"/>
        <v>1.5900000000000004E-2</v>
      </c>
      <c r="X284" s="14">
        <f t="shared" si="64"/>
        <v>1</v>
      </c>
      <c r="Y284" s="14">
        <f t="shared" si="65"/>
        <v>0</v>
      </c>
      <c r="Z284" s="14">
        <f t="shared" si="66"/>
        <v>0</v>
      </c>
      <c r="AA284" s="14" t="str">
        <f t="shared" si="67"/>
        <v>AtkExt</v>
      </c>
      <c r="AB284" s="14">
        <f t="shared" si="61"/>
        <v>3240</v>
      </c>
      <c r="AC284" s="14" t="str">
        <f t="shared" si="68"/>
        <v>[x]</v>
      </c>
      <c r="AD284" s="14" t="str">
        <f t="shared" si="69"/>
        <v>[x]</v>
      </c>
      <c r="AE284" s="14" t="str">
        <f t="shared" si="70"/>
        <v>[x]</v>
      </c>
      <c r="AF284" s="27" t="str">
        <f t="shared" si="71"/>
        <v>[x]</v>
      </c>
      <c r="AG284" s="27">
        <f t="shared" si="72"/>
        <v>6</v>
      </c>
    </row>
    <row r="285" spans="16:33" ht="16.5" x14ac:dyDescent="0.2">
      <c r="P285" s="13">
        <v>229</v>
      </c>
      <c r="Q285" s="14">
        <f t="shared" si="57"/>
        <v>14</v>
      </c>
      <c r="R285" s="14">
        <f t="shared" si="58"/>
        <v>1606016</v>
      </c>
      <c r="S285" s="14" t="str">
        <f t="shared" si="62"/>
        <v>神器3碎片6等级4</v>
      </c>
      <c r="T285" s="29" t="s">
        <v>520</v>
      </c>
      <c r="U285" s="14">
        <f t="shared" si="59"/>
        <v>4</v>
      </c>
      <c r="V285" s="36">
        <f t="shared" si="63"/>
        <v>0.38200000000000001</v>
      </c>
      <c r="W285" s="17">
        <f t="shared" si="60"/>
        <v>1.9100000000000002E-2</v>
      </c>
      <c r="X285" s="14">
        <f t="shared" si="64"/>
        <v>1</v>
      </c>
      <c r="Y285" s="14">
        <f t="shared" si="65"/>
        <v>0</v>
      </c>
      <c r="Z285" s="14">
        <f t="shared" si="66"/>
        <v>0</v>
      </c>
      <c r="AA285" s="14" t="str">
        <f t="shared" si="67"/>
        <v>AtkExt</v>
      </c>
      <c r="AB285" s="14">
        <f t="shared" si="61"/>
        <v>3892</v>
      </c>
      <c r="AC285" s="14" t="str">
        <f t="shared" si="68"/>
        <v>[x]</v>
      </c>
      <c r="AD285" s="14" t="str">
        <f t="shared" si="69"/>
        <v>[x]</v>
      </c>
      <c r="AE285" s="14" t="str">
        <f t="shared" si="70"/>
        <v>[x]</v>
      </c>
      <c r="AF285" s="27" t="str">
        <f t="shared" si="71"/>
        <v>[x]</v>
      </c>
      <c r="AG285" s="27">
        <f t="shared" si="72"/>
        <v>8</v>
      </c>
    </row>
    <row r="286" spans="16:33" ht="16.5" x14ac:dyDescent="0.2">
      <c r="P286" s="13">
        <v>230</v>
      </c>
      <c r="Q286" s="14">
        <f t="shared" si="57"/>
        <v>14</v>
      </c>
      <c r="R286" s="14">
        <f t="shared" si="58"/>
        <v>1606016</v>
      </c>
      <c r="S286" s="14" t="str">
        <f t="shared" si="62"/>
        <v>神器3碎片6等级5</v>
      </c>
      <c r="T286" s="29" t="s">
        <v>520</v>
      </c>
      <c r="U286" s="14">
        <f t="shared" si="59"/>
        <v>5</v>
      </c>
      <c r="V286" s="36">
        <f t="shared" si="63"/>
        <v>0.45</v>
      </c>
      <c r="W286" s="17">
        <f t="shared" si="60"/>
        <v>2.2500000000000003E-2</v>
      </c>
      <c r="X286" s="14">
        <f t="shared" si="64"/>
        <v>1</v>
      </c>
      <c r="Y286" s="14">
        <f t="shared" si="65"/>
        <v>0</v>
      </c>
      <c r="Z286" s="14">
        <f t="shared" si="66"/>
        <v>0</v>
      </c>
      <c r="AA286" s="14" t="str">
        <f t="shared" si="67"/>
        <v>AtkExt</v>
      </c>
      <c r="AB286" s="14">
        <f t="shared" si="61"/>
        <v>4585</v>
      </c>
      <c r="AC286" s="14" t="str">
        <f t="shared" si="68"/>
        <v>[x]</v>
      </c>
      <c r="AD286" s="14" t="str">
        <f t="shared" si="69"/>
        <v>[x]</v>
      </c>
      <c r="AE286" s="14" t="str">
        <f t="shared" si="70"/>
        <v>[x]</v>
      </c>
      <c r="AF286" s="27" t="str">
        <f t="shared" si="71"/>
        <v>[x]</v>
      </c>
      <c r="AG286" s="27">
        <f t="shared" si="72"/>
        <v>10</v>
      </c>
    </row>
    <row r="287" spans="16:33" ht="16.5" x14ac:dyDescent="0.2">
      <c r="P287" s="13">
        <v>231</v>
      </c>
      <c r="Q287" s="14">
        <f t="shared" si="57"/>
        <v>14</v>
      </c>
      <c r="R287" s="14">
        <f t="shared" si="58"/>
        <v>1606016</v>
      </c>
      <c r="S287" s="14" t="str">
        <f t="shared" si="62"/>
        <v>神器3碎片6等级6</v>
      </c>
      <c r="T287" s="29" t="s">
        <v>520</v>
      </c>
      <c r="U287" s="14">
        <f t="shared" si="59"/>
        <v>6</v>
      </c>
      <c r="V287" s="36">
        <f t="shared" si="63"/>
        <v>0.52200000000000002</v>
      </c>
      <c r="W287" s="17">
        <f t="shared" si="60"/>
        <v>2.6100000000000002E-2</v>
      </c>
      <c r="X287" s="14">
        <f t="shared" si="64"/>
        <v>1</v>
      </c>
      <c r="Y287" s="14">
        <f t="shared" si="65"/>
        <v>0</v>
      </c>
      <c r="Z287" s="14">
        <f t="shared" si="66"/>
        <v>0</v>
      </c>
      <c r="AA287" s="14" t="str">
        <f t="shared" si="67"/>
        <v>AtkExt</v>
      </c>
      <c r="AB287" s="14">
        <f t="shared" si="61"/>
        <v>5318</v>
      </c>
      <c r="AC287" s="14" t="str">
        <f t="shared" si="68"/>
        <v>[x]</v>
      </c>
      <c r="AD287" s="14" t="str">
        <f t="shared" si="69"/>
        <v>[x]</v>
      </c>
      <c r="AE287" s="14" t="str">
        <f t="shared" si="70"/>
        <v>[x]</v>
      </c>
      <c r="AF287" s="27" t="str">
        <f t="shared" si="71"/>
        <v>[x]</v>
      </c>
      <c r="AG287" s="27">
        <f t="shared" si="72"/>
        <v>12</v>
      </c>
    </row>
    <row r="288" spans="16:33" ht="16.5" x14ac:dyDescent="0.2">
      <c r="P288" s="13">
        <v>232</v>
      </c>
      <c r="Q288" s="14">
        <f t="shared" si="57"/>
        <v>14</v>
      </c>
      <c r="R288" s="14">
        <f t="shared" si="58"/>
        <v>1606016</v>
      </c>
      <c r="S288" s="14" t="str">
        <f t="shared" si="62"/>
        <v>神器3碎片6等级7</v>
      </c>
      <c r="T288" s="29" t="s">
        <v>520</v>
      </c>
      <c r="U288" s="14">
        <f t="shared" si="59"/>
        <v>7</v>
      </c>
      <c r="V288" s="36">
        <f t="shared" si="63"/>
        <v>0.59799999999999998</v>
      </c>
      <c r="W288" s="17">
        <f t="shared" si="60"/>
        <v>2.9899999999999999E-2</v>
      </c>
      <c r="X288" s="14">
        <f t="shared" si="64"/>
        <v>1</v>
      </c>
      <c r="Y288" s="14">
        <f t="shared" si="65"/>
        <v>0</v>
      </c>
      <c r="Z288" s="14">
        <f t="shared" si="66"/>
        <v>0</v>
      </c>
      <c r="AA288" s="14" t="str">
        <f t="shared" si="67"/>
        <v>AtkExt</v>
      </c>
      <c r="AB288" s="14">
        <f t="shared" si="61"/>
        <v>6093</v>
      </c>
      <c r="AC288" s="14" t="str">
        <f t="shared" si="68"/>
        <v>[x]</v>
      </c>
      <c r="AD288" s="14" t="str">
        <f t="shared" si="69"/>
        <v>[x]</v>
      </c>
      <c r="AE288" s="14" t="str">
        <f t="shared" si="70"/>
        <v>[x]</v>
      </c>
      <c r="AF288" s="27" t="str">
        <f t="shared" si="71"/>
        <v>[x]</v>
      </c>
      <c r="AG288" s="27">
        <f t="shared" si="72"/>
        <v>14</v>
      </c>
    </row>
    <row r="289" spans="16:33" ht="16.5" x14ac:dyDescent="0.2">
      <c r="P289" s="13">
        <v>233</v>
      </c>
      <c r="Q289" s="14">
        <f t="shared" si="57"/>
        <v>14</v>
      </c>
      <c r="R289" s="14">
        <f t="shared" si="58"/>
        <v>1606016</v>
      </c>
      <c r="S289" s="14" t="str">
        <f t="shared" si="62"/>
        <v>神器3碎片6等级8</v>
      </c>
      <c r="T289" s="29" t="s">
        <v>520</v>
      </c>
      <c r="U289" s="14">
        <f t="shared" si="59"/>
        <v>8</v>
      </c>
      <c r="V289" s="36">
        <f t="shared" si="63"/>
        <v>0.67800000000000005</v>
      </c>
      <c r="W289" s="17">
        <f t="shared" si="60"/>
        <v>3.3900000000000007E-2</v>
      </c>
      <c r="X289" s="14">
        <f t="shared" si="64"/>
        <v>1</v>
      </c>
      <c r="Y289" s="14">
        <f t="shared" si="65"/>
        <v>0</v>
      </c>
      <c r="Z289" s="14">
        <f t="shared" si="66"/>
        <v>0</v>
      </c>
      <c r="AA289" s="14" t="str">
        <f t="shared" si="67"/>
        <v>AtkExt</v>
      </c>
      <c r="AB289" s="14">
        <f t="shared" si="61"/>
        <v>6908</v>
      </c>
      <c r="AC289" s="14" t="str">
        <f t="shared" si="68"/>
        <v>[x]</v>
      </c>
      <c r="AD289" s="14" t="str">
        <f t="shared" si="69"/>
        <v>[x]</v>
      </c>
      <c r="AE289" s="14" t="str">
        <f t="shared" si="70"/>
        <v>[x]</v>
      </c>
      <c r="AF289" s="27" t="str">
        <f t="shared" si="71"/>
        <v>[x]</v>
      </c>
      <c r="AG289" s="27">
        <f t="shared" si="72"/>
        <v>16</v>
      </c>
    </row>
    <row r="290" spans="16:33" ht="16.5" x14ac:dyDescent="0.2">
      <c r="P290" s="13">
        <v>234</v>
      </c>
      <c r="Q290" s="14">
        <f t="shared" si="57"/>
        <v>14</v>
      </c>
      <c r="R290" s="14">
        <f t="shared" si="58"/>
        <v>1606016</v>
      </c>
      <c r="S290" s="14" t="str">
        <f t="shared" si="62"/>
        <v>神器3碎片6等级9</v>
      </c>
      <c r="T290" s="29" t="s">
        <v>520</v>
      </c>
      <c r="U290" s="14">
        <f t="shared" si="59"/>
        <v>9</v>
      </c>
      <c r="V290" s="36">
        <f t="shared" si="63"/>
        <v>0.76200000000000001</v>
      </c>
      <c r="W290" s="17">
        <f t="shared" si="60"/>
        <v>3.8100000000000002E-2</v>
      </c>
      <c r="X290" s="14">
        <f t="shared" si="64"/>
        <v>1</v>
      </c>
      <c r="Y290" s="14">
        <f t="shared" si="65"/>
        <v>0</v>
      </c>
      <c r="Z290" s="14">
        <f t="shared" si="66"/>
        <v>0</v>
      </c>
      <c r="AA290" s="14" t="str">
        <f t="shared" si="67"/>
        <v>AtkExt</v>
      </c>
      <c r="AB290" s="14">
        <f t="shared" si="61"/>
        <v>7764</v>
      </c>
      <c r="AC290" s="14" t="str">
        <f t="shared" si="68"/>
        <v>[x]</v>
      </c>
      <c r="AD290" s="14" t="str">
        <f t="shared" si="69"/>
        <v>[x]</v>
      </c>
      <c r="AE290" s="14" t="str">
        <f t="shared" si="70"/>
        <v>[x]</v>
      </c>
      <c r="AF290" s="27" t="str">
        <f t="shared" si="71"/>
        <v>[x]</v>
      </c>
      <c r="AG290" s="27">
        <f t="shared" si="72"/>
        <v>18</v>
      </c>
    </row>
    <row r="291" spans="16:33" ht="16.5" x14ac:dyDescent="0.2">
      <c r="P291" s="13">
        <v>235</v>
      </c>
      <c r="Q291" s="14">
        <f t="shared" si="57"/>
        <v>14</v>
      </c>
      <c r="R291" s="14">
        <f t="shared" si="58"/>
        <v>1606016</v>
      </c>
      <c r="S291" s="14" t="str">
        <f t="shared" si="62"/>
        <v>神器3碎片6等级10</v>
      </c>
      <c r="T291" s="29" t="s">
        <v>520</v>
      </c>
      <c r="U291" s="14">
        <f t="shared" si="59"/>
        <v>10</v>
      </c>
      <c r="V291" s="36">
        <f t="shared" si="63"/>
        <v>0.85000000000000009</v>
      </c>
      <c r="W291" s="17">
        <f t="shared" si="60"/>
        <v>4.250000000000001E-2</v>
      </c>
      <c r="X291" s="14">
        <f t="shared" si="64"/>
        <v>1</v>
      </c>
      <c r="Y291" s="14">
        <f t="shared" si="65"/>
        <v>0</v>
      </c>
      <c r="Z291" s="14">
        <f t="shared" si="66"/>
        <v>0</v>
      </c>
      <c r="AA291" s="14" t="str">
        <f t="shared" si="67"/>
        <v>AtkExt</v>
      </c>
      <c r="AB291" s="14">
        <f t="shared" si="61"/>
        <v>8660</v>
      </c>
      <c r="AC291" s="14" t="str">
        <f t="shared" si="68"/>
        <v>[x]</v>
      </c>
      <c r="AD291" s="14" t="str">
        <f t="shared" si="69"/>
        <v>[x]</v>
      </c>
      <c r="AE291" s="14" t="str">
        <f t="shared" si="70"/>
        <v>[x]</v>
      </c>
      <c r="AF291" s="27" t="str">
        <f t="shared" si="71"/>
        <v>[x]</v>
      </c>
      <c r="AG291" s="27">
        <f t="shared" si="72"/>
        <v>20</v>
      </c>
    </row>
    <row r="292" spans="16:33" ht="16.5" x14ac:dyDescent="0.2">
      <c r="P292" s="13">
        <v>236</v>
      </c>
      <c r="Q292" s="14">
        <f t="shared" si="57"/>
        <v>14</v>
      </c>
      <c r="R292" s="14">
        <f t="shared" si="58"/>
        <v>1606016</v>
      </c>
      <c r="S292" s="14" t="str">
        <f t="shared" si="62"/>
        <v>神器3碎片6等级11</v>
      </c>
      <c r="T292" s="29" t="s">
        <v>520</v>
      </c>
      <c r="U292" s="14">
        <f t="shared" si="59"/>
        <v>11</v>
      </c>
      <c r="V292" s="36">
        <f t="shared" si="63"/>
        <v>0.94200000000000006</v>
      </c>
      <c r="W292" s="17">
        <f t="shared" si="60"/>
        <v>4.7100000000000003E-2</v>
      </c>
      <c r="X292" s="14">
        <f t="shared" si="64"/>
        <v>1</v>
      </c>
      <c r="Y292" s="14">
        <f t="shared" si="65"/>
        <v>0</v>
      </c>
      <c r="Z292" s="14">
        <f t="shared" si="66"/>
        <v>0</v>
      </c>
      <c r="AA292" s="14" t="str">
        <f t="shared" si="67"/>
        <v>AtkExt</v>
      </c>
      <c r="AB292" s="14">
        <f t="shared" si="61"/>
        <v>9598</v>
      </c>
      <c r="AC292" s="14" t="str">
        <f t="shared" si="68"/>
        <v>[x]</v>
      </c>
      <c r="AD292" s="14" t="str">
        <f t="shared" si="69"/>
        <v>[x]</v>
      </c>
      <c r="AE292" s="14" t="str">
        <f t="shared" si="70"/>
        <v>[x]</v>
      </c>
      <c r="AF292" s="27" t="str">
        <f t="shared" si="71"/>
        <v>[x]</v>
      </c>
      <c r="AG292" s="27">
        <f t="shared" si="72"/>
        <v>22</v>
      </c>
    </row>
    <row r="293" spans="16:33" ht="16.5" x14ac:dyDescent="0.2">
      <c r="P293" s="13">
        <v>237</v>
      </c>
      <c r="Q293" s="14">
        <f t="shared" si="57"/>
        <v>14</v>
      </c>
      <c r="R293" s="14">
        <f t="shared" si="58"/>
        <v>1606016</v>
      </c>
      <c r="S293" s="14" t="str">
        <f t="shared" si="62"/>
        <v>神器3碎片6等级12</v>
      </c>
      <c r="T293" s="29" t="s">
        <v>520</v>
      </c>
      <c r="U293" s="14">
        <f t="shared" si="59"/>
        <v>12</v>
      </c>
      <c r="V293" s="36">
        <f t="shared" si="63"/>
        <v>1.0380000000000003</v>
      </c>
      <c r="W293" s="17">
        <f t="shared" si="60"/>
        <v>5.1900000000000016E-2</v>
      </c>
      <c r="X293" s="14">
        <f t="shared" si="64"/>
        <v>1</v>
      </c>
      <c r="Y293" s="14">
        <f t="shared" si="65"/>
        <v>0</v>
      </c>
      <c r="Z293" s="14">
        <f t="shared" si="66"/>
        <v>0</v>
      </c>
      <c r="AA293" s="14" t="str">
        <f t="shared" si="67"/>
        <v>AtkExt</v>
      </c>
      <c r="AB293" s="14">
        <f t="shared" si="61"/>
        <v>10576</v>
      </c>
      <c r="AC293" s="14" t="str">
        <f t="shared" si="68"/>
        <v>[x]</v>
      </c>
      <c r="AD293" s="14" t="str">
        <f t="shared" si="69"/>
        <v>[x]</v>
      </c>
      <c r="AE293" s="14" t="str">
        <f t="shared" si="70"/>
        <v>[x]</v>
      </c>
      <c r="AF293" s="27" t="str">
        <f t="shared" si="71"/>
        <v>[x]</v>
      </c>
      <c r="AG293" s="27">
        <f t="shared" si="72"/>
        <v>24</v>
      </c>
    </row>
    <row r="294" spans="16:33" ht="16.5" x14ac:dyDescent="0.2">
      <c r="P294" s="13">
        <v>238</v>
      </c>
      <c r="Q294" s="14">
        <f t="shared" si="57"/>
        <v>14</v>
      </c>
      <c r="R294" s="14">
        <f t="shared" si="58"/>
        <v>1606016</v>
      </c>
      <c r="S294" s="14" t="str">
        <f t="shared" si="62"/>
        <v>神器3碎片6等级13</v>
      </c>
      <c r="T294" s="29" t="s">
        <v>520</v>
      </c>
      <c r="U294" s="14">
        <f t="shared" si="59"/>
        <v>13</v>
      </c>
      <c r="V294" s="36">
        <f t="shared" si="63"/>
        <v>1.1380000000000001</v>
      </c>
      <c r="W294" s="17">
        <f t="shared" si="60"/>
        <v>5.6900000000000006E-2</v>
      </c>
      <c r="X294" s="14">
        <f t="shared" si="64"/>
        <v>1</v>
      </c>
      <c r="Y294" s="14">
        <f t="shared" si="65"/>
        <v>0</v>
      </c>
      <c r="Z294" s="14">
        <f t="shared" si="66"/>
        <v>0</v>
      </c>
      <c r="AA294" s="14" t="str">
        <f t="shared" si="67"/>
        <v>AtkExt</v>
      </c>
      <c r="AB294" s="14">
        <f t="shared" si="61"/>
        <v>11595</v>
      </c>
      <c r="AC294" s="14" t="str">
        <f t="shared" si="68"/>
        <v>[x]</v>
      </c>
      <c r="AD294" s="14" t="str">
        <f t="shared" si="69"/>
        <v>[x]</v>
      </c>
      <c r="AE294" s="14" t="str">
        <f t="shared" si="70"/>
        <v>[x]</v>
      </c>
      <c r="AF294" s="27" t="str">
        <f t="shared" si="71"/>
        <v>[x]</v>
      </c>
      <c r="AG294" s="27">
        <f t="shared" si="72"/>
        <v>26</v>
      </c>
    </row>
    <row r="295" spans="16:33" ht="16.5" x14ac:dyDescent="0.2">
      <c r="P295" s="13">
        <v>239</v>
      </c>
      <c r="Q295" s="14">
        <f t="shared" si="57"/>
        <v>14</v>
      </c>
      <c r="R295" s="14">
        <f t="shared" si="58"/>
        <v>1606016</v>
      </c>
      <c r="S295" s="14" t="str">
        <f t="shared" si="62"/>
        <v>神器3碎片6等级14</v>
      </c>
      <c r="T295" s="29" t="s">
        <v>520</v>
      </c>
      <c r="U295" s="14">
        <f t="shared" si="59"/>
        <v>14</v>
      </c>
      <c r="V295" s="36">
        <f t="shared" si="63"/>
        <v>1.242</v>
      </c>
      <c r="W295" s="17">
        <f t="shared" si="60"/>
        <v>6.2100000000000002E-2</v>
      </c>
      <c r="X295" s="14">
        <f t="shared" si="64"/>
        <v>1</v>
      </c>
      <c r="Y295" s="14">
        <f t="shared" si="65"/>
        <v>0</v>
      </c>
      <c r="Z295" s="14">
        <f t="shared" si="66"/>
        <v>0</v>
      </c>
      <c r="AA295" s="14" t="str">
        <f t="shared" si="67"/>
        <v>AtkExt</v>
      </c>
      <c r="AB295" s="14">
        <f t="shared" si="61"/>
        <v>12654</v>
      </c>
      <c r="AC295" s="14" t="str">
        <f t="shared" si="68"/>
        <v>[x]</v>
      </c>
      <c r="AD295" s="14" t="str">
        <f t="shared" si="69"/>
        <v>[x]</v>
      </c>
      <c r="AE295" s="14" t="str">
        <f t="shared" si="70"/>
        <v>[x]</v>
      </c>
      <c r="AF295" s="27" t="str">
        <f t="shared" si="71"/>
        <v>[x]</v>
      </c>
      <c r="AG295" s="27">
        <f t="shared" si="72"/>
        <v>28</v>
      </c>
    </row>
    <row r="296" spans="16:33" ht="16.5" x14ac:dyDescent="0.2">
      <c r="P296" s="13">
        <v>240</v>
      </c>
      <c r="Q296" s="14">
        <f t="shared" si="57"/>
        <v>14</v>
      </c>
      <c r="R296" s="14">
        <f t="shared" si="58"/>
        <v>1606016</v>
      </c>
      <c r="S296" s="14" t="str">
        <f t="shared" si="62"/>
        <v>神器3碎片6等级15</v>
      </c>
      <c r="T296" s="29" t="s">
        <v>520</v>
      </c>
      <c r="U296" s="14">
        <f t="shared" si="59"/>
        <v>15</v>
      </c>
      <c r="V296" s="36">
        <f t="shared" si="63"/>
        <v>1.35</v>
      </c>
      <c r="W296" s="17">
        <f t="shared" si="60"/>
        <v>6.7500000000000004E-2</v>
      </c>
      <c r="X296" s="14">
        <f t="shared" si="64"/>
        <v>1</v>
      </c>
      <c r="Y296" s="14">
        <f t="shared" si="65"/>
        <v>0</v>
      </c>
      <c r="Z296" s="14">
        <f t="shared" si="66"/>
        <v>0</v>
      </c>
      <c r="AA296" s="14" t="str">
        <f t="shared" si="67"/>
        <v>AtkExt</v>
      </c>
      <c r="AB296" s="14">
        <f t="shared" si="61"/>
        <v>13755</v>
      </c>
      <c r="AC296" s="14" t="str">
        <f t="shared" si="68"/>
        <v>[x]</v>
      </c>
      <c r="AD296" s="14" t="str">
        <f t="shared" si="69"/>
        <v>[x]</v>
      </c>
      <c r="AE296" s="14" t="str">
        <f t="shared" si="70"/>
        <v>[x]</v>
      </c>
      <c r="AF296" s="27" t="str">
        <f t="shared" si="71"/>
        <v>[x]</v>
      </c>
      <c r="AG296" s="27">
        <f t="shared" si="72"/>
        <v>30</v>
      </c>
    </row>
    <row r="297" spans="16:33" ht="16.5" x14ac:dyDescent="0.2">
      <c r="P297" s="13">
        <v>241</v>
      </c>
      <c r="Q297" s="14">
        <f t="shared" si="57"/>
        <v>14</v>
      </c>
      <c r="R297" s="14">
        <f t="shared" si="58"/>
        <v>1606016</v>
      </c>
      <c r="S297" s="14" t="str">
        <f t="shared" si="62"/>
        <v>神器3碎片6等级16</v>
      </c>
      <c r="T297" s="29" t="s">
        <v>520</v>
      </c>
      <c r="U297" s="14">
        <f t="shared" si="59"/>
        <v>16</v>
      </c>
      <c r="V297" s="36">
        <f t="shared" si="63"/>
        <v>1.4620000000000002</v>
      </c>
      <c r="W297" s="17">
        <f t="shared" si="60"/>
        <v>7.3100000000000012E-2</v>
      </c>
      <c r="X297" s="14">
        <f t="shared" si="64"/>
        <v>1</v>
      </c>
      <c r="Y297" s="14">
        <f t="shared" si="65"/>
        <v>0</v>
      </c>
      <c r="Z297" s="14">
        <f t="shared" si="66"/>
        <v>0</v>
      </c>
      <c r="AA297" s="14" t="str">
        <f t="shared" si="67"/>
        <v>AtkExt</v>
      </c>
      <c r="AB297" s="14">
        <f t="shared" si="61"/>
        <v>14896</v>
      </c>
      <c r="AC297" s="14" t="str">
        <f t="shared" si="68"/>
        <v>[x]</v>
      </c>
      <c r="AD297" s="14" t="str">
        <f t="shared" si="69"/>
        <v>[x]</v>
      </c>
      <c r="AE297" s="14" t="str">
        <f t="shared" si="70"/>
        <v>[x]</v>
      </c>
      <c r="AF297" s="27" t="str">
        <f t="shared" si="71"/>
        <v>[x]</v>
      </c>
      <c r="AG297" s="27">
        <f t="shared" si="72"/>
        <v>32</v>
      </c>
    </row>
    <row r="298" spans="16:33" ht="16.5" x14ac:dyDescent="0.2">
      <c r="P298" s="13">
        <v>242</v>
      </c>
      <c r="Q298" s="14">
        <f t="shared" si="57"/>
        <v>14</v>
      </c>
      <c r="R298" s="14">
        <f t="shared" si="58"/>
        <v>1606016</v>
      </c>
      <c r="S298" s="14" t="str">
        <f t="shared" si="62"/>
        <v>神器3碎片6等级17</v>
      </c>
      <c r="T298" s="29" t="s">
        <v>520</v>
      </c>
      <c r="U298" s="14">
        <f t="shared" si="59"/>
        <v>17</v>
      </c>
      <c r="V298" s="36">
        <f t="shared" si="63"/>
        <v>1.5779999999999998</v>
      </c>
      <c r="W298" s="17">
        <f t="shared" si="60"/>
        <v>7.8899999999999998E-2</v>
      </c>
      <c r="X298" s="14">
        <f t="shared" si="64"/>
        <v>1</v>
      </c>
      <c r="Y298" s="14">
        <f t="shared" si="65"/>
        <v>0</v>
      </c>
      <c r="Z298" s="14">
        <f t="shared" si="66"/>
        <v>0</v>
      </c>
      <c r="AA298" s="14" t="str">
        <f t="shared" si="67"/>
        <v>AtkExt</v>
      </c>
      <c r="AB298" s="14">
        <f t="shared" si="61"/>
        <v>16078</v>
      </c>
      <c r="AC298" s="14" t="str">
        <f t="shared" si="68"/>
        <v>[x]</v>
      </c>
      <c r="AD298" s="14" t="str">
        <f t="shared" si="69"/>
        <v>[x]</v>
      </c>
      <c r="AE298" s="14" t="str">
        <f t="shared" si="70"/>
        <v>[x]</v>
      </c>
      <c r="AF298" s="27" t="str">
        <f t="shared" si="71"/>
        <v>[x]</v>
      </c>
      <c r="AG298" s="27">
        <f t="shared" si="72"/>
        <v>34</v>
      </c>
    </row>
    <row r="299" spans="16:33" ht="16.5" x14ac:dyDescent="0.2">
      <c r="P299" s="13">
        <v>243</v>
      </c>
      <c r="Q299" s="14">
        <f t="shared" si="57"/>
        <v>14</v>
      </c>
      <c r="R299" s="14">
        <f t="shared" si="58"/>
        <v>1606016</v>
      </c>
      <c r="S299" s="14" t="str">
        <f t="shared" si="62"/>
        <v>神器3碎片6等级18</v>
      </c>
      <c r="T299" s="29" t="s">
        <v>520</v>
      </c>
      <c r="U299" s="14">
        <f t="shared" si="59"/>
        <v>18</v>
      </c>
      <c r="V299" s="36">
        <f t="shared" si="63"/>
        <v>1.698</v>
      </c>
      <c r="W299" s="17">
        <f t="shared" si="60"/>
        <v>8.4900000000000003E-2</v>
      </c>
      <c r="X299" s="14">
        <f t="shared" si="64"/>
        <v>1</v>
      </c>
      <c r="Y299" s="14">
        <f t="shared" si="65"/>
        <v>0</v>
      </c>
      <c r="Z299" s="14">
        <f t="shared" si="66"/>
        <v>0</v>
      </c>
      <c r="AA299" s="14" t="str">
        <f t="shared" si="67"/>
        <v>AtkExt</v>
      </c>
      <c r="AB299" s="14">
        <f t="shared" si="61"/>
        <v>17301</v>
      </c>
      <c r="AC299" s="14" t="str">
        <f t="shared" si="68"/>
        <v>[x]</v>
      </c>
      <c r="AD299" s="14" t="str">
        <f t="shared" si="69"/>
        <v>[x]</v>
      </c>
      <c r="AE299" s="14" t="str">
        <f t="shared" si="70"/>
        <v>[x]</v>
      </c>
      <c r="AF299" s="27" t="str">
        <f t="shared" si="71"/>
        <v>[x]</v>
      </c>
      <c r="AG299" s="27">
        <f t="shared" si="72"/>
        <v>36</v>
      </c>
    </row>
    <row r="300" spans="16:33" ht="16.5" x14ac:dyDescent="0.2">
      <c r="P300" s="13">
        <v>244</v>
      </c>
      <c r="Q300" s="14">
        <f t="shared" si="57"/>
        <v>14</v>
      </c>
      <c r="R300" s="14">
        <f t="shared" si="58"/>
        <v>1606016</v>
      </c>
      <c r="S300" s="14" t="str">
        <f t="shared" si="62"/>
        <v>神器3碎片6等级19</v>
      </c>
      <c r="T300" s="29" t="s">
        <v>520</v>
      </c>
      <c r="U300" s="14">
        <f t="shared" si="59"/>
        <v>19</v>
      </c>
      <c r="V300" s="36">
        <f t="shared" si="63"/>
        <v>1.8220000000000001</v>
      </c>
      <c r="W300" s="17">
        <f t="shared" si="60"/>
        <v>9.1100000000000014E-2</v>
      </c>
      <c r="X300" s="14">
        <f t="shared" si="64"/>
        <v>1</v>
      </c>
      <c r="Y300" s="14">
        <f t="shared" si="65"/>
        <v>0</v>
      </c>
      <c r="Z300" s="14">
        <f t="shared" si="66"/>
        <v>0</v>
      </c>
      <c r="AA300" s="14" t="str">
        <f t="shared" si="67"/>
        <v>AtkExt</v>
      </c>
      <c r="AB300" s="14">
        <f t="shared" si="61"/>
        <v>18564</v>
      </c>
      <c r="AC300" s="14" t="str">
        <f t="shared" si="68"/>
        <v>[x]</v>
      </c>
      <c r="AD300" s="14" t="str">
        <f t="shared" si="69"/>
        <v>[x]</v>
      </c>
      <c r="AE300" s="14" t="str">
        <f t="shared" si="70"/>
        <v>[x]</v>
      </c>
      <c r="AF300" s="27" t="str">
        <f t="shared" si="71"/>
        <v>[x]</v>
      </c>
      <c r="AG300" s="27">
        <f t="shared" si="72"/>
        <v>38</v>
      </c>
    </row>
    <row r="301" spans="16:33" ht="16.5" x14ac:dyDescent="0.2">
      <c r="P301" s="13">
        <v>245</v>
      </c>
      <c r="Q301" s="14">
        <f t="shared" si="57"/>
        <v>14</v>
      </c>
      <c r="R301" s="14">
        <f t="shared" si="58"/>
        <v>1606016</v>
      </c>
      <c r="S301" s="14" t="str">
        <f t="shared" si="62"/>
        <v>神器3碎片6等级20</v>
      </c>
      <c r="T301" s="29" t="s">
        <v>520</v>
      </c>
      <c r="U301" s="14">
        <f t="shared" si="59"/>
        <v>20</v>
      </c>
      <c r="V301" s="36">
        <f t="shared" si="63"/>
        <v>1.95</v>
      </c>
      <c r="W301" s="17">
        <f t="shared" si="60"/>
        <v>9.7500000000000003E-2</v>
      </c>
      <c r="X301" s="14">
        <f t="shared" si="64"/>
        <v>1</v>
      </c>
      <c r="Y301" s="14">
        <f t="shared" si="65"/>
        <v>0</v>
      </c>
      <c r="Z301" s="14">
        <f t="shared" si="66"/>
        <v>0</v>
      </c>
      <c r="AA301" s="14" t="str">
        <f t="shared" si="67"/>
        <v>AtkExt</v>
      </c>
      <c r="AB301" s="14">
        <f t="shared" si="61"/>
        <v>19868</v>
      </c>
      <c r="AC301" s="14" t="str">
        <f t="shared" si="68"/>
        <v>[x]</v>
      </c>
      <c r="AD301" s="14" t="str">
        <f t="shared" si="69"/>
        <v>[x]</v>
      </c>
      <c r="AE301" s="14" t="str">
        <f t="shared" si="70"/>
        <v>[x]</v>
      </c>
      <c r="AF301" s="27" t="str">
        <f t="shared" si="71"/>
        <v>[x]</v>
      </c>
      <c r="AG301" s="27">
        <f t="shared" si="72"/>
        <v>40</v>
      </c>
    </row>
    <row r="302" spans="16:33" ht="16.5" x14ac:dyDescent="0.2">
      <c r="P302" s="13">
        <v>246</v>
      </c>
      <c r="Q302" s="14">
        <f t="shared" si="57"/>
        <v>14</v>
      </c>
      <c r="R302" s="14">
        <f t="shared" si="58"/>
        <v>1606016</v>
      </c>
      <c r="S302" s="14" t="str">
        <f t="shared" si="62"/>
        <v>神器3碎片6等级21</v>
      </c>
      <c r="T302" s="29" t="s">
        <v>520</v>
      </c>
      <c r="U302" s="14">
        <f t="shared" si="59"/>
        <v>21</v>
      </c>
      <c r="V302" s="36">
        <f t="shared" si="63"/>
        <v>2.0819999999999999</v>
      </c>
      <c r="W302" s="17">
        <f t="shared" si="60"/>
        <v>0.1041</v>
      </c>
      <c r="X302" s="14">
        <f t="shared" si="64"/>
        <v>1</v>
      </c>
      <c r="Y302" s="14">
        <f t="shared" si="65"/>
        <v>0</v>
      </c>
      <c r="Z302" s="14">
        <f t="shared" si="66"/>
        <v>0</v>
      </c>
      <c r="AA302" s="14" t="str">
        <f t="shared" si="67"/>
        <v>AtkExt</v>
      </c>
      <c r="AB302" s="14">
        <f t="shared" si="61"/>
        <v>21213</v>
      </c>
      <c r="AC302" s="14" t="str">
        <f t="shared" si="68"/>
        <v>[x]</v>
      </c>
      <c r="AD302" s="14" t="str">
        <f t="shared" si="69"/>
        <v>[x]</v>
      </c>
      <c r="AE302" s="14" t="str">
        <f t="shared" si="70"/>
        <v>[x]</v>
      </c>
      <c r="AF302" s="27" t="str">
        <f t="shared" si="71"/>
        <v>[x]</v>
      </c>
      <c r="AG302" s="27">
        <f t="shared" si="72"/>
        <v>42</v>
      </c>
    </row>
    <row r="303" spans="16:33" ht="16.5" x14ac:dyDescent="0.2">
      <c r="P303" s="13">
        <v>247</v>
      </c>
      <c r="Q303" s="14">
        <f t="shared" si="57"/>
        <v>15</v>
      </c>
      <c r="R303" s="14">
        <f t="shared" si="58"/>
        <v>1606019</v>
      </c>
      <c r="S303" s="14" t="str">
        <f t="shared" si="62"/>
        <v>神器4碎片1等级1</v>
      </c>
      <c r="T303" s="29" t="s">
        <v>520</v>
      </c>
      <c r="U303" s="14">
        <f t="shared" si="59"/>
        <v>1</v>
      </c>
      <c r="V303" s="36">
        <f t="shared" si="63"/>
        <v>0.20200000000000001</v>
      </c>
      <c r="W303" s="17">
        <f t="shared" si="60"/>
        <v>2.0200000000000001E-3</v>
      </c>
      <c r="X303" s="14">
        <f t="shared" si="64"/>
        <v>1</v>
      </c>
      <c r="Y303" s="14">
        <f t="shared" si="65"/>
        <v>3</v>
      </c>
      <c r="Z303" s="14">
        <f t="shared" si="66"/>
        <v>0</v>
      </c>
      <c r="AA303" s="14" t="str">
        <f t="shared" si="67"/>
        <v>AtkExt</v>
      </c>
      <c r="AB303" s="14">
        <f t="shared" si="61"/>
        <v>274</v>
      </c>
      <c r="AC303" s="14" t="str">
        <f t="shared" si="68"/>
        <v>HPExt</v>
      </c>
      <c r="AD303" s="14">
        <f t="shared" si="69"/>
        <v>411</v>
      </c>
      <c r="AE303" s="14" t="str">
        <f t="shared" si="70"/>
        <v>[x]</v>
      </c>
      <c r="AF303" s="27" t="str">
        <f t="shared" si="71"/>
        <v>[x]</v>
      </c>
      <c r="AG303" s="27" t="str">
        <f t="shared" si="72"/>
        <v>[x]</v>
      </c>
    </row>
    <row r="304" spans="16:33" ht="16.5" x14ac:dyDescent="0.2">
      <c r="P304" s="13">
        <v>248</v>
      </c>
      <c r="Q304" s="14">
        <f t="shared" si="57"/>
        <v>15</v>
      </c>
      <c r="R304" s="14">
        <f t="shared" si="58"/>
        <v>1606019</v>
      </c>
      <c r="S304" s="14" t="str">
        <f t="shared" si="62"/>
        <v>神器4碎片1等级2</v>
      </c>
      <c r="T304" s="29" t="s">
        <v>520</v>
      </c>
      <c r="U304" s="14">
        <f t="shared" si="59"/>
        <v>2</v>
      </c>
      <c r="V304" s="36">
        <f t="shared" si="63"/>
        <v>0.25800000000000001</v>
      </c>
      <c r="W304" s="17">
        <f t="shared" si="60"/>
        <v>2.5800000000000003E-3</v>
      </c>
      <c r="X304" s="14">
        <f t="shared" si="64"/>
        <v>1</v>
      </c>
      <c r="Y304" s="14">
        <f t="shared" si="65"/>
        <v>3</v>
      </c>
      <c r="Z304" s="14">
        <f t="shared" si="66"/>
        <v>0</v>
      </c>
      <c r="AA304" s="14" t="str">
        <f t="shared" si="67"/>
        <v>AtkExt</v>
      </c>
      <c r="AB304" s="14">
        <f t="shared" si="61"/>
        <v>350</v>
      </c>
      <c r="AC304" s="14" t="str">
        <f t="shared" si="68"/>
        <v>HPExt</v>
      </c>
      <c r="AD304" s="14">
        <f t="shared" si="69"/>
        <v>525</v>
      </c>
      <c r="AE304" s="14" t="str">
        <f t="shared" si="70"/>
        <v>[x]</v>
      </c>
      <c r="AF304" s="27" t="str">
        <f t="shared" si="71"/>
        <v>[x]</v>
      </c>
      <c r="AG304" s="27" t="str">
        <f t="shared" si="72"/>
        <v>[x]</v>
      </c>
    </row>
    <row r="305" spans="16:33" ht="16.5" x14ac:dyDescent="0.2">
      <c r="P305" s="13">
        <v>249</v>
      </c>
      <c r="Q305" s="14">
        <f t="shared" si="57"/>
        <v>15</v>
      </c>
      <c r="R305" s="14">
        <f t="shared" si="58"/>
        <v>1606019</v>
      </c>
      <c r="S305" s="14" t="str">
        <f t="shared" si="62"/>
        <v>神器4碎片1等级3</v>
      </c>
      <c r="T305" s="29" t="s">
        <v>520</v>
      </c>
      <c r="U305" s="14">
        <f t="shared" si="59"/>
        <v>3</v>
      </c>
      <c r="V305" s="36">
        <f t="shared" si="63"/>
        <v>0.31800000000000006</v>
      </c>
      <c r="W305" s="17">
        <f t="shared" si="60"/>
        <v>3.1800000000000005E-3</v>
      </c>
      <c r="X305" s="14">
        <f t="shared" si="64"/>
        <v>1</v>
      </c>
      <c r="Y305" s="14">
        <f t="shared" si="65"/>
        <v>3</v>
      </c>
      <c r="Z305" s="14">
        <f t="shared" si="66"/>
        <v>0</v>
      </c>
      <c r="AA305" s="14" t="str">
        <f t="shared" si="67"/>
        <v>AtkExt</v>
      </c>
      <c r="AB305" s="14">
        <f t="shared" si="61"/>
        <v>432</v>
      </c>
      <c r="AC305" s="14" t="str">
        <f t="shared" si="68"/>
        <v>HPExt</v>
      </c>
      <c r="AD305" s="14">
        <f t="shared" si="69"/>
        <v>648</v>
      </c>
      <c r="AE305" s="14" t="str">
        <f t="shared" si="70"/>
        <v>[x]</v>
      </c>
      <c r="AF305" s="27" t="str">
        <f t="shared" si="71"/>
        <v>[x]</v>
      </c>
      <c r="AG305" s="27" t="str">
        <f t="shared" si="72"/>
        <v>[x]</v>
      </c>
    </row>
    <row r="306" spans="16:33" ht="16.5" x14ac:dyDescent="0.2">
      <c r="P306" s="13">
        <v>250</v>
      </c>
      <c r="Q306" s="14">
        <f t="shared" si="57"/>
        <v>15</v>
      </c>
      <c r="R306" s="14">
        <f t="shared" si="58"/>
        <v>1606019</v>
      </c>
      <c r="S306" s="14" t="str">
        <f t="shared" si="62"/>
        <v>神器4碎片1等级4</v>
      </c>
      <c r="T306" s="29" t="s">
        <v>520</v>
      </c>
      <c r="U306" s="14">
        <f t="shared" si="59"/>
        <v>4</v>
      </c>
      <c r="V306" s="36">
        <f t="shared" si="63"/>
        <v>0.38200000000000001</v>
      </c>
      <c r="W306" s="17">
        <f t="shared" si="60"/>
        <v>3.82E-3</v>
      </c>
      <c r="X306" s="14">
        <f t="shared" si="64"/>
        <v>1</v>
      </c>
      <c r="Y306" s="14">
        <f t="shared" si="65"/>
        <v>3</v>
      </c>
      <c r="Z306" s="14">
        <f t="shared" si="66"/>
        <v>0</v>
      </c>
      <c r="AA306" s="14" t="str">
        <f t="shared" si="67"/>
        <v>AtkExt</v>
      </c>
      <c r="AB306" s="14">
        <f t="shared" si="61"/>
        <v>518</v>
      </c>
      <c r="AC306" s="14" t="str">
        <f t="shared" si="68"/>
        <v>HPExt</v>
      </c>
      <c r="AD306" s="14">
        <f t="shared" si="69"/>
        <v>778</v>
      </c>
      <c r="AE306" s="14" t="str">
        <f t="shared" si="70"/>
        <v>[x]</v>
      </c>
      <c r="AF306" s="27" t="str">
        <f t="shared" si="71"/>
        <v>[x]</v>
      </c>
      <c r="AG306" s="27" t="str">
        <f t="shared" si="72"/>
        <v>[x]</v>
      </c>
    </row>
    <row r="307" spans="16:33" ht="16.5" x14ac:dyDescent="0.2">
      <c r="P307" s="13">
        <v>251</v>
      </c>
      <c r="Q307" s="14">
        <f t="shared" si="57"/>
        <v>15</v>
      </c>
      <c r="R307" s="14">
        <f t="shared" si="58"/>
        <v>1606019</v>
      </c>
      <c r="S307" s="14" t="str">
        <f t="shared" si="62"/>
        <v>神器4碎片1等级5</v>
      </c>
      <c r="T307" s="29" t="s">
        <v>520</v>
      </c>
      <c r="U307" s="14">
        <f t="shared" si="59"/>
        <v>5</v>
      </c>
      <c r="V307" s="36">
        <f t="shared" si="63"/>
        <v>0.45</v>
      </c>
      <c r="W307" s="17">
        <f t="shared" si="60"/>
        <v>4.5000000000000005E-3</v>
      </c>
      <c r="X307" s="14">
        <f t="shared" si="64"/>
        <v>1</v>
      </c>
      <c r="Y307" s="14">
        <f t="shared" si="65"/>
        <v>3</v>
      </c>
      <c r="Z307" s="14">
        <f t="shared" si="66"/>
        <v>0</v>
      </c>
      <c r="AA307" s="14" t="str">
        <f t="shared" si="67"/>
        <v>AtkExt</v>
      </c>
      <c r="AB307" s="14">
        <f t="shared" si="61"/>
        <v>611</v>
      </c>
      <c r="AC307" s="14" t="str">
        <f t="shared" si="68"/>
        <v>HPExt</v>
      </c>
      <c r="AD307" s="14">
        <f t="shared" si="69"/>
        <v>917</v>
      </c>
      <c r="AE307" s="14" t="str">
        <f t="shared" si="70"/>
        <v>[x]</v>
      </c>
      <c r="AF307" s="27" t="str">
        <f t="shared" si="71"/>
        <v>[x]</v>
      </c>
      <c r="AG307" s="27" t="str">
        <f t="shared" si="72"/>
        <v>[x]</v>
      </c>
    </row>
    <row r="308" spans="16:33" ht="16.5" x14ac:dyDescent="0.2">
      <c r="P308" s="13">
        <v>252</v>
      </c>
      <c r="Q308" s="14">
        <f t="shared" si="57"/>
        <v>15</v>
      </c>
      <c r="R308" s="14">
        <f t="shared" si="58"/>
        <v>1606019</v>
      </c>
      <c r="S308" s="14" t="str">
        <f t="shared" si="62"/>
        <v>神器4碎片1等级6</v>
      </c>
      <c r="T308" s="29" t="s">
        <v>520</v>
      </c>
      <c r="U308" s="14">
        <f t="shared" si="59"/>
        <v>6</v>
      </c>
      <c r="V308" s="36">
        <f t="shared" si="63"/>
        <v>0.52200000000000002</v>
      </c>
      <c r="W308" s="17">
        <f t="shared" si="60"/>
        <v>5.2200000000000007E-3</v>
      </c>
      <c r="X308" s="14">
        <f t="shared" si="64"/>
        <v>1</v>
      </c>
      <c r="Y308" s="14">
        <f t="shared" si="65"/>
        <v>3</v>
      </c>
      <c r="Z308" s="14">
        <f t="shared" si="66"/>
        <v>0</v>
      </c>
      <c r="AA308" s="14" t="str">
        <f t="shared" si="67"/>
        <v>AtkExt</v>
      </c>
      <c r="AB308" s="14">
        <f t="shared" si="61"/>
        <v>709</v>
      </c>
      <c r="AC308" s="14" t="str">
        <f t="shared" si="68"/>
        <v>HPExt</v>
      </c>
      <c r="AD308" s="14">
        <f t="shared" si="69"/>
        <v>1064</v>
      </c>
      <c r="AE308" s="14" t="str">
        <f t="shared" si="70"/>
        <v>[x]</v>
      </c>
      <c r="AF308" s="27" t="str">
        <f t="shared" si="71"/>
        <v>[x]</v>
      </c>
      <c r="AG308" s="27" t="str">
        <f t="shared" si="72"/>
        <v>[x]</v>
      </c>
    </row>
    <row r="309" spans="16:33" ht="16.5" x14ac:dyDescent="0.2">
      <c r="P309" s="13">
        <v>253</v>
      </c>
      <c r="Q309" s="14">
        <f t="shared" si="57"/>
        <v>15</v>
      </c>
      <c r="R309" s="14">
        <f t="shared" si="58"/>
        <v>1606019</v>
      </c>
      <c r="S309" s="14" t="str">
        <f t="shared" si="62"/>
        <v>神器4碎片1等级7</v>
      </c>
      <c r="T309" s="29" t="s">
        <v>520</v>
      </c>
      <c r="U309" s="14">
        <f t="shared" si="59"/>
        <v>7</v>
      </c>
      <c r="V309" s="36">
        <f t="shared" si="63"/>
        <v>0.59799999999999998</v>
      </c>
      <c r="W309" s="17">
        <f t="shared" si="60"/>
        <v>5.9800000000000001E-3</v>
      </c>
      <c r="X309" s="14">
        <f t="shared" si="64"/>
        <v>1</v>
      </c>
      <c r="Y309" s="14">
        <f t="shared" si="65"/>
        <v>3</v>
      </c>
      <c r="Z309" s="14">
        <f t="shared" si="66"/>
        <v>0</v>
      </c>
      <c r="AA309" s="14" t="str">
        <f t="shared" si="67"/>
        <v>AtkExt</v>
      </c>
      <c r="AB309" s="14">
        <f t="shared" si="61"/>
        <v>812</v>
      </c>
      <c r="AC309" s="14" t="str">
        <f t="shared" si="68"/>
        <v>HPExt</v>
      </c>
      <c r="AD309" s="14">
        <f t="shared" si="69"/>
        <v>1219</v>
      </c>
      <c r="AE309" s="14" t="str">
        <f t="shared" si="70"/>
        <v>[x]</v>
      </c>
      <c r="AF309" s="27" t="str">
        <f t="shared" si="71"/>
        <v>[x]</v>
      </c>
      <c r="AG309" s="27" t="str">
        <f t="shared" si="72"/>
        <v>[x]</v>
      </c>
    </row>
    <row r="310" spans="16:33" ht="16.5" x14ac:dyDescent="0.2">
      <c r="P310" s="13">
        <v>254</v>
      </c>
      <c r="Q310" s="14">
        <f t="shared" si="57"/>
        <v>15</v>
      </c>
      <c r="R310" s="14">
        <f t="shared" si="58"/>
        <v>1606019</v>
      </c>
      <c r="S310" s="14" t="str">
        <f t="shared" si="62"/>
        <v>神器4碎片1等级8</v>
      </c>
      <c r="T310" s="29" t="s">
        <v>520</v>
      </c>
      <c r="U310" s="14">
        <f t="shared" si="59"/>
        <v>8</v>
      </c>
      <c r="V310" s="36">
        <f t="shared" si="63"/>
        <v>0.67800000000000005</v>
      </c>
      <c r="W310" s="17">
        <f t="shared" si="60"/>
        <v>6.7800000000000004E-3</v>
      </c>
      <c r="X310" s="14">
        <f t="shared" si="64"/>
        <v>1</v>
      </c>
      <c r="Y310" s="14">
        <f t="shared" si="65"/>
        <v>3</v>
      </c>
      <c r="Z310" s="14">
        <f t="shared" si="66"/>
        <v>0</v>
      </c>
      <c r="AA310" s="14" t="str">
        <f t="shared" si="67"/>
        <v>AtkExt</v>
      </c>
      <c r="AB310" s="14">
        <f t="shared" si="61"/>
        <v>921</v>
      </c>
      <c r="AC310" s="14" t="str">
        <f t="shared" si="68"/>
        <v>HPExt</v>
      </c>
      <c r="AD310" s="14">
        <f t="shared" si="69"/>
        <v>1382</v>
      </c>
      <c r="AE310" s="14" t="str">
        <f t="shared" si="70"/>
        <v>[x]</v>
      </c>
      <c r="AF310" s="27" t="str">
        <f t="shared" si="71"/>
        <v>[x]</v>
      </c>
      <c r="AG310" s="27" t="str">
        <f t="shared" si="72"/>
        <v>[x]</v>
      </c>
    </row>
    <row r="311" spans="16:33" ht="16.5" x14ac:dyDescent="0.2">
      <c r="P311" s="13">
        <v>255</v>
      </c>
      <c r="Q311" s="14">
        <f t="shared" si="57"/>
        <v>15</v>
      </c>
      <c r="R311" s="14">
        <f t="shared" si="58"/>
        <v>1606019</v>
      </c>
      <c r="S311" s="14" t="str">
        <f t="shared" si="62"/>
        <v>神器4碎片1等级9</v>
      </c>
      <c r="T311" s="29" t="s">
        <v>520</v>
      </c>
      <c r="U311" s="14">
        <f t="shared" si="59"/>
        <v>9</v>
      </c>
      <c r="V311" s="36">
        <f t="shared" si="63"/>
        <v>0.76200000000000001</v>
      </c>
      <c r="W311" s="17">
        <f t="shared" si="60"/>
        <v>7.62E-3</v>
      </c>
      <c r="X311" s="14">
        <f t="shared" si="64"/>
        <v>1</v>
      </c>
      <c r="Y311" s="14">
        <f t="shared" si="65"/>
        <v>3</v>
      </c>
      <c r="Z311" s="14">
        <f t="shared" si="66"/>
        <v>0</v>
      </c>
      <c r="AA311" s="14" t="str">
        <f t="shared" si="67"/>
        <v>AtkExt</v>
      </c>
      <c r="AB311" s="14">
        <f t="shared" si="61"/>
        <v>1035</v>
      </c>
      <c r="AC311" s="14" t="str">
        <f t="shared" si="68"/>
        <v>HPExt</v>
      </c>
      <c r="AD311" s="14">
        <f t="shared" si="69"/>
        <v>1553</v>
      </c>
      <c r="AE311" s="14" t="str">
        <f t="shared" si="70"/>
        <v>[x]</v>
      </c>
      <c r="AF311" s="27" t="str">
        <f t="shared" si="71"/>
        <v>[x]</v>
      </c>
      <c r="AG311" s="27" t="str">
        <f t="shared" si="72"/>
        <v>[x]</v>
      </c>
    </row>
    <row r="312" spans="16:33" ht="16.5" x14ac:dyDescent="0.2">
      <c r="P312" s="13">
        <v>256</v>
      </c>
      <c r="Q312" s="14">
        <f t="shared" si="57"/>
        <v>15</v>
      </c>
      <c r="R312" s="14">
        <f t="shared" si="58"/>
        <v>1606019</v>
      </c>
      <c r="S312" s="14" t="str">
        <f t="shared" si="62"/>
        <v>神器4碎片1等级10</v>
      </c>
      <c r="T312" s="29" t="s">
        <v>520</v>
      </c>
      <c r="U312" s="14">
        <f t="shared" si="59"/>
        <v>10</v>
      </c>
      <c r="V312" s="36">
        <f t="shared" si="63"/>
        <v>0.85000000000000009</v>
      </c>
      <c r="W312" s="17">
        <f t="shared" si="60"/>
        <v>8.5000000000000006E-3</v>
      </c>
      <c r="X312" s="14">
        <f t="shared" si="64"/>
        <v>1</v>
      </c>
      <c r="Y312" s="14">
        <f t="shared" si="65"/>
        <v>3</v>
      </c>
      <c r="Z312" s="14">
        <f t="shared" si="66"/>
        <v>0</v>
      </c>
      <c r="AA312" s="14" t="str">
        <f t="shared" si="67"/>
        <v>AtkExt</v>
      </c>
      <c r="AB312" s="14">
        <f t="shared" si="61"/>
        <v>1154</v>
      </c>
      <c r="AC312" s="14" t="str">
        <f t="shared" si="68"/>
        <v>HPExt</v>
      </c>
      <c r="AD312" s="14">
        <f t="shared" si="69"/>
        <v>1732</v>
      </c>
      <c r="AE312" s="14" t="str">
        <f t="shared" si="70"/>
        <v>[x]</v>
      </c>
      <c r="AF312" s="27" t="str">
        <f t="shared" si="71"/>
        <v>[x]</v>
      </c>
      <c r="AG312" s="27" t="str">
        <f t="shared" si="72"/>
        <v>[x]</v>
      </c>
    </row>
    <row r="313" spans="16:33" ht="16.5" x14ac:dyDescent="0.2">
      <c r="P313" s="13">
        <v>257</v>
      </c>
      <c r="Q313" s="14">
        <f t="shared" ref="Q313:Q376" si="73">MATCH(P313-1,$X$4:$X$46,1)</f>
        <v>15</v>
      </c>
      <c r="R313" s="14">
        <f t="shared" ref="R313:R376" si="74">INDEX($S$5:$S$46,Q313)</f>
        <v>1606019</v>
      </c>
      <c r="S313" s="14" t="str">
        <f t="shared" si="62"/>
        <v>神器4碎片1等级11</v>
      </c>
      <c r="T313" s="29" t="s">
        <v>520</v>
      </c>
      <c r="U313" s="14">
        <f t="shared" ref="U313:U376" si="75">P313-INDEX($X$4:$X$46,Q313)</f>
        <v>11</v>
      </c>
      <c r="V313" s="36">
        <f t="shared" si="63"/>
        <v>0.94200000000000006</v>
      </c>
      <c r="W313" s="17">
        <f t="shared" ref="W313:W376" si="76">INDEX($V$5:$V$46,Q313)*V313</f>
        <v>9.4200000000000013E-3</v>
      </c>
      <c r="X313" s="14">
        <f t="shared" si="64"/>
        <v>1</v>
      </c>
      <c r="Y313" s="14">
        <f t="shared" si="65"/>
        <v>3</v>
      </c>
      <c r="Z313" s="14">
        <f t="shared" si="66"/>
        <v>0</v>
      </c>
      <c r="AA313" s="14" t="str">
        <f t="shared" si="67"/>
        <v>AtkExt</v>
      </c>
      <c r="AB313" s="14">
        <f t="shared" ref="AB313:AB376" si="77">INT(INDEX($E$4:$G$4,X313)*W313*INDEX($Y$5:$AA$46,Q313,X313))</f>
        <v>1279</v>
      </c>
      <c r="AC313" s="14" t="str">
        <f t="shared" si="68"/>
        <v>HPExt</v>
      </c>
      <c r="AD313" s="14">
        <f t="shared" si="69"/>
        <v>1920</v>
      </c>
      <c r="AE313" s="14" t="str">
        <f t="shared" si="70"/>
        <v>[x]</v>
      </c>
      <c r="AF313" s="27" t="str">
        <f t="shared" si="71"/>
        <v>[x]</v>
      </c>
      <c r="AG313" s="27" t="str">
        <f t="shared" si="72"/>
        <v>[x]</v>
      </c>
    </row>
    <row r="314" spans="16:33" ht="16.5" x14ac:dyDescent="0.2">
      <c r="P314" s="13">
        <v>258</v>
      </c>
      <c r="Q314" s="14">
        <f t="shared" si="73"/>
        <v>15</v>
      </c>
      <c r="R314" s="14">
        <f t="shared" si="74"/>
        <v>1606019</v>
      </c>
      <c r="S314" s="14" t="str">
        <f t="shared" ref="S314:S377" si="78">INDEX($P$5:$P$46,Q314)&amp;"碎片"&amp;INDEX($R$5:$R$46,Q314)&amp;"等级"&amp;U314</f>
        <v>神器4碎片1等级12</v>
      </c>
      <c r="T314" s="29" t="s">
        <v>520</v>
      </c>
      <c r="U314" s="14">
        <f t="shared" si="75"/>
        <v>12</v>
      </c>
      <c r="V314" s="36">
        <f t="shared" ref="V314:V377" si="79">15%+U314*5%+U314*U314*0.2%</f>
        <v>1.0380000000000003</v>
      </c>
      <c r="W314" s="17">
        <f t="shared" si="76"/>
        <v>1.0380000000000002E-2</v>
      </c>
      <c r="X314" s="14">
        <f t="shared" ref="X314:X377" si="80">INDEX($AB$5:$AB$46,Q314)</f>
        <v>1</v>
      </c>
      <c r="Y314" s="14">
        <f t="shared" ref="Y314:Y377" si="81">INDEX(AC$5:AC$46,$Q314)</f>
        <v>3</v>
      </c>
      <c r="Z314" s="14">
        <f t="shared" ref="Z314:Z377" si="82">INDEX(AD$5:AD$46,$Q314)</f>
        <v>0</v>
      </c>
      <c r="AA314" s="14" t="str">
        <f t="shared" ref="AA314:AA377" si="83">INDEX($Y$3:$AA$3,X314)</f>
        <v>AtkExt</v>
      </c>
      <c r="AB314" s="14">
        <f t="shared" si="77"/>
        <v>1410</v>
      </c>
      <c r="AC314" s="14" t="str">
        <f t="shared" ref="AC314:AC377" si="84">IF(Y314&gt;0,INDEX($Y$3:$AA$3,Y314),"[x]")</f>
        <v>HPExt</v>
      </c>
      <c r="AD314" s="14">
        <f t="shared" ref="AD314:AD377" si="85">IF(Y314&gt;0,INT(INDEX($E$4:$G$4,Y314)*W314*INDEX($Y$5:$AA$46,Q314,Y314)),"[x]")</f>
        <v>2116</v>
      </c>
      <c r="AE314" s="14" t="str">
        <f t="shared" ref="AE314:AE377" si="86">IF(Z314&gt;0,INDEX($Y$3:$AA$3,Z314),"[x]")</f>
        <v>[x]</v>
      </c>
      <c r="AF314" s="27" t="str">
        <f t="shared" ref="AF314:AF377" si="87">IF(Z314&gt;0,INT(INDEX($E$4:$G$4,Z314)*W314*INDEX($Y$5:$AA$46,Q314,Z314)),"[x]")</f>
        <v>[x]</v>
      </c>
      <c r="AG314" s="27" t="str">
        <f t="shared" ref="AG314:AG377" si="88">IF(INDEX($AE$5:$AE$46,Q314)&gt;0,INDEX($AE$5:$AE$46,Q314)*U314,"[x]")</f>
        <v>[x]</v>
      </c>
    </row>
    <row r="315" spans="16:33" ht="16.5" x14ac:dyDescent="0.2">
      <c r="P315" s="13">
        <v>259</v>
      </c>
      <c r="Q315" s="14">
        <f t="shared" si="73"/>
        <v>15</v>
      </c>
      <c r="R315" s="14">
        <f t="shared" si="74"/>
        <v>1606019</v>
      </c>
      <c r="S315" s="14" t="str">
        <f t="shared" si="78"/>
        <v>神器4碎片1等级13</v>
      </c>
      <c r="T315" s="29" t="s">
        <v>520</v>
      </c>
      <c r="U315" s="14">
        <f t="shared" si="75"/>
        <v>13</v>
      </c>
      <c r="V315" s="36">
        <f t="shared" si="79"/>
        <v>1.1380000000000001</v>
      </c>
      <c r="W315" s="17">
        <f t="shared" si="76"/>
        <v>1.1380000000000001E-2</v>
      </c>
      <c r="X315" s="14">
        <f t="shared" si="80"/>
        <v>1</v>
      </c>
      <c r="Y315" s="14">
        <f t="shared" si="81"/>
        <v>3</v>
      </c>
      <c r="Z315" s="14">
        <f t="shared" si="82"/>
        <v>0</v>
      </c>
      <c r="AA315" s="14" t="str">
        <f t="shared" si="83"/>
        <v>AtkExt</v>
      </c>
      <c r="AB315" s="14">
        <f t="shared" si="77"/>
        <v>1546</v>
      </c>
      <c r="AC315" s="14" t="str">
        <f t="shared" si="84"/>
        <v>HPExt</v>
      </c>
      <c r="AD315" s="14">
        <f t="shared" si="85"/>
        <v>2320</v>
      </c>
      <c r="AE315" s="14" t="str">
        <f t="shared" si="86"/>
        <v>[x]</v>
      </c>
      <c r="AF315" s="27" t="str">
        <f t="shared" si="87"/>
        <v>[x]</v>
      </c>
      <c r="AG315" s="27" t="str">
        <f t="shared" si="88"/>
        <v>[x]</v>
      </c>
    </row>
    <row r="316" spans="16:33" ht="16.5" x14ac:dyDescent="0.2">
      <c r="P316" s="13">
        <v>260</v>
      </c>
      <c r="Q316" s="14">
        <f t="shared" si="73"/>
        <v>15</v>
      </c>
      <c r="R316" s="14">
        <f t="shared" si="74"/>
        <v>1606019</v>
      </c>
      <c r="S316" s="14" t="str">
        <f t="shared" si="78"/>
        <v>神器4碎片1等级14</v>
      </c>
      <c r="T316" s="29" t="s">
        <v>520</v>
      </c>
      <c r="U316" s="14">
        <f t="shared" si="75"/>
        <v>14</v>
      </c>
      <c r="V316" s="36">
        <f t="shared" si="79"/>
        <v>1.242</v>
      </c>
      <c r="W316" s="17">
        <f t="shared" si="76"/>
        <v>1.242E-2</v>
      </c>
      <c r="X316" s="14">
        <f t="shared" si="80"/>
        <v>1</v>
      </c>
      <c r="Y316" s="14">
        <f t="shared" si="81"/>
        <v>3</v>
      </c>
      <c r="Z316" s="14">
        <f t="shared" si="82"/>
        <v>0</v>
      </c>
      <c r="AA316" s="14" t="str">
        <f t="shared" si="83"/>
        <v>AtkExt</v>
      </c>
      <c r="AB316" s="14">
        <f t="shared" si="77"/>
        <v>1687</v>
      </c>
      <c r="AC316" s="14" t="str">
        <f t="shared" si="84"/>
        <v>HPExt</v>
      </c>
      <c r="AD316" s="14">
        <f t="shared" si="85"/>
        <v>2532</v>
      </c>
      <c r="AE316" s="14" t="str">
        <f t="shared" si="86"/>
        <v>[x]</v>
      </c>
      <c r="AF316" s="27" t="str">
        <f t="shared" si="87"/>
        <v>[x]</v>
      </c>
      <c r="AG316" s="27" t="str">
        <f t="shared" si="88"/>
        <v>[x]</v>
      </c>
    </row>
    <row r="317" spans="16:33" ht="16.5" x14ac:dyDescent="0.2">
      <c r="P317" s="13">
        <v>261</v>
      </c>
      <c r="Q317" s="14">
        <f t="shared" si="73"/>
        <v>15</v>
      </c>
      <c r="R317" s="14">
        <f t="shared" si="74"/>
        <v>1606019</v>
      </c>
      <c r="S317" s="14" t="str">
        <f t="shared" si="78"/>
        <v>神器4碎片1等级15</v>
      </c>
      <c r="T317" s="29" t="s">
        <v>520</v>
      </c>
      <c r="U317" s="14">
        <f t="shared" si="75"/>
        <v>15</v>
      </c>
      <c r="V317" s="36">
        <f t="shared" si="79"/>
        <v>1.35</v>
      </c>
      <c r="W317" s="17">
        <f t="shared" si="76"/>
        <v>1.3500000000000002E-2</v>
      </c>
      <c r="X317" s="14">
        <f t="shared" si="80"/>
        <v>1</v>
      </c>
      <c r="Y317" s="14">
        <f t="shared" si="81"/>
        <v>3</v>
      </c>
      <c r="Z317" s="14">
        <f t="shared" si="82"/>
        <v>0</v>
      </c>
      <c r="AA317" s="14" t="str">
        <f t="shared" si="83"/>
        <v>AtkExt</v>
      </c>
      <c r="AB317" s="14">
        <f t="shared" si="77"/>
        <v>1834</v>
      </c>
      <c r="AC317" s="14" t="str">
        <f t="shared" si="84"/>
        <v>HPExt</v>
      </c>
      <c r="AD317" s="14">
        <f t="shared" si="85"/>
        <v>2752</v>
      </c>
      <c r="AE317" s="14" t="str">
        <f t="shared" si="86"/>
        <v>[x]</v>
      </c>
      <c r="AF317" s="27" t="str">
        <f t="shared" si="87"/>
        <v>[x]</v>
      </c>
      <c r="AG317" s="27" t="str">
        <f t="shared" si="88"/>
        <v>[x]</v>
      </c>
    </row>
    <row r="318" spans="16:33" ht="16.5" x14ac:dyDescent="0.2">
      <c r="P318" s="13">
        <v>262</v>
      </c>
      <c r="Q318" s="14">
        <f t="shared" si="73"/>
        <v>15</v>
      </c>
      <c r="R318" s="14">
        <f t="shared" si="74"/>
        <v>1606019</v>
      </c>
      <c r="S318" s="14" t="str">
        <f t="shared" si="78"/>
        <v>神器4碎片1等级16</v>
      </c>
      <c r="T318" s="29" t="s">
        <v>520</v>
      </c>
      <c r="U318" s="14">
        <f t="shared" si="75"/>
        <v>16</v>
      </c>
      <c r="V318" s="36">
        <f t="shared" si="79"/>
        <v>1.4620000000000002</v>
      </c>
      <c r="W318" s="17">
        <f t="shared" si="76"/>
        <v>1.4620000000000003E-2</v>
      </c>
      <c r="X318" s="14">
        <f t="shared" si="80"/>
        <v>1</v>
      </c>
      <c r="Y318" s="14">
        <f t="shared" si="81"/>
        <v>3</v>
      </c>
      <c r="Z318" s="14">
        <f t="shared" si="82"/>
        <v>0</v>
      </c>
      <c r="AA318" s="14" t="str">
        <f t="shared" si="83"/>
        <v>AtkExt</v>
      </c>
      <c r="AB318" s="14">
        <f t="shared" si="77"/>
        <v>1986</v>
      </c>
      <c r="AC318" s="14" t="str">
        <f t="shared" si="84"/>
        <v>HPExt</v>
      </c>
      <c r="AD318" s="14">
        <f t="shared" si="85"/>
        <v>2980</v>
      </c>
      <c r="AE318" s="14" t="str">
        <f t="shared" si="86"/>
        <v>[x]</v>
      </c>
      <c r="AF318" s="27" t="str">
        <f t="shared" si="87"/>
        <v>[x]</v>
      </c>
      <c r="AG318" s="27" t="str">
        <f t="shared" si="88"/>
        <v>[x]</v>
      </c>
    </row>
    <row r="319" spans="16:33" ht="16.5" x14ac:dyDescent="0.2">
      <c r="P319" s="13">
        <v>263</v>
      </c>
      <c r="Q319" s="14">
        <f t="shared" si="73"/>
        <v>15</v>
      </c>
      <c r="R319" s="14">
        <f t="shared" si="74"/>
        <v>1606019</v>
      </c>
      <c r="S319" s="14" t="str">
        <f t="shared" si="78"/>
        <v>神器4碎片1等级17</v>
      </c>
      <c r="T319" s="29" t="s">
        <v>520</v>
      </c>
      <c r="U319" s="14">
        <f t="shared" si="75"/>
        <v>17</v>
      </c>
      <c r="V319" s="36">
        <f t="shared" si="79"/>
        <v>1.5779999999999998</v>
      </c>
      <c r="W319" s="17">
        <f t="shared" si="76"/>
        <v>1.5779999999999999E-2</v>
      </c>
      <c r="X319" s="14">
        <f t="shared" si="80"/>
        <v>1</v>
      </c>
      <c r="Y319" s="14">
        <f t="shared" si="81"/>
        <v>3</v>
      </c>
      <c r="Z319" s="14">
        <f t="shared" si="82"/>
        <v>0</v>
      </c>
      <c r="AA319" s="14" t="str">
        <f t="shared" si="83"/>
        <v>AtkExt</v>
      </c>
      <c r="AB319" s="14">
        <f t="shared" si="77"/>
        <v>2143</v>
      </c>
      <c r="AC319" s="14" t="str">
        <f t="shared" si="84"/>
        <v>HPExt</v>
      </c>
      <c r="AD319" s="14">
        <f t="shared" si="85"/>
        <v>3217</v>
      </c>
      <c r="AE319" s="14" t="str">
        <f t="shared" si="86"/>
        <v>[x]</v>
      </c>
      <c r="AF319" s="27" t="str">
        <f t="shared" si="87"/>
        <v>[x]</v>
      </c>
      <c r="AG319" s="27" t="str">
        <f t="shared" si="88"/>
        <v>[x]</v>
      </c>
    </row>
    <row r="320" spans="16:33" ht="16.5" x14ac:dyDescent="0.2">
      <c r="P320" s="13">
        <v>264</v>
      </c>
      <c r="Q320" s="14">
        <f t="shared" si="73"/>
        <v>15</v>
      </c>
      <c r="R320" s="14">
        <f t="shared" si="74"/>
        <v>1606019</v>
      </c>
      <c r="S320" s="14" t="str">
        <f t="shared" si="78"/>
        <v>神器4碎片1等级18</v>
      </c>
      <c r="T320" s="29" t="s">
        <v>520</v>
      </c>
      <c r="U320" s="14">
        <f t="shared" si="75"/>
        <v>18</v>
      </c>
      <c r="V320" s="36">
        <f t="shared" si="79"/>
        <v>1.698</v>
      </c>
      <c r="W320" s="17">
        <f t="shared" si="76"/>
        <v>1.6979999999999999E-2</v>
      </c>
      <c r="X320" s="14">
        <f t="shared" si="80"/>
        <v>1</v>
      </c>
      <c r="Y320" s="14">
        <f t="shared" si="81"/>
        <v>3</v>
      </c>
      <c r="Z320" s="14">
        <f t="shared" si="82"/>
        <v>0</v>
      </c>
      <c r="AA320" s="14" t="str">
        <f t="shared" si="83"/>
        <v>AtkExt</v>
      </c>
      <c r="AB320" s="14">
        <f t="shared" si="77"/>
        <v>2306</v>
      </c>
      <c r="AC320" s="14" t="str">
        <f t="shared" si="84"/>
        <v>HPExt</v>
      </c>
      <c r="AD320" s="14">
        <f t="shared" si="85"/>
        <v>3461</v>
      </c>
      <c r="AE320" s="14" t="str">
        <f t="shared" si="86"/>
        <v>[x]</v>
      </c>
      <c r="AF320" s="27" t="str">
        <f t="shared" si="87"/>
        <v>[x]</v>
      </c>
      <c r="AG320" s="27" t="str">
        <f t="shared" si="88"/>
        <v>[x]</v>
      </c>
    </row>
    <row r="321" spans="16:33" ht="16.5" x14ac:dyDescent="0.2">
      <c r="P321" s="13">
        <v>265</v>
      </c>
      <c r="Q321" s="14">
        <f t="shared" si="73"/>
        <v>15</v>
      </c>
      <c r="R321" s="14">
        <f t="shared" si="74"/>
        <v>1606019</v>
      </c>
      <c r="S321" s="14" t="str">
        <f t="shared" si="78"/>
        <v>神器4碎片1等级19</v>
      </c>
      <c r="T321" s="29" t="s">
        <v>520</v>
      </c>
      <c r="U321" s="14">
        <f t="shared" si="75"/>
        <v>19</v>
      </c>
      <c r="V321" s="36">
        <f t="shared" si="79"/>
        <v>1.8220000000000001</v>
      </c>
      <c r="W321" s="17">
        <f t="shared" si="76"/>
        <v>1.822E-2</v>
      </c>
      <c r="X321" s="14">
        <f t="shared" si="80"/>
        <v>1</v>
      </c>
      <c r="Y321" s="14">
        <f t="shared" si="81"/>
        <v>3</v>
      </c>
      <c r="Z321" s="14">
        <f t="shared" si="82"/>
        <v>0</v>
      </c>
      <c r="AA321" s="14" t="str">
        <f t="shared" si="83"/>
        <v>AtkExt</v>
      </c>
      <c r="AB321" s="14">
        <f t="shared" si="77"/>
        <v>2475</v>
      </c>
      <c r="AC321" s="14" t="str">
        <f t="shared" si="84"/>
        <v>HPExt</v>
      </c>
      <c r="AD321" s="14">
        <f t="shared" si="85"/>
        <v>3714</v>
      </c>
      <c r="AE321" s="14" t="str">
        <f t="shared" si="86"/>
        <v>[x]</v>
      </c>
      <c r="AF321" s="27" t="str">
        <f t="shared" si="87"/>
        <v>[x]</v>
      </c>
      <c r="AG321" s="27" t="str">
        <f t="shared" si="88"/>
        <v>[x]</v>
      </c>
    </row>
    <row r="322" spans="16:33" ht="16.5" x14ac:dyDescent="0.2">
      <c r="P322" s="13">
        <v>266</v>
      </c>
      <c r="Q322" s="14">
        <f t="shared" si="73"/>
        <v>15</v>
      </c>
      <c r="R322" s="14">
        <f t="shared" si="74"/>
        <v>1606019</v>
      </c>
      <c r="S322" s="14" t="str">
        <f t="shared" si="78"/>
        <v>神器4碎片1等级20</v>
      </c>
      <c r="T322" s="29" t="s">
        <v>520</v>
      </c>
      <c r="U322" s="14">
        <f t="shared" si="75"/>
        <v>20</v>
      </c>
      <c r="V322" s="36">
        <f t="shared" si="79"/>
        <v>1.95</v>
      </c>
      <c r="W322" s="17">
        <f t="shared" si="76"/>
        <v>1.95E-2</v>
      </c>
      <c r="X322" s="14">
        <f t="shared" si="80"/>
        <v>1</v>
      </c>
      <c r="Y322" s="14">
        <f t="shared" si="81"/>
        <v>3</v>
      </c>
      <c r="Z322" s="14">
        <f t="shared" si="82"/>
        <v>0</v>
      </c>
      <c r="AA322" s="14" t="str">
        <f t="shared" si="83"/>
        <v>AtkExt</v>
      </c>
      <c r="AB322" s="14">
        <f t="shared" si="77"/>
        <v>2649</v>
      </c>
      <c r="AC322" s="14" t="str">
        <f t="shared" si="84"/>
        <v>HPExt</v>
      </c>
      <c r="AD322" s="14">
        <f t="shared" si="85"/>
        <v>3975</v>
      </c>
      <c r="AE322" s="14" t="str">
        <f t="shared" si="86"/>
        <v>[x]</v>
      </c>
      <c r="AF322" s="27" t="str">
        <f t="shared" si="87"/>
        <v>[x]</v>
      </c>
      <c r="AG322" s="27" t="str">
        <f t="shared" si="88"/>
        <v>[x]</v>
      </c>
    </row>
    <row r="323" spans="16:33" ht="16.5" x14ac:dyDescent="0.2">
      <c r="P323" s="13">
        <v>267</v>
      </c>
      <c r="Q323" s="14">
        <f t="shared" si="73"/>
        <v>15</v>
      </c>
      <c r="R323" s="14">
        <f t="shared" si="74"/>
        <v>1606019</v>
      </c>
      <c r="S323" s="14" t="str">
        <f t="shared" si="78"/>
        <v>神器4碎片1等级21</v>
      </c>
      <c r="T323" s="29" t="s">
        <v>520</v>
      </c>
      <c r="U323" s="14">
        <f t="shared" si="75"/>
        <v>21</v>
      </c>
      <c r="V323" s="36">
        <f t="shared" si="79"/>
        <v>2.0819999999999999</v>
      </c>
      <c r="W323" s="17">
        <f t="shared" si="76"/>
        <v>2.0819999999999998E-2</v>
      </c>
      <c r="X323" s="14">
        <f t="shared" si="80"/>
        <v>1</v>
      </c>
      <c r="Y323" s="14">
        <f t="shared" si="81"/>
        <v>3</v>
      </c>
      <c r="Z323" s="14">
        <f t="shared" si="82"/>
        <v>0</v>
      </c>
      <c r="AA323" s="14" t="str">
        <f t="shared" si="83"/>
        <v>AtkExt</v>
      </c>
      <c r="AB323" s="14">
        <f t="shared" si="77"/>
        <v>2828</v>
      </c>
      <c r="AC323" s="14" t="str">
        <f t="shared" si="84"/>
        <v>HPExt</v>
      </c>
      <c r="AD323" s="14">
        <f t="shared" si="85"/>
        <v>4244</v>
      </c>
      <c r="AE323" s="14" t="str">
        <f t="shared" si="86"/>
        <v>[x]</v>
      </c>
      <c r="AF323" s="27" t="str">
        <f t="shared" si="87"/>
        <v>[x]</v>
      </c>
      <c r="AG323" s="27" t="str">
        <f t="shared" si="88"/>
        <v>[x]</v>
      </c>
    </row>
    <row r="324" spans="16:33" ht="16.5" x14ac:dyDescent="0.2">
      <c r="P324" s="13">
        <v>268</v>
      </c>
      <c r="Q324" s="14">
        <f t="shared" si="73"/>
        <v>16</v>
      </c>
      <c r="R324" s="14">
        <f t="shared" si="74"/>
        <v>1606020</v>
      </c>
      <c r="S324" s="14" t="str">
        <f t="shared" si="78"/>
        <v>神器4碎片2等级1</v>
      </c>
      <c r="T324" s="29" t="s">
        <v>520</v>
      </c>
      <c r="U324" s="14">
        <f t="shared" si="75"/>
        <v>1</v>
      </c>
      <c r="V324" s="36">
        <f t="shared" si="79"/>
        <v>0.20200000000000001</v>
      </c>
      <c r="W324" s="17">
        <f t="shared" si="76"/>
        <v>2.0200000000000001E-3</v>
      </c>
      <c r="X324" s="14">
        <f t="shared" si="80"/>
        <v>1</v>
      </c>
      <c r="Y324" s="14">
        <f t="shared" si="81"/>
        <v>2</v>
      </c>
      <c r="Z324" s="14">
        <f t="shared" si="82"/>
        <v>0</v>
      </c>
      <c r="AA324" s="14" t="str">
        <f t="shared" si="83"/>
        <v>AtkExt</v>
      </c>
      <c r="AB324" s="14">
        <f t="shared" si="77"/>
        <v>274</v>
      </c>
      <c r="AC324" s="14" t="str">
        <f t="shared" si="84"/>
        <v>DefExt</v>
      </c>
      <c r="AD324" s="14">
        <f t="shared" si="85"/>
        <v>68</v>
      </c>
      <c r="AE324" s="14" t="str">
        <f t="shared" si="86"/>
        <v>[x]</v>
      </c>
      <c r="AF324" s="27" t="str">
        <f t="shared" si="87"/>
        <v>[x]</v>
      </c>
      <c r="AG324" s="27" t="str">
        <f t="shared" si="88"/>
        <v>[x]</v>
      </c>
    </row>
    <row r="325" spans="16:33" ht="16.5" x14ac:dyDescent="0.2">
      <c r="P325" s="13">
        <v>269</v>
      </c>
      <c r="Q325" s="14">
        <f t="shared" si="73"/>
        <v>16</v>
      </c>
      <c r="R325" s="14">
        <f t="shared" si="74"/>
        <v>1606020</v>
      </c>
      <c r="S325" s="14" t="str">
        <f t="shared" si="78"/>
        <v>神器4碎片2等级2</v>
      </c>
      <c r="T325" s="29" t="s">
        <v>520</v>
      </c>
      <c r="U325" s="14">
        <f t="shared" si="75"/>
        <v>2</v>
      </c>
      <c r="V325" s="36">
        <f t="shared" si="79"/>
        <v>0.25800000000000001</v>
      </c>
      <c r="W325" s="17">
        <f t="shared" si="76"/>
        <v>2.5800000000000003E-3</v>
      </c>
      <c r="X325" s="14">
        <f t="shared" si="80"/>
        <v>1</v>
      </c>
      <c r="Y325" s="14">
        <f t="shared" si="81"/>
        <v>2</v>
      </c>
      <c r="Z325" s="14">
        <f t="shared" si="82"/>
        <v>0</v>
      </c>
      <c r="AA325" s="14" t="str">
        <f t="shared" si="83"/>
        <v>AtkExt</v>
      </c>
      <c r="AB325" s="14">
        <f t="shared" si="77"/>
        <v>350</v>
      </c>
      <c r="AC325" s="14" t="str">
        <f t="shared" si="84"/>
        <v>DefExt</v>
      </c>
      <c r="AD325" s="14">
        <f t="shared" si="85"/>
        <v>87</v>
      </c>
      <c r="AE325" s="14" t="str">
        <f t="shared" si="86"/>
        <v>[x]</v>
      </c>
      <c r="AF325" s="27" t="str">
        <f t="shared" si="87"/>
        <v>[x]</v>
      </c>
      <c r="AG325" s="27" t="str">
        <f t="shared" si="88"/>
        <v>[x]</v>
      </c>
    </row>
    <row r="326" spans="16:33" ht="16.5" x14ac:dyDescent="0.2">
      <c r="P326" s="13">
        <v>270</v>
      </c>
      <c r="Q326" s="14">
        <f t="shared" si="73"/>
        <v>16</v>
      </c>
      <c r="R326" s="14">
        <f t="shared" si="74"/>
        <v>1606020</v>
      </c>
      <c r="S326" s="14" t="str">
        <f t="shared" si="78"/>
        <v>神器4碎片2等级3</v>
      </c>
      <c r="T326" s="29" t="s">
        <v>520</v>
      </c>
      <c r="U326" s="14">
        <f t="shared" si="75"/>
        <v>3</v>
      </c>
      <c r="V326" s="36">
        <f t="shared" si="79"/>
        <v>0.31800000000000006</v>
      </c>
      <c r="W326" s="17">
        <f t="shared" si="76"/>
        <v>3.1800000000000005E-3</v>
      </c>
      <c r="X326" s="14">
        <f t="shared" si="80"/>
        <v>1</v>
      </c>
      <c r="Y326" s="14">
        <f t="shared" si="81"/>
        <v>2</v>
      </c>
      <c r="Z326" s="14">
        <f t="shared" si="82"/>
        <v>0</v>
      </c>
      <c r="AA326" s="14" t="str">
        <f t="shared" si="83"/>
        <v>AtkExt</v>
      </c>
      <c r="AB326" s="14">
        <f t="shared" si="77"/>
        <v>432</v>
      </c>
      <c r="AC326" s="14" t="str">
        <f t="shared" si="84"/>
        <v>DefExt</v>
      </c>
      <c r="AD326" s="14">
        <f t="shared" si="85"/>
        <v>107</v>
      </c>
      <c r="AE326" s="14" t="str">
        <f t="shared" si="86"/>
        <v>[x]</v>
      </c>
      <c r="AF326" s="27" t="str">
        <f t="shared" si="87"/>
        <v>[x]</v>
      </c>
      <c r="AG326" s="27" t="str">
        <f t="shared" si="88"/>
        <v>[x]</v>
      </c>
    </row>
    <row r="327" spans="16:33" ht="16.5" x14ac:dyDescent="0.2">
      <c r="P327" s="13">
        <v>271</v>
      </c>
      <c r="Q327" s="14">
        <f t="shared" si="73"/>
        <v>16</v>
      </c>
      <c r="R327" s="14">
        <f t="shared" si="74"/>
        <v>1606020</v>
      </c>
      <c r="S327" s="14" t="str">
        <f t="shared" si="78"/>
        <v>神器4碎片2等级4</v>
      </c>
      <c r="T327" s="29" t="s">
        <v>520</v>
      </c>
      <c r="U327" s="14">
        <f t="shared" si="75"/>
        <v>4</v>
      </c>
      <c r="V327" s="36">
        <f t="shared" si="79"/>
        <v>0.38200000000000001</v>
      </c>
      <c r="W327" s="17">
        <f t="shared" si="76"/>
        <v>3.82E-3</v>
      </c>
      <c r="X327" s="14">
        <f t="shared" si="80"/>
        <v>1</v>
      </c>
      <c r="Y327" s="14">
        <f t="shared" si="81"/>
        <v>2</v>
      </c>
      <c r="Z327" s="14">
        <f t="shared" si="82"/>
        <v>0</v>
      </c>
      <c r="AA327" s="14" t="str">
        <f t="shared" si="83"/>
        <v>AtkExt</v>
      </c>
      <c r="AB327" s="14">
        <f t="shared" si="77"/>
        <v>518</v>
      </c>
      <c r="AC327" s="14" t="str">
        <f t="shared" si="84"/>
        <v>DefExt</v>
      </c>
      <c r="AD327" s="14">
        <f t="shared" si="85"/>
        <v>129</v>
      </c>
      <c r="AE327" s="14" t="str">
        <f t="shared" si="86"/>
        <v>[x]</v>
      </c>
      <c r="AF327" s="27" t="str">
        <f t="shared" si="87"/>
        <v>[x]</v>
      </c>
      <c r="AG327" s="27" t="str">
        <f t="shared" si="88"/>
        <v>[x]</v>
      </c>
    </row>
    <row r="328" spans="16:33" ht="16.5" x14ac:dyDescent="0.2">
      <c r="P328" s="13">
        <v>272</v>
      </c>
      <c r="Q328" s="14">
        <f t="shared" si="73"/>
        <v>16</v>
      </c>
      <c r="R328" s="14">
        <f t="shared" si="74"/>
        <v>1606020</v>
      </c>
      <c r="S328" s="14" t="str">
        <f t="shared" si="78"/>
        <v>神器4碎片2等级5</v>
      </c>
      <c r="T328" s="29" t="s">
        <v>520</v>
      </c>
      <c r="U328" s="14">
        <f t="shared" si="75"/>
        <v>5</v>
      </c>
      <c r="V328" s="36">
        <f t="shared" si="79"/>
        <v>0.45</v>
      </c>
      <c r="W328" s="17">
        <f t="shared" si="76"/>
        <v>4.5000000000000005E-3</v>
      </c>
      <c r="X328" s="14">
        <f t="shared" si="80"/>
        <v>1</v>
      </c>
      <c r="Y328" s="14">
        <f t="shared" si="81"/>
        <v>2</v>
      </c>
      <c r="Z328" s="14">
        <f t="shared" si="82"/>
        <v>0</v>
      </c>
      <c r="AA328" s="14" t="str">
        <f t="shared" si="83"/>
        <v>AtkExt</v>
      </c>
      <c r="AB328" s="14">
        <f t="shared" si="77"/>
        <v>611</v>
      </c>
      <c r="AC328" s="14" t="str">
        <f t="shared" si="84"/>
        <v>DefExt</v>
      </c>
      <c r="AD328" s="14">
        <f t="shared" si="85"/>
        <v>152</v>
      </c>
      <c r="AE328" s="14" t="str">
        <f t="shared" si="86"/>
        <v>[x]</v>
      </c>
      <c r="AF328" s="27" t="str">
        <f t="shared" si="87"/>
        <v>[x]</v>
      </c>
      <c r="AG328" s="27" t="str">
        <f t="shared" si="88"/>
        <v>[x]</v>
      </c>
    </row>
    <row r="329" spans="16:33" ht="16.5" x14ac:dyDescent="0.2">
      <c r="P329" s="13">
        <v>273</v>
      </c>
      <c r="Q329" s="14">
        <f t="shared" si="73"/>
        <v>16</v>
      </c>
      <c r="R329" s="14">
        <f t="shared" si="74"/>
        <v>1606020</v>
      </c>
      <c r="S329" s="14" t="str">
        <f t="shared" si="78"/>
        <v>神器4碎片2等级6</v>
      </c>
      <c r="T329" s="29" t="s">
        <v>520</v>
      </c>
      <c r="U329" s="14">
        <f t="shared" si="75"/>
        <v>6</v>
      </c>
      <c r="V329" s="36">
        <f t="shared" si="79"/>
        <v>0.52200000000000002</v>
      </c>
      <c r="W329" s="17">
        <f t="shared" si="76"/>
        <v>5.2200000000000007E-3</v>
      </c>
      <c r="X329" s="14">
        <f t="shared" si="80"/>
        <v>1</v>
      </c>
      <c r="Y329" s="14">
        <f t="shared" si="81"/>
        <v>2</v>
      </c>
      <c r="Z329" s="14">
        <f t="shared" si="82"/>
        <v>0</v>
      </c>
      <c r="AA329" s="14" t="str">
        <f t="shared" si="83"/>
        <v>AtkExt</v>
      </c>
      <c r="AB329" s="14">
        <f t="shared" si="77"/>
        <v>709</v>
      </c>
      <c r="AC329" s="14" t="str">
        <f t="shared" si="84"/>
        <v>DefExt</v>
      </c>
      <c r="AD329" s="14">
        <f t="shared" si="85"/>
        <v>177</v>
      </c>
      <c r="AE329" s="14" t="str">
        <f t="shared" si="86"/>
        <v>[x]</v>
      </c>
      <c r="AF329" s="27" t="str">
        <f t="shared" si="87"/>
        <v>[x]</v>
      </c>
      <c r="AG329" s="27" t="str">
        <f t="shared" si="88"/>
        <v>[x]</v>
      </c>
    </row>
    <row r="330" spans="16:33" ht="16.5" x14ac:dyDescent="0.2">
      <c r="P330" s="13">
        <v>274</v>
      </c>
      <c r="Q330" s="14">
        <f t="shared" si="73"/>
        <v>16</v>
      </c>
      <c r="R330" s="14">
        <f t="shared" si="74"/>
        <v>1606020</v>
      </c>
      <c r="S330" s="14" t="str">
        <f t="shared" si="78"/>
        <v>神器4碎片2等级7</v>
      </c>
      <c r="T330" s="29" t="s">
        <v>520</v>
      </c>
      <c r="U330" s="14">
        <f t="shared" si="75"/>
        <v>7</v>
      </c>
      <c r="V330" s="36">
        <f t="shared" si="79"/>
        <v>0.59799999999999998</v>
      </c>
      <c r="W330" s="17">
        <f t="shared" si="76"/>
        <v>5.9800000000000001E-3</v>
      </c>
      <c r="X330" s="14">
        <f t="shared" si="80"/>
        <v>1</v>
      </c>
      <c r="Y330" s="14">
        <f t="shared" si="81"/>
        <v>2</v>
      </c>
      <c r="Z330" s="14">
        <f t="shared" si="82"/>
        <v>0</v>
      </c>
      <c r="AA330" s="14" t="str">
        <f t="shared" si="83"/>
        <v>AtkExt</v>
      </c>
      <c r="AB330" s="14">
        <f t="shared" si="77"/>
        <v>812</v>
      </c>
      <c r="AC330" s="14" t="str">
        <f t="shared" si="84"/>
        <v>DefExt</v>
      </c>
      <c r="AD330" s="14">
        <f t="shared" si="85"/>
        <v>203</v>
      </c>
      <c r="AE330" s="14" t="str">
        <f t="shared" si="86"/>
        <v>[x]</v>
      </c>
      <c r="AF330" s="27" t="str">
        <f t="shared" si="87"/>
        <v>[x]</v>
      </c>
      <c r="AG330" s="27" t="str">
        <f t="shared" si="88"/>
        <v>[x]</v>
      </c>
    </row>
    <row r="331" spans="16:33" ht="16.5" x14ac:dyDescent="0.2">
      <c r="P331" s="13">
        <v>275</v>
      </c>
      <c r="Q331" s="14">
        <f t="shared" si="73"/>
        <v>16</v>
      </c>
      <c r="R331" s="14">
        <f t="shared" si="74"/>
        <v>1606020</v>
      </c>
      <c r="S331" s="14" t="str">
        <f t="shared" si="78"/>
        <v>神器4碎片2等级8</v>
      </c>
      <c r="T331" s="29" t="s">
        <v>520</v>
      </c>
      <c r="U331" s="14">
        <f t="shared" si="75"/>
        <v>8</v>
      </c>
      <c r="V331" s="36">
        <f t="shared" si="79"/>
        <v>0.67800000000000005</v>
      </c>
      <c r="W331" s="17">
        <f t="shared" si="76"/>
        <v>6.7800000000000004E-3</v>
      </c>
      <c r="X331" s="14">
        <f t="shared" si="80"/>
        <v>1</v>
      </c>
      <c r="Y331" s="14">
        <f t="shared" si="81"/>
        <v>2</v>
      </c>
      <c r="Z331" s="14">
        <f t="shared" si="82"/>
        <v>0</v>
      </c>
      <c r="AA331" s="14" t="str">
        <f t="shared" si="83"/>
        <v>AtkExt</v>
      </c>
      <c r="AB331" s="14">
        <f t="shared" si="77"/>
        <v>921</v>
      </c>
      <c r="AC331" s="14" t="str">
        <f t="shared" si="84"/>
        <v>DefExt</v>
      </c>
      <c r="AD331" s="14">
        <f t="shared" si="85"/>
        <v>230</v>
      </c>
      <c r="AE331" s="14" t="str">
        <f t="shared" si="86"/>
        <v>[x]</v>
      </c>
      <c r="AF331" s="27" t="str">
        <f t="shared" si="87"/>
        <v>[x]</v>
      </c>
      <c r="AG331" s="27" t="str">
        <f t="shared" si="88"/>
        <v>[x]</v>
      </c>
    </row>
    <row r="332" spans="16:33" ht="16.5" x14ac:dyDescent="0.2">
      <c r="P332" s="13">
        <v>276</v>
      </c>
      <c r="Q332" s="14">
        <f t="shared" si="73"/>
        <v>16</v>
      </c>
      <c r="R332" s="14">
        <f t="shared" si="74"/>
        <v>1606020</v>
      </c>
      <c r="S332" s="14" t="str">
        <f t="shared" si="78"/>
        <v>神器4碎片2等级9</v>
      </c>
      <c r="T332" s="29" t="s">
        <v>520</v>
      </c>
      <c r="U332" s="14">
        <f t="shared" si="75"/>
        <v>9</v>
      </c>
      <c r="V332" s="36">
        <f t="shared" si="79"/>
        <v>0.76200000000000001</v>
      </c>
      <c r="W332" s="17">
        <f t="shared" si="76"/>
        <v>7.62E-3</v>
      </c>
      <c r="X332" s="14">
        <f t="shared" si="80"/>
        <v>1</v>
      </c>
      <c r="Y332" s="14">
        <f t="shared" si="81"/>
        <v>2</v>
      </c>
      <c r="Z332" s="14">
        <f t="shared" si="82"/>
        <v>0</v>
      </c>
      <c r="AA332" s="14" t="str">
        <f t="shared" si="83"/>
        <v>AtkExt</v>
      </c>
      <c r="AB332" s="14">
        <f t="shared" si="77"/>
        <v>1035</v>
      </c>
      <c r="AC332" s="14" t="str">
        <f t="shared" si="84"/>
        <v>DefExt</v>
      </c>
      <c r="AD332" s="14">
        <f t="shared" si="85"/>
        <v>258</v>
      </c>
      <c r="AE332" s="14" t="str">
        <f t="shared" si="86"/>
        <v>[x]</v>
      </c>
      <c r="AF332" s="27" t="str">
        <f t="shared" si="87"/>
        <v>[x]</v>
      </c>
      <c r="AG332" s="27" t="str">
        <f t="shared" si="88"/>
        <v>[x]</v>
      </c>
    </row>
    <row r="333" spans="16:33" ht="16.5" x14ac:dyDescent="0.2">
      <c r="P333" s="13">
        <v>277</v>
      </c>
      <c r="Q333" s="14">
        <f t="shared" si="73"/>
        <v>16</v>
      </c>
      <c r="R333" s="14">
        <f t="shared" si="74"/>
        <v>1606020</v>
      </c>
      <c r="S333" s="14" t="str">
        <f t="shared" si="78"/>
        <v>神器4碎片2等级10</v>
      </c>
      <c r="T333" s="29" t="s">
        <v>520</v>
      </c>
      <c r="U333" s="14">
        <f t="shared" si="75"/>
        <v>10</v>
      </c>
      <c r="V333" s="36">
        <f t="shared" si="79"/>
        <v>0.85000000000000009</v>
      </c>
      <c r="W333" s="17">
        <f t="shared" si="76"/>
        <v>8.5000000000000006E-3</v>
      </c>
      <c r="X333" s="14">
        <f t="shared" si="80"/>
        <v>1</v>
      </c>
      <c r="Y333" s="14">
        <f t="shared" si="81"/>
        <v>2</v>
      </c>
      <c r="Z333" s="14">
        <f t="shared" si="82"/>
        <v>0</v>
      </c>
      <c r="AA333" s="14" t="str">
        <f t="shared" si="83"/>
        <v>AtkExt</v>
      </c>
      <c r="AB333" s="14">
        <f t="shared" si="77"/>
        <v>1154</v>
      </c>
      <c r="AC333" s="14" t="str">
        <f t="shared" si="84"/>
        <v>DefExt</v>
      </c>
      <c r="AD333" s="14">
        <f t="shared" si="85"/>
        <v>288</v>
      </c>
      <c r="AE333" s="14" t="str">
        <f t="shared" si="86"/>
        <v>[x]</v>
      </c>
      <c r="AF333" s="27" t="str">
        <f t="shared" si="87"/>
        <v>[x]</v>
      </c>
      <c r="AG333" s="27" t="str">
        <f t="shared" si="88"/>
        <v>[x]</v>
      </c>
    </row>
    <row r="334" spans="16:33" ht="16.5" x14ac:dyDescent="0.2">
      <c r="P334" s="13">
        <v>278</v>
      </c>
      <c r="Q334" s="14">
        <f t="shared" si="73"/>
        <v>16</v>
      </c>
      <c r="R334" s="14">
        <f t="shared" si="74"/>
        <v>1606020</v>
      </c>
      <c r="S334" s="14" t="str">
        <f t="shared" si="78"/>
        <v>神器4碎片2等级11</v>
      </c>
      <c r="T334" s="29" t="s">
        <v>520</v>
      </c>
      <c r="U334" s="14">
        <f t="shared" si="75"/>
        <v>11</v>
      </c>
      <c r="V334" s="36">
        <f t="shared" si="79"/>
        <v>0.94200000000000006</v>
      </c>
      <c r="W334" s="17">
        <f t="shared" si="76"/>
        <v>9.4200000000000013E-3</v>
      </c>
      <c r="X334" s="14">
        <f t="shared" si="80"/>
        <v>1</v>
      </c>
      <c r="Y334" s="14">
        <f t="shared" si="81"/>
        <v>2</v>
      </c>
      <c r="Z334" s="14">
        <f t="shared" si="82"/>
        <v>0</v>
      </c>
      <c r="AA334" s="14" t="str">
        <f t="shared" si="83"/>
        <v>AtkExt</v>
      </c>
      <c r="AB334" s="14">
        <f t="shared" si="77"/>
        <v>1279</v>
      </c>
      <c r="AC334" s="14" t="str">
        <f t="shared" si="84"/>
        <v>DefExt</v>
      </c>
      <c r="AD334" s="14">
        <f t="shared" si="85"/>
        <v>319</v>
      </c>
      <c r="AE334" s="14" t="str">
        <f t="shared" si="86"/>
        <v>[x]</v>
      </c>
      <c r="AF334" s="27" t="str">
        <f t="shared" si="87"/>
        <v>[x]</v>
      </c>
      <c r="AG334" s="27" t="str">
        <f t="shared" si="88"/>
        <v>[x]</v>
      </c>
    </row>
    <row r="335" spans="16:33" ht="16.5" x14ac:dyDescent="0.2">
      <c r="P335" s="13">
        <v>279</v>
      </c>
      <c r="Q335" s="14">
        <f t="shared" si="73"/>
        <v>16</v>
      </c>
      <c r="R335" s="14">
        <f t="shared" si="74"/>
        <v>1606020</v>
      </c>
      <c r="S335" s="14" t="str">
        <f t="shared" si="78"/>
        <v>神器4碎片2等级12</v>
      </c>
      <c r="T335" s="29" t="s">
        <v>520</v>
      </c>
      <c r="U335" s="14">
        <f t="shared" si="75"/>
        <v>12</v>
      </c>
      <c r="V335" s="36">
        <f t="shared" si="79"/>
        <v>1.0380000000000003</v>
      </c>
      <c r="W335" s="17">
        <f t="shared" si="76"/>
        <v>1.0380000000000002E-2</v>
      </c>
      <c r="X335" s="14">
        <f t="shared" si="80"/>
        <v>1</v>
      </c>
      <c r="Y335" s="14">
        <f t="shared" si="81"/>
        <v>2</v>
      </c>
      <c r="Z335" s="14">
        <f t="shared" si="82"/>
        <v>0</v>
      </c>
      <c r="AA335" s="14" t="str">
        <f t="shared" si="83"/>
        <v>AtkExt</v>
      </c>
      <c r="AB335" s="14">
        <f t="shared" si="77"/>
        <v>1410</v>
      </c>
      <c r="AC335" s="14" t="str">
        <f t="shared" si="84"/>
        <v>DefExt</v>
      </c>
      <c r="AD335" s="14">
        <f t="shared" si="85"/>
        <v>352</v>
      </c>
      <c r="AE335" s="14" t="str">
        <f t="shared" si="86"/>
        <v>[x]</v>
      </c>
      <c r="AF335" s="27" t="str">
        <f t="shared" si="87"/>
        <v>[x]</v>
      </c>
      <c r="AG335" s="27" t="str">
        <f t="shared" si="88"/>
        <v>[x]</v>
      </c>
    </row>
    <row r="336" spans="16:33" ht="16.5" x14ac:dyDescent="0.2">
      <c r="P336" s="13">
        <v>280</v>
      </c>
      <c r="Q336" s="14">
        <f t="shared" si="73"/>
        <v>16</v>
      </c>
      <c r="R336" s="14">
        <f t="shared" si="74"/>
        <v>1606020</v>
      </c>
      <c r="S336" s="14" t="str">
        <f t="shared" si="78"/>
        <v>神器4碎片2等级13</v>
      </c>
      <c r="T336" s="29" t="s">
        <v>520</v>
      </c>
      <c r="U336" s="14">
        <f t="shared" si="75"/>
        <v>13</v>
      </c>
      <c r="V336" s="36">
        <f t="shared" si="79"/>
        <v>1.1380000000000001</v>
      </c>
      <c r="W336" s="17">
        <f t="shared" si="76"/>
        <v>1.1380000000000001E-2</v>
      </c>
      <c r="X336" s="14">
        <f t="shared" si="80"/>
        <v>1</v>
      </c>
      <c r="Y336" s="14">
        <f t="shared" si="81"/>
        <v>2</v>
      </c>
      <c r="Z336" s="14">
        <f t="shared" si="82"/>
        <v>0</v>
      </c>
      <c r="AA336" s="14" t="str">
        <f t="shared" si="83"/>
        <v>AtkExt</v>
      </c>
      <c r="AB336" s="14">
        <f t="shared" si="77"/>
        <v>1546</v>
      </c>
      <c r="AC336" s="14" t="str">
        <f t="shared" si="84"/>
        <v>DefExt</v>
      </c>
      <c r="AD336" s="14">
        <f t="shared" si="85"/>
        <v>386</v>
      </c>
      <c r="AE336" s="14" t="str">
        <f t="shared" si="86"/>
        <v>[x]</v>
      </c>
      <c r="AF336" s="27" t="str">
        <f t="shared" si="87"/>
        <v>[x]</v>
      </c>
      <c r="AG336" s="27" t="str">
        <f t="shared" si="88"/>
        <v>[x]</v>
      </c>
    </row>
    <row r="337" spans="16:33" ht="16.5" x14ac:dyDescent="0.2">
      <c r="P337" s="13">
        <v>281</v>
      </c>
      <c r="Q337" s="14">
        <f t="shared" si="73"/>
        <v>16</v>
      </c>
      <c r="R337" s="14">
        <f t="shared" si="74"/>
        <v>1606020</v>
      </c>
      <c r="S337" s="14" t="str">
        <f t="shared" si="78"/>
        <v>神器4碎片2等级14</v>
      </c>
      <c r="T337" s="29" t="s">
        <v>520</v>
      </c>
      <c r="U337" s="14">
        <f t="shared" si="75"/>
        <v>14</v>
      </c>
      <c r="V337" s="36">
        <f t="shared" si="79"/>
        <v>1.242</v>
      </c>
      <c r="W337" s="17">
        <f t="shared" si="76"/>
        <v>1.242E-2</v>
      </c>
      <c r="X337" s="14">
        <f t="shared" si="80"/>
        <v>1</v>
      </c>
      <c r="Y337" s="14">
        <f t="shared" si="81"/>
        <v>2</v>
      </c>
      <c r="Z337" s="14">
        <f t="shared" si="82"/>
        <v>0</v>
      </c>
      <c r="AA337" s="14" t="str">
        <f t="shared" si="83"/>
        <v>AtkExt</v>
      </c>
      <c r="AB337" s="14">
        <f t="shared" si="77"/>
        <v>1687</v>
      </c>
      <c r="AC337" s="14" t="str">
        <f t="shared" si="84"/>
        <v>DefExt</v>
      </c>
      <c r="AD337" s="14">
        <f t="shared" si="85"/>
        <v>421</v>
      </c>
      <c r="AE337" s="14" t="str">
        <f t="shared" si="86"/>
        <v>[x]</v>
      </c>
      <c r="AF337" s="27" t="str">
        <f t="shared" si="87"/>
        <v>[x]</v>
      </c>
      <c r="AG337" s="27" t="str">
        <f t="shared" si="88"/>
        <v>[x]</v>
      </c>
    </row>
    <row r="338" spans="16:33" ht="16.5" x14ac:dyDescent="0.2">
      <c r="P338" s="13">
        <v>282</v>
      </c>
      <c r="Q338" s="14">
        <f t="shared" si="73"/>
        <v>16</v>
      </c>
      <c r="R338" s="14">
        <f t="shared" si="74"/>
        <v>1606020</v>
      </c>
      <c r="S338" s="14" t="str">
        <f t="shared" si="78"/>
        <v>神器4碎片2等级15</v>
      </c>
      <c r="T338" s="29" t="s">
        <v>520</v>
      </c>
      <c r="U338" s="14">
        <f t="shared" si="75"/>
        <v>15</v>
      </c>
      <c r="V338" s="36">
        <f t="shared" si="79"/>
        <v>1.35</v>
      </c>
      <c r="W338" s="17">
        <f t="shared" si="76"/>
        <v>1.3500000000000002E-2</v>
      </c>
      <c r="X338" s="14">
        <f t="shared" si="80"/>
        <v>1</v>
      </c>
      <c r="Y338" s="14">
        <f t="shared" si="81"/>
        <v>2</v>
      </c>
      <c r="Z338" s="14">
        <f t="shared" si="82"/>
        <v>0</v>
      </c>
      <c r="AA338" s="14" t="str">
        <f t="shared" si="83"/>
        <v>AtkExt</v>
      </c>
      <c r="AB338" s="14">
        <f t="shared" si="77"/>
        <v>1834</v>
      </c>
      <c r="AC338" s="14" t="str">
        <f t="shared" si="84"/>
        <v>DefExt</v>
      </c>
      <c r="AD338" s="14">
        <f t="shared" si="85"/>
        <v>458</v>
      </c>
      <c r="AE338" s="14" t="str">
        <f t="shared" si="86"/>
        <v>[x]</v>
      </c>
      <c r="AF338" s="27" t="str">
        <f t="shared" si="87"/>
        <v>[x]</v>
      </c>
      <c r="AG338" s="27" t="str">
        <f t="shared" si="88"/>
        <v>[x]</v>
      </c>
    </row>
    <row r="339" spans="16:33" ht="16.5" x14ac:dyDescent="0.2">
      <c r="P339" s="13">
        <v>283</v>
      </c>
      <c r="Q339" s="14">
        <f t="shared" si="73"/>
        <v>16</v>
      </c>
      <c r="R339" s="14">
        <f t="shared" si="74"/>
        <v>1606020</v>
      </c>
      <c r="S339" s="14" t="str">
        <f t="shared" si="78"/>
        <v>神器4碎片2等级16</v>
      </c>
      <c r="T339" s="29" t="s">
        <v>520</v>
      </c>
      <c r="U339" s="14">
        <f t="shared" si="75"/>
        <v>16</v>
      </c>
      <c r="V339" s="36">
        <f t="shared" si="79"/>
        <v>1.4620000000000002</v>
      </c>
      <c r="W339" s="17">
        <f t="shared" si="76"/>
        <v>1.4620000000000003E-2</v>
      </c>
      <c r="X339" s="14">
        <f t="shared" si="80"/>
        <v>1</v>
      </c>
      <c r="Y339" s="14">
        <f t="shared" si="81"/>
        <v>2</v>
      </c>
      <c r="Z339" s="14">
        <f t="shared" si="82"/>
        <v>0</v>
      </c>
      <c r="AA339" s="14" t="str">
        <f t="shared" si="83"/>
        <v>AtkExt</v>
      </c>
      <c r="AB339" s="14">
        <f t="shared" si="77"/>
        <v>1986</v>
      </c>
      <c r="AC339" s="14" t="str">
        <f t="shared" si="84"/>
        <v>DefExt</v>
      </c>
      <c r="AD339" s="14">
        <f t="shared" si="85"/>
        <v>496</v>
      </c>
      <c r="AE339" s="14" t="str">
        <f t="shared" si="86"/>
        <v>[x]</v>
      </c>
      <c r="AF339" s="27" t="str">
        <f t="shared" si="87"/>
        <v>[x]</v>
      </c>
      <c r="AG339" s="27" t="str">
        <f t="shared" si="88"/>
        <v>[x]</v>
      </c>
    </row>
    <row r="340" spans="16:33" ht="16.5" x14ac:dyDescent="0.2">
      <c r="P340" s="13">
        <v>284</v>
      </c>
      <c r="Q340" s="14">
        <f t="shared" si="73"/>
        <v>16</v>
      </c>
      <c r="R340" s="14">
        <f t="shared" si="74"/>
        <v>1606020</v>
      </c>
      <c r="S340" s="14" t="str">
        <f t="shared" si="78"/>
        <v>神器4碎片2等级17</v>
      </c>
      <c r="T340" s="29" t="s">
        <v>520</v>
      </c>
      <c r="U340" s="14">
        <f t="shared" si="75"/>
        <v>17</v>
      </c>
      <c r="V340" s="36">
        <f t="shared" si="79"/>
        <v>1.5779999999999998</v>
      </c>
      <c r="W340" s="17">
        <f t="shared" si="76"/>
        <v>1.5779999999999999E-2</v>
      </c>
      <c r="X340" s="14">
        <f t="shared" si="80"/>
        <v>1</v>
      </c>
      <c r="Y340" s="14">
        <f t="shared" si="81"/>
        <v>2</v>
      </c>
      <c r="Z340" s="14">
        <f t="shared" si="82"/>
        <v>0</v>
      </c>
      <c r="AA340" s="14" t="str">
        <f t="shared" si="83"/>
        <v>AtkExt</v>
      </c>
      <c r="AB340" s="14">
        <f t="shared" si="77"/>
        <v>2143</v>
      </c>
      <c r="AC340" s="14" t="str">
        <f t="shared" si="84"/>
        <v>DefExt</v>
      </c>
      <c r="AD340" s="14">
        <f t="shared" si="85"/>
        <v>535</v>
      </c>
      <c r="AE340" s="14" t="str">
        <f t="shared" si="86"/>
        <v>[x]</v>
      </c>
      <c r="AF340" s="27" t="str">
        <f t="shared" si="87"/>
        <v>[x]</v>
      </c>
      <c r="AG340" s="27" t="str">
        <f t="shared" si="88"/>
        <v>[x]</v>
      </c>
    </row>
    <row r="341" spans="16:33" ht="16.5" x14ac:dyDescent="0.2">
      <c r="P341" s="13">
        <v>285</v>
      </c>
      <c r="Q341" s="14">
        <f t="shared" si="73"/>
        <v>16</v>
      </c>
      <c r="R341" s="14">
        <f t="shared" si="74"/>
        <v>1606020</v>
      </c>
      <c r="S341" s="14" t="str">
        <f t="shared" si="78"/>
        <v>神器4碎片2等级18</v>
      </c>
      <c r="T341" s="29" t="s">
        <v>520</v>
      </c>
      <c r="U341" s="14">
        <f t="shared" si="75"/>
        <v>18</v>
      </c>
      <c r="V341" s="36">
        <f t="shared" si="79"/>
        <v>1.698</v>
      </c>
      <c r="W341" s="17">
        <f t="shared" si="76"/>
        <v>1.6979999999999999E-2</v>
      </c>
      <c r="X341" s="14">
        <f t="shared" si="80"/>
        <v>1</v>
      </c>
      <c r="Y341" s="14">
        <f t="shared" si="81"/>
        <v>2</v>
      </c>
      <c r="Z341" s="14">
        <f t="shared" si="82"/>
        <v>0</v>
      </c>
      <c r="AA341" s="14" t="str">
        <f t="shared" si="83"/>
        <v>AtkExt</v>
      </c>
      <c r="AB341" s="14">
        <f t="shared" si="77"/>
        <v>2306</v>
      </c>
      <c r="AC341" s="14" t="str">
        <f t="shared" si="84"/>
        <v>DefExt</v>
      </c>
      <c r="AD341" s="14">
        <f t="shared" si="85"/>
        <v>576</v>
      </c>
      <c r="AE341" s="14" t="str">
        <f t="shared" si="86"/>
        <v>[x]</v>
      </c>
      <c r="AF341" s="27" t="str">
        <f t="shared" si="87"/>
        <v>[x]</v>
      </c>
      <c r="AG341" s="27" t="str">
        <f t="shared" si="88"/>
        <v>[x]</v>
      </c>
    </row>
    <row r="342" spans="16:33" ht="16.5" x14ac:dyDescent="0.2">
      <c r="P342" s="13">
        <v>286</v>
      </c>
      <c r="Q342" s="14">
        <f t="shared" si="73"/>
        <v>16</v>
      </c>
      <c r="R342" s="14">
        <f t="shared" si="74"/>
        <v>1606020</v>
      </c>
      <c r="S342" s="14" t="str">
        <f t="shared" si="78"/>
        <v>神器4碎片2等级19</v>
      </c>
      <c r="T342" s="29" t="s">
        <v>520</v>
      </c>
      <c r="U342" s="14">
        <f t="shared" si="75"/>
        <v>19</v>
      </c>
      <c r="V342" s="36">
        <f t="shared" si="79"/>
        <v>1.8220000000000001</v>
      </c>
      <c r="W342" s="17">
        <f t="shared" si="76"/>
        <v>1.822E-2</v>
      </c>
      <c r="X342" s="14">
        <f t="shared" si="80"/>
        <v>1</v>
      </c>
      <c r="Y342" s="14">
        <f t="shared" si="81"/>
        <v>2</v>
      </c>
      <c r="Z342" s="14">
        <f t="shared" si="82"/>
        <v>0</v>
      </c>
      <c r="AA342" s="14" t="str">
        <f t="shared" si="83"/>
        <v>AtkExt</v>
      </c>
      <c r="AB342" s="14">
        <f t="shared" si="77"/>
        <v>2475</v>
      </c>
      <c r="AC342" s="14" t="str">
        <f t="shared" si="84"/>
        <v>DefExt</v>
      </c>
      <c r="AD342" s="14">
        <f t="shared" si="85"/>
        <v>618</v>
      </c>
      <c r="AE342" s="14" t="str">
        <f t="shared" si="86"/>
        <v>[x]</v>
      </c>
      <c r="AF342" s="27" t="str">
        <f t="shared" si="87"/>
        <v>[x]</v>
      </c>
      <c r="AG342" s="27" t="str">
        <f t="shared" si="88"/>
        <v>[x]</v>
      </c>
    </row>
    <row r="343" spans="16:33" ht="16.5" x14ac:dyDescent="0.2">
      <c r="P343" s="13">
        <v>287</v>
      </c>
      <c r="Q343" s="14">
        <f t="shared" si="73"/>
        <v>16</v>
      </c>
      <c r="R343" s="14">
        <f t="shared" si="74"/>
        <v>1606020</v>
      </c>
      <c r="S343" s="14" t="str">
        <f t="shared" si="78"/>
        <v>神器4碎片2等级20</v>
      </c>
      <c r="T343" s="29" t="s">
        <v>520</v>
      </c>
      <c r="U343" s="14">
        <f t="shared" si="75"/>
        <v>20</v>
      </c>
      <c r="V343" s="36">
        <f t="shared" si="79"/>
        <v>1.95</v>
      </c>
      <c r="W343" s="17">
        <f t="shared" si="76"/>
        <v>1.95E-2</v>
      </c>
      <c r="X343" s="14">
        <f t="shared" si="80"/>
        <v>1</v>
      </c>
      <c r="Y343" s="14">
        <f t="shared" si="81"/>
        <v>2</v>
      </c>
      <c r="Z343" s="14">
        <f t="shared" si="82"/>
        <v>0</v>
      </c>
      <c r="AA343" s="14" t="str">
        <f t="shared" si="83"/>
        <v>AtkExt</v>
      </c>
      <c r="AB343" s="14">
        <f t="shared" si="77"/>
        <v>2649</v>
      </c>
      <c r="AC343" s="14" t="str">
        <f t="shared" si="84"/>
        <v>DefExt</v>
      </c>
      <c r="AD343" s="14">
        <f t="shared" si="85"/>
        <v>661</v>
      </c>
      <c r="AE343" s="14" t="str">
        <f t="shared" si="86"/>
        <v>[x]</v>
      </c>
      <c r="AF343" s="27" t="str">
        <f t="shared" si="87"/>
        <v>[x]</v>
      </c>
      <c r="AG343" s="27" t="str">
        <f t="shared" si="88"/>
        <v>[x]</v>
      </c>
    </row>
    <row r="344" spans="16:33" ht="16.5" x14ac:dyDescent="0.2">
      <c r="P344" s="13">
        <v>288</v>
      </c>
      <c r="Q344" s="14">
        <f t="shared" si="73"/>
        <v>16</v>
      </c>
      <c r="R344" s="14">
        <f t="shared" si="74"/>
        <v>1606020</v>
      </c>
      <c r="S344" s="14" t="str">
        <f t="shared" si="78"/>
        <v>神器4碎片2等级21</v>
      </c>
      <c r="T344" s="29" t="s">
        <v>520</v>
      </c>
      <c r="U344" s="14">
        <f t="shared" si="75"/>
        <v>21</v>
      </c>
      <c r="V344" s="36">
        <f t="shared" si="79"/>
        <v>2.0819999999999999</v>
      </c>
      <c r="W344" s="17">
        <f t="shared" si="76"/>
        <v>2.0819999999999998E-2</v>
      </c>
      <c r="X344" s="14">
        <f t="shared" si="80"/>
        <v>1</v>
      </c>
      <c r="Y344" s="14">
        <f t="shared" si="81"/>
        <v>2</v>
      </c>
      <c r="Z344" s="14">
        <f t="shared" si="82"/>
        <v>0</v>
      </c>
      <c r="AA344" s="14" t="str">
        <f t="shared" si="83"/>
        <v>AtkExt</v>
      </c>
      <c r="AB344" s="14">
        <f t="shared" si="77"/>
        <v>2828</v>
      </c>
      <c r="AC344" s="14" t="str">
        <f t="shared" si="84"/>
        <v>DefExt</v>
      </c>
      <c r="AD344" s="14">
        <f t="shared" si="85"/>
        <v>706</v>
      </c>
      <c r="AE344" s="14" t="str">
        <f t="shared" si="86"/>
        <v>[x]</v>
      </c>
      <c r="AF344" s="27" t="str">
        <f t="shared" si="87"/>
        <v>[x]</v>
      </c>
      <c r="AG344" s="27" t="str">
        <f t="shared" si="88"/>
        <v>[x]</v>
      </c>
    </row>
    <row r="345" spans="16:33" ht="16.5" x14ac:dyDescent="0.2">
      <c r="P345" s="13">
        <v>289</v>
      </c>
      <c r="Q345" s="14">
        <f t="shared" si="73"/>
        <v>17</v>
      </c>
      <c r="R345" s="14">
        <f t="shared" si="74"/>
        <v>1606021</v>
      </c>
      <c r="S345" s="14" t="str">
        <f t="shared" si="78"/>
        <v>神器4碎片3等级1</v>
      </c>
      <c r="T345" s="29" t="s">
        <v>520</v>
      </c>
      <c r="U345" s="14">
        <f t="shared" si="75"/>
        <v>1</v>
      </c>
      <c r="V345" s="36">
        <f t="shared" si="79"/>
        <v>0.20200000000000001</v>
      </c>
      <c r="W345" s="17">
        <f t="shared" si="76"/>
        <v>4.0400000000000002E-3</v>
      </c>
      <c r="X345" s="14">
        <f t="shared" si="80"/>
        <v>1</v>
      </c>
      <c r="Y345" s="14">
        <f t="shared" si="81"/>
        <v>3</v>
      </c>
      <c r="Z345" s="14">
        <f t="shared" si="82"/>
        <v>0</v>
      </c>
      <c r="AA345" s="14" t="str">
        <f t="shared" si="83"/>
        <v>AtkExt</v>
      </c>
      <c r="AB345" s="14">
        <f t="shared" si="77"/>
        <v>548</v>
      </c>
      <c r="AC345" s="14" t="str">
        <f t="shared" si="84"/>
        <v>HPExt</v>
      </c>
      <c r="AD345" s="14">
        <f t="shared" si="85"/>
        <v>823</v>
      </c>
      <c r="AE345" s="14" t="str">
        <f t="shared" si="86"/>
        <v>[x]</v>
      </c>
      <c r="AF345" s="27" t="str">
        <f t="shared" si="87"/>
        <v>[x]</v>
      </c>
      <c r="AG345" s="27" t="str">
        <f t="shared" si="88"/>
        <v>[x]</v>
      </c>
    </row>
    <row r="346" spans="16:33" ht="16.5" x14ac:dyDescent="0.2">
      <c r="P346" s="13">
        <v>290</v>
      </c>
      <c r="Q346" s="14">
        <f t="shared" si="73"/>
        <v>17</v>
      </c>
      <c r="R346" s="14">
        <f t="shared" si="74"/>
        <v>1606021</v>
      </c>
      <c r="S346" s="14" t="str">
        <f t="shared" si="78"/>
        <v>神器4碎片3等级2</v>
      </c>
      <c r="T346" s="29" t="s">
        <v>520</v>
      </c>
      <c r="U346" s="14">
        <f t="shared" si="75"/>
        <v>2</v>
      </c>
      <c r="V346" s="36">
        <f t="shared" si="79"/>
        <v>0.25800000000000001</v>
      </c>
      <c r="W346" s="17">
        <f t="shared" si="76"/>
        <v>5.1600000000000005E-3</v>
      </c>
      <c r="X346" s="14">
        <f t="shared" si="80"/>
        <v>1</v>
      </c>
      <c r="Y346" s="14">
        <f t="shared" si="81"/>
        <v>3</v>
      </c>
      <c r="Z346" s="14">
        <f t="shared" si="82"/>
        <v>0</v>
      </c>
      <c r="AA346" s="14" t="str">
        <f t="shared" si="83"/>
        <v>AtkExt</v>
      </c>
      <c r="AB346" s="14">
        <f t="shared" si="77"/>
        <v>701</v>
      </c>
      <c r="AC346" s="14" t="str">
        <f t="shared" si="84"/>
        <v>HPExt</v>
      </c>
      <c r="AD346" s="14">
        <f t="shared" si="85"/>
        <v>1051</v>
      </c>
      <c r="AE346" s="14" t="str">
        <f t="shared" si="86"/>
        <v>[x]</v>
      </c>
      <c r="AF346" s="27" t="str">
        <f t="shared" si="87"/>
        <v>[x]</v>
      </c>
      <c r="AG346" s="27" t="str">
        <f t="shared" si="88"/>
        <v>[x]</v>
      </c>
    </row>
    <row r="347" spans="16:33" ht="16.5" x14ac:dyDescent="0.2">
      <c r="P347" s="13">
        <v>291</v>
      </c>
      <c r="Q347" s="14">
        <f t="shared" si="73"/>
        <v>17</v>
      </c>
      <c r="R347" s="14">
        <f t="shared" si="74"/>
        <v>1606021</v>
      </c>
      <c r="S347" s="14" t="str">
        <f t="shared" si="78"/>
        <v>神器4碎片3等级3</v>
      </c>
      <c r="T347" s="29" t="s">
        <v>520</v>
      </c>
      <c r="U347" s="14">
        <f t="shared" si="75"/>
        <v>3</v>
      </c>
      <c r="V347" s="36">
        <f t="shared" si="79"/>
        <v>0.31800000000000006</v>
      </c>
      <c r="W347" s="17">
        <f t="shared" si="76"/>
        <v>6.3600000000000011E-3</v>
      </c>
      <c r="X347" s="14">
        <f t="shared" si="80"/>
        <v>1</v>
      </c>
      <c r="Y347" s="14">
        <f t="shared" si="81"/>
        <v>3</v>
      </c>
      <c r="Z347" s="14">
        <f t="shared" si="82"/>
        <v>0</v>
      </c>
      <c r="AA347" s="14" t="str">
        <f t="shared" si="83"/>
        <v>AtkExt</v>
      </c>
      <c r="AB347" s="14">
        <f t="shared" si="77"/>
        <v>864</v>
      </c>
      <c r="AC347" s="14" t="str">
        <f t="shared" si="84"/>
        <v>HPExt</v>
      </c>
      <c r="AD347" s="14">
        <f t="shared" si="85"/>
        <v>1296</v>
      </c>
      <c r="AE347" s="14" t="str">
        <f t="shared" si="86"/>
        <v>[x]</v>
      </c>
      <c r="AF347" s="27" t="str">
        <f t="shared" si="87"/>
        <v>[x]</v>
      </c>
      <c r="AG347" s="27" t="str">
        <f t="shared" si="88"/>
        <v>[x]</v>
      </c>
    </row>
    <row r="348" spans="16:33" ht="16.5" x14ac:dyDescent="0.2">
      <c r="P348" s="13">
        <v>292</v>
      </c>
      <c r="Q348" s="14">
        <f t="shared" si="73"/>
        <v>17</v>
      </c>
      <c r="R348" s="14">
        <f t="shared" si="74"/>
        <v>1606021</v>
      </c>
      <c r="S348" s="14" t="str">
        <f t="shared" si="78"/>
        <v>神器4碎片3等级4</v>
      </c>
      <c r="T348" s="29" t="s">
        <v>520</v>
      </c>
      <c r="U348" s="14">
        <f t="shared" si="75"/>
        <v>4</v>
      </c>
      <c r="V348" s="36">
        <f t="shared" si="79"/>
        <v>0.38200000000000001</v>
      </c>
      <c r="W348" s="17">
        <f t="shared" si="76"/>
        <v>7.6400000000000001E-3</v>
      </c>
      <c r="X348" s="14">
        <f t="shared" si="80"/>
        <v>1</v>
      </c>
      <c r="Y348" s="14">
        <f t="shared" si="81"/>
        <v>3</v>
      </c>
      <c r="Z348" s="14">
        <f t="shared" si="82"/>
        <v>0</v>
      </c>
      <c r="AA348" s="14" t="str">
        <f t="shared" si="83"/>
        <v>AtkExt</v>
      </c>
      <c r="AB348" s="14">
        <f t="shared" si="77"/>
        <v>1037</v>
      </c>
      <c r="AC348" s="14" t="str">
        <f t="shared" si="84"/>
        <v>HPExt</v>
      </c>
      <c r="AD348" s="14">
        <f t="shared" si="85"/>
        <v>1557</v>
      </c>
      <c r="AE348" s="14" t="str">
        <f t="shared" si="86"/>
        <v>[x]</v>
      </c>
      <c r="AF348" s="27" t="str">
        <f t="shared" si="87"/>
        <v>[x]</v>
      </c>
      <c r="AG348" s="27" t="str">
        <f t="shared" si="88"/>
        <v>[x]</v>
      </c>
    </row>
    <row r="349" spans="16:33" ht="16.5" x14ac:dyDescent="0.2">
      <c r="P349" s="13">
        <v>293</v>
      </c>
      <c r="Q349" s="14">
        <f t="shared" si="73"/>
        <v>17</v>
      </c>
      <c r="R349" s="14">
        <f t="shared" si="74"/>
        <v>1606021</v>
      </c>
      <c r="S349" s="14" t="str">
        <f t="shared" si="78"/>
        <v>神器4碎片3等级5</v>
      </c>
      <c r="T349" s="29" t="s">
        <v>520</v>
      </c>
      <c r="U349" s="14">
        <f t="shared" si="75"/>
        <v>5</v>
      </c>
      <c r="V349" s="36">
        <f t="shared" si="79"/>
        <v>0.45</v>
      </c>
      <c r="W349" s="17">
        <f t="shared" si="76"/>
        <v>9.0000000000000011E-3</v>
      </c>
      <c r="X349" s="14">
        <f t="shared" si="80"/>
        <v>1</v>
      </c>
      <c r="Y349" s="14">
        <f t="shared" si="81"/>
        <v>3</v>
      </c>
      <c r="Z349" s="14">
        <f t="shared" si="82"/>
        <v>0</v>
      </c>
      <c r="AA349" s="14" t="str">
        <f t="shared" si="83"/>
        <v>AtkExt</v>
      </c>
      <c r="AB349" s="14">
        <f t="shared" si="77"/>
        <v>1222</v>
      </c>
      <c r="AC349" s="14" t="str">
        <f t="shared" si="84"/>
        <v>HPExt</v>
      </c>
      <c r="AD349" s="14">
        <f t="shared" si="85"/>
        <v>1834</v>
      </c>
      <c r="AE349" s="14" t="str">
        <f t="shared" si="86"/>
        <v>[x]</v>
      </c>
      <c r="AF349" s="27" t="str">
        <f t="shared" si="87"/>
        <v>[x]</v>
      </c>
      <c r="AG349" s="27" t="str">
        <f t="shared" si="88"/>
        <v>[x]</v>
      </c>
    </row>
    <row r="350" spans="16:33" ht="16.5" x14ac:dyDescent="0.2">
      <c r="P350" s="13">
        <v>294</v>
      </c>
      <c r="Q350" s="14">
        <f t="shared" si="73"/>
        <v>17</v>
      </c>
      <c r="R350" s="14">
        <f t="shared" si="74"/>
        <v>1606021</v>
      </c>
      <c r="S350" s="14" t="str">
        <f t="shared" si="78"/>
        <v>神器4碎片3等级6</v>
      </c>
      <c r="T350" s="29" t="s">
        <v>520</v>
      </c>
      <c r="U350" s="14">
        <f t="shared" si="75"/>
        <v>6</v>
      </c>
      <c r="V350" s="36">
        <f t="shared" si="79"/>
        <v>0.52200000000000002</v>
      </c>
      <c r="W350" s="17">
        <f t="shared" si="76"/>
        <v>1.0440000000000001E-2</v>
      </c>
      <c r="X350" s="14">
        <f t="shared" si="80"/>
        <v>1</v>
      </c>
      <c r="Y350" s="14">
        <f t="shared" si="81"/>
        <v>3</v>
      </c>
      <c r="Z350" s="14">
        <f t="shared" si="82"/>
        <v>0</v>
      </c>
      <c r="AA350" s="14" t="str">
        <f t="shared" si="83"/>
        <v>AtkExt</v>
      </c>
      <c r="AB350" s="14">
        <f t="shared" si="77"/>
        <v>1418</v>
      </c>
      <c r="AC350" s="14" t="str">
        <f t="shared" si="84"/>
        <v>HPExt</v>
      </c>
      <c r="AD350" s="14">
        <f t="shared" si="85"/>
        <v>2128</v>
      </c>
      <c r="AE350" s="14" t="str">
        <f t="shared" si="86"/>
        <v>[x]</v>
      </c>
      <c r="AF350" s="27" t="str">
        <f t="shared" si="87"/>
        <v>[x]</v>
      </c>
      <c r="AG350" s="27" t="str">
        <f t="shared" si="88"/>
        <v>[x]</v>
      </c>
    </row>
    <row r="351" spans="16:33" ht="16.5" x14ac:dyDescent="0.2">
      <c r="P351" s="13">
        <v>295</v>
      </c>
      <c r="Q351" s="14">
        <f t="shared" si="73"/>
        <v>17</v>
      </c>
      <c r="R351" s="14">
        <f t="shared" si="74"/>
        <v>1606021</v>
      </c>
      <c r="S351" s="14" t="str">
        <f t="shared" si="78"/>
        <v>神器4碎片3等级7</v>
      </c>
      <c r="T351" s="29" t="s">
        <v>520</v>
      </c>
      <c r="U351" s="14">
        <f t="shared" si="75"/>
        <v>7</v>
      </c>
      <c r="V351" s="36">
        <f t="shared" si="79"/>
        <v>0.59799999999999998</v>
      </c>
      <c r="W351" s="17">
        <f t="shared" si="76"/>
        <v>1.196E-2</v>
      </c>
      <c r="X351" s="14">
        <f t="shared" si="80"/>
        <v>1</v>
      </c>
      <c r="Y351" s="14">
        <f t="shared" si="81"/>
        <v>3</v>
      </c>
      <c r="Z351" s="14">
        <f t="shared" si="82"/>
        <v>0</v>
      </c>
      <c r="AA351" s="14" t="str">
        <f t="shared" si="83"/>
        <v>AtkExt</v>
      </c>
      <c r="AB351" s="14">
        <f t="shared" si="77"/>
        <v>1624</v>
      </c>
      <c r="AC351" s="14" t="str">
        <f t="shared" si="84"/>
        <v>HPExt</v>
      </c>
      <c r="AD351" s="14">
        <f t="shared" si="85"/>
        <v>2438</v>
      </c>
      <c r="AE351" s="14" t="str">
        <f t="shared" si="86"/>
        <v>[x]</v>
      </c>
      <c r="AF351" s="27" t="str">
        <f t="shared" si="87"/>
        <v>[x]</v>
      </c>
      <c r="AG351" s="27" t="str">
        <f t="shared" si="88"/>
        <v>[x]</v>
      </c>
    </row>
    <row r="352" spans="16:33" ht="16.5" x14ac:dyDescent="0.2">
      <c r="P352" s="13">
        <v>296</v>
      </c>
      <c r="Q352" s="14">
        <f t="shared" si="73"/>
        <v>17</v>
      </c>
      <c r="R352" s="14">
        <f t="shared" si="74"/>
        <v>1606021</v>
      </c>
      <c r="S352" s="14" t="str">
        <f t="shared" si="78"/>
        <v>神器4碎片3等级8</v>
      </c>
      <c r="T352" s="29" t="s">
        <v>520</v>
      </c>
      <c r="U352" s="14">
        <f t="shared" si="75"/>
        <v>8</v>
      </c>
      <c r="V352" s="36">
        <f t="shared" si="79"/>
        <v>0.67800000000000005</v>
      </c>
      <c r="W352" s="17">
        <f t="shared" si="76"/>
        <v>1.3560000000000001E-2</v>
      </c>
      <c r="X352" s="14">
        <f t="shared" si="80"/>
        <v>1</v>
      </c>
      <c r="Y352" s="14">
        <f t="shared" si="81"/>
        <v>3</v>
      </c>
      <c r="Z352" s="14">
        <f t="shared" si="82"/>
        <v>0</v>
      </c>
      <c r="AA352" s="14" t="str">
        <f t="shared" si="83"/>
        <v>AtkExt</v>
      </c>
      <c r="AB352" s="14">
        <f t="shared" si="77"/>
        <v>1842</v>
      </c>
      <c r="AC352" s="14" t="str">
        <f t="shared" si="84"/>
        <v>HPExt</v>
      </c>
      <c r="AD352" s="14">
        <f t="shared" si="85"/>
        <v>2764</v>
      </c>
      <c r="AE352" s="14" t="str">
        <f t="shared" si="86"/>
        <v>[x]</v>
      </c>
      <c r="AF352" s="27" t="str">
        <f t="shared" si="87"/>
        <v>[x]</v>
      </c>
      <c r="AG352" s="27" t="str">
        <f t="shared" si="88"/>
        <v>[x]</v>
      </c>
    </row>
    <row r="353" spans="16:33" ht="16.5" x14ac:dyDescent="0.2">
      <c r="P353" s="13">
        <v>297</v>
      </c>
      <c r="Q353" s="14">
        <f t="shared" si="73"/>
        <v>17</v>
      </c>
      <c r="R353" s="14">
        <f t="shared" si="74"/>
        <v>1606021</v>
      </c>
      <c r="S353" s="14" t="str">
        <f t="shared" si="78"/>
        <v>神器4碎片3等级9</v>
      </c>
      <c r="T353" s="29" t="s">
        <v>520</v>
      </c>
      <c r="U353" s="14">
        <f t="shared" si="75"/>
        <v>9</v>
      </c>
      <c r="V353" s="36">
        <f t="shared" si="79"/>
        <v>0.76200000000000001</v>
      </c>
      <c r="W353" s="17">
        <f t="shared" si="76"/>
        <v>1.524E-2</v>
      </c>
      <c r="X353" s="14">
        <f t="shared" si="80"/>
        <v>1</v>
      </c>
      <c r="Y353" s="14">
        <f t="shared" si="81"/>
        <v>3</v>
      </c>
      <c r="Z353" s="14">
        <f t="shared" si="82"/>
        <v>0</v>
      </c>
      <c r="AA353" s="14" t="str">
        <f t="shared" si="83"/>
        <v>AtkExt</v>
      </c>
      <c r="AB353" s="14">
        <f t="shared" si="77"/>
        <v>2070</v>
      </c>
      <c r="AC353" s="14" t="str">
        <f t="shared" si="84"/>
        <v>HPExt</v>
      </c>
      <c r="AD353" s="14">
        <f t="shared" si="85"/>
        <v>3107</v>
      </c>
      <c r="AE353" s="14" t="str">
        <f t="shared" si="86"/>
        <v>[x]</v>
      </c>
      <c r="AF353" s="27" t="str">
        <f t="shared" si="87"/>
        <v>[x]</v>
      </c>
      <c r="AG353" s="27" t="str">
        <f t="shared" si="88"/>
        <v>[x]</v>
      </c>
    </row>
    <row r="354" spans="16:33" ht="16.5" x14ac:dyDescent="0.2">
      <c r="P354" s="13">
        <v>298</v>
      </c>
      <c r="Q354" s="14">
        <f t="shared" si="73"/>
        <v>17</v>
      </c>
      <c r="R354" s="14">
        <f t="shared" si="74"/>
        <v>1606021</v>
      </c>
      <c r="S354" s="14" t="str">
        <f t="shared" si="78"/>
        <v>神器4碎片3等级10</v>
      </c>
      <c r="T354" s="29" t="s">
        <v>520</v>
      </c>
      <c r="U354" s="14">
        <f t="shared" si="75"/>
        <v>10</v>
      </c>
      <c r="V354" s="36">
        <f t="shared" si="79"/>
        <v>0.85000000000000009</v>
      </c>
      <c r="W354" s="17">
        <f t="shared" si="76"/>
        <v>1.7000000000000001E-2</v>
      </c>
      <c r="X354" s="14">
        <f t="shared" si="80"/>
        <v>1</v>
      </c>
      <c r="Y354" s="14">
        <f t="shared" si="81"/>
        <v>3</v>
      </c>
      <c r="Z354" s="14">
        <f t="shared" si="82"/>
        <v>0</v>
      </c>
      <c r="AA354" s="14" t="str">
        <f t="shared" si="83"/>
        <v>AtkExt</v>
      </c>
      <c r="AB354" s="14">
        <f t="shared" si="77"/>
        <v>2309</v>
      </c>
      <c r="AC354" s="14" t="str">
        <f t="shared" si="84"/>
        <v>HPExt</v>
      </c>
      <c r="AD354" s="14">
        <f t="shared" si="85"/>
        <v>3465</v>
      </c>
      <c r="AE354" s="14" t="str">
        <f t="shared" si="86"/>
        <v>[x]</v>
      </c>
      <c r="AF354" s="27" t="str">
        <f t="shared" si="87"/>
        <v>[x]</v>
      </c>
      <c r="AG354" s="27" t="str">
        <f t="shared" si="88"/>
        <v>[x]</v>
      </c>
    </row>
    <row r="355" spans="16:33" ht="16.5" x14ac:dyDescent="0.2">
      <c r="P355" s="13">
        <v>299</v>
      </c>
      <c r="Q355" s="14">
        <f t="shared" si="73"/>
        <v>17</v>
      </c>
      <c r="R355" s="14">
        <f t="shared" si="74"/>
        <v>1606021</v>
      </c>
      <c r="S355" s="14" t="str">
        <f t="shared" si="78"/>
        <v>神器4碎片3等级11</v>
      </c>
      <c r="T355" s="29" t="s">
        <v>520</v>
      </c>
      <c r="U355" s="14">
        <f t="shared" si="75"/>
        <v>11</v>
      </c>
      <c r="V355" s="36">
        <f t="shared" si="79"/>
        <v>0.94200000000000006</v>
      </c>
      <c r="W355" s="17">
        <f t="shared" si="76"/>
        <v>1.8840000000000003E-2</v>
      </c>
      <c r="X355" s="14">
        <f t="shared" si="80"/>
        <v>1</v>
      </c>
      <c r="Y355" s="14">
        <f t="shared" si="81"/>
        <v>3</v>
      </c>
      <c r="Z355" s="14">
        <f t="shared" si="82"/>
        <v>0</v>
      </c>
      <c r="AA355" s="14" t="str">
        <f t="shared" si="83"/>
        <v>AtkExt</v>
      </c>
      <c r="AB355" s="14">
        <f t="shared" si="77"/>
        <v>2559</v>
      </c>
      <c r="AC355" s="14" t="str">
        <f t="shared" si="84"/>
        <v>HPExt</v>
      </c>
      <c r="AD355" s="14">
        <f t="shared" si="85"/>
        <v>3840</v>
      </c>
      <c r="AE355" s="14" t="str">
        <f t="shared" si="86"/>
        <v>[x]</v>
      </c>
      <c r="AF355" s="27" t="str">
        <f t="shared" si="87"/>
        <v>[x]</v>
      </c>
      <c r="AG355" s="27" t="str">
        <f t="shared" si="88"/>
        <v>[x]</v>
      </c>
    </row>
    <row r="356" spans="16:33" ht="16.5" x14ac:dyDescent="0.2">
      <c r="P356" s="13">
        <v>300</v>
      </c>
      <c r="Q356" s="14">
        <f t="shared" si="73"/>
        <v>17</v>
      </c>
      <c r="R356" s="14">
        <f t="shared" si="74"/>
        <v>1606021</v>
      </c>
      <c r="S356" s="14" t="str">
        <f t="shared" si="78"/>
        <v>神器4碎片3等级12</v>
      </c>
      <c r="T356" s="29" t="s">
        <v>520</v>
      </c>
      <c r="U356" s="14">
        <f t="shared" si="75"/>
        <v>12</v>
      </c>
      <c r="V356" s="36">
        <f t="shared" si="79"/>
        <v>1.0380000000000003</v>
      </c>
      <c r="W356" s="17">
        <f t="shared" si="76"/>
        <v>2.0760000000000004E-2</v>
      </c>
      <c r="X356" s="14">
        <f t="shared" si="80"/>
        <v>1</v>
      </c>
      <c r="Y356" s="14">
        <f t="shared" si="81"/>
        <v>3</v>
      </c>
      <c r="Z356" s="14">
        <f t="shared" si="82"/>
        <v>0</v>
      </c>
      <c r="AA356" s="14" t="str">
        <f t="shared" si="83"/>
        <v>AtkExt</v>
      </c>
      <c r="AB356" s="14">
        <f t="shared" si="77"/>
        <v>2820</v>
      </c>
      <c r="AC356" s="14" t="str">
        <f t="shared" si="84"/>
        <v>HPExt</v>
      </c>
      <c r="AD356" s="14">
        <f t="shared" si="85"/>
        <v>4232</v>
      </c>
      <c r="AE356" s="14" t="str">
        <f t="shared" si="86"/>
        <v>[x]</v>
      </c>
      <c r="AF356" s="27" t="str">
        <f t="shared" si="87"/>
        <v>[x]</v>
      </c>
      <c r="AG356" s="27" t="str">
        <f t="shared" si="88"/>
        <v>[x]</v>
      </c>
    </row>
    <row r="357" spans="16:33" ht="16.5" x14ac:dyDescent="0.2">
      <c r="P357" s="13">
        <v>301</v>
      </c>
      <c r="Q357" s="14">
        <f t="shared" si="73"/>
        <v>17</v>
      </c>
      <c r="R357" s="14">
        <f t="shared" si="74"/>
        <v>1606021</v>
      </c>
      <c r="S357" s="14" t="str">
        <f t="shared" si="78"/>
        <v>神器4碎片3等级13</v>
      </c>
      <c r="T357" s="29" t="s">
        <v>520</v>
      </c>
      <c r="U357" s="14">
        <f t="shared" si="75"/>
        <v>13</v>
      </c>
      <c r="V357" s="36">
        <f t="shared" si="79"/>
        <v>1.1380000000000001</v>
      </c>
      <c r="W357" s="17">
        <f t="shared" si="76"/>
        <v>2.2760000000000002E-2</v>
      </c>
      <c r="X357" s="14">
        <f t="shared" si="80"/>
        <v>1</v>
      </c>
      <c r="Y357" s="14">
        <f t="shared" si="81"/>
        <v>3</v>
      </c>
      <c r="Z357" s="14">
        <f t="shared" si="82"/>
        <v>0</v>
      </c>
      <c r="AA357" s="14" t="str">
        <f t="shared" si="83"/>
        <v>AtkExt</v>
      </c>
      <c r="AB357" s="14">
        <f t="shared" si="77"/>
        <v>3092</v>
      </c>
      <c r="AC357" s="14" t="str">
        <f t="shared" si="84"/>
        <v>HPExt</v>
      </c>
      <c r="AD357" s="14">
        <f t="shared" si="85"/>
        <v>4640</v>
      </c>
      <c r="AE357" s="14" t="str">
        <f t="shared" si="86"/>
        <v>[x]</v>
      </c>
      <c r="AF357" s="27" t="str">
        <f t="shared" si="87"/>
        <v>[x]</v>
      </c>
      <c r="AG357" s="27" t="str">
        <f t="shared" si="88"/>
        <v>[x]</v>
      </c>
    </row>
    <row r="358" spans="16:33" ht="16.5" x14ac:dyDescent="0.2">
      <c r="P358" s="13">
        <v>302</v>
      </c>
      <c r="Q358" s="14">
        <f t="shared" si="73"/>
        <v>17</v>
      </c>
      <c r="R358" s="14">
        <f t="shared" si="74"/>
        <v>1606021</v>
      </c>
      <c r="S358" s="14" t="str">
        <f t="shared" si="78"/>
        <v>神器4碎片3等级14</v>
      </c>
      <c r="T358" s="29" t="s">
        <v>520</v>
      </c>
      <c r="U358" s="14">
        <f t="shared" si="75"/>
        <v>14</v>
      </c>
      <c r="V358" s="36">
        <f t="shared" si="79"/>
        <v>1.242</v>
      </c>
      <c r="W358" s="17">
        <f t="shared" si="76"/>
        <v>2.4840000000000001E-2</v>
      </c>
      <c r="X358" s="14">
        <f t="shared" si="80"/>
        <v>1</v>
      </c>
      <c r="Y358" s="14">
        <f t="shared" si="81"/>
        <v>3</v>
      </c>
      <c r="Z358" s="14">
        <f t="shared" si="82"/>
        <v>0</v>
      </c>
      <c r="AA358" s="14" t="str">
        <f t="shared" si="83"/>
        <v>AtkExt</v>
      </c>
      <c r="AB358" s="14">
        <f t="shared" si="77"/>
        <v>3374</v>
      </c>
      <c r="AC358" s="14" t="str">
        <f t="shared" si="84"/>
        <v>HPExt</v>
      </c>
      <c r="AD358" s="14">
        <f t="shared" si="85"/>
        <v>5064</v>
      </c>
      <c r="AE358" s="14" t="str">
        <f t="shared" si="86"/>
        <v>[x]</v>
      </c>
      <c r="AF358" s="27" t="str">
        <f t="shared" si="87"/>
        <v>[x]</v>
      </c>
      <c r="AG358" s="27" t="str">
        <f t="shared" si="88"/>
        <v>[x]</v>
      </c>
    </row>
    <row r="359" spans="16:33" ht="16.5" x14ac:dyDescent="0.2">
      <c r="P359" s="13">
        <v>303</v>
      </c>
      <c r="Q359" s="14">
        <f t="shared" si="73"/>
        <v>17</v>
      </c>
      <c r="R359" s="14">
        <f t="shared" si="74"/>
        <v>1606021</v>
      </c>
      <c r="S359" s="14" t="str">
        <f t="shared" si="78"/>
        <v>神器4碎片3等级15</v>
      </c>
      <c r="T359" s="29" t="s">
        <v>520</v>
      </c>
      <c r="U359" s="14">
        <f t="shared" si="75"/>
        <v>15</v>
      </c>
      <c r="V359" s="36">
        <f t="shared" si="79"/>
        <v>1.35</v>
      </c>
      <c r="W359" s="17">
        <f t="shared" si="76"/>
        <v>2.7000000000000003E-2</v>
      </c>
      <c r="X359" s="14">
        <f t="shared" si="80"/>
        <v>1</v>
      </c>
      <c r="Y359" s="14">
        <f t="shared" si="81"/>
        <v>3</v>
      </c>
      <c r="Z359" s="14">
        <f t="shared" si="82"/>
        <v>0</v>
      </c>
      <c r="AA359" s="14" t="str">
        <f t="shared" si="83"/>
        <v>AtkExt</v>
      </c>
      <c r="AB359" s="14">
        <f t="shared" si="77"/>
        <v>3668</v>
      </c>
      <c r="AC359" s="14" t="str">
        <f t="shared" si="84"/>
        <v>HPExt</v>
      </c>
      <c r="AD359" s="14">
        <f t="shared" si="85"/>
        <v>5504</v>
      </c>
      <c r="AE359" s="14" t="str">
        <f t="shared" si="86"/>
        <v>[x]</v>
      </c>
      <c r="AF359" s="27" t="str">
        <f t="shared" si="87"/>
        <v>[x]</v>
      </c>
      <c r="AG359" s="27" t="str">
        <f t="shared" si="88"/>
        <v>[x]</v>
      </c>
    </row>
    <row r="360" spans="16:33" ht="16.5" x14ac:dyDescent="0.2">
      <c r="P360" s="13">
        <v>304</v>
      </c>
      <c r="Q360" s="14">
        <f t="shared" si="73"/>
        <v>17</v>
      </c>
      <c r="R360" s="14">
        <f t="shared" si="74"/>
        <v>1606021</v>
      </c>
      <c r="S360" s="14" t="str">
        <f t="shared" si="78"/>
        <v>神器4碎片3等级16</v>
      </c>
      <c r="T360" s="29" t="s">
        <v>520</v>
      </c>
      <c r="U360" s="14">
        <f t="shared" si="75"/>
        <v>16</v>
      </c>
      <c r="V360" s="36">
        <f t="shared" si="79"/>
        <v>1.4620000000000002</v>
      </c>
      <c r="W360" s="17">
        <f t="shared" si="76"/>
        <v>2.9240000000000006E-2</v>
      </c>
      <c r="X360" s="14">
        <f t="shared" si="80"/>
        <v>1</v>
      </c>
      <c r="Y360" s="14">
        <f t="shared" si="81"/>
        <v>3</v>
      </c>
      <c r="Z360" s="14">
        <f t="shared" si="82"/>
        <v>0</v>
      </c>
      <c r="AA360" s="14" t="str">
        <f t="shared" si="83"/>
        <v>AtkExt</v>
      </c>
      <c r="AB360" s="14">
        <f t="shared" si="77"/>
        <v>3972</v>
      </c>
      <c r="AC360" s="14" t="str">
        <f t="shared" si="84"/>
        <v>HPExt</v>
      </c>
      <c r="AD360" s="14">
        <f t="shared" si="85"/>
        <v>5961</v>
      </c>
      <c r="AE360" s="14" t="str">
        <f t="shared" si="86"/>
        <v>[x]</v>
      </c>
      <c r="AF360" s="27" t="str">
        <f t="shared" si="87"/>
        <v>[x]</v>
      </c>
      <c r="AG360" s="27" t="str">
        <f t="shared" si="88"/>
        <v>[x]</v>
      </c>
    </row>
    <row r="361" spans="16:33" ht="16.5" x14ac:dyDescent="0.2">
      <c r="P361" s="13">
        <v>305</v>
      </c>
      <c r="Q361" s="14">
        <f t="shared" si="73"/>
        <v>17</v>
      </c>
      <c r="R361" s="14">
        <f t="shared" si="74"/>
        <v>1606021</v>
      </c>
      <c r="S361" s="14" t="str">
        <f t="shared" si="78"/>
        <v>神器4碎片3等级17</v>
      </c>
      <c r="T361" s="29" t="s">
        <v>520</v>
      </c>
      <c r="U361" s="14">
        <f t="shared" si="75"/>
        <v>17</v>
      </c>
      <c r="V361" s="36">
        <f t="shared" si="79"/>
        <v>1.5779999999999998</v>
      </c>
      <c r="W361" s="17">
        <f t="shared" si="76"/>
        <v>3.1559999999999998E-2</v>
      </c>
      <c r="X361" s="14">
        <f t="shared" si="80"/>
        <v>1</v>
      </c>
      <c r="Y361" s="14">
        <f t="shared" si="81"/>
        <v>3</v>
      </c>
      <c r="Z361" s="14">
        <f t="shared" si="82"/>
        <v>0</v>
      </c>
      <c r="AA361" s="14" t="str">
        <f t="shared" si="83"/>
        <v>AtkExt</v>
      </c>
      <c r="AB361" s="14">
        <f t="shared" si="77"/>
        <v>4287</v>
      </c>
      <c r="AC361" s="14" t="str">
        <f t="shared" si="84"/>
        <v>HPExt</v>
      </c>
      <c r="AD361" s="14">
        <f t="shared" si="85"/>
        <v>6434</v>
      </c>
      <c r="AE361" s="14" t="str">
        <f t="shared" si="86"/>
        <v>[x]</v>
      </c>
      <c r="AF361" s="27" t="str">
        <f t="shared" si="87"/>
        <v>[x]</v>
      </c>
      <c r="AG361" s="27" t="str">
        <f t="shared" si="88"/>
        <v>[x]</v>
      </c>
    </row>
    <row r="362" spans="16:33" ht="16.5" x14ac:dyDescent="0.2">
      <c r="P362" s="13">
        <v>306</v>
      </c>
      <c r="Q362" s="14">
        <f t="shared" si="73"/>
        <v>17</v>
      </c>
      <c r="R362" s="14">
        <f t="shared" si="74"/>
        <v>1606021</v>
      </c>
      <c r="S362" s="14" t="str">
        <f t="shared" si="78"/>
        <v>神器4碎片3等级18</v>
      </c>
      <c r="T362" s="29" t="s">
        <v>520</v>
      </c>
      <c r="U362" s="14">
        <f t="shared" si="75"/>
        <v>18</v>
      </c>
      <c r="V362" s="36">
        <f t="shared" si="79"/>
        <v>1.698</v>
      </c>
      <c r="W362" s="17">
        <f t="shared" si="76"/>
        <v>3.3959999999999997E-2</v>
      </c>
      <c r="X362" s="14">
        <f t="shared" si="80"/>
        <v>1</v>
      </c>
      <c r="Y362" s="14">
        <f t="shared" si="81"/>
        <v>3</v>
      </c>
      <c r="Z362" s="14">
        <f t="shared" si="82"/>
        <v>0</v>
      </c>
      <c r="AA362" s="14" t="str">
        <f t="shared" si="83"/>
        <v>AtkExt</v>
      </c>
      <c r="AB362" s="14">
        <f t="shared" si="77"/>
        <v>4613</v>
      </c>
      <c r="AC362" s="14" t="str">
        <f t="shared" si="84"/>
        <v>HPExt</v>
      </c>
      <c r="AD362" s="14">
        <f t="shared" si="85"/>
        <v>6923</v>
      </c>
      <c r="AE362" s="14" t="str">
        <f t="shared" si="86"/>
        <v>[x]</v>
      </c>
      <c r="AF362" s="27" t="str">
        <f t="shared" si="87"/>
        <v>[x]</v>
      </c>
      <c r="AG362" s="27" t="str">
        <f t="shared" si="88"/>
        <v>[x]</v>
      </c>
    </row>
    <row r="363" spans="16:33" ht="16.5" x14ac:dyDescent="0.2">
      <c r="P363" s="13">
        <v>307</v>
      </c>
      <c r="Q363" s="14">
        <f t="shared" si="73"/>
        <v>17</v>
      </c>
      <c r="R363" s="14">
        <f t="shared" si="74"/>
        <v>1606021</v>
      </c>
      <c r="S363" s="14" t="str">
        <f t="shared" si="78"/>
        <v>神器4碎片3等级19</v>
      </c>
      <c r="T363" s="29" t="s">
        <v>520</v>
      </c>
      <c r="U363" s="14">
        <f t="shared" si="75"/>
        <v>19</v>
      </c>
      <c r="V363" s="36">
        <f t="shared" si="79"/>
        <v>1.8220000000000001</v>
      </c>
      <c r="W363" s="17">
        <f t="shared" si="76"/>
        <v>3.644E-2</v>
      </c>
      <c r="X363" s="14">
        <f t="shared" si="80"/>
        <v>1</v>
      </c>
      <c r="Y363" s="14">
        <f t="shared" si="81"/>
        <v>3</v>
      </c>
      <c r="Z363" s="14">
        <f t="shared" si="82"/>
        <v>0</v>
      </c>
      <c r="AA363" s="14" t="str">
        <f t="shared" si="83"/>
        <v>AtkExt</v>
      </c>
      <c r="AB363" s="14">
        <f t="shared" si="77"/>
        <v>4950</v>
      </c>
      <c r="AC363" s="14" t="str">
        <f t="shared" si="84"/>
        <v>HPExt</v>
      </c>
      <c r="AD363" s="14">
        <f t="shared" si="85"/>
        <v>7429</v>
      </c>
      <c r="AE363" s="14" t="str">
        <f t="shared" si="86"/>
        <v>[x]</v>
      </c>
      <c r="AF363" s="27" t="str">
        <f t="shared" si="87"/>
        <v>[x]</v>
      </c>
      <c r="AG363" s="27" t="str">
        <f t="shared" si="88"/>
        <v>[x]</v>
      </c>
    </row>
    <row r="364" spans="16:33" ht="16.5" x14ac:dyDescent="0.2">
      <c r="P364" s="13">
        <v>308</v>
      </c>
      <c r="Q364" s="14">
        <f t="shared" si="73"/>
        <v>17</v>
      </c>
      <c r="R364" s="14">
        <f t="shared" si="74"/>
        <v>1606021</v>
      </c>
      <c r="S364" s="14" t="str">
        <f t="shared" si="78"/>
        <v>神器4碎片3等级20</v>
      </c>
      <c r="T364" s="29" t="s">
        <v>520</v>
      </c>
      <c r="U364" s="14">
        <f t="shared" si="75"/>
        <v>20</v>
      </c>
      <c r="V364" s="36">
        <f t="shared" si="79"/>
        <v>1.95</v>
      </c>
      <c r="W364" s="17">
        <f t="shared" si="76"/>
        <v>3.9E-2</v>
      </c>
      <c r="X364" s="14">
        <f t="shared" si="80"/>
        <v>1</v>
      </c>
      <c r="Y364" s="14">
        <f t="shared" si="81"/>
        <v>3</v>
      </c>
      <c r="Z364" s="14">
        <f t="shared" si="82"/>
        <v>0</v>
      </c>
      <c r="AA364" s="14" t="str">
        <f t="shared" si="83"/>
        <v>AtkExt</v>
      </c>
      <c r="AB364" s="14">
        <f t="shared" si="77"/>
        <v>5298</v>
      </c>
      <c r="AC364" s="14" t="str">
        <f t="shared" si="84"/>
        <v>HPExt</v>
      </c>
      <c r="AD364" s="14">
        <f t="shared" si="85"/>
        <v>7951</v>
      </c>
      <c r="AE364" s="14" t="str">
        <f t="shared" si="86"/>
        <v>[x]</v>
      </c>
      <c r="AF364" s="27" t="str">
        <f t="shared" si="87"/>
        <v>[x]</v>
      </c>
      <c r="AG364" s="27" t="str">
        <f t="shared" si="88"/>
        <v>[x]</v>
      </c>
    </row>
    <row r="365" spans="16:33" ht="16.5" x14ac:dyDescent="0.2">
      <c r="P365" s="13">
        <v>309</v>
      </c>
      <c r="Q365" s="14">
        <f t="shared" si="73"/>
        <v>17</v>
      </c>
      <c r="R365" s="14">
        <f t="shared" si="74"/>
        <v>1606021</v>
      </c>
      <c r="S365" s="14" t="str">
        <f t="shared" si="78"/>
        <v>神器4碎片3等级21</v>
      </c>
      <c r="T365" s="29" t="s">
        <v>520</v>
      </c>
      <c r="U365" s="14">
        <f t="shared" si="75"/>
        <v>21</v>
      </c>
      <c r="V365" s="36">
        <f t="shared" si="79"/>
        <v>2.0819999999999999</v>
      </c>
      <c r="W365" s="17">
        <f t="shared" si="76"/>
        <v>4.1639999999999996E-2</v>
      </c>
      <c r="X365" s="14">
        <f t="shared" si="80"/>
        <v>1</v>
      </c>
      <c r="Y365" s="14">
        <f t="shared" si="81"/>
        <v>3</v>
      </c>
      <c r="Z365" s="14">
        <f t="shared" si="82"/>
        <v>0</v>
      </c>
      <c r="AA365" s="14" t="str">
        <f t="shared" si="83"/>
        <v>AtkExt</v>
      </c>
      <c r="AB365" s="14">
        <f t="shared" si="77"/>
        <v>5657</v>
      </c>
      <c r="AC365" s="14" t="str">
        <f t="shared" si="84"/>
        <v>HPExt</v>
      </c>
      <c r="AD365" s="14">
        <f t="shared" si="85"/>
        <v>8489</v>
      </c>
      <c r="AE365" s="14" t="str">
        <f t="shared" si="86"/>
        <v>[x]</v>
      </c>
      <c r="AF365" s="27" t="str">
        <f t="shared" si="87"/>
        <v>[x]</v>
      </c>
      <c r="AG365" s="27" t="str">
        <f t="shared" si="88"/>
        <v>[x]</v>
      </c>
    </row>
    <row r="366" spans="16:33" ht="16.5" x14ac:dyDescent="0.2">
      <c r="P366" s="13">
        <v>310</v>
      </c>
      <c r="Q366" s="14">
        <f t="shared" si="73"/>
        <v>18</v>
      </c>
      <c r="R366" s="14">
        <f t="shared" si="74"/>
        <v>1606022</v>
      </c>
      <c r="S366" s="14" t="str">
        <f t="shared" si="78"/>
        <v>神器4碎片4等级1</v>
      </c>
      <c r="T366" s="29" t="s">
        <v>520</v>
      </c>
      <c r="U366" s="14">
        <f t="shared" si="75"/>
        <v>1</v>
      </c>
      <c r="V366" s="36">
        <f t="shared" si="79"/>
        <v>0.20200000000000001</v>
      </c>
      <c r="W366" s="17">
        <f t="shared" si="76"/>
        <v>4.0400000000000002E-3</v>
      </c>
      <c r="X366" s="14">
        <f t="shared" si="80"/>
        <v>1</v>
      </c>
      <c r="Y366" s="14">
        <f t="shared" si="81"/>
        <v>3</v>
      </c>
      <c r="Z366" s="14">
        <f t="shared" si="82"/>
        <v>0</v>
      </c>
      <c r="AA366" s="14" t="str">
        <f t="shared" si="83"/>
        <v>AtkExt</v>
      </c>
      <c r="AB366" s="14">
        <f t="shared" si="77"/>
        <v>548</v>
      </c>
      <c r="AC366" s="14" t="str">
        <f t="shared" si="84"/>
        <v>HPExt</v>
      </c>
      <c r="AD366" s="14">
        <f t="shared" si="85"/>
        <v>823</v>
      </c>
      <c r="AE366" s="14" t="str">
        <f t="shared" si="86"/>
        <v>[x]</v>
      </c>
      <c r="AF366" s="27" t="str">
        <f t="shared" si="87"/>
        <v>[x]</v>
      </c>
      <c r="AG366" s="27" t="str">
        <f t="shared" si="88"/>
        <v>[x]</v>
      </c>
    </row>
    <row r="367" spans="16:33" ht="16.5" x14ac:dyDescent="0.2">
      <c r="P367" s="13">
        <v>311</v>
      </c>
      <c r="Q367" s="14">
        <f t="shared" si="73"/>
        <v>18</v>
      </c>
      <c r="R367" s="14">
        <f t="shared" si="74"/>
        <v>1606022</v>
      </c>
      <c r="S367" s="14" t="str">
        <f t="shared" si="78"/>
        <v>神器4碎片4等级2</v>
      </c>
      <c r="T367" s="29" t="s">
        <v>520</v>
      </c>
      <c r="U367" s="14">
        <f t="shared" si="75"/>
        <v>2</v>
      </c>
      <c r="V367" s="36">
        <f t="shared" si="79"/>
        <v>0.25800000000000001</v>
      </c>
      <c r="W367" s="17">
        <f t="shared" si="76"/>
        <v>5.1600000000000005E-3</v>
      </c>
      <c r="X367" s="14">
        <f t="shared" si="80"/>
        <v>1</v>
      </c>
      <c r="Y367" s="14">
        <f t="shared" si="81"/>
        <v>3</v>
      </c>
      <c r="Z367" s="14">
        <f t="shared" si="82"/>
        <v>0</v>
      </c>
      <c r="AA367" s="14" t="str">
        <f t="shared" si="83"/>
        <v>AtkExt</v>
      </c>
      <c r="AB367" s="14">
        <f t="shared" si="77"/>
        <v>701</v>
      </c>
      <c r="AC367" s="14" t="str">
        <f t="shared" si="84"/>
        <v>HPExt</v>
      </c>
      <c r="AD367" s="14">
        <f t="shared" si="85"/>
        <v>1051</v>
      </c>
      <c r="AE367" s="14" t="str">
        <f t="shared" si="86"/>
        <v>[x]</v>
      </c>
      <c r="AF367" s="27" t="str">
        <f t="shared" si="87"/>
        <v>[x]</v>
      </c>
      <c r="AG367" s="27" t="str">
        <f t="shared" si="88"/>
        <v>[x]</v>
      </c>
    </row>
    <row r="368" spans="16:33" ht="16.5" x14ac:dyDescent="0.2">
      <c r="P368" s="13">
        <v>312</v>
      </c>
      <c r="Q368" s="14">
        <f t="shared" si="73"/>
        <v>18</v>
      </c>
      <c r="R368" s="14">
        <f t="shared" si="74"/>
        <v>1606022</v>
      </c>
      <c r="S368" s="14" t="str">
        <f t="shared" si="78"/>
        <v>神器4碎片4等级3</v>
      </c>
      <c r="T368" s="29" t="s">
        <v>520</v>
      </c>
      <c r="U368" s="14">
        <f t="shared" si="75"/>
        <v>3</v>
      </c>
      <c r="V368" s="36">
        <f t="shared" si="79"/>
        <v>0.31800000000000006</v>
      </c>
      <c r="W368" s="17">
        <f t="shared" si="76"/>
        <v>6.3600000000000011E-3</v>
      </c>
      <c r="X368" s="14">
        <f t="shared" si="80"/>
        <v>1</v>
      </c>
      <c r="Y368" s="14">
        <f t="shared" si="81"/>
        <v>3</v>
      </c>
      <c r="Z368" s="14">
        <f t="shared" si="82"/>
        <v>0</v>
      </c>
      <c r="AA368" s="14" t="str">
        <f t="shared" si="83"/>
        <v>AtkExt</v>
      </c>
      <c r="AB368" s="14">
        <f t="shared" si="77"/>
        <v>864</v>
      </c>
      <c r="AC368" s="14" t="str">
        <f t="shared" si="84"/>
        <v>HPExt</v>
      </c>
      <c r="AD368" s="14">
        <f t="shared" si="85"/>
        <v>1296</v>
      </c>
      <c r="AE368" s="14" t="str">
        <f t="shared" si="86"/>
        <v>[x]</v>
      </c>
      <c r="AF368" s="27" t="str">
        <f t="shared" si="87"/>
        <v>[x]</v>
      </c>
      <c r="AG368" s="27" t="str">
        <f t="shared" si="88"/>
        <v>[x]</v>
      </c>
    </row>
    <row r="369" spans="16:33" ht="16.5" x14ac:dyDescent="0.2">
      <c r="P369" s="13">
        <v>313</v>
      </c>
      <c r="Q369" s="14">
        <f t="shared" si="73"/>
        <v>18</v>
      </c>
      <c r="R369" s="14">
        <f t="shared" si="74"/>
        <v>1606022</v>
      </c>
      <c r="S369" s="14" t="str">
        <f t="shared" si="78"/>
        <v>神器4碎片4等级4</v>
      </c>
      <c r="T369" s="29" t="s">
        <v>520</v>
      </c>
      <c r="U369" s="14">
        <f t="shared" si="75"/>
        <v>4</v>
      </c>
      <c r="V369" s="36">
        <f t="shared" si="79"/>
        <v>0.38200000000000001</v>
      </c>
      <c r="W369" s="17">
        <f t="shared" si="76"/>
        <v>7.6400000000000001E-3</v>
      </c>
      <c r="X369" s="14">
        <f t="shared" si="80"/>
        <v>1</v>
      </c>
      <c r="Y369" s="14">
        <f t="shared" si="81"/>
        <v>3</v>
      </c>
      <c r="Z369" s="14">
        <f t="shared" si="82"/>
        <v>0</v>
      </c>
      <c r="AA369" s="14" t="str">
        <f t="shared" si="83"/>
        <v>AtkExt</v>
      </c>
      <c r="AB369" s="14">
        <f t="shared" si="77"/>
        <v>1037</v>
      </c>
      <c r="AC369" s="14" t="str">
        <f t="shared" si="84"/>
        <v>HPExt</v>
      </c>
      <c r="AD369" s="14">
        <f t="shared" si="85"/>
        <v>1557</v>
      </c>
      <c r="AE369" s="14" t="str">
        <f t="shared" si="86"/>
        <v>[x]</v>
      </c>
      <c r="AF369" s="27" t="str">
        <f t="shared" si="87"/>
        <v>[x]</v>
      </c>
      <c r="AG369" s="27" t="str">
        <f t="shared" si="88"/>
        <v>[x]</v>
      </c>
    </row>
    <row r="370" spans="16:33" ht="16.5" x14ac:dyDescent="0.2">
      <c r="P370" s="13">
        <v>314</v>
      </c>
      <c r="Q370" s="14">
        <f t="shared" si="73"/>
        <v>18</v>
      </c>
      <c r="R370" s="14">
        <f t="shared" si="74"/>
        <v>1606022</v>
      </c>
      <c r="S370" s="14" t="str">
        <f t="shared" si="78"/>
        <v>神器4碎片4等级5</v>
      </c>
      <c r="T370" s="29" t="s">
        <v>520</v>
      </c>
      <c r="U370" s="14">
        <f t="shared" si="75"/>
        <v>5</v>
      </c>
      <c r="V370" s="36">
        <f t="shared" si="79"/>
        <v>0.45</v>
      </c>
      <c r="W370" s="17">
        <f t="shared" si="76"/>
        <v>9.0000000000000011E-3</v>
      </c>
      <c r="X370" s="14">
        <f t="shared" si="80"/>
        <v>1</v>
      </c>
      <c r="Y370" s="14">
        <f t="shared" si="81"/>
        <v>3</v>
      </c>
      <c r="Z370" s="14">
        <f t="shared" si="82"/>
        <v>0</v>
      </c>
      <c r="AA370" s="14" t="str">
        <f t="shared" si="83"/>
        <v>AtkExt</v>
      </c>
      <c r="AB370" s="14">
        <f t="shared" si="77"/>
        <v>1222</v>
      </c>
      <c r="AC370" s="14" t="str">
        <f t="shared" si="84"/>
        <v>HPExt</v>
      </c>
      <c r="AD370" s="14">
        <f t="shared" si="85"/>
        <v>1834</v>
      </c>
      <c r="AE370" s="14" t="str">
        <f t="shared" si="86"/>
        <v>[x]</v>
      </c>
      <c r="AF370" s="27" t="str">
        <f t="shared" si="87"/>
        <v>[x]</v>
      </c>
      <c r="AG370" s="27" t="str">
        <f t="shared" si="88"/>
        <v>[x]</v>
      </c>
    </row>
    <row r="371" spans="16:33" ht="16.5" x14ac:dyDescent="0.2">
      <c r="P371" s="13">
        <v>315</v>
      </c>
      <c r="Q371" s="14">
        <f t="shared" si="73"/>
        <v>18</v>
      </c>
      <c r="R371" s="14">
        <f t="shared" si="74"/>
        <v>1606022</v>
      </c>
      <c r="S371" s="14" t="str">
        <f t="shared" si="78"/>
        <v>神器4碎片4等级6</v>
      </c>
      <c r="T371" s="29" t="s">
        <v>520</v>
      </c>
      <c r="U371" s="14">
        <f t="shared" si="75"/>
        <v>6</v>
      </c>
      <c r="V371" s="36">
        <f t="shared" si="79"/>
        <v>0.52200000000000002</v>
      </c>
      <c r="W371" s="17">
        <f t="shared" si="76"/>
        <v>1.0440000000000001E-2</v>
      </c>
      <c r="X371" s="14">
        <f t="shared" si="80"/>
        <v>1</v>
      </c>
      <c r="Y371" s="14">
        <f t="shared" si="81"/>
        <v>3</v>
      </c>
      <c r="Z371" s="14">
        <f t="shared" si="82"/>
        <v>0</v>
      </c>
      <c r="AA371" s="14" t="str">
        <f t="shared" si="83"/>
        <v>AtkExt</v>
      </c>
      <c r="AB371" s="14">
        <f t="shared" si="77"/>
        <v>1418</v>
      </c>
      <c r="AC371" s="14" t="str">
        <f t="shared" si="84"/>
        <v>HPExt</v>
      </c>
      <c r="AD371" s="14">
        <f t="shared" si="85"/>
        <v>2128</v>
      </c>
      <c r="AE371" s="14" t="str">
        <f t="shared" si="86"/>
        <v>[x]</v>
      </c>
      <c r="AF371" s="27" t="str">
        <f t="shared" si="87"/>
        <v>[x]</v>
      </c>
      <c r="AG371" s="27" t="str">
        <f t="shared" si="88"/>
        <v>[x]</v>
      </c>
    </row>
    <row r="372" spans="16:33" ht="16.5" x14ac:dyDescent="0.2">
      <c r="P372" s="13">
        <v>316</v>
      </c>
      <c r="Q372" s="14">
        <f t="shared" si="73"/>
        <v>18</v>
      </c>
      <c r="R372" s="14">
        <f t="shared" si="74"/>
        <v>1606022</v>
      </c>
      <c r="S372" s="14" t="str">
        <f t="shared" si="78"/>
        <v>神器4碎片4等级7</v>
      </c>
      <c r="T372" s="29" t="s">
        <v>520</v>
      </c>
      <c r="U372" s="14">
        <f t="shared" si="75"/>
        <v>7</v>
      </c>
      <c r="V372" s="36">
        <f t="shared" si="79"/>
        <v>0.59799999999999998</v>
      </c>
      <c r="W372" s="17">
        <f t="shared" si="76"/>
        <v>1.196E-2</v>
      </c>
      <c r="X372" s="14">
        <f t="shared" si="80"/>
        <v>1</v>
      </c>
      <c r="Y372" s="14">
        <f t="shared" si="81"/>
        <v>3</v>
      </c>
      <c r="Z372" s="14">
        <f t="shared" si="82"/>
        <v>0</v>
      </c>
      <c r="AA372" s="14" t="str">
        <f t="shared" si="83"/>
        <v>AtkExt</v>
      </c>
      <c r="AB372" s="14">
        <f t="shared" si="77"/>
        <v>1624</v>
      </c>
      <c r="AC372" s="14" t="str">
        <f t="shared" si="84"/>
        <v>HPExt</v>
      </c>
      <c r="AD372" s="14">
        <f t="shared" si="85"/>
        <v>2438</v>
      </c>
      <c r="AE372" s="14" t="str">
        <f t="shared" si="86"/>
        <v>[x]</v>
      </c>
      <c r="AF372" s="27" t="str">
        <f t="shared" si="87"/>
        <v>[x]</v>
      </c>
      <c r="AG372" s="27" t="str">
        <f t="shared" si="88"/>
        <v>[x]</v>
      </c>
    </row>
    <row r="373" spans="16:33" ht="16.5" x14ac:dyDescent="0.2">
      <c r="P373" s="13">
        <v>317</v>
      </c>
      <c r="Q373" s="14">
        <f t="shared" si="73"/>
        <v>18</v>
      </c>
      <c r="R373" s="14">
        <f t="shared" si="74"/>
        <v>1606022</v>
      </c>
      <c r="S373" s="14" t="str">
        <f t="shared" si="78"/>
        <v>神器4碎片4等级8</v>
      </c>
      <c r="T373" s="29" t="s">
        <v>520</v>
      </c>
      <c r="U373" s="14">
        <f t="shared" si="75"/>
        <v>8</v>
      </c>
      <c r="V373" s="36">
        <f t="shared" si="79"/>
        <v>0.67800000000000005</v>
      </c>
      <c r="W373" s="17">
        <f t="shared" si="76"/>
        <v>1.3560000000000001E-2</v>
      </c>
      <c r="X373" s="14">
        <f t="shared" si="80"/>
        <v>1</v>
      </c>
      <c r="Y373" s="14">
        <f t="shared" si="81"/>
        <v>3</v>
      </c>
      <c r="Z373" s="14">
        <f t="shared" si="82"/>
        <v>0</v>
      </c>
      <c r="AA373" s="14" t="str">
        <f t="shared" si="83"/>
        <v>AtkExt</v>
      </c>
      <c r="AB373" s="14">
        <f t="shared" si="77"/>
        <v>1842</v>
      </c>
      <c r="AC373" s="14" t="str">
        <f t="shared" si="84"/>
        <v>HPExt</v>
      </c>
      <c r="AD373" s="14">
        <f t="shared" si="85"/>
        <v>2764</v>
      </c>
      <c r="AE373" s="14" t="str">
        <f t="shared" si="86"/>
        <v>[x]</v>
      </c>
      <c r="AF373" s="27" t="str">
        <f t="shared" si="87"/>
        <v>[x]</v>
      </c>
      <c r="AG373" s="27" t="str">
        <f t="shared" si="88"/>
        <v>[x]</v>
      </c>
    </row>
    <row r="374" spans="16:33" ht="16.5" x14ac:dyDescent="0.2">
      <c r="P374" s="13">
        <v>318</v>
      </c>
      <c r="Q374" s="14">
        <f t="shared" si="73"/>
        <v>18</v>
      </c>
      <c r="R374" s="14">
        <f t="shared" si="74"/>
        <v>1606022</v>
      </c>
      <c r="S374" s="14" t="str">
        <f t="shared" si="78"/>
        <v>神器4碎片4等级9</v>
      </c>
      <c r="T374" s="29" t="s">
        <v>520</v>
      </c>
      <c r="U374" s="14">
        <f t="shared" si="75"/>
        <v>9</v>
      </c>
      <c r="V374" s="36">
        <f t="shared" si="79"/>
        <v>0.76200000000000001</v>
      </c>
      <c r="W374" s="17">
        <f t="shared" si="76"/>
        <v>1.524E-2</v>
      </c>
      <c r="X374" s="14">
        <f t="shared" si="80"/>
        <v>1</v>
      </c>
      <c r="Y374" s="14">
        <f t="shared" si="81"/>
        <v>3</v>
      </c>
      <c r="Z374" s="14">
        <f t="shared" si="82"/>
        <v>0</v>
      </c>
      <c r="AA374" s="14" t="str">
        <f t="shared" si="83"/>
        <v>AtkExt</v>
      </c>
      <c r="AB374" s="14">
        <f t="shared" si="77"/>
        <v>2070</v>
      </c>
      <c r="AC374" s="14" t="str">
        <f t="shared" si="84"/>
        <v>HPExt</v>
      </c>
      <c r="AD374" s="14">
        <f t="shared" si="85"/>
        <v>3107</v>
      </c>
      <c r="AE374" s="14" t="str">
        <f t="shared" si="86"/>
        <v>[x]</v>
      </c>
      <c r="AF374" s="27" t="str">
        <f t="shared" si="87"/>
        <v>[x]</v>
      </c>
      <c r="AG374" s="27" t="str">
        <f t="shared" si="88"/>
        <v>[x]</v>
      </c>
    </row>
    <row r="375" spans="16:33" ht="16.5" x14ac:dyDescent="0.2">
      <c r="P375" s="13">
        <v>319</v>
      </c>
      <c r="Q375" s="14">
        <f t="shared" si="73"/>
        <v>18</v>
      </c>
      <c r="R375" s="14">
        <f t="shared" si="74"/>
        <v>1606022</v>
      </c>
      <c r="S375" s="14" t="str">
        <f t="shared" si="78"/>
        <v>神器4碎片4等级10</v>
      </c>
      <c r="T375" s="29" t="s">
        <v>520</v>
      </c>
      <c r="U375" s="14">
        <f t="shared" si="75"/>
        <v>10</v>
      </c>
      <c r="V375" s="36">
        <f t="shared" si="79"/>
        <v>0.85000000000000009</v>
      </c>
      <c r="W375" s="17">
        <f t="shared" si="76"/>
        <v>1.7000000000000001E-2</v>
      </c>
      <c r="X375" s="14">
        <f t="shared" si="80"/>
        <v>1</v>
      </c>
      <c r="Y375" s="14">
        <f t="shared" si="81"/>
        <v>3</v>
      </c>
      <c r="Z375" s="14">
        <f t="shared" si="82"/>
        <v>0</v>
      </c>
      <c r="AA375" s="14" t="str">
        <f t="shared" si="83"/>
        <v>AtkExt</v>
      </c>
      <c r="AB375" s="14">
        <f t="shared" si="77"/>
        <v>2309</v>
      </c>
      <c r="AC375" s="14" t="str">
        <f t="shared" si="84"/>
        <v>HPExt</v>
      </c>
      <c r="AD375" s="14">
        <f t="shared" si="85"/>
        <v>3465</v>
      </c>
      <c r="AE375" s="14" t="str">
        <f t="shared" si="86"/>
        <v>[x]</v>
      </c>
      <c r="AF375" s="27" t="str">
        <f t="shared" si="87"/>
        <v>[x]</v>
      </c>
      <c r="AG375" s="27" t="str">
        <f t="shared" si="88"/>
        <v>[x]</v>
      </c>
    </row>
    <row r="376" spans="16:33" ht="16.5" x14ac:dyDescent="0.2">
      <c r="P376" s="13">
        <v>320</v>
      </c>
      <c r="Q376" s="14">
        <f t="shared" si="73"/>
        <v>18</v>
      </c>
      <c r="R376" s="14">
        <f t="shared" si="74"/>
        <v>1606022</v>
      </c>
      <c r="S376" s="14" t="str">
        <f t="shared" si="78"/>
        <v>神器4碎片4等级11</v>
      </c>
      <c r="T376" s="29" t="s">
        <v>520</v>
      </c>
      <c r="U376" s="14">
        <f t="shared" si="75"/>
        <v>11</v>
      </c>
      <c r="V376" s="36">
        <f t="shared" si="79"/>
        <v>0.94200000000000006</v>
      </c>
      <c r="W376" s="17">
        <f t="shared" si="76"/>
        <v>1.8840000000000003E-2</v>
      </c>
      <c r="X376" s="14">
        <f t="shared" si="80"/>
        <v>1</v>
      </c>
      <c r="Y376" s="14">
        <f t="shared" si="81"/>
        <v>3</v>
      </c>
      <c r="Z376" s="14">
        <f t="shared" si="82"/>
        <v>0</v>
      </c>
      <c r="AA376" s="14" t="str">
        <f t="shared" si="83"/>
        <v>AtkExt</v>
      </c>
      <c r="AB376" s="14">
        <f t="shared" si="77"/>
        <v>2559</v>
      </c>
      <c r="AC376" s="14" t="str">
        <f t="shared" si="84"/>
        <v>HPExt</v>
      </c>
      <c r="AD376" s="14">
        <f t="shared" si="85"/>
        <v>3840</v>
      </c>
      <c r="AE376" s="14" t="str">
        <f t="shared" si="86"/>
        <v>[x]</v>
      </c>
      <c r="AF376" s="27" t="str">
        <f t="shared" si="87"/>
        <v>[x]</v>
      </c>
      <c r="AG376" s="27" t="str">
        <f t="shared" si="88"/>
        <v>[x]</v>
      </c>
    </row>
    <row r="377" spans="16:33" ht="16.5" x14ac:dyDescent="0.2">
      <c r="P377" s="13">
        <v>321</v>
      </c>
      <c r="Q377" s="14">
        <f t="shared" ref="Q377:Q440" si="89">MATCH(P377-1,$X$4:$X$46,1)</f>
        <v>18</v>
      </c>
      <c r="R377" s="14">
        <f t="shared" ref="R377:R440" si="90">INDEX($S$5:$S$46,Q377)</f>
        <v>1606022</v>
      </c>
      <c r="S377" s="14" t="str">
        <f t="shared" si="78"/>
        <v>神器4碎片4等级12</v>
      </c>
      <c r="T377" s="29" t="s">
        <v>520</v>
      </c>
      <c r="U377" s="14">
        <f t="shared" ref="U377:U440" si="91">P377-INDEX($X$4:$X$46,Q377)</f>
        <v>12</v>
      </c>
      <c r="V377" s="36">
        <f t="shared" si="79"/>
        <v>1.0380000000000003</v>
      </c>
      <c r="W377" s="17">
        <f t="shared" ref="W377:W440" si="92">INDEX($V$5:$V$46,Q377)*V377</f>
        <v>2.0760000000000004E-2</v>
      </c>
      <c r="X377" s="14">
        <f t="shared" si="80"/>
        <v>1</v>
      </c>
      <c r="Y377" s="14">
        <f t="shared" si="81"/>
        <v>3</v>
      </c>
      <c r="Z377" s="14">
        <f t="shared" si="82"/>
        <v>0</v>
      </c>
      <c r="AA377" s="14" t="str">
        <f t="shared" si="83"/>
        <v>AtkExt</v>
      </c>
      <c r="AB377" s="14">
        <f t="shared" ref="AB377:AB440" si="93">INT(INDEX($E$4:$G$4,X377)*W377*INDEX($Y$5:$AA$46,Q377,X377))</f>
        <v>2820</v>
      </c>
      <c r="AC377" s="14" t="str">
        <f t="shared" si="84"/>
        <v>HPExt</v>
      </c>
      <c r="AD377" s="14">
        <f t="shared" si="85"/>
        <v>4232</v>
      </c>
      <c r="AE377" s="14" t="str">
        <f t="shared" si="86"/>
        <v>[x]</v>
      </c>
      <c r="AF377" s="27" t="str">
        <f t="shared" si="87"/>
        <v>[x]</v>
      </c>
      <c r="AG377" s="27" t="str">
        <f t="shared" si="88"/>
        <v>[x]</v>
      </c>
    </row>
    <row r="378" spans="16:33" ht="16.5" x14ac:dyDescent="0.2">
      <c r="P378" s="13">
        <v>322</v>
      </c>
      <c r="Q378" s="14">
        <f t="shared" si="89"/>
        <v>18</v>
      </c>
      <c r="R378" s="14">
        <f t="shared" si="90"/>
        <v>1606022</v>
      </c>
      <c r="S378" s="14" t="str">
        <f t="shared" ref="S378:S441" si="94">INDEX($P$5:$P$46,Q378)&amp;"碎片"&amp;INDEX($R$5:$R$46,Q378)&amp;"等级"&amp;U378</f>
        <v>神器4碎片4等级13</v>
      </c>
      <c r="T378" s="29" t="s">
        <v>520</v>
      </c>
      <c r="U378" s="14">
        <f t="shared" si="91"/>
        <v>13</v>
      </c>
      <c r="V378" s="36">
        <f t="shared" ref="V378:V441" si="95">15%+U378*5%+U378*U378*0.2%</f>
        <v>1.1380000000000001</v>
      </c>
      <c r="W378" s="17">
        <f t="shared" si="92"/>
        <v>2.2760000000000002E-2</v>
      </c>
      <c r="X378" s="14">
        <f t="shared" ref="X378:X441" si="96">INDEX($AB$5:$AB$46,Q378)</f>
        <v>1</v>
      </c>
      <c r="Y378" s="14">
        <f t="shared" ref="Y378:Y441" si="97">INDEX(AC$5:AC$46,$Q378)</f>
        <v>3</v>
      </c>
      <c r="Z378" s="14">
        <f t="shared" ref="Z378:Z441" si="98">INDEX(AD$5:AD$46,$Q378)</f>
        <v>0</v>
      </c>
      <c r="AA378" s="14" t="str">
        <f t="shared" ref="AA378:AA441" si="99">INDEX($Y$3:$AA$3,X378)</f>
        <v>AtkExt</v>
      </c>
      <c r="AB378" s="14">
        <f t="shared" si="93"/>
        <v>3092</v>
      </c>
      <c r="AC378" s="14" t="str">
        <f t="shared" ref="AC378:AC441" si="100">IF(Y378&gt;0,INDEX($Y$3:$AA$3,Y378),"[x]")</f>
        <v>HPExt</v>
      </c>
      <c r="AD378" s="14">
        <f t="shared" ref="AD378:AD441" si="101">IF(Y378&gt;0,INT(INDEX($E$4:$G$4,Y378)*W378*INDEX($Y$5:$AA$46,Q378,Y378)),"[x]")</f>
        <v>4640</v>
      </c>
      <c r="AE378" s="14" t="str">
        <f t="shared" ref="AE378:AE441" si="102">IF(Z378&gt;0,INDEX($Y$3:$AA$3,Z378),"[x]")</f>
        <v>[x]</v>
      </c>
      <c r="AF378" s="27" t="str">
        <f t="shared" ref="AF378:AF441" si="103">IF(Z378&gt;0,INT(INDEX($E$4:$G$4,Z378)*W378*INDEX($Y$5:$AA$46,Q378,Z378)),"[x]")</f>
        <v>[x]</v>
      </c>
      <c r="AG378" s="27" t="str">
        <f t="shared" ref="AG378:AG441" si="104">IF(INDEX($AE$5:$AE$46,Q378)&gt;0,INDEX($AE$5:$AE$46,Q378)*U378,"[x]")</f>
        <v>[x]</v>
      </c>
    </row>
    <row r="379" spans="16:33" ht="16.5" x14ac:dyDescent="0.2">
      <c r="P379" s="13">
        <v>323</v>
      </c>
      <c r="Q379" s="14">
        <f t="shared" si="89"/>
        <v>18</v>
      </c>
      <c r="R379" s="14">
        <f t="shared" si="90"/>
        <v>1606022</v>
      </c>
      <c r="S379" s="14" t="str">
        <f t="shared" si="94"/>
        <v>神器4碎片4等级14</v>
      </c>
      <c r="T379" s="29" t="s">
        <v>520</v>
      </c>
      <c r="U379" s="14">
        <f t="shared" si="91"/>
        <v>14</v>
      </c>
      <c r="V379" s="36">
        <f t="shared" si="95"/>
        <v>1.242</v>
      </c>
      <c r="W379" s="17">
        <f t="shared" si="92"/>
        <v>2.4840000000000001E-2</v>
      </c>
      <c r="X379" s="14">
        <f t="shared" si="96"/>
        <v>1</v>
      </c>
      <c r="Y379" s="14">
        <f t="shared" si="97"/>
        <v>3</v>
      </c>
      <c r="Z379" s="14">
        <f t="shared" si="98"/>
        <v>0</v>
      </c>
      <c r="AA379" s="14" t="str">
        <f t="shared" si="99"/>
        <v>AtkExt</v>
      </c>
      <c r="AB379" s="14">
        <f t="shared" si="93"/>
        <v>3374</v>
      </c>
      <c r="AC379" s="14" t="str">
        <f t="shared" si="100"/>
        <v>HPExt</v>
      </c>
      <c r="AD379" s="14">
        <f t="shared" si="101"/>
        <v>5064</v>
      </c>
      <c r="AE379" s="14" t="str">
        <f t="shared" si="102"/>
        <v>[x]</v>
      </c>
      <c r="AF379" s="27" t="str">
        <f t="shared" si="103"/>
        <v>[x]</v>
      </c>
      <c r="AG379" s="27" t="str">
        <f t="shared" si="104"/>
        <v>[x]</v>
      </c>
    </row>
    <row r="380" spans="16:33" ht="16.5" x14ac:dyDescent="0.2">
      <c r="P380" s="13">
        <v>324</v>
      </c>
      <c r="Q380" s="14">
        <f t="shared" si="89"/>
        <v>18</v>
      </c>
      <c r="R380" s="14">
        <f t="shared" si="90"/>
        <v>1606022</v>
      </c>
      <c r="S380" s="14" t="str">
        <f t="shared" si="94"/>
        <v>神器4碎片4等级15</v>
      </c>
      <c r="T380" s="29" t="s">
        <v>520</v>
      </c>
      <c r="U380" s="14">
        <f t="shared" si="91"/>
        <v>15</v>
      </c>
      <c r="V380" s="36">
        <f t="shared" si="95"/>
        <v>1.35</v>
      </c>
      <c r="W380" s="17">
        <f t="shared" si="92"/>
        <v>2.7000000000000003E-2</v>
      </c>
      <c r="X380" s="14">
        <f t="shared" si="96"/>
        <v>1</v>
      </c>
      <c r="Y380" s="14">
        <f t="shared" si="97"/>
        <v>3</v>
      </c>
      <c r="Z380" s="14">
        <f t="shared" si="98"/>
        <v>0</v>
      </c>
      <c r="AA380" s="14" t="str">
        <f t="shared" si="99"/>
        <v>AtkExt</v>
      </c>
      <c r="AB380" s="14">
        <f t="shared" si="93"/>
        <v>3668</v>
      </c>
      <c r="AC380" s="14" t="str">
        <f t="shared" si="100"/>
        <v>HPExt</v>
      </c>
      <c r="AD380" s="14">
        <f t="shared" si="101"/>
        <v>5504</v>
      </c>
      <c r="AE380" s="14" t="str">
        <f t="shared" si="102"/>
        <v>[x]</v>
      </c>
      <c r="AF380" s="27" t="str">
        <f t="shared" si="103"/>
        <v>[x]</v>
      </c>
      <c r="AG380" s="27" t="str">
        <f t="shared" si="104"/>
        <v>[x]</v>
      </c>
    </row>
    <row r="381" spans="16:33" ht="16.5" x14ac:dyDescent="0.2">
      <c r="P381" s="13">
        <v>325</v>
      </c>
      <c r="Q381" s="14">
        <f t="shared" si="89"/>
        <v>18</v>
      </c>
      <c r="R381" s="14">
        <f t="shared" si="90"/>
        <v>1606022</v>
      </c>
      <c r="S381" s="14" t="str">
        <f t="shared" si="94"/>
        <v>神器4碎片4等级16</v>
      </c>
      <c r="T381" s="29" t="s">
        <v>520</v>
      </c>
      <c r="U381" s="14">
        <f t="shared" si="91"/>
        <v>16</v>
      </c>
      <c r="V381" s="36">
        <f t="shared" si="95"/>
        <v>1.4620000000000002</v>
      </c>
      <c r="W381" s="17">
        <f t="shared" si="92"/>
        <v>2.9240000000000006E-2</v>
      </c>
      <c r="X381" s="14">
        <f t="shared" si="96"/>
        <v>1</v>
      </c>
      <c r="Y381" s="14">
        <f t="shared" si="97"/>
        <v>3</v>
      </c>
      <c r="Z381" s="14">
        <f t="shared" si="98"/>
        <v>0</v>
      </c>
      <c r="AA381" s="14" t="str">
        <f t="shared" si="99"/>
        <v>AtkExt</v>
      </c>
      <c r="AB381" s="14">
        <f t="shared" si="93"/>
        <v>3972</v>
      </c>
      <c r="AC381" s="14" t="str">
        <f t="shared" si="100"/>
        <v>HPExt</v>
      </c>
      <c r="AD381" s="14">
        <f t="shared" si="101"/>
        <v>5961</v>
      </c>
      <c r="AE381" s="14" t="str">
        <f t="shared" si="102"/>
        <v>[x]</v>
      </c>
      <c r="AF381" s="27" t="str">
        <f t="shared" si="103"/>
        <v>[x]</v>
      </c>
      <c r="AG381" s="27" t="str">
        <f t="shared" si="104"/>
        <v>[x]</v>
      </c>
    </row>
    <row r="382" spans="16:33" ht="16.5" x14ac:dyDescent="0.2">
      <c r="P382" s="13">
        <v>326</v>
      </c>
      <c r="Q382" s="14">
        <f t="shared" si="89"/>
        <v>18</v>
      </c>
      <c r="R382" s="14">
        <f t="shared" si="90"/>
        <v>1606022</v>
      </c>
      <c r="S382" s="14" t="str">
        <f t="shared" si="94"/>
        <v>神器4碎片4等级17</v>
      </c>
      <c r="T382" s="29" t="s">
        <v>520</v>
      </c>
      <c r="U382" s="14">
        <f t="shared" si="91"/>
        <v>17</v>
      </c>
      <c r="V382" s="36">
        <f t="shared" si="95"/>
        <v>1.5779999999999998</v>
      </c>
      <c r="W382" s="17">
        <f t="shared" si="92"/>
        <v>3.1559999999999998E-2</v>
      </c>
      <c r="X382" s="14">
        <f t="shared" si="96"/>
        <v>1</v>
      </c>
      <c r="Y382" s="14">
        <f t="shared" si="97"/>
        <v>3</v>
      </c>
      <c r="Z382" s="14">
        <f t="shared" si="98"/>
        <v>0</v>
      </c>
      <c r="AA382" s="14" t="str">
        <f t="shared" si="99"/>
        <v>AtkExt</v>
      </c>
      <c r="AB382" s="14">
        <f t="shared" si="93"/>
        <v>4287</v>
      </c>
      <c r="AC382" s="14" t="str">
        <f t="shared" si="100"/>
        <v>HPExt</v>
      </c>
      <c r="AD382" s="14">
        <f t="shared" si="101"/>
        <v>6434</v>
      </c>
      <c r="AE382" s="14" t="str">
        <f t="shared" si="102"/>
        <v>[x]</v>
      </c>
      <c r="AF382" s="27" t="str">
        <f t="shared" si="103"/>
        <v>[x]</v>
      </c>
      <c r="AG382" s="27" t="str">
        <f t="shared" si="104"/>
        <v>[x]</v>
      </c>
    </row>
    <row r="383" spans="16:33" ht="16.5" x14ac:dyDescent="0.2">
      <c r="P383" s="13">
        <v>327</v>
      </c>
      <c r="Q383" s="14">
        <f t="shared" si="89"/>
        <v>18</v>
      </c>
      <c r="R383" s="14">
        <f t="shared" si="90"/>
        <v>1606022</v>
      </c>
      <c r="S383" s="14" t="str">
        <f t="shared" si="94"/>
        <v>神器4碎片4等级18</v>
      </c>
      <c r="T383" s="29" t="s">
        <v>520</v>
      </c>
      <c r="U383" s="14">
        <f t="shared" si="91"/>
        <v>18</v>
      </c>
      <c r="V383" s="36">
        <f t="shared" si="95"/>
        <v>1.698</v>
      </c>
      <c r="W383" s="17">
        <f t="shared" si="92"/>
        <v>3.3959999999999997E-2</v>
      </c>
      <c r="X383" s="14">
        <f t="shared" si="96"/>
        <v>1</v>
      </c>
      <c r="Y383" s="14">
        <f t="shared" si="97"/>
        <v>3</v>
      </c>
      <c r="Z383" s="14">
        <f t="shared" si="98"/>
        <v>0</v>
      </c>
      <c r="AA383" s="14" t="str">
        <f t="shared" si="99"/>
        <v>AtkExt</v>
      </c>
      <c r="AB383" s="14">
        <f t="shared" si="93"/>
        <v>4613</v>
      </c>
      <c r="AC383" s="14" t="str">
        <f t="shared" si="100"/>
        <v>HPExt</v>
      </c>
      <c r="AD383" s="14">
        <f t="shared" si="101"/>
        <v>6923</v>
      </c>
      <c r="AE383" s="14" t="str">
        <f t="shared" si="102"/>
        <v>[x]</v>
      </c>
      <c r="AF383" s="27" t="str">
        <f t="shared" si="103"/>
        <v>[x]</v>
      </c>
      <c r="AG383" s="27" t="str">
        <f t="shared" si="104"/>
        <v>[x]</v>
      </c>
    </row>
    <row r="384" spans="16:33" ht="16.5" x14ac:dyDescent="0.2">
      <c r="P384" s="13">
        <v>328</v>
      </c>
      <c r="Q384" s="14">
        <f t="shared" si="89"/>
        <v>18</v>
      </c>
      <c r="R384" s="14">
        <f t="shared" si="90"/>
        <v>1606022</v>
      </c>
      <c r="S384" s="14" t="str">
        <f t="shared" si="94"/>
        <v>神器4碎片4等级19</v>
      </c>
      <c r="T384" s="29" t="s">
        <v>520</v>
      </c>
      <c r="U384" s="14">
        <f t="shared" si="91"/>
        <v>19</v>
      </c>
      <c r="V384" s="36">
        <f t="shared" si="95"/>
        <v>1.8220000000000001</v>
      </c>
      <c r="W384" s="17">
        <f t="shared" si="92"/>
        <v>3.644E-2</v>
      </c>
      <c r="X384" s="14">
        <f t="shared" si="96"/>
        <v>1</v>
      </c>
      <c r="Y384" s="14">
        <f t="shared" si="97"/>
        <v>3</v>
      </c>
      <c r="Z384" s="14">
        <f t="shared" si="98"/>
        <v>0</v>
      </c>
      <c r="AA384" s="14" t="str">
        <f t="shared" si="99"/>
        <v>AtkExt</v>
      </c>
      <c r="AB384" s="14">
        <f t="shared" si="93"/>
        <v>4950</v>
      </c>
      <c r="AC384" s="14" t="str">
        <f t="shared" si="100"/>
        <v>HPExt</v>
      </c>
      <c r="AD384" s="14">
        <f t="shared" si="101"/>
        <v>7429</v>
      </c>
      <c r="AE384" s="14" t="str">
        <f t="shared" si="102"/>
        <v>[x]</v>
      </c>
      <c r="AF384" s="27" t="str">
        <f t="shared" si="103"/>
        <v>[x]</v>
      </c>
      <c r="AG384" s="27" t="str">
        <f t="shared" si="104"/>
        <v>[x]</v>
      </c>
    </row>
    <row r="385" spans="16:33" ht="16.5" x14ac:dyDescent="0.2">
      <c r="P385" s="13">
        <v>329</v>
      </c>
      <c r="Q385" s="14">
        <f t="shared" si="89"/>
        <v>18</v>
      </c>
      <c r="R385" s="14">
        <f t="shared" si="90"/>
        <v>1606022</v>
      </c>
      <c r="S385" s="14" t="str">
        <f t="shared" si="94"/>
        <v>神器4碎片4等级20</v>
      </c>
      <c r="T385" s="29" t="s">
        <v>520</v>
      </c>
      <c r="U385" s="14">
        <f t="shared" si="91"/>
        <v>20</v>
      </c>
      <c r="V385" s="36">
        <f t="shared" si="95"/>
        <v>1.95</v>
      </c>
      <c r="W385" s="17">
        <f t="shared" si="92"/>
        <v>3.9E-2</v>
      </c>
      <c r="X385" s="14">
        <f t="shared" si="96"/>
        <v>1</v>
      </c>
      <c r="Y385" s="14">
        <f t="shared" si="97"/>
        <v>3</v>
      </c>
      <c r="Z385" s="14">
        <f t="shared" si="98"/>
        <v>0</v>
      </c>
      <c r="AA385" s="14" t="str">
        <f t="shared" si="99"/>
        <v>AtkExt</v>
      </c>
      <c r="AB385" s="14">
        <f t="shared" si="93"/>
        <v>5298</v>
      </c>
      <c r="AC385" s="14" t="str">
        <f t="shared" si="100"/>
        <v>HPExt</v>
      </c>
      <c r="AD385" s="14">
        <f t="shared" si="101"/>
        <v>7951</v>
      </c>
      <c r="AE385" s="14" t="str">
        <f t="shared" si="102"/>
        <v>[x]</v>
      </c>
      <c r="AF385" s="27" t="str">
        <f t="shared" si="103"/>
        <v>[x]</v>
      </c>
      <c r="AG385" s="27" t="str">
        <f t="shared" si="104"/>
        <v>[x]</v>
      </c>
    </row>
    <row r="386" spans="16:33" ht="16.5" x14ac:dyDescent="0.2">
      <c r="P386" s="13">
        <v>330</v>
      </c>
      <c r="Q386" s="14">
        <f t="shared" si="89"/>
        <v>18</v>
      </c>
      <c r="R386" s="14">
        <f t="shared" si="90"/>
        <v>1606022</v>
      </c>
      <c r="S386" s="14" t="str">
        <f t="shared" si="94"/>
        <v>神器4碎片4等级21</v>
      </c>
      <c r="T386" s="29" t="s">
        <v>520</v>
      </c>
      <c r="U386" s="14">
        <f t="shared" si="91"/>
        <v>21</v>
      </c>
      <c r="V386" s="36">
        <f t="shared" si="95"/>
        <v>2.0819999999999999</v>
      </c>
      <c r="W386" s="17">
        <f t="shared" si="92"/>
        <v>4.1639999999999996E-2</v>
      </c>
      <c r="X386" s="14">
        <f t="shared" si="96"/>
        <v>1</v>
      </c>
      <c r="Y386" s="14">
        <f t="shared" si="97"/>
        <v>3</v>
      </c>
      <c r="Z386" s="14">
        <f t="shared" si="98"/>
        <v>0</v>
      </c>
      <c r="AA386" s="14" t="str">
        <f t="shared" si="99"/>
        <v>AtkExt</v>
      </c>
      <c r="AB386" s="14">
        <f t="shared" si="93"/>
        <v>5657</v>
      </c>
      <c r="AC386" s="14" t="str">
        <f t="shared" si="100"/>
        <v>HPExt</v>
      </c>
      <c r="AD386" s="14">
        <f t="shared" si="101"/>
        <v>8489</v>
      </c>
      <c r="AE386" s="14" t="str">
        <f t="shared" si="102"/>
        <v>[x]</v>
      </c>
      <c r="AF386" s="27" t="str">
        <f t="shared" si="103"/>
        <v>[x]</v>
      </c>
      <c r="AG386" s="27" t="str">
        <f t="shared" si="104"/>
        <v>[x]</v>
      </c>
    </row>
    <row r="387" spans="16:33" ht="16.5" x14ac:dyDescent="0.2">
      <c r="P387" s="13">
        <v>331</v>
      </c>
      <c r="Q387" s="14">
        <f t="shared" si="89"/>
        <v>19</v>
      </c>
      <c r="R387" s="14">
        <f t="shared" si="90"/>
        <v>1606023</v>
      </c>
      <c r="S387" s="14" t="str">
        <f t="shared" si="94"/>
        <v>神器4碎片5等级1</v>
      </c>
      <c r="T387" s="29" t="s">
        <v>520</v>
      </c>
      <c r="U387" s="14">
        <f t="shared" si="91"/>
        <v>1</v>
      </c>
      <c r="V387" s="36">
        <f t="shared" si="95"/>
        <v>0.20200000000000001</v>
      </c>
      <c r="W387" s="17">
        <f t="shared" si="92"/>
        <v>4.0400000000000002E-3</v>
      </c>
      <c r="X387" s="14">
        <f t="shared" si="96"/>
        <v>1</v>
      </c>
      <c r="Y387" s="14">
        <f t="shared" si="97"/>
        <v>2</v>
      </c>
      <c r="Z387" s="14">
        <f t="shared" si="98"/>
        <v>3</v>
      </c>
      <c r="AA387" s="14" t="str">
        <f t="shared" si="99"/>
        <v>AtkExt</v>
      </c>
      <c r="AB387" s="14">
        <f t="shared" si="93"/>
        <v>274</v>
      </c>
      <c r="AC387" s="14" t="str">
        <f t="shared" si="100"/>
        <v>DefExt</v>
      </c>
      <c r="AD387" s="14">
        <f t="shared" si="101"/>
        <v>137</v>
      </c>
      <c r="AE387" s="14" t="str">
        <f t="shared" si="102"/>
        <v>HPExt</v>
      </c>
      <c r="AF387" s="27">
        <f t="shared" si="103"/>
        <v>823</v>
      </c>
      <c r="AG387" s="27" t="str">
        <f t="shared" si="104"/>
        <v>[x]</v>
      </c>
    </row>
    <row r="388" spans="16:33" ht="16.5" x14ac:dyDescent="0.2">
      <c r="P388" s="13">
        <v>332</v>
      </c>
      <c r="Q388" s="14">
        <f t="shared" si="89"/>
        <v>19</v>
      </c>
      <c r="R388" s="14">
        <f t="shared" si="90"/>
        <v>1606023</v>
      </c>
      <c r="S388" s="14" t="str">
        <f t="shared" si="94"/>
        <v>神器4碎片5等级2</v>
      </c>
      <c r="T388" s="29" t="s">
        <v>520</v>
      </c>
      <c r="U388" s="14">
        <f t="shared" si="91"/>
        <v>2</v>
      </c>
      <c r="V388" s="36">
        <f t="shared" si="95"/>
        <v>0.25800000000000001</v>
      </c>
      <c r="W388" s="17">
        <f t="shared" si="92"/>
        <v>5.1600000000000005E-3</v>
      </c>
      <c r="X388" s="14">
        <f t="shared" si="96"/>
        <v>1</v>
      </c>
      <c r="Y388" s="14">
        <f t="shared" si="97"/>
        <v>2</v>
      </c>
      <c r="Z388" s="14">
        <f t="shared" si="98"/>
        <v>3</v>
      </c>
      <c r="AA388" s="14" t="str">
        <f t="shared" si="99"/>
        <v>AtkExt</v>
      </c>
      <c r="AB388" s="14">
        <f t="shared" si="93"/>
        <v>350</v>
      </c>
      <c r="AC388" s="14" t="str">
        <f t="shared" si="100"/>
        <v>DefExt</v>
      </c>
      <c r="AD388" s="14">
        <f t="shared" si="101"/>
        <v>175</v>
      </c>
      <c r="AE388" s="14" t="str">
        <f t="shared" si="102"/>
        <v>HPExt</v>
      </c>
      <c r="AF388" s="27">
        <f t="shared" si="103"/>
        <v>1051</v>
      </c>
      <c r="AG388" s="27" t="str">
        <f t="shared" si="104"/>
        <v>[x]</v>
      </c>
    </row>
    <row r="389" spans="16:33" ht="16.5" x14ac:dyDescent="0.2">
      <c r="P389" s="13">
        <v>333</v>
      </c>
      <c r="Q389" s="14">
        <f t="shared" si="89"/>
        <v>19</v>
      </c>
      <c r="R389" s="14">
        <f t="shared" si="90"/>
        <v>1606023</v>
      </c>
      <c r="S389" s="14" t="str">
        <f t="shared" si="94"/>
        <v>神器4碎片5等级3</v>
      </c>
      <c r="T389" s="29" t="s">
        <v>520</v>
      </c>
      <c r="U389" s="14">
        <f t="shared" si="91"/>
        <v>3</v>
      </c>
      <c r="V389" s="36">
        <f t="shared" si="95"/>
        <v>0.31800000000000006</v>
      </c>
      <c r="W389" s="17">
        <f t="shared" si="92"/>
        <v>6.3600000000000011E-3</v>
      </c>
      <c r="X389" s="14">
        <f t="shared" si="96"/>
        <v>1</v>
      </c>
      <c r="Y389" s="14">
        <f t="shared" si="97"/>
        <v>2</v>
      </c>
      <c r="Z389" s="14">
        <f t="shared" si="98"/>
        <v>3</v>
      </c>
      <c r="AA389" s="14" t="str">
        <f t="shared" si="99"/>
        <v>AtkExt</v>
      </c>
      <c r="AB389" s="14">
        <f t="shared" si="93"/>
        <v>432</v>
      </c>
      <c r="AC389" s="14" t="str">
        <f t="shared" si="100"/>
        <v>DefExt</v>
      </c>
      <c r="AD389" s="14">
        <f t="shared" si="101"/>
        <v>215</v>
      </c>
      <c r="AE389" s="14" t="str">
        <f t="shared" si="102"/>
        <v>HPExt</v>
      </c>
      <c r="AF389" s="27">
        <f t="shared" si="103"/>
        <v>1296</v>
      </c>
      <c r="AG389" s="27" t="str">
        <f t="shared" si="104"/>
        <v>[x]</v>
      </c>
    </row>
    <row r="390" spans="16:33" ht="16.5" x14ac:dyDescent="0.2">
      <c r="P390" s="13">
        <v>334</v>
      </c>
      <c r="Q390" s="14">
        <f t="shared" si="89"/>
        <v>19</v>
      </c>
      <c r="R390" s="14">
        <f t="shared" si="90"/>
        <v>1606023</v>
      </c>
      <c r="S390" s="14" t="str">
        <f t="shared" si="94"/>
        <v>神器4碎片5等级4</v>
      </c>
      <c r="T390" s="29" t="s">
        <v>520</v>
      </c>
      <c r="U390" s="14">
        <f t="shared" si="91"/>
        <v>4</v>
      </c>
      <c r="V390" s="36">
        <f t="shared" si="95"/>
        <v>0.38200000000000001</v>
      </c>
      <c r="W390" s="17">
        <f t="shared" si="92"/>
        <v>7.6400000000000001E-3</v>
      </c>
      <c r="X390" s="14">
        <f t="shared" si="96"/>
        <v>1</v>
      </c>
      <c r="Y390" s="14">
        <f t="shared" si="97"/>
        <v>2</v>
      </c>
      <c r="Z390" s="14">
        <f t="shared" si="98"/>
        <v>3</v>
      </c>
      <c r="AA390" s="14" t="str">
        <f t="shared" si="99"/>
        <v>AtkExt</v>
      </c>
      <c r="AB390" s="14">
        <f t="shared" si="93"/>
        <v>518</v>
      </c>
      <c r="AC390" s="14" t="str">
        <f t="shared" si="100"/>
        <v>DefExt</v>
      </c>
      <c r="AD390" s="14">
        <f t="shared" si="101"/>
        <v>259</v>
      </c>
      <c r="AE390" s="14" t="str">
        <f t="shared" si="102"/>
        <v>HPExt</v>
      </c>
      <c r="AF390" s="27">
        <f t="shared" si="103"/>
        <v>1557</v>
      </c>
      <c r="AG390" s="27" t="str">
        <f t="shared" si="104"/>
        <v>[x]</v>
      </c>
    </row>
    <row r="391" spans="16:33" ht="16.5" x14ac:dyDescent="0.2">
      <c r="P391" s="13">
        <v>335</v>
      </c>
      <c r="Q391" s="14">
        <f t="shared" si="89"/>
        <v>19</v>
      </c>
      <c r="R391" s="14">
        <f t="shared" si="90"/>
        <v>1606023</v>
      </c>
      <c r="S391" s="14" t="str">
        <f t="shared" si="94"/>
        <v>神器4碎片5等级5</v>
      </c>
      <c r="T391" s="29" t="s">
        <v>520</v>
      </c>
      <c r="U391" s="14">
        <f t="shared" si="91"/>
        <v>5</v>
      </c>
      <c r="V391" s="36">
        <f t="shared" si="95"/>
        <v>0.45</v>
      </c>
      <c r="W391" s="17">
        <f t="shared" si="92"/>
        <v>9.0000000000000011E-3</v>
      </c>
      <c r="X391" s="14">
        <f t="shared" si="96"/>
        <v>1</v>
      </c>
      <c r="Y391" s="14">
        <f t="shared" si="97"/>
        <v>2</v>
      </c>
      <c r="Z391" s="14">
        <f t="shared" si="98"/>
        <v>3</v>
      </c>
      <c r="AA391" s="14" t="str">
        <f t="shared" si="99"/>
        <v>AtkExt</v>
      </c>
      <c r="AB391" s="14">
        <f t="shared" si="93"/>
        <v>611</v>
      </c>
      <c r="AC391" s="14" t="str">
        <f t="shared" si="100"/>
        <v>DefExt</v>
      </c>
      <c r="AD391" s="14">
        <f t="shared" si="101"/>
        <v>305</v>
      </c>
      <c r="AE391" s="14" t="str">
        <f t="shared" si="102"/>
        <v>HPExt</v>
      </c>
      <c r="AF391" s="27">
        <f t="shared" si="103"/>
        <v>1834</v>
      </c>
      <c r="AG391" s="27" t="str">
        <f t="shared" si="104"/>
        <v>[x]</v>
      </c>
    </row>
    <row r="392" spans="16:33" ht="16.5" x14ac:dyDescent="0.2">
      <c r="P392" s="13">
        <v>336</v>
      </c>
      <c r="Q392" s="14">
        <f t="shared" si="89"/>
        <v>19</v>
      </c>
      <c r="R392" s="14">
        <f t="shared" si="90"/>
        <v>1606023</v>
      </c>
      <c r="S392" s="14" t="str">
        <f t="shared" si="94"/>
        <v>神器4碎片5等级6</v>
      </c>
      <c r="T392" s="29" t="s">
        <v>520</v>
      </c>
      <c r="U392" s="14">
        <f t="shared" si="91"/>
        <v>6</v>
      </c>
      <c r="V392" s="36">
        <f t="shared" si="95"/>
        <v>0.52200000000000002</v>
      </c>
      <c r="W392" s="17">
        <f t="shared" si="92"/>
        <v>1.0440000000000001E-2</v>
      </c>
      <c r="X392" s="14">
        <f t="shared" si="96"/>
        <v>1</v>
      </c>
      <c r="Y392" s="14">
        <f t="shared" si="97"/>
        <v>2</v>
      </c>
      <c r="Z392" s="14">
        <f t="shared" si="98"/>
        <v>3</v>
      </c>
      <c r="AA392" s="14" t="str">
        <f t="shared" si="99"/>
        <v>AtkExt</v>
      </c>
      <c r="AB392" s="14">
        <f t="shared" si="93"/>
        <v>709</v>
      </c>
      <c r="AC392" s="14" t="str">
        <f t="shared" si="100"/>
        <v>DefExt</v>
      </c>
      <c r="AD392" s="14">
        <f t="shared" si="101"/>
        <v>354</v>
      </c>
      <c r="AE392" s="14" t="str">
        <f t="shared" si="102"/>
        <v>HPExt</v>
      </c>
      <c r="AF392" s="27">
        <f t="shared" si="103"/>
        <v>2128</v>
      </c>
      <c r="AG392" s="27" t="str">
        <f t="shared" si="104"/>
        <v>[x]</v>
      </c>
    </row>
    <row r="393" spans="16:33" ht="16.5" x14ac:dyDescent="0.2">
      <c r="P393" s="13">
        <v>337</v>
      </c>
      <c r="Q393" s="14">
        <f t="shared" si="89"/>
        <v>19</v>
      </c>
      <c r="R393" s="14">
        <f t="shared" si="90"/>
        <v>1606023</v>
      </c>
      <c r="S393" s="14" t="str">
        <f t="shared" si="94"/>
        <v>神器4碎片5等级7</v>
      </c>
      <c r="T393" s="29" t="s">
        <v>520</v>
      </c>
      <c r="U393" s="14">
        <f t="shared" si="91"/>
        <v>7</v>
      </c>
      <c r="V393" s="36">
        <f t="shared" si="95"/>
        <v>0.59799999999999998</v>
      </c>
      <c r="W393" s="17">
        <f t="shared" si="92"/>
        <v>1.196E-2</v>
      </c>
      <c r="X393" s="14">
        <f t="shared" si="96"/>
        <v>1</v>
      </c>
      <c r="Y393" s="14">
        <f t="shared" si="97"/>
        <v>2</v>
      </c>
      <c r="Z393" s="14">
        <f t="shared" si="98"/>
        <v>3</v>
      </c>
      <c r="AA393" s="14" t="str">
        <f t="shared" si="99"/>
        <v>AtkExt</v>
      </c>
      <c r="AB393" s="14">
        <f t="shared" si="93"/>
        <v>812</v>
      </c>
      <c r="AC393" s="14" t="str">
        <f t="shared" si="100"/>
        <v>DefExt</v>
      </c>
      <c r="AD393" s="14">
        <f t="shared" si="101"/>
        <v>406</v>
      </c>
      <c r="AE393" s="14" t="str">
        <f t="shared" si="102"/>
        <v>HPExt</v>
      </c>
      <c r="AF393" s="27">
        <f t="shared" si="103"/>
        <v>2438</v>
      </c>
      <c r="AG393" s="27" t="str">
        <f t="shared" si="104"/>
        <v>[x]</v>
      </c>
    </row>
    <row r="394" spans="16:33" ht="16.5" x14ac:dyDescent="0.2">
      <c r="P394" s="13">
        <v>338</v>
      </c>
      <c r="Q394" s="14">
        <f t="shared" si="89"/>
        <v>19</v>
      </c>
      <c r="R394" s="14">
        <f t="shared" si="90"/>
        <v>1606023</v>
      </c>
      <c r="S394" s="14" t="str">
        <f t="shared" si="94"/>
        <v>神器4碎片5等级8</v>
      </c>
      <c r="T394" s="29" t="s">
        <v>520</v>
      </c>
      <c r="U394" s="14">
        <f t="shared" si="91"/>
        <v>8</v>
      </c>
      <c r="V394" s="36">
        <f t="shared" si="95"/>
        <v>0.67800000000000005</v>
      </c>
      <c r="W394" s="17">
        <f t="shared" si="92"/>
        <v>1.3560000000000001E-2</v>
      </c>
      <c r="X394" s="14">
        <f t="shared" si="96"/>
        <v>1</v>
      </c>
      <c r="Y394" s="14">
        <f t="shared" si="97"/>
        <v>2</v>
      </c>
      <c r="Z394" s="14">
        <f t="shared" si="98"/>
        <v>3</v>
      </c>
      <c r="AA394" s="14" t="str">
        <f t="shared" si="99"/>
        <v>AtkExt</v>
      </c>
      <c r="AB394" s="14">
        <f t="shared" si="93"/>
        <v>921</v>
      </c>
      <c r="AC394" s="14" t="str">
        <f t="shared" si="100"/>
        <v>DefExt</v>
      </c>
      <c r="AD394" s="14">
        <f t="shared" si="101"/>
        <v>460</v>
      </c>
      <c r="AE394" s="14" t="str">
        <f t="shared" si="102"/>
        <v>HPExt</v>
      </c>
      <c r="AF394" s="27">
        <f t="shared" si="103"/>
        <v>2764</v>
      </c>
      <c r="AG394" s="27" t="str">
        <f t="shared" si="104"/>
        <v>[x]</v>
      </c>
    </row>
    <row r="395" spans="16:33" ht="16.5" x14ac:dyDescent="0.2">
      <c r="P395" s="13">
        <v>339</v>
      </c>
      <c r="Q395" s="14">
        <f t="shared" si="89"/>
        <v>19</v>
      </c>
      <c r="R395" s="14">
        <f t="shared" si="90"/>
        <v>1606023</v>
      </c>
      <c r="S395" s="14" t="str">
        <f t="shared" si="94"/>
        <v>神器4碎片5等级9</v>
      </c>
      <c r="T395" s="29" t="s">
        <v>520</v>
      </c>
      <c r="U395" s="14">
        <f t="shared" si="91"/>
        <v>9</v>
      </c>
      <c r="V395" s="36">
        <f t="shared" si="95"/>
        <v>0.76200000000000001</v>
      </c>
      <c r="W395" s="17">
        <f t="shared" si="92"/>
        <v>1.524E-2</v>
      </c>
      <c r="X395" s="14">
        <f t="shared" si="96"/>
        <v>1</v>
      </c>
      <c r="Y395" s="14">
        <f t="shared" si="97"/>
        <v>2</v>
      </c>
      <c r="Z395" s="14">
        <f t="shared" si="98"/>
        <v>3</v>
      </c>
      <c r="AA395" s="14" t="str">
        <f t="shared" si="99"/>
        <v>AtkExt</v>
      </c>
      <c r="AB395" s="14">
        <f t="shared" si="93"/>
        <v>1035</v>
      </c>
      <c r="AC395" s="14" t="str">
        <f t="shared" si="100"/>
        <v>DefExt</v>
      </c>
      <c r="AD395" s="14">
        <f t="shared" si="101"/>
        <v>517</v>
      </c>
      <c r="AE395" s="14" t="str">
        <f t="shared" si="102"/>
        <v>HPExt</v>
      </c>
      <c r="AF395" s="27">
        <f t="shared" si="103"/>
        <v>3107</v>
      </c>
      <c r="AG395" s="27" t="str">
        <f t="shared" si="104"/>
        <v>[x]</v>
      </c>
    </row>
    <row r="396" spans="16:33" ht="16.5" x14ac:dyDescent="0.2">
      <c r="P396" s="13">
        <v>340</v>
      </c>
      <c r="Q396" s="14">
        <f t="shared" si="89"/>
        <v>19</v>
      </c>
      <c r="R396" s="14">
        <f t="shared" si="90"/>
        <v>1606023</v>
      </c>
      <c r="S396" s="14" t="str">
        <f t="shared" si="94"/>
        <v>神器4碎片5等级10</v>
      </c>
      <c r="T396" s="29" t="s">
        <v>520</v>
      </c>
      <c r="U396" s="14">
        <f t="shared" si="91"/>
        <v>10</v>
      </c>
      <c r="V396" s="36">
        <f t="shared" si="95"/>
        <v>0.85000000000000009</v>
      </c>
      <c r="W396" s="17">
        <f t="shared" si="92"/>
        <v>1.7000000000000001E-2</v>
      </c>
      <c r="X396" s="14">
        <f t="shared" si="96"/>
        <v>1</v>
      </c>
      <c r="Y396" s="14">
        <f t="shared" si="97"/>
        <v>2</v>
      </c>
      <c r="Z396" s="14">
        <f t="shared" si="98"/>
        <v>3</v>
      </c>
      <c r="AA396" s="14" t="str">
        <f t="shared" si="99"/>
        <v>AtkExt</v>
      </c>
      <c r="AB396" s="14">
        <f t="shared" si="93"/>
        <v>1154</v>
      </c>
      <c r="AC396" s="14" t="str">
        <f t="shared" si="100"/>
        <v>DefExt</v>
      </c>
      <c r="AD396" s="14">
        <f t="shared" si="101"/>
        <v>577</v>
      </c>
      <c r="AE396" s="14" t="str">
        <f t="shared" si="102"/>
        <v>HPExt</v>
      </c>
      <c r="AF396" s="27">
        <f t="shared" si="103"/>
        <v>3465</v>
      </c>
      <c r="AG396" s="27" t="str">
        <f t="shared" si="104"/>
        <v>[x]</v>
      </c>
    </row>
    <row r="397" spans="16:33" ht="16.5" x14ac:dyDescent="0.2">
      <c r="P397" s="13">
        <v>341</v>
      </c>
      <c r="Q397" s="14">
        <f t="shared" si="89"/>
        <v>19</v>
      </c>
      <c r="R397" s="14">
        <f t="shared" si="90"/>
        <v>1606023</v>
      </c>
      <c r="S397" s="14" t="str">
        <f t="shared" si="94"/>
        <v>神器4碎片5等级11</v>
      </c>
      <c r="T397" s="29" t="s">
        <v>520</v>
      </c>
      <c r="U397" s="14">
        <f t="shared" si="91"/>
        <v>11</v>
      </c>
      <c r="V397" s="36">
        <f t="shared" si="95"/>
        <v>0.94200000000000006</v>
      </c>
      <c r="W397" s="17">
        <f t="shared" si="92"/>
        <v>1.8840000000000003E-2</v>
      </c>
      <c r="X397" s="14">
        <f t="shared" si="96"/>
        <v>1</v>
      </c>
      <c r="Y397" s="14">
        <f t="shared" si="97"/>
        <v>2</v>
      </c>
      <c r="Z397" s="14">
        <f t="shared" si="98"/>
        <v>3</v>
      </c>
      <c r="AA397" s="14" t="str">
        <f t="shared" si="99"/>
        <v>AtkExt</v>
      </c>
      <c r="AB397" s="14">
        <f t="shared" si="93"/>
        <v>1279</v>
      </c>
      <c r="AC397" s="14" t="str">
        <f t="shared" si="100"/>
        <v>DefExt</v>
      </c>
      <c r="AD397" s="14">
        <f t="shared" si="101"/>
        <v>639</v>
      </c>
      <c r="AE397" s="14" t="str">
        <f t="shared" si="102"/>
        <v>HPExt</v>
      </c>
      <c r="AF397" s="27">
        <f t="shared" si="103"/>
        <v>3840</v>
      </c>
      <c r="AG397" s="27" t="str">
        <f t="shared" si="104"/>
        <v>[x]</v>
      </c>
    </row>
    <row r="398" spans="16:33" ht="16.5" x14ac:dyDescent="0.2">
      <c r="P398" s="13">
        <v>342</v>
      </c>
      <c r="Q398" s="14">
        <f t="shared" si="89"/>
        <v>19</v>
      </c>
      <c r="R398" s="14">
        <f t="shared" si="90"/>
        <v>1606023</v>
      </c>
      <c r="S398" s="14" t="str">
        <f t="shared" si="94"/>
        <v>神器4碎片5等级12</v>
      </c>
      <c r="T398" s="29" t="s">
        <v>520</v>
      </c>
      <c r="U398" s="14">
        <f t="shared" si="91"/>
        <v>12</v>
      </c>
      <c r="V398" s="36">
        <f t="shared" si="95"/>
        <v>1.0380000000000003</v>
      </c>
      <c r="W398" s="17">
        <f t="shared" si="92"/>
        <v>2.0760000000000004E-2</v>
      </c>
      <c r="X398" s="14">
        <f t="shared" si="96"/>
        <v>1</v>
      </c>
      <c r="Y398" s="14">
        <f t="shared" si="97"/>
        <v>2</v>
      </c>
      <c r="Z398" s="14">
        <f t="shared" si="98"/>
        <v>3</v>
      </c>
      <c r="AA398" s="14" t="str">
        <f t="shared" si="99"/>
        <v>AtkExt</v>
      </c>
      <c r="AB398" s="14">
        <f t="shared" si="93"/>
        <v>1410</v>
      </c>
      <c r="AC398" s="14" t="str">
        <f t="shared" si="100"/>
        <v>DefExt</v>
      </c>
      <c r="AD398" s="14">
        <f t="shared" si="101"/>
        <v>704</v>
      </c>
      <c r="AE398" s="14" t="str">
        <f t="shared" si="102"/>
        <v>HPExt</v>
      </c>
      <c r="AF398" s="27">
        <f t="shared" si="103"/>
        <v>4232</v>
      </c>
      <c r="AG398" s="27" t="str">
        <f t="shared" si="104"/>
        <v>[x]</v>
      </c>
    </row>
    <row r="399" spans="16:33" ht="16.5" x14ac:dyDescent="0.2">
      <c r="P399" s="13">
        <v>343</v>
      </c>
      <c r="Q399" s="14">
        <f t="shared" si="89"/>
        <v>19</v>
      </c>
      <c r="R399" s="14">
        <f t="shared" si="90"/>
        <v>1606023</v>
      </c>
      <c r="S399" s="14" t="str">
        <f t="shared" si="94"/>
        <v>神器4碎片5等级13</v>
      </c>
      <c r="T399" s="29" t="s">
        <v>520</v>
      </c>
      <c r="U399" s="14">
        <f t="shared" si="91"/>
        <v>13</v>
      </c>
      <c r="V399" s="36">
        <f t="shared" si="95"/>
        <v>1.1380000000000001</v>
      </c>
      <c r="W399" s="17">
        <f t="shared" si="92"/>
        <v>2.2760000000000002E-2</v>
      </c>
      <c r="X399" s="14">
        <f t="shared" si="96"/>
        <v>1</v>
      </c>
      <c r="Y399" s="14">
        <f t="shared" si="97"/>
        <v>2</v>
      </c>
      <c r="Z399" s="14">
        <f t="shared" si="98"/>
        <v>3</v>
      </c>
      <c r="AA399" s="14" t="str">
        <f t="shared" si="99"/>
        <v>AtkExt</v>
      </c>
      <c r="AB399" s="14">
        <f t="shared" si="93"/>
        <v>1546</v>
      </c>
      <c r="AC399" s="14" t="str">
        <f t="shared" si="100"/>
        <v>DefExt</v>
      </c>
      <c r="AD399" s="14">
        <f t="shared" si="101"/>
        <v>772</v>
      </c>
      <c r="AE399" s="14" t="str">
        <f t="shared" si="102"/>
        <v>HPExt</v>
      </c>
      <c r="AF399" s="27">
        <f t="shared" si="103"/>
        <v>4640</v>
      </c>
      <c r="AG399" s="27" t="str">
        <f t="shared" si="104"/>
        <v>[x]</v>
      </c>
    </row>
    <row r="400" spans="16:33" ht="16.5" x14ac:dyDescent="0.2">
      <c r="P400" s="13">
        <v>344</v>
      </c>
      <c r="Q400" s="14">
        <f t="shared" si="89"/>
        <v>19</v>
      </c>
      <c r="R400" s="14">
        <f t="shared" si="90"/>
        <v>1606023</v>
      </c>
      <c r="S400" s="14" t="str">
        <f t="shared" si="94"/>
        <v>神器4碎片5等级14</v>
      </c>
      <c r="T400" s="29" t="s">
        <v>520</v>
      </c>
      <c r="U400" s="14">
        <f t="shared" si="91"/>
        <v>14</v>
      </c>
      <c r="V400" s="36">
        <f t="shared" si="95"/>
        <v>1.242</v>
      </c>
      <c r="W400" s="17">
        <f t="shared" si="92"/>
        <v>2.4840000000000001E-2</v>
      </c>
      <c r="X400" s="14">
        <f t="shared" si="96"/>
        <v>1</v>
      </c>
      <c r="Y400" s="14">
        <f t="shared" si="97"/>
        <v>2</v>
      </c>
      <c r="Z400" s="14">
        <f t="shared" si="98"/>
        <v>3</v>
      </c>
      <c r="AA400" s="14" t="str">
        <f t="shared" si="99"/>
        <v>AtkExt</v>
      </c>
      <c r="AB400" s="14">
        <f t="shared" si="93"/>
        <v>1687</v>
      </c>
      <c r="AC400" s="14" t="str">
        <f t="shared" si="100"/>
        <v>DefExt</v>
      </c>
      <c r="AD400" s="14">
        <f t="shared" si="101"/>
        <v>843</v>
      </c>
      <c r="AE400" s="14" t="str">
        <f t="shared" si="102"/>
        <v>HPExt</v>
      </c>
      <c r="AF400" s="27">
        <f t="shared" si="103"/>
        <v>5064</v>
      </c>
      <c r="AG400" s="27" t="str">
        <f t="shared" si="104"/>
        <v>[x]</v>
      </c>
    </row>
    <row r="401" spans="16:33" ht="16.5" x14ac:dyDescent="0.2">
      <c r="P401" s="13">
        <v>345</v>
      </c>
      <c r="Q401" s="14">
        <f t="shared" si="89"/>
        <v>19</v>
      </c>
      <c r="R401" s="14">
        <f t="shared" si="90"/>
        <v>1606023</v>
      </c>
      <c r="S401" s="14" t="str">
        <f t="shared" si="94"/>
        <v>神器4碎片5等级15</v>
      </c>
      <c r="T401" s="29" t="s">
        <v>520</v>
      </c>
      <c r="U401" s="14">
        <f t="shared" si="91"/>
        <v>15</v>
      </c>
      <c r="V401" s="36">
        <f t="shared" si="95"/>
        <v>1.35</v>
      </c>
      <c r="W401" s="17">
        <f t="shared" si="92"/>
        <v>2.7000000000000003E-2</v>
      </c>
      <c r="X401" s="14">
        <f t="shared" si="96"/>
        <v>1</v>
      </c>
      <c r="Y401" s="14">
        <f t="shared" si="97"/>
        <v>2</v>
      </c>
      <c r="Z401" s="14">
        <f t="shared" si="98"/>
        <v>3</v>
      </c>
      <c r="AA401" s="14" t="str">
        <f t="shared" si="99"/>
        <v>AtkExt</v>
      </c>
      <c r="AB401" s="14">
        <f t="shared" si="93"/>
        <v>1834</v>
      </c>
      <c r="AC401" s="14" t="str">
        <f t="shared" si="100"/>
        <v>DefExt</v>
      </c>
      <c r="AD401" s="14">
        <f t="shared" si="101"/>
        <v>916</v>
      </c>
      <c r="AE401" s="14" t="str">
        <f t="shared" si="102"/>
        <v>HPExt</v>
      </c>
      <c r="AF401" s="27">
        <f t="shared" si="103"/>
        <v>5504</v>
      </c>
      <c r="AG401" s="27" t="str">
        <f t="shared" si="104"/>
        <v>[x]</v>
      </c>
    </row>
    <row r="402" spans="16:33" ht="16.5" x14ac:dyDescent="0.2">
      <c r="P402" s="13">
        <v>346</v>
      </c>
      <c r="Q402" s="14">
        <f t="shared" si="89"/>
        <v>19</v>
      </c>
      <c r="R402" s="14">
        <f t="shared" si="90"/>
        <v>1606023</v>
      </c>
      <c r="S402" s="14" t="str">
        <f t="shared" si="94"/>
        <v>神器4碎片5等级16</v>
      </c>
      <c r="T402" s="29" t="s">
        <v>520</v>
      </c>
      <c r="U402" s="14">
        <f t="shared" si="91"/>
        <v>16</v>
      </c>
      <c r="V402" s="36">
        <f t="shared" si="95"/>
        <v>1.4620000000000002</v>
      </c>
      <c r="W402" s="17">
        <f t="shared" si="92"/>
        <v>2.9240000000000006E-2</v>
      </c>
      <c r="X402" s="14">
        <f t="shared" si="96"/>
        <v>1</v>
      </c>
      <c r="Y402" s="14">
        <f t="shared" si="97"/>
        <v>2</v>
      </c>
      <c r="Z402" s="14">
        <f t="shared" si="98"/>
        <v>3</v>
      </c>
      <c r="AA402" s="14" t="str">
        <f t="shared" si="99"/>
        <v>AtkExt</v>
      </c>
      <c r="AB402" s="14">
        <f t="shared" si="93"/>
        <v>1986</v>
      </c>
      <c r="AC402" s="14" t="str">
        <f t="shared" si="100"/>
        <v>DefExt</v>
      </c>
      <c r="AD402" s="14">
        <f t="shared" si="101"/>
        <v>992</v>
      </c>
      <c r="AE402" s="14" t="str">
        <f t="shared" si="102"/>
        <v>HPExt</v>
      </c>
      <c r="AF402" s="27">
        <f t="shared" si="103"/>
        <v>5961</v>
      </c>
      <c r="AG402" s="27" t="str">
        <f t="shared" si="104"/>
        <v>[x]</v>
      </c>
    </row>
    <row r="403" spans="16:33" ht="16.5" x14ac:dyDescent="0.2">
      <c r="P403" s="13">
        <v>347</v>
      </c>
      <c r="Q403" s="14">
        <f t="shared" si="89"/>
        <v>19</v>
      </c>
      <c r="R403" s="14">
        <f t="shared" si="90"/>
        <v>1606023</v>
      </c>
      <c r="S403" s="14" t="str">
        <f t="shared" si="94"/>
        <v>神器4碎片5等级17</v>
      </c>
      <c r="T403" s="29" t="s">
        <v>520</v>
      </c>
      <c r="U403" s="14">
        <f t="shared" si="91"/>
        <v>17</v>
      </c>
      <c r="V403" s="36">
        <f t="shared" si="95"/>
        <v>1.5779999999999998</v>
      </c>
      <c r="W403" s="17">
        <f t="shared" si="92"/>
        <v>3.1559999999999998E-2</v>
      </c>
      <c r="X403" s="14">
        <f t="shared" si="96"/>
        <v>1</v>
      </c>
      <c r="Y403" s="14">
        <f t="shared" si="97"/>
        <v>2</v>
      </c>
      <c r="Z403" s="14">
        <f t="shared" si="98"/>
        <v>3</v>
      </c>
      <c r="AA403" s="14" t="str">
        <f t="shared" si="99"/>
        <v>AtkExt</v>
      </c>
      <c r="AB403" s="14">
        <f t="shared" si="93"/>
        <v>2143</v>
      </c>
      <c r="AC403" s="14" t="str">
        <f t="shared" si="100"/>
        <v>DefExt</v>
      </c>
      <c r="AD403" s="14">
        <f t="shared" si="101"/>
        <v>1071</v>
      </c>
      <c r="AE403" s="14" t="str">
        <f t="shared" si="102"/>
        <v>HPExt</v>
      </c>
      <c r="AF403" s="27">
        <f t="shared" si="103"/>
        <v>6434</v>
      </c>
      <c r="AG403" s="27" t="str">
        <f t="shared" si="104"/>
        <v>[x]</v>
      </c>
    </row>
    <row r="404" spans="16:33" ht="16.5" x14ac:dyDescent="0.2">
      <c r="P404" s="13">
        <v>348</v>
      </c>
      <c r="Q404" s="14">
        <f t="shared" si="89"/>
        <v>19</v>
      </c>
      <c r="R404" s="14">
        <f t="shared" si="90"/>
        <v>1606023</v>
      </c>
      <c r="S404" s="14" t="str">
        <f t="shared" si="94"/>
        <v>神器4碎片5等级18</v>
      </c>
      <c r="T404" s="29" t="s">
        <v>520</v>
      </c>
      <c r="U404" s="14">
        <f t="shared" si="91"/>
        <v>18</v>
      </c>
      <c r="V404" s="36">
        <f t="shared" si="95"/>
        <v>1.698</v>
      </c>
      <c r="W404" s="17">
        <f t="shared" si="92"/>
        <v>3.3959999999999997E-2</v>
      </c>
      <c r="X404" s="14">
        <f t="shared" si="96"/>
        <v>1</v>
      </c>
      <c r="Y404" s="14">
        <f t="shared" si="97"/>
        <v>2</v>
      </c>
      <c r="Z404" s="14">
        <f t="shared" si="98"/>
        <v>3</v>
      </c>
      <c r="AA404" s="14" t="str">
        <f t="shared" si="99"/>
        <v>AtkExt</v>
      </c>
      <c r="AB404" s="14">
        <f t="shared" si="93"/>
        <v>2306</v>
      </c>
      <c r="AC404" s="14" t="str">
        <f t="shared" si="100"/>
        <v>DefExt</v>
      </c>
      <c r="AD404" s="14">
        <f t="shared" si="101"/>
        <v>1152</v>
      </c>
      <c r="AE404" s="14" t="str">
        <f t="shared" si="102"/>
        <v>HPExt</v>
      </c>
      <c r="AF404" s="27">
        <f t="shared" si="103"/>
        <v>6923</v>
      </c>
      <c r="AG404" s="27" t="str">
        <f t="shared" si="104"/>
        <v>[x]</v>
      </c>
    </row>
    <row r="405" spans="16:33" ht="16.5" x14ac:dyDescent="0.2">
      <c r="P405" s="13">
        <v>349</v>
      </c>
      <c r="Q405" s="14">
        <f t="shared" si="89"/>
        <v>19</v>
      </c>
      <c r="R405" s="14">
        <f t="shared" si="90"/>
        <v>1606023</v>
      </c>
      <c r="S405" s="14" t="str">
        <f t="shared" si="94"/>
        <v>神器4碎片5等级19</v>
      </c>
      <c r="T405" s="29" t="s">
        <v>520</v>
      </c>
      <c r="U405" s="14">
        <f t="shared" si="91"/>
        <v>19</v>
      </c>
      <c r="V405" s="36">
        <f t="shared" si="95"/>
        <v>1.8220000000000001</v>
      </c>
      <c r="W405" s="17">
        <f t="shared" si="92"/>
        <v>3.644E-2</v>
      </c>
      <c r="X405" s="14">
        <f t="shared" si="96"/>
        <v>1</v>
      </c>
      <c r="Y405" s="14">
        <f t="shared" si="97"/>
        <v>2</v>
      </c>
      <c r="Z405" s="14">
        <f t="shared" si="98"/>
        <v>3</v>
      </c>
      <c r="AA405" s="14" t="str">
        <f t="shared" si="99"/>
        <v>AtkExt</v>
      </c>
      <c r="AB405" s="14">
        <f t="shared" si="93"/>
        <v>2475</v>
      </c>
      <c r="AC405" s="14" t="str">
        <f t="shared" si="100"/>
        <v>DefExt</v>
      </c>
      <c r="AD405" s="14">
        <f t="shared" si="101"/>
        <v>1237</v>
      </c>
      <c r="AE405" s="14" t="str">
        <f t="shared" si="102"/>
        <v>HPExt</v>
      </c>
      <c r="AF405" s="27">
        <f t="shared" si="103"/>
        <v>7429</v>
      </c>
      <c r="AG405" s="27" t="str">
        <f t="shared" si="104"/>
        <v>[x]</v>
      </c>
    </row>
    <row r="406" spans="16:33" ht="16.5" x14ac:dyDescent="0.2">
      <c r="P406" s="13">
        <v>350</v>
      </c>
      <c r="Q406" s="14">
        <f t="shared" si="89"/>
        <v>19</v>
      </c>
      <c r="R406" s="14">
        <f t="shared" si="90"/>
        <v>1606023</v>
      </c>
      <c r="S406" s="14" t="str">
        <f t="shared" si="94"/>
        <v>神器4碎片5等级20</v>
      </c>
      <c r="T406" s="29" t="s">
        <v>520</v>
      </c>
      <c r="U406" s="14">
        <f t="shared" si="91"/>
        <v>20</v>
      </c>
      <c r="V406" s="36">
        <f t="shared" si="95"/>
        <v>1.95</v>
      </c>
      <c r="W406" s="17">
        <f t="shared" si="92"/>
        <v>3.9E-2</v>
      </c>
      <c r="X406" s="14">
        <f t="shared" si="96"/>
        <v>1</v>
      </c>
      <c r="Y406" s="14">
        <f t="shared" si="97"/>
        <v>2</v>
      </c>
      <c r="Z406" s="14">
        <f t="shared" si="98"/>
        <v>3</v>
      </c>
      <c r="AA406" s="14" t="str">
        <f t="shared" si="99"/>
        <v>AtkExt</v>
      </c>
      <c r="AB406" s="14">
        <f t="shared" si="93"/>
        <v>2649</v>
      </c>
      <c r="AC406" s="14" t="str">
        <f t="shared" si="100"/>
        <v>DefExt</v>
      </c>
      <c r="AD406" s="14">
        <f t="shared" si="101"/>
        <v>1323</v>
      </c>
      <c r="AE406" s="14" t="str">
        <f t="shared" si="102"/>
        <v>HPExt</v>
      </c>
      <c r="AF406" s="27">
        <f t="shared" si="103"/>
        <v>7951</v>
      </c>
      <c r="AG406" s="27" t="str">
        <f t="shared" si="104"/>
        <v>[x]</v>
      </c>
    </row>
    <row r="407" spans="16:33" ht="16.5" x14ac:dyDescent="0.2">
      <c r="P407" s="13">
        <v>351</v>
      </c>
      <c r="Q407" s="14">
        <f t="shared" si="89"/>
        <v>19</v>
      </c>
      <c r="R407" s="14">
        <f t="shared" si="90"/>
        <v>1606023</v>
      </c>
      <c r="S407" s="14" t="str">
        <f t="shared" si="94"/>
        <v>神器4碎片5等级21</v>
      </c>
      <c r="T407" s="29" t="s">
        <v>520</v>
      </c>
      <c r="U407" s="14">
        <f t="shared" si="91"/>
        <v>21</v>
      </c>
      <c r="V407" s="36">
        <f t="shared" si="95"/>
        <v>2.0819999999999999</v>
      </c>
      <c r="W407" s="17">
        <f t="shared" si="92"/>
        <v>4.1639999999999996E-2</v>
      </c>
      <c r="X407" s="14">
        <f t="shared" si="96"/>
        <v>1</v>
      </c>
      <c r="Y407" s="14">
        <f t="shared" si="97"/>
        <v>2</v>
      </c>
      <c r="Z407" s="14">
        <f t="shared" si="98"/>
        <v>3</v>
      </c>
      <c r="AA407" s="14" t="str">
        <f t="shared" si="99"/>
        <v>AtkExt</v>
      </c>
      <c r="AB407" s="14">
        <f t="shared" si="93"/>
        <v>2828</v>
      </c>
      <c r="AC407" s="14" t="str">
        <f t="shared" si="100"/>
        <v>DefExt</v>
      </c>
      <c r="AD407" s="14">
        <f t="shared" si="101"/>
        <v>1413</v>
      </c>
      <c r="AE407" s="14" t="str">
        <f t="shared" si="102"/>
        <v>HPExt</v>
      </c>
      <c r="AF407" s="27">
        <f t="shared" si="103"/>
        <v>8489</v>
      </c>
      <c r="AG407" s="27" t="str">
        <f t="shared" si="104"/>
        <v>[x]</v>
      </c>
    </row>
    <row r="408" spans="16:33" ht="16.5" x14ac:dyDescent="0.2">
      <c r="P408" s="13">
        <v>352</v>
      </c>
      <c r="Q408" s="14">
        <f t="shared" si="89"/>
        <v>20</v>
      </c>
      <c r="R408" s="14">
        <f t="shared" si="90"/>
        <v>1606024</v>
      </c>
      <c r="S408" s="14" t="str">
        <f t="shared" si="94"/>
        <v>神器4碎片6等级1</v>
      </c>
      <c r="T408" s="29" t="s">
        <v>520</v>
      </c>
      <c r="U408" s="14">
        <f t="shared" si="91"/>
        <v>1</v>
      </c>
      <c r="V408" s="36">
        <f t="shared" si="95"/>
        <v>0.20200000000000001</v>
      </c>
      <c r="W408" s="17">
        <f t="shared" si="92"/>
        <v>6.0600000000000003E-3</v>
      </c>
      <c r="X408" s="14">
        <f t="shared" si="96"/>
        <v>3</v>
      </c>
      <c r="Y408" s="14">
        <f t="shared" si="97"/>
        <v>0</v>
      </c>
      <c r="Z408" s="14">
        <f t="shared" si="98"/>
        <v>0</v>
      </c>
      <c r="AA408" s="14" t="str">
        <f t="shared" si="99"/>
        <v>HPExt</v>
      </c>
      <c r="AB408" s="14">
        <f t="shared" si="93"/>
        <v>3706</v>
      </c>
      <c r="AC408" s="14" t="str">
        <f t="shared" si="100"/>
        <v>[x]</v>
      </c>
      <c r="AD408" s="14" t="str">
        <f t="shared" si="101"/>
        <v>[x]</v>
      </c>
      <c r="AE408" s="14" t="str">
        <f t="shared" si="102"/>
        <v>[x]</v>
      </c>
      <c r="AF408" s="27" t="str">
        <f t="shared" si="103"/>
        <v>[x]</v>
      </c>
      <c r="AG408" s="27">
        <f t="shared" si="104"/>
        <v>2</v>
      </c>
    </row>
    <row r="409" spans="16:33" ht="16.5" x14ac:dyDescent="0.2">
      <c r="P409" s="13">
        <v>353</v>
      </c>
      <c r="Q409" s="14">
        <f t="shared" si="89"/>
        <v>20</v>
      </c>
      <c r="R409" s="14">
        <f t="shared" si="90"/>
        <v>1606024</v>
      </c>
      <c r="S409" s="14" t="str">
        <f t="shared" si="94"/>
        <v>神器4碎片6等级2</v>
      </c>
      <c r="T409" s="29" t="s">
        <v>520</v>
      </c>
      <c r="U409" s="14">
        <f t="shared" si="91"/>
        <v>2</v>
      </c>
      <c r="V409" s="36">
        <f t="shared" si="95"/>
        <v>0.25800000000000001</v>
      </c>
      <c r="W409" s="17">
        <f t="shared" si="92"/>
        <v>7.7400000000000004E-3</v>
      </c>
      <c r="X409" s="14">
        <f t="shared" si="96"/>
        <v>3</v>
      </c>
      <c r="Y409" s="14">
        <f t="shared" si="97"/>
        <v>0</v>
      </c>
      <c r="Z409" s="14">
        <f t="shared" si="98"/>
        <v>0</v>
      </c>
      <c r="AA409" s="14" t="str">
        <f t="shared" si="99"/>
        <v>HPExt</v>
      </c>
      <c r="AB409" s="14">
        <f t="shared" si="93"/>
        <v>4733</v>
      </c>
      <c r="AC409" s="14" t="str">
        <f t="shared" si="100"/>
        <v>[x]</v>
      </c>
      <c r="AD409" s="14" t="str">
        <f t="shared" si="101"/>
        <v>[x]</v>
      </c>
      <c r="AE409" s="14" t="str">
        <f t="shared" si="102"/>
        <v>[x]</v>
      </c>
      <c r="AF409" s="27" t="str">
        <f t="shared" si="103"/>
        <v>[x]</v>
      </c>
      <c r="AG409" s="27">
        <f t="shared" si="104"/>
        <v>4</v>
      </c>
    </row>
    <row r="410" spans="16:33" ht="16.5" x14ac:dyDescent="0.2">
      <c r="P410" s="13">
        <v>354</v>
      </c>
      <c r="Q410" s="14">
        <f t="shared" si="89"/>
        <v>20</v>
      </c>
      <c r="R410" s="14">
        <f t="shared" si="90"/>
        <v>1606024</v>
      </c>
      <c r="S410" s="14" t="str">
        <f t="shared" si="94"/>
        <v>神器4碎片6等级3</v>
      </c>
      <c r="T410" s="29" t="s">
        <v>520</v>
      </c>
      <c r="U410" s="14">
        <f t="shared" si="91"/>
        <v>3</v>
      </c>
      <c r="V410" s="36">
        <f t="shared" si="95"/>
        <v>0.31800000000000006</v>
      </c>
      <c r="W410" s="17">
        <f t="shared" si="92"/>
        <v>9.5400000000000016E-3</v>
      </c>
      <c r="X410" s="14">
        <f t="shared" si="96"/>
        <v>3</v>
      </c>
      <c r="Y410" s="14">
        <f t="shared" si="97"/>
        <v>0</v>
      </c>
      <c r="Z410" s="14">
        <f t="shared" si="98"/>
        <v>0</v>
      </c>
      <c r="AA410" s="14" t="str">
        <f t="shared" si="99"/>
        <v>HPExt</v>
      </c>
      <c r="AB410" s="14">
        <f t="shared" si="93"/>
        <v>5834</v>
      </c>
      <c r="AC410" s="14" t="str">
        <f t="shared" si="100"/>
        <v>[x]</v>
      </c>
      <c r="AD410" s="14" t="str">
        <f t="shared" si="101"/>
        <v>[x]</v>
      </c>
      <c r="AE410" s="14" t="str">
        <f t="shared" si="102"/>
        <v>[x]</v>
      </c>
      <c r="AF410" s="27" t="str">
        <f t="shared" si="103"/>
        <v>[x]</v>
      </c>
      <c r="AG410" s="27">
        <f t="shared" si="104"/>
        <v>6</v>
      </c>
    </row>
    <row r="411" spans="16:33" ht="16.5" x14ac:dyDescent="0.2">
      <c r="P411" s="13">
        <v>355</v>
      </c>
      <c r="Q411" s="14">
        <f t="shared" si="89"/>
        <v>20</v>
      </c>
      <c r="R411" s="14">
        <f t="shared" si="90"/>
        <v>1606024</v>
      </c>
      <c r="S411" s="14" t="str">
        <f t="shared" si="94"/>
        <v>神器4碎片6等级4</v>
      </c>
      <c r="T411" s="29" t="s">
        <v>520</v>
      </c>
      <c r="U411" s="14">
        <f t="shared" si="91"/>
        <v>4</v>
      </c>
      <c r="V411" s="36">
        <f t="shared" si="95"/>
        <v>0.38200000000000001</v>
      </c>
      <c r="W411" s="17">
        <f t="shared" si="92"/>
        <v>1.146E-2</v>
      </c>
      <c r="X411" s="14">
        <f t="shared" si="96"/>
        <v>3</v>
      </c>
      <c r="Y411" s="14">
        <f t="shared" si="97"/>
        <v>0</v>
      </c>
      <c r="Z411" s="14">
        <f t="shared" si="98"/>
        <v>0</v>
      </c>
      <c r="AA411" s="14" t="str">
        <f t="shared" si="99"/>
        <v>HPExt</v>
      </c>
      <c r="AB411" s="14">
        <f t="shared" si="93"/>
        <v>7009</v>
      </c>
      <c r="AC411" s="14" t="str">
        <f t="shared" si="100"/>
        <v>[x]</v>
      </c>
      <c r="AD411" s="14" t="str">
        <f t="shared" si="101"/>
        <v>[x]</v>
      </c>
      <c r="AE411" s="14" t="str">
        <f t="shared" si="102"/>
        <v>[x]</v>
      </c>
      <c r="AF411" s="27" t="str">
        <f t="shared" si="103"/>
        <v>[x]</v>
      </c>
      <c r="AG411" s="27">
        <f t="shared" si="104"/>
        <v>8</v>
      </c>
    </row>
    <row r="412" spans="16:33" ht="16.5" x14ac:dyDescent="0.2">
      <c r="P412" s="13">
        <v>356</v>
      </c>
      <c r="Q412" s="14">
        <f t="shared" si="89"/>
        <v>20</v>
      </c>
      <c r="R412" s="14">
        <f t="shared" si="90"/>
        <v>1606024</v>
      </c>
      <c r="S412" s="14" t="str">
        <f t="shared" si="94"/>
        <v>神器4碎片6等级5</v>
      </c>
      <c r="T412" s="29" t="s">
        <v>520</v>
      </c>
      <c r="U412" s="14">
        <f t="shared" si="91"/>
        <v>5</v>
      </c>
      <c r="V412" s="36">
        <f t="shared" si="95"/>
        <v>0.45</v>
      </c>
      <c r="W412" s="17">
        <f t="shared" si="92"/>
        <v>1.35E-2</v>
      </c>
      <c r="X412" s="14">
        <f t="shared" si="96"/>
        <v>3</v>
      </c>
      <c r="Y412" s="14">
        <f t="shared" si="97"/>
        <v>0</v>
      </c>
      <c r="Z412" s="14">
        <f t="shared" si="98"/>
        <v>0</v>
      </c>
      <c r="AA412" s="14" t="str">
        <f t="shared" si="99"/>
        <v>HPExt</v>
      </c>
      <c r="AB412" s="14">
        <f t="shared" si="93"/>
        <v>8256</v>
      </c>
      <c r="AC412" s="14" t="str">
        <f t="shared" si="100"/>
        <v>[x]</v>
      </c>
      <c r="AD412" s="14" t="str">
        <f t="shared" si="101"/>
        <v>[x]</v>
      </c>
      <c r="AE412" s="14" t="str">
        <f t="shared" si="102"/>
        <v>[x]</v>
      </c>
      <c r="AF412" s="27" t="str">
        <f t="shared" si="103"/>
        <v>[x]</v>
      </c>
      <c r="AG412" s="27">
        <f t="shared" si="104"/>
        <v>10</v>
      </c>
    </row>
    <row r="413" spans="16:33" ht="16.5" x14ac:dyDescent="0.2">
      <c r="P413" s="13">
        <v>357</v>
      </c>
      <c r="Q413" s="14">
        <f t="shared" si="89"/>
        <v>20</v>
      </c>
      <c r="R413" s="14">
        <f t="shared" si="90"/>
        <v>1606024</v>
      </c>
      <c r="S413" s="14" t="str">
        <f t="shared" si="94"/>
        <v>神器4碎片6等级6</v>
      </c>
      <c r="T413" s="29" t="s">
        <v>520</v>
      </c>
      <c r="U413" s="14">
        <f t="shared" si="91"/>
        <v>6</v>
      </c>
      <c r="V413" s="36">
        <f t="shared" si="95"/>
        <v>0.52200000000000002</v>
      </c>
      <c r="W413" s="17">
        <f t="shared" si="92"/>
        <v>1.566E-2</v>
      </c>
      <c r="X413" s="14">
        <f t="shared" si="96"/>
        <v>3</v>
      </c>
      <c r="Y413" s="14">
        <f t="shared" si="97"/>
        <v>0</v>
      </c>
      <c r="Z413" s="14">
        <f t="shared" si="98"/>
        <v>0</v>
      </c>
      <c r="AA413" s="14" t="str">
        <f t="shared" si="99"/>
        <v>HPExt</v>
      </c>
      <c r="AB413" s="14">
        <f t="shared" si="93"/>
        <v>9577</v>
      </c>
      <c r="AC413" s="14" t="str">
        <f t="shared" si="100"/>
        <v>[x]</v>
      </c>
      <c r="AD413" s="14" t="str">
        <f t="shared" si="101"/>
        <v>[x]</v>
      </c>
      <c r="AE413" s="14" t="str">
        <f t="shared" si="102"/>
        <v>[x]</v>
      </c>
      <c r="AF413" s="27" t="str">
        <f t="shared" si="103"/>
        <v>[x]</v>
      </c>
      <c r="AG413" s="27">
        <f t="shared" si="104"/>
        <v>12</v>
      </c>
    </row>
    <row r="414" spans="16:33" ht="16.5" x14ac:dyDescent="0.2">
      <c r="P414" s="13">
        <v>358</v>
      </c>
      <c r="Q414" s="14">
        <f t="shared" si="89"/>
        <v>20</v>
      </c>
      <c r="R414" s="14">
        <f t="shared" si="90"/>
        <v>1606024</v>
      </c>
      <c r="S414" s="14" t="str">
        <f t="shared" si="94"/>
        <v>神器4碎片6等级7</v>
      </c>
      <c r="T414" s="29" t="s">
        <v>520</v>
      </c>
      <c r="U414" s="14">
        <f t="shared" si="91"/>
        <v>7</v>
      </c>
      <c r="V414" s="36">
        <f t="shared" si="95"/>
        <v>0.59799999999999998</v>
      </c>
      <c r="W414" s="17">
        <f t="shared" si="92"/>
        <v>1.7939999999999998E-2</v>
      </c>
      <c r="X414" s="14">
        <f t="shared" si="96"/>
        <v>3</v>
      </c>
      <c r="Y414" s="14">
        <f t="shared" si="97"/>
        <v>0</v>
      </c>
      <c r="Z414" s="14">
        <f t="shared" si="98"/>
        <v>0</v>
      </c>
      <c r="AA414" s="14" t="str">
        <f t="shared" si="99"/>
        <v>HPExt</v>
      </c>
      <c r="AB414" s="14">
        <f t="shared" si="93"/>
        <v>10972</v>
      </c>
      <c r="AC414" s="14" t="str">
        <f t="shared" si="100"/>
        <v>[x]</v>
      </c>
      <c r="AD414" s="14" t="str">
        <f t="shared" si="101"/>
        <v>[x]</v>
      </c>
      <c r="AE414" s="14" t="str">
        <f t="shared" si="102"/>
        <v>[x]</v>
      </c>
      <c r="AF414" s="27" t="str">
        <f t="shared" si="103"/>
        <v>[x]</v>
      </c>
      <c r="AG414" s="27">
        <f t="shared" si="104"/>
        <v>14</v>
      </c>
    </row>
    <row r="415" spans="16:33" ht="16.5" x14ac:dyDescent="0.2">
      <c r="P415" s="13">
        <v>359</v>
      </c>
      <c r="Q415" s="14">
        <f t="shared" si="89"/>
        <v>20</v>
      </c>
      <c r="R415" s="14">
        <f t="shared" si="90"/>
        <v>1606024</v>
      </c>
      <c r="S415" s="14" t="str">
        <f t="shared" si="94"/>
        <v>神器4碎片6等级8</v>
      </c>
      <c r="T415" s="29" t="s">
        <v>520</v>
      </c>
      <c r="U415" s="14">
        <f t="shared" si="91"/>
        <v>8</v>
      </c>
      <c r="V415" s="36">
        <f t="shared" si="95"/>
        <v>0.67800000000000005</v>
      </c>
      <c r="W415" s="17">
        <f t="shared" si="92"/>
        <v>2.034E-2</v>
      </c>
      <c r="X415" s="14">
        <f t="shared" si="96"/>
        <v>3</v>
      </c>
      <c r="Y415" s="14">
        <f t="shared" si="97"/>
        <v>0</v>
      </c>
      <c r="Z415" s="14">
        <f t="shared" si="98"/>
        <v>0</v>
      </c>
      <c r="AA415" s="14" t="str">
        <f t="shared" si="99"/>
        <v>HPExt</v>
      </c>
      <c r="AB415" s="14">
        <f t="shared" si="93"/>
        <v>12440</v>
      </c>
      <c r="AC415" s="14" t="str">
        <f t="shared" si="100"/>
        <v>[x]</v>
      </c>
      <c r="AD415" s="14" t="str">
        <f t="shared" si="101"/>
        <v>[x]</v>
      </c>
      <c r="AE415" s="14" t="str">
        <f t="shared" si="102"/>
        <v>[x]</v>
      </c>
      <c r="AF415" s="27" t="str">
        <f t="shared" si="103"/>
        <v>[x]</v>
      </c>
      <c r="AG415" s="27">
        <f t="shared" si="104"/>
        <v>16</v>
      </c>
    </row>
    <row r="416" spans="16:33" ht="16.5" x14ac:dyDescent="0.2">
      <c r="P416" s="13">
        <v>360</v>
      </c>
      <c r="Q416" s="14">
        <f t="shared" si="89"/>
        <v>20</v>
      </c>
      <c r="R416" s="14">
        <f t="shared" si="90"/>
        <v>1606024</v>
      </c>
      <c r="S416" s="14" t="str">
        <f t="shared" si="94"/>
        <v>神器4碎片6等级9</v>
      </c>
      <c r="T416" s="29" t="s">
        <v>520</v>
      </c>
      <c r="U416" s="14">
        <f t="shared" si="91"/>
        <v>9</v>
      </c>
      <c r="V416" s="36">
        <f t="shared" si="95"/>
        <v>0.76200000000000001</v>
      </c>
      <c r="W416" s="17">
        <f t="shared" si="92"/>
        <v>2.2859999999999998E-2</v>
      </c>
      <c r="X416" s="14">
        <f t="shared" si="96"/>
        <v>3</v>
      </c>
      <c r="Y416" s="14">
        <f t="shared" si="97"/>
        <v>0</v>
      </c>
      <c r="Z416" s="14">
        <f t="shared" si="98"/>
        <v>0</v>
      </c>
      <c r="AA416" s="14" t="str">
        <f t="shared" si="99"/>
        <v>HPExt</v>
      </c>
      <c r="AB416" s="14">
        <f t="shared" si="93"/>
        <v>13981</v>
      </c>
      <c r="AC416" s="14" t="str">
        <f t="shared" si="100"/>
        <v>[x]</v>
      </c>
      <c r="AD416" s="14" t="str">
        <f t="shared" si="101"/>
        <v>[x]</v>
      </c>
      <c r="AE416" s="14" t="str">
        <f t="shared" si="102"/>
        <v>[x]</v>
      </c>
      <c r="AF416" s="27" t="str">
        <f t="shared" si="103"/>
        <v>[x]</v>
      </c>
      <c r="AG416" s="27">
        <f t="shared" si="104"/>
        <v>18</v>
      </c>
    </row>
    <row r="417" spans="16:33" ht="16.5" x14ac:dyDescent="0.2">
      <c r="P417" s="13">
        <v>361</v>
      </c>
      <c r="Q417" s="14">
        <f t="shared" si="89"/>
        <v>20</v>
      </c>
      <c r="R417" s="14">
        <f t="shared" si="90"/>
        <v>1606024</v>
      </c>
      <c r="S417" s="14" t="str">
        <f t="shared" si="94"/>
        <v>神器4碎片6等级10</v>
      </c>
      <c r="T417" s="29" t="s">
        <v>520</v>
      </c>
      <c r="U417" s="14">
        <f t="shared" si="91"/>
        <v>10</v>
      </c>
      <c r="V417" s="36">
        <f t="shared" si="95"/>
        <v>0.85000000000000009</v>
      </c>
      <c r="W417" s="17">
        <f t="shared" si="92"/>
        <v>2.5500000000000002E-2</v>
      </c>
      <c r="X417" s="14">
        <f t="shared" si="96"/>
        <v>3</v>
      </c>
      <c r="Y417" s="14">
        <f t="shared" si="97"/>
        <v>0</v>
      </c>
      <c r="Z417" s="14">
        <f t="shared" si="98"/>
        <v>0</v>
      </c>
      <c r="AA417" s="14" t="str">
        <f t="shared" si="99"/>
        <v>HPExt</v>
      </c>
      <c r="AB417" s="14">
        <f t="shared" si="93"/>
        <v>15596</v>
      </c>
      <c r="AC417" s="14" t="str">
        <f t="shared" si="100"/>
        <v>[x]</v>
      </c>
      <c r="AD417" s="14" t="str">
        <f t="shared" si="101"/>
        <v>[x]</v>
      </c>
      <c r="AE417" s="14" t="str">
        <f t="shared" si="102"/>
        <v>[x]</v>
      </c>
      <c r="AF417" s="27" t="str">
        <f t="shared" si="103"/>
        <v>[x]</v>
      </c>
      <c r="AG417" s="27">
        <f t="shared" si="104"/>
        <v>20</v>
      </c>
    </row>
    <row r="418" spans="16:33" ht="16.5" x14ac:dyDescent="0.2">
      <c r="P418" s="13">
        <v>362</v>
      </c>
      <c r="Q418" s="14">
        <f t="shared" si="89"/>
        <v>20</v>
      </c>
      <c r="R418" s="14">
        <f t="shared" si="90"/>
        <v>1606024</v>
      </c>
      <c r="S418" s="14" t="str">
        <f t="shared" si="94"/>
        <v>神器4碎片6等级11</v>
      </c>
      <c r="T418" s="29" t="s">
        <v>520</v>
      </c>
      <c r="U418" s="14">
        <f t="shared" si="91"/>
        <v>11</v>
      </c>
      <c r="V418" s="36">
        <f t="shared" si="95"/>
        <v>0.94200000000000006</v>
      </c>
      <c r="W418" s="17">
        <f t="shared" si="92"/>
        <v>2.826E-2</v>
      </c>
      <c r="X418" s="14">
        <f t="shared" si="96"/>
        <v>3</v>
      </c>
      <c r="Y418" s="14">
        <f t="shared" si="97"/>
        <v>0</v>
      </c>
      <c r="Z418" s="14">
        <f t="shared" si="98"/>
        <v>0</v>
      </c>
      <c r="AA418" s="14" t="str">
        <f t="shared" si="99"/>
        <v>HPExt</v>
      </c>
      <c r="AB418" s="14">
        <f t="shared" si="93"/>
        <v>17284</v>
      </c>
      <c r="AC418" s="14" t="str">
        <f t="shared" si="100"/>
        <v>[x]</v>
      </c>
      <c r="AD418" s="14" t="str">
        <f t="shared" si="101"/>
        <v>[x]</v>
      </c>
      <c r="AE418" s="14" t="str">
        <f t="shared" si="102"/>
        <v>[x]</v>
      </c>
      <c r="AF418" s="27" t="str">
        <f t="shared" si="103"/>
        <v>[x]</v>
      </c>
      <c r="AG418" s="27">
        <f t="shared" si="104"/>
        <v>22</v>
      </c>
    </row>
    <row r="419" spans="16:33" ht="16.5" x14ac:dyDescent="0.2">
      <c r="P419" s="13">
        <v>363</v>
      </c>
      <c r="Q419" s="14">
        <f t="shared" si="89"/>
        <v>20</v>
      </c>
      <c r="R419" s="14">
        <f t="shared" si="90"/>
        <v>1606024</v>
      </c>
      <c r="S419" s="14" t="str">
        <f t="shared" si="94"/>
        <v>神器4碎片6等级12</v>
      </c>
      <c r="T419" s="29" t="s">
        <v>520</v>
      </c>
      <c r="U419" s="14">
        <f t="shared" si="91"/>
        <v>12</v>
      </c>
      <c r="V419" s="36">
        <f t="shared" si="95"/>
        <v>1.0380000000000003</v>
      </c>
      <c r="W419" s="17">
        <f t="shared" si="92"/>
        <v>3.1140000000000008E-2</v>
      </c>
      <c r="X419" s="14">
        <f t="shared" si="96"/>
        <v>3</v>
      </c>
      <c r="Y419" s="14">
        <f t="shared" si="97"/>
        <v>0</v>
      </c>
      <c r="Z419" s="14">
        <f t="shared" si="98"/>
        <v>0</v>
      </c>
      <c r="AA419" s="14" t="str">
        <f t="shared" si="99"/>
        <v>HPExt</v>
      </c>
      <c r="AB419" s="14">
        <f t="shared" si="93"/>
        <v>19045</v>
      </c>
      <c r="AC419" s="14" t="str">
        <f t="shared" si="100"/>
        <v>[x]</v>
      </c>
      <c r="AD419" s="14" t="str">
        <f t="shared" si="101"/>
        <v>[x]</v>
      </c>
      <c r="AE419" s="14" t="str">
        <f t="shared" si="102"/>
        <v>[x]</v>
      </c>
      <c r="AF419" s="27" t="str">
        <f t="shared" si="103"/>
        <v>[x]</v>
      </c>
      <c r="AG419" s="27">
        <f t="shared" si="104"/>
        <v>24</v>
      </c>
    </row>
    <row r="420" spans="16:33" ht="16.5" x14ac:dyDescent="0.2">
      <c r="P420" s="13">
        <v>364</v>
      </c>
      <c r="Q420" s="14">
        <f t="shared" si="89"/>
        <v>20</v>
      </c>
      <c r="R420" s="14">
        <f t="shared" si="90"/>
        <v>1606024</v>
      </c>
      <c r="S420" s="14" t="str">
        <f t="shared" si="94"/>
        <v>神器4碎片6等级13</v>
      </c>
      <c r="T420" s="29" t="s">
        <v>520</v>
      </c>
      <c r="U420" s="14">
        <f t="shared" si="91"/>
        <v>13</v>
      </c>
      <c r="V420" s="36">
        <f t="shared" si="95"/>
        <v>1.1380000000000001</v>
      </c>
      <c r="W420" s="17">
        <f t="shared" si="92"/>
        <v>3.4140000000000004E-2</v>
      </c>
      <c r="X420" s="14">
        <f t="shared" si="96"/>
        <v>3</v>
      </c>
      <c r="Y420" s="14">
        <f t="shared" si="97"/>
        <v>0</v>
      </c>
      <c r="Z420" s="14">
        <f t="shared" si="98"/>
        <v>0</v>
      </c>
      <c r="AA420" s="14" t="str">
        <f t="shared" si="99"/>
        <v>HPExt</v>
      </c>
      <c r="AB420" s="14">
        <f t="shared" si="93"/>
        <v>20880</v>
      </c>
      <c r="AC420" s="14" t="str">
        <f t="shared" si="100"/>
        <v>[x]</v>
      </c>
      <c r="AD420" s="14" t="str">
        <f t="shared" si="101"/>
        <v>[x]</v>
      </c>
      <c r="AE420" s="14" t="str">
        <f t="shared" si="102"/>
        <v>[x]</v>
      </c>
      <c r="AF420" s="27" t="str">
        <f t="shared" si="103"/>
        <v>[x]</v>
      </c>
      <c r="AG420" s="27">
        <f t="shared" si="104"/>
        <v>26</v>
      </c>
    </row>
    <row r="421" spans="16:33" ht="16.5" x14ac:dyDescent="0.2">
      <c r="P421" s="13">
        <v>365</v>
      </c>
      <c r="Q421" s="14">
        <f t="shared" si="89"/>
        <v>20</v>
      </c>
      <c r="R421" s="14">
        <f t="shared" si="90"/>
        <v>1606024</v>
      </c>
      <c r="S421" s="14" t="str">
        <f t="shared" si="94"/>
        <v>神器4碎片6等级14</v>
      </c>
      <c r="T421" s="29" t="s">
        <v>520</v>
      </c>
      <c r="U421" s="14">
        <f t="shared" si="91"/>
        <v>14</v>
      </c>
      <c r="V421" s="36">
        <f t="shared" si="95"/>
        <v>1.242</v>
      </c>
      <c r="W421" s="17">
        <f t="shared" si="92"/>
        <v>3.7260000000000001E-2</v>
      </c>
      <c r="X421" s="14">
        <f t="shared" si="96"/>
        <v>3</v>
      </c>
      <c r="Y421" s="14">
        <f t="shared" si="97"/>
        <v>0</v>
      </c>
      <c r="Z421" s="14">
        <f t="shared" si="98"/>
        <v>0</v>
      </c>
      <c r="AA421" s="14" t="str">
        <f t="shared" si="99"/>
        <v>HPExt</v>
      </c>
      <c r="AB421" s="14">
        <f t="shared" si="93"/>
        <v>22788</v>
      </c>
      <c r="AC421" s="14" t="str">
        <f t="shared" si="100"/>
        <v>[x]</v>
      </c>
      <c r="AD421" s="14" t="str">
        <f t="shared" si="101"/>
        <v>[x]</v>
      </c>
      <c r="AE421" s="14" t="str">
        <f t="shared" si="102"/>
        <v>[x]</v>
      </c>
      <c r="AF421" s="27" t="str">
        <f t="shared" si="103"/>
        <v>[x]</v>
      </c>
      <c r="AG421" s="27">
        <f t="shared" si="104"/>
        <v>28</v>
      </c>
    </row>
    <row r="422" spans="16:33" ht="16.5" x14ac:dyDescent="0.2">
      <c r="P422" s="13">
        <v>366</v>
      </c>
      <c r="Q422" s="14">
        <f t="shared" si="89"/>
        <v>20</v>
      </c>
      <c r="R422" s="14">
        <f t="shared" si="90"/>
        <v>1606024</v>
      </c>
      <c r="S422" s="14" t="str">
        <f t="shared" si="94"/>
        <v>神器4碎片6等级15</v>
      </c>
      <c r="T422" s="29" t="s">
        <v>520</v>
      </c>
      <c r="U422" s="14">
        <f t="shared" si="91"/>
        <v>15</v>
      </c>
      <c r="V422" s="36">
        <f t="shared" si="95"/>
        <v>1.35</v>
      </c>
      <c r="W422" s="17">
        <f t="shared" si="92"/>
        <v>4.0500000000000001E-2</v>
      </c>
      <c r="X422" s="14">
        <f t="shared" si="96"/>
        <v>3</v>
      </c>
      <c r="Y422" s="14">
        <f t="shared" si="97"/>
        <v>0</v>
      </c>
      <c r="Z422" s="14">
        <f t="shared" si="98"/>
        <v>0</v>
      </c>
      <c r="AA422" s="14" t="str">
        <f t="shared" si="99"/>
        <v>HPExt</v>
      </c>
      <c r="AB422" s="14">
        <f t="shared" si="93"/>
        <v>24770</v>
      </c>
      <c r="AC422" s="14" t="str">
        <f t="shared" si="100"/>
        <v>[x]</v>
      </c>
      <c r="AD422" s="14" t="str">
        <f t="shared" si="101"/>
        <v>[x]</v>
      </c>
      <c r="AE422" s="14" t="str">
        <f t="shared" si="102"/>
        <v>[x]</v>
      </c>
      <c r="AF422" s="27" t="str">
        <f t="shared" si="103"/>
        <v>[x]</v>
      </c>
      <c r="AG422" s="27">
        <f t="shared" si="104"/>
        <v>30</v>
      </c>
    </row>
    <row r="423" spans="16:33" ht="16.5" x14ac:dyDescent="0.2">
      <c r="P423" s="13">
        <v>367</v>
      </c>
      <c r="Q423" s="14">
        <f t="shared" si="89"/>
        <v>20</v>
      </c>
      <c r="R423" s="14">
        <f t="shared" si="90"/>
        <v>1606024</v>
      </c>
      <c r="S423" s="14" t="str">
        <f t="shared" si="94"/>
        <v>神器4碎片6等级16</v>
      </c>
      <c r="T423" s="29" t="s">
        <v>520</v>
      </c>
      <c r="U423" s="14">
        <f t="shared" si="91"/>
        <v>16</v>
      </c>
      <c r="V423" s="36">
        <f t="shared" si="95"/>
        <v>1.4620000000000002</v>
      </c>
      <c r="W423" s="17">
        <f t="shared" si="92"/>
        <v>4.3860000000000003E-2</v>
      </c>
      <c r="X423" s="14">
        <f t="shared" si="96"/>
        <v>3</v>
      </c>
      <c r="Y423" s="14">
        <f t="shared" si="97"/>
        <v>0</v>
      </c>
      <c r="Z423" s="14">
        <f t="shared" si="98"/>
        <v>0</v>
      </c>
      <c r="AA423" s="14" t="str">
        <f t="shared" si="99"/>
        <v>HPExt</v>
      </c>
      <c r="AB423" s="14">
        <f t="shared" si="93"/>
        <v>26825</v>
      </c>
      <c r="AC423" s="14" t="str">
        <f t="shared" si="100"/>
        <v>[x]</v>
      </c>
      <c r="AD423" s="14" t="str">
        <f t="shared" si="101"/>
        <v>[x]</v>
      </c>
      <c r="AE423" s="14" t="str">
        <f t="shared" si="102"/>
        <v>[x]</v>
      </c>
      <c r="AF423" s="27" t="str">
        <f t="shared" si="103"/>
        <v>[x]</v>
      </c>
      <c r="AG423" s="27">
        <f t="shared" si="104"/>
        <v>32</v>
      </c>
    </row>
    <row r="424" spans="16:33" ht="16.5" x14ac:dyDescent="0.2">
      <c r="P424" s="13">
        <v>368</v>
      </c>
      <c r="Q424" s="14">
        <f t="shared" si="89"/>
        <v>20</v>
      </c>
      <c r="R424" s="14">
        <f t="shared" si="90"/>
        <v>1606024</v>
      </c>
      <c r="S424" s="14" t="str">
        <f t="shared" si="94"/>
        <v>神器4碎片6等级17</v>
      </c>
      <c r="T424" s="29" t="s">
        <v>520</v>
      </c>
      <c r="U424" s="14">
        <f t="shared" si="91"/>
        <v>17</v>
      </c>
      <c r="V424" s="36">
        <f t="shared" si="95"/>
        <v>1.5779999999999998</v>
      </c>
      <c r="W424" s="17">
        <f t="shared" si="92"/>
        <v>4.7339999999999993E-2</v>
      </c>
      <c r="X424" s="14">
        <f t="shared" si="96"/>
        <v>3</v>
      </c>
      <c r="Y424" s="14">
        <f t="shared" si="97"/>
        <v>0</v>
      </c>
      <c r="Z424" s="14">
        <f t="shared" si="98"/>
        <v>0</v>
      </c>
      <c r="AA424" s="14" t="str">
        <f t="shared" si="99"/>
        <v>HPExt</v>
      </c>
      <c r="AB424" s="14">
        <f t="shared" si="93"/>
        <v>28953</v>
      </c>
      <c r="AC424" s="14" t="str">
        <f t="shared" si="100"/>
        <v>[x]</v>
      </c>
      <c r="AD424" s="14" t="str">
        <f t="shared" si="101"/>
        <v>[x]</v>
      </c>
      <c r="AE424" s="14" t="str">
        <f t="shared" si="102"/>
        <v>[x]</v>
      </c>
      <c r="AF424" s="27" t="str">
        <f t="shared" si="103"/>
        <v>[x]</v>
      </c>
      <c r="AG424" s="27">
        <f t="shared" si="104"/>
        <v>34</v>
      </c>
    </row>
    <row r="425" spans="16:33" ht="16.5" x14ac:dyDescent="0.2">
      <c r="P425" s="13">
        <v>369</v>
      </c>
      <c r="Q425" s="14">
        <f t="shared" si="89"/>
        <v>20</v>
      </c>
      <c r="R425" s="14">
        <f t="shared" si="90"/>
        <v>1606024</v>
      </c>
      <c r="S425" s="14" t="str">
        <f t="shared" si="94"/>
        <v>神器4碎片6等级18</v>
      </c>
      <c r="T425" s="29" t="s">
        <v>520</v>
      </c>
      <c r="U425" s="14">
        <f t="shared" si="91"/>
        <v>18</v>
      </c>
      <c r="V425" s="36">
        <f t="shared" si="95"/>
        <v>1.698</v>
      </c>
      <c r="W425" s="17">
        <f t="shared" si="92"/>
        <v>5.0939999999999999E-2</v>
      </c>
      <c r="X425" s="14">
        <f t="shared" si="96"/>
        <v>3</v>
      </c>
      <c r="Y425" s="14">
        <f t="shared" si="97"/>
        <v>0</v>
      </c>
      <c r="Z425" s="14">
        <f t="shared" si="98"/>
        <v>0</v>
      </c>
      <c r="AA425" s="14" t="str">
        <f t="shared" si="99"/>
        <v>HPExt</v>
      </c>
      <c r="AB425" s="14">
        <f t="shared" si="93"/>
        <v>31155</v>
      </c>
      <c r="AC425" s="14" t="str">
        <f t="shared" si="100"/>
        <v>[x]</v>
      </c>
      <c r="AD425" s="14" t="str">
        <f t="shared" si="101"/>
        <v>[x]</v>
      </c>
      <c r="AE425" s="14" t="str">
        <f t="shared" si="102"/>
        <v>[x]</v>
      </c>
      <c r="AF425" s="27" t="str">
        <f t="shared" si="103"/>
        <v>[x]</v>
      </c>
      <c r="AG425" s="27">
        <f t="shared" si="104"/>
        <v>36</v>
      </c>
    </row>
    <row r="426" spans="16:33" ht="16.5" x14ac:dyDescent="0.2">
      <c r="P426" s="13">
        <v>370</v>
      </c>
      <c r="Q426" s="14">
        <f t="shared" si="89"/>
        <v>20</v>
      </c>
      <c r="R426" s="14">
        <f t="shared" si="90"/>
        <v>1606024</v>
      </c>
      <c r="S426" s="14" t="str">
        <f t="shared" si="94"/>
        <v>神器4碎片6等级19</v>
      </c>
      <c r="T426" s="29" t="s">
        <v>520</v>
      </c>
      <c r="U426" s="14">
        <f t="shared" si="91"/>
        <v>19</v>
      </c>
      <c r="V426" s="36">
        <f t="shared" si="95"/>
        <v>1.8220000000000001</v>
      </c>
      <c r="W426" s="17">
        <f t="shared" si="92"/>
        <v>5.466E-2</v>
      </c>
      <c r="X426" s="14">
        <f t="shared" si="96"/>
        <v>3</v>
      </c>
      <c r="Y426" s="14">
        <f t="shared" si="97"/>
        <v>0</v>
      </c>
      <c r="Z426" s="14">
        <f t="shared" si="98"/>
        <v>0</v>
      </c>
      <c r="AA426" s="14" t="str">
        <f t="shared" si="99"/>
        <v>HPExt</v>
      </c>
      <c r="AB426" s="14">
        <f t="shared" si="93"/>
        <v>33430</v>
      </c>
      <c r="AC426" s="14" t="str">
        <f t="shared" si="100"/>
        <v>[x]</v>
      </c>
      <c r="AD426" s="14" t="str">
        <f t="shared" si="101"/>
        <v>[x]</v>
      </c>
      <c r="AE426" s="14" t="str">
        <f t="shared" si="102"/>
        <v>[x]</v>
      </c>
      <c r="AF426" s="27" t="str">
        <f t="shared" si="103"/>
        <v>[x]</v>
      </c>
      <c r="AG426" s="27">
        <f t="shared" si="104"/>
        <v>38</v>
      </c>
    </row>
    <row r="427" spans="16:33" ht="16.5" x14ac:dyDescent="0.2">
      <c r="P427" s="13">
        <v>371</v>
      </c>
      <c r="Q427" s="14">
        <f t="shared" si="89"/>
        <v>20</v>
      </c>
      <c r="R427" s="14">
        <f t="shared" si="90"/>
        <v>1606024</v>
      </c>
      <c r="S427" s="14" t="str">
        <f t="shared" si="94"/>
        <v>神器4碎片6等级20</v>
      </c>
      <c r="T427" s="29" t="s">
        <v>520</v>
      </c>
      <c r="U427" s="14">
        <f t="shared" si="91"/>
        <v>20</v>
      </c>
      <c r="V427" s="36">
        <f t="shared" si="95"/>
        <v>1.95</v>
      </c>
      <c r="W427" s="17">
        <f t="shared" si="92"/>
        <v>5.8499999999999996E-2</v>
      </c>
      <c r="X427" s="14">
        <f t="shared" si="96"/>
        <v>3</v>
      </c>
      <c r="Y427" s="14">
        <f t="shared" si="97"/>
        <v>0</v>
      </c>
      <c r="Z427" s="14">
        <f t="shared" si="98"/>
        <v>0</v>
      </c>
      <c r="AA427" s="14" t="str">
        <f t="shared" si="99"/>
        <v>HPExt</v>
      </c>
      <c r="AB427" s="14">
        <f t="shared" si="93"/>
        <v>35779</v>
      </c>
      <c r="AC427" s="14" t="str">
        <f t="shared" si="100"/>
        <v>[x]</v>
      </c>
      <c r="AD427" s="14" t="str">
        <f t="shared" si="101"/>
        <v>[x]</v>
      </c>
      <c r="AE427" s="14" t="str">
        <f t="shared" si="102"/>
        <v>[x]</v>
      </c>
      <c r="AF427" s="27" t="str">
        <f t="shared" si="103"/>
        <v>[x]</v>
      </c>
      <c r="AG427" s="27">
        <f t="shared" si="104"/>
        <v>40</v>
      </c>
    </row>
    <row r="428" spans="16:33" ht="16.5" x14ac:dyDescent="0.2">
      <c r="P428" s="13">
        <v>372</v>
      </c>
      <c r="Q428" s="14">
        <f t="shared" si="89"/>
        <v>20</v>
      </c>
      <c r="R428" s="14">
        <f t="shared" si="90"/>
        <v>1606024</v>
      </c>
      <c r="S428" s="14" t="str">
        <f t="shared" si="94"/>
        <v>神器4碎片6等级21</v>
      </c>
      <c r="T428" s="29" t="s">
        <v>520</v>
      </c>
      <c r="U428" s="14">
        <f t="shared" si="91"/>
        <v>21</v>
      </c>
      <c r="V428" s="36">
        <f t="shared" si="95"/>
        <v>2.0819999999999999</v>
      </c>
      <c r="W428" s="17">
        <f t="shared" si="92"/>
        <v>6.2459999999999995E-2</v>
      </c>
      <c r="X428" s="14">
        <f t="shared" si="96"/>
        <v>3</v>
      </c>
      <c r="Y428" s="14">
        <f t="shared" si="97"/>
        <v>0</v>
      </c>
      <c r="Z428" s="14">
        <f t="shared" si="98"/>
        <v>0</v>
      </c>
      <c r="AA428" s="14" t="str">
        <f t="shared" si="99"/>
        <v>HPExt</v>
      </c>
      <c r="AB428" s="14">
        <f t="shared" si="93"/>
        <v>38201</v>
      </c>
      <c r="AC428" s="14" t="str">
        <f t="shared" si="100"/>
        <v>[x]</v>
      </c>
      <c r="AD428" s="14" t="str">
        <f t="shared" si="101"/>
        <v>[x]</v>
      </c>
      <c r="AE428" s="14" t="str">
        <f t="shared" si="102"/>
        <v>[x]</v>
      </c>
      <c r="AF428" s="27" t="str">
        <f t="shared" si="103"/>
        <v>[x]</v>
      </c>
      <c r="AG428" s="27">
        <f t="shared" si="104"/>
        <v>42</v>
      </c>
    </row>
    <row r="429" spans="16:33" ht="16.5" x14ac:dyDescent="0.2">
      <c r="P429" s="13">
        <v>373</v>
      </c>
      <c r="Q429" s="14">
        <f t="shared" si="89"/>
        <v>21</v>
      </c>
      <c r="R429" s="14">
        <f t="shared" si="90"/>
        <v>1606027</v>
      </c>
      <c r="S429" s="14" t="str">
        <f t="shared" si="94"/>
        <v>神器5碎片1等级1</v>
      </c>
      <c r="T429" s="29" t="s">
        <v>520</v>
      </c>
      <c r="U429" s="14">
        <f t="shared" si="91"/>
        <v>1</v>
      </c>
      <c r="V429" s="36">
        <f t="shared" si="95"/>
        <v>0.20200000000000001</v>
      </c>
      <c r="W429" s="17">
        <f t="shared" si="92"/>
        <v>2.0200000000000001E-3</v>
      </c>
      <c r="X429" s="14">
        <f t="shared" si="96"/>
        <v>2</v>
      </c>
      <c r="Y429" s="14">
        <f t="shared" si="97"/>
        <v>3</v>
      </c>
      <c r="Z429" s="14">
        <f t="shared" si="98"/>
        <v>0</v>
      </c>
      <c r="AA429" s="14" t="str">
        <f t="shared" si="99"/>
        <v>DefExt</v>
      </c>
      <c r="AB429" s="14">
        <f t="shared" si="93"/>
        <v>137</v>
      </c>
      <c r="AC429" s="14" t="str">
        <f t="shared" si="100"/>
        <v>HPExt</v>
      </c>
      <c r="AD429" s="14">
        <f t="shared" si="101"/>
        <v>411</v>
      </c>
      <c r="AE429" s="14" t="str">
        <f t="shared" si="102"/>
        <v>[x]</v>
      </c>
      <c r="AF429" s="27" t="str">
        <f t="shared" si="103"/>
        <v>[x]</v>
      </c>
      <c r="AG429" s="27" t="str">
        <f t="shared" si="104"/>
        <v>[x]</v>
      </c>
    </row>
    <row r="430" spans="16:33" ht="16.5" x14ac:dyDescent="0.2">
      <c r="P430" s="13">
        <v>374</v>
      </c>
      <c r="Q430" s="14">
        <f t="shared" si="89"/>
        <v>21</v>
      </c>
      <c r="R430" s="14">
        <f t="shared" si="90"/>
        <v>1606027</v>
      </c>
      <c r="S430" s="14" t="str">
        <f t="shared" si="94"/>
        <v>神器5碎片1等级2</v>
      </c>
      <c r="T430" s="29" t="s">
        <v>520</v>
      </c>
      <c r="U430" s="14">
        <f t="shared" si="91"/>
        <v>2</v>
      </c>
      <c r="V430" s="36">
        <f t="shared" si="95"/>
        <v>0.25800000000000001</v>
      </c>
      <c r="W430" s="17">
        <f t="shared" si="92"/>
        <v>2.5800000000000003E-3</v>
      </c>
      <c r="X430" s="14">
        <f t="shared" si="96"/>
        <v>2</v>
      </c>
      <c r="Y430" s="14">
        <f t="shared" si="97"/>
        <v>3</v>
      </c>
      <c r="Z430" s="14">
        <f t="shared" si="98"/>
        <v>0</v>
      </c>
      <c r="AA430" s="14" t="str">
        <f t="shared" si="99"/>
        <v>DefExt</v>
      </c>
      <c r="AB430" s="14">
        <f t="shared" si="93"/>
        <v>175</v>
      </c>
      <c r="AC430" s="14" t="str">
        <f t="shared" si="100"/>
        <v>HPExt</v>
      </c>
      <c r="AD430" s="14">
        <f t="shared" si="101"/>
        <v>525</v>
      </c>
      <c r="AE430" s="14" t="str">
        <f t="shared" si="102"/>
        <v>[x]</v>
      </c>
      <c r="AF430" s="27" t="str">
        <f t="shared" si="103"/>
        <v>[x]</v>
      </c>
      <c r="AG430" s="27" t="str">
        <f t="shared" si="104"/>
        <v>[x]</v>
      </c>
    </row>
    <row r="431" spans="16:33" ht="16.5" x14ac:dyDescent="0.2">
      <c r="P431" s="13">
        <v>375</v>
      </c>
      <c r="Q431" s="14">
        <f t="shared" si="89"/>
        <v>21</v>
      </c>
      <c r="R431" s="14">
        <f t="shared" si="90"/>
        <v>1606027</v>
      </c>
      <c r="S431" s="14" t="str">
        <f t="shared" si="94"/>
        <v>神器5碎片1等级3</v>
      </c>
      <c r="T431" s="29" t="s">
        <v>520</v>
      </c>
      <c r="U431" s="14">
        <f t="shared" si="91"/>
        <v>3</v>
      </c>
      <c r="V431" s="36">
        <f t="shared" si="95"/>
        <v>0.31800000000000006</v>
      </c>
      <c r="W431" s="17">
        <f t="shared" si="92"/>
        <v>3.1800000000000005E-3</v>
      </c>
      <c r="X431" s="14">
        <f t="shared" si="96"/>
        <v>2</v>
      </c>
      <c r="Y431" s="14">
        <f t="shared" si="97"/>
        <v>3</v>
      </c>
      <c r="Z431" s="14">
        <f t="shared" si="98"/>
        <v>0</v>
      </c>
      <c r="AA431" s="14" t="str">
        <f t="shared" si="99"/>
        <v>DefExt</v>
      </c>
      <c r="AB431" s="14">
        <f t="shared" si="93"/>
        <v>215</v>
      </c>
      <c r="AC431" s="14" t="str">
        <f t="shared" si="100"/>
        <v>HPExt</v>
      </c>
      <c r="AD431" s="14">
        <f t="shared" si="101"/>
        <v>648</v>
      </c>
      <c r="AE431" s="14" t="str">
        <f t="shared" si="102"/>
        <v>[x]</v>
      </c>
      <c r="AF431" s="27" t="str">
        <f t="shared" si="103"/>
        <v>[x]</v>
      </c>
      <c r="AG431" s="27" t="str">
        <f t="shared" si="104"/>
        <v>[x]</v>
      </c>
    </row>
    <row r="432" spans="16:33" ht="16.5" x14ac:dyDescent="0.2">
      <c r="P432" s="13">
        <v>376</v>
      </c>
      <c r="Q432" s="14">
        <f t="shared" si="89"/>
        <v>21</v>
      </c>
      <c r="R432" s="14">
        <f t="shared" si="90"/>
        <v>1606027</v>
      </c>
      <c r="S432" s="14" t="str">
        <f t="shared" si="94"/>
        <v>神器5碎片1等级4</v>
      </c>
      <c r="T432" s="29" t="s">
        <v>520</v>
      </c>
      <c r="U432" s="14">
        <f t="shared" si="91"/>
        <v>4</v>
      </c>
      <c r="V432" s="36">
        <f t="shared" si="95"/>
        <v>0.38200000000000001</v>
      </c>
      <c r="W432" s="17">
        <f t="shared" si="92"/>
        <v>3.82E-3</v>
      </c>
      <c r="X432" s="14">
        <f t="shared" si="96"/>
        <v>2</v>
      </c>
      <c r="Y432" s="14">
        <f t="shared" si="97"/>
        <v>3</v>
      </c>
      <c r="Z432" s="14">
        <f t="shared" si="98"/>
        <v>0</v>
      </c>
      <c r="AA432" s="14" t="str">
        <f t="shared" si="99"/>
        <v>DefExt</v>
      </c>
      <c r="AB432" s="14">
        <f t="shared" si="93"/>
        <v>259</v>
      </c>
      <c r="AC432" s="14" t="str">
        <f t="shared" si="100"/>
        <v>HPExt</v>
      </c>
      <c r="AD432" s="14">
        <f t="shared" si="101"/>
        <v>778</v>
      </c>
      <c r="AE432" s="14" t="str">
        <f t="shared" si="102"/>
        <v>[x]</v>
      </c>
      <c r="AF432" s="27" t="str">
        <f t="shared" si="103"/>
        <v>[x]</v>
      </c>
      <c r="AG432" s="27" t="str">
        <f t="shared" si="104"/>
        <v>[x]</v>
      </c>
    </row>
    <row r="433" spans="16:33" ht="16.5" x14ac:dyDescent="0.2">
      <c r="P433" s="13">
        <v>377</v>
      </c>
      <c r="Q433" s="14">
        <f t="shared" si="89"/>
        <v>21</v>
      </c>
      <c r="R433" s="14">
        <f t="shared" si="90"/>
        <v>1606027</v>
      </c>
      <c r="S433" s="14" t="str">
        <f t="shared" si="94"/>
        <v>神器5碎片1等级5</v>
      </c>
      <c r="T433" s="29" t="s">
        <v>520</v>
      </c>
      <c r="U433" s="14">
        <f t="shared" si="91"/>
        <v>5</v>
      </c>
      <c r="V433" s="36">
        <f t="shared" si="95"/>
        <v>0.45</v>
      </c>
      <c r="W433" s="17">
        <f t="shared" si="92"/>
        <v>4.5000000000000005E-3</v>
      </c>
      <c r="X433" s="14">
        <f t="shared" si="96"/>
        <v>2</v>
      </c>
      <c r="Y433" s="14">
        <f t="shared" si="97"/>
        <v>3</v>
      </c>
      <c r="Z433" s="14">
        <f t="shared" si="98"/>
        <v>0</v>
      </c>
      <c r="AA433" s="14" t="str">
        <f t="shared" si="99"/>
        <v>DefExt</v>
      </c>
      <c r="AB433" s="14">
        <f t="shared" si="93"/>
        <v>305</v>
      </c>
      <c r="AC433" s="14" t="str">
        <f t="shared" si="100"/>
        <v>HPExt</v>
      </c>
      <c r="AD433" s="14">
        <f t="shared" si="101"/>
        <v>917</v>
      </c>
      <c r="AE433" s="14" t="str">
        <f t="shared" si="102"/>
        <v>[x]</v>
      </c>
      <c r="AF433" s="27" t="str">
        <f t="shared" si="103"/>
        <v>[x]</v>
      </c>
      <c r="AG433" s="27" t="str">
        <f t="shared" si="104"/>
        <v>[x]</v>
      </c>
    </row>
    <row r="434" spans="16:33" ht="16.5" x14ac:dyDescent="0.2">
      <c r="P434" s="13">
        <v>378</v>
      </c>
      <c r="Q434" s="14">
        <f t="shared" si="89"/>
        <v>21</v>
      </c>
      <c r="R434" s="14">
        <f t="shared" si="90"/>
        <v>1606027</v>
      </c>
      <c r="S434" s="14" t="str">
        <f t="shared" si="94"/>
        <v>神器5碎片1等级6</v>
      </c>
      <c r="T434" s="29" t="s">
        <v>520</v>
      </c>
      <c r="U434" s="14">
        <f t="shared" si="91"/>
        <v>6</v>
      </c>
      <c r="V434" s="36">
        <f t="shared" si="95"/>
        <v>0.52200000000000002</v>
      </c>
      <c r="W434" s="17">
        <f t="shared" si="92"/>
        <v>5.2200000000000007E-3</v>
      </c>
      <c r="X434" s="14">
        <f t="shared" si="96"/>
        <v>2</v>
      </c>
      <c r="Y434" s="14">
        <f t="shared" si="97"/>
        <v>3</v>
      </c>
      <c r="Z434" s="14">
        <f t="shared" si="98"/>
        <v>0</v>
      </c>
      <c r="AA434" s="14" t="str">
        <f t="shared" si="99"/>
        <v>DefExt</v>
      </c>
      <c r="AB434" s="14">
        <f t="shared" si="93"/>
        <v>354</v>
      </c>
      <c r="AC434" s="14" t="str">
        <f t="shared" si="100"/>
        <v>HPExt</v>
      </c>
      <c r="AD434" s="14">
        <f t="shared" si="101"/>
        <v>1064</v>
      </c>
      <c r="AE434" s="14" t="str">
        <f t="shared" si="102"/>
        <v>[x]</v>
      </c>
      <c r="AF434" s="27" t="str">
        <f t="shared" si="103"/>
        <v>[x]</v>
      </c>
      <c r="AG434" s="27" t="str">
        <f t="shared" si="104"/>
        <v>[x]</v>
      </c>
    </row>
    <row r="435" spans="16:33" ht="16.5" x14ac:dyDescent="0.2">
      <c r="P435" s="13">
        <v>379</v>
      </c>
      <c r="Q435" s="14">
        <f t="shared" si="89"/>
        <v>21</v>
      </c>
      <c r="R435" s="14">
        <f t="shared" si="90"/>
        <v>1606027</v>
      </c>
      <c r="S435" s="14" t="str">
        <f t="shared" si="94"/>
        <v>神器5碎片1等级7</v>
      </c>
      <c r="T435" s="29" t="s">
        <v>520</v>
      </c>
      <c r="U435" s="14">
        <f t="shared" si="91"/>
        <v>7</v>
      </c>
      <c r="V435" s="36">
        <f t="shared" si="95"/>
        <v>0.59799999999999998</v>
      </c>
      <c r="W435" s="17">
        <f t="shared" si="92"/>
        <v>5.9800000000000001E-3</v>
      </c>
      <c r="X435" s="14">
        <f t="shared" si="96"/>
        <v>2</v>
      </c>
      <c r="Y435" s="14">
        <f t="shared" si="97"/>
        <v>3</v>
      </c>
      <c r="Z435" s="14">
        <f t="shared" si="98"/>
        <v>0</v>
      </c>
      <c r="AA435" s="14" t="str">
        <f t="shared" si="99"/>
        <v>DefExt</v>
      </c>
      <c r="AB435" s="14">
        <f t="shared" si="93"/>
        <v>406</v>
      </c>
      <c r="AC435" s="14" t="str">
        <f t="shared" si="100"/>
        <v>HPExt</v>
      </c>
      <c r="AD435" s="14">
        <f t="shared" si="101"/>
        <v>1219</v>
      </c>
      <c r="AE435" s="14" t="str">
        <f t="shared" si="102"/>
        <v>[x]</v>
      </c>
      <c r="AF435" s="27" t="str">
        <f t="shared" si="103"/>
        <v>[x]</v>
      </c>
      <c r="AG435" s="27" t="str">
        <f t="shared" si="104"/>
        <v>[x]</v>
      </c>
    </row>
    <row r="436" spans="16:33" ht="16.5" x14ac:dyDescent="0.2">
      <c r="P436" s="13">
        <v>380</v>
      </c>
      <c r="Q436" s="14">
        <f t="shared" si="89"/>
        <v>21</v>
      </c>
      <c r="R436" s="14">
        <f t="shared" si="90"/>
        <v>1606027</v>
      </c>
      <c r="S436" s="14" t="str">
        <f t="shared" si="94"/>
        <v>神器5碎片1等级8</v>
      </c>
      <c r="T436" s="29" t="s">
        <v>520</v>
      </c>
      <c r="U436" s="14">
        <f t="shared" si="91"/>
        <v>8</v>
      </c>
      <c r="V436" s="36">
        <f t="shared" si="95"/>
        <v>0.67800000000000005</v>
      </c>
      <c r="W436" s="17">
        <f t="shared" si="92"/>
        <v>6.7800000000000004E-3</v>
      </c>
      <c r="X436" s="14">
        <f t="shared" si="96"/>
        <v>2</v>
      </c>
      <c r="Y436" s="14">
        <f t="shared" si="97"/>
        <v>3</v>
      </c>
      <c r="Z436" s="14">
        <f t="shared" si="98"/>
        <v>0</v>
      </c>
      <c r="AA436" s="14" t="str">
        <f t="shared" si="99"/>
        <v>DefExt</v>
      </c>
      <c r="AB436" s="14">
        <f t="shared" si="93"/>
        <v>460</v>
      </c>
      <c r="AC436" s="14" t="str">
        <f t="shared" si="100"/>
        <v>HPExt</v>
      </c>
      <c r="AD436" s="14">
        <f t="shared" si="101"/>
        <v>1382</v>
      </c>
      <c r="AE436" s="14" t="str">
        <f t="shared" si="102"/>
        <v>[x]</v>
      </c>
      <c r="AF436" s="27" t="str">
        <f t="shared" si="103"/>
        <v>[x]</v>
      </c>
      <c r="AG436" s="27" t="str">
        <f t="shared" si="104"/>
        <v>[x]</v>
      </c>
    </row>
    <row r="437" spans="16:33" ht="16.5" x14ac:dyDescent="0.2">
      <c r="P437" s="13">
        <v>381</v>
      </c>
      <c r="Q437" s="14">
        <f t="shared" si="89"/>
        <v>21</v>
      </c>
      <c r="R437" s="14">
        <f t="shared" si="90"/>
        <v>1606027</v>
      </c>
      <c r="S437" s="14" t="str">
        <f t="shared" si="94"/>
        <v>神器5碎片1等级9</v>
      </c>
      <c r="T437" s="29" t="s">
        <v>520</v>
      </c>
      <c r="U437" s="14">
        <f t="shared" si="91"/>
        <v>9</v>
      </c>
      <c r="V437" s="36">
        <f t="shared" si="95"/>
        <v>0.76200000000000001</v>
      </c>
      <c r="W437" s="17">
        <f t="shared" si="92"/>
        <v>7.62E-3</v>
      </c>
      <c r="X437" s="14">
        <f t="shared" si="96"/>
        <v>2</v>
      </c>
      <c r="Y437" s="14">
        <f t="shared" si="97"/>
        <v>3</v>
      </c>
      <c r="Z437" s="14">
        <f t="shared" si="98"/>
        <v>0</v>
      </c>
      <c r="AA437" s="14" t="str">
        <f t="shared" si="99"/>
        <v>DefExt</v>
      </c>
      <c r="AB437" s="14">
        <f t="shared" si="93"/>
        <v>517</v>
      </c>
      <c r="AC437" s="14" t="str">
        <f t="shared" si="100"/>
        <v>HPExt</v>
      </c>
      <c r="AD437" s="14">
        <f t="shared" si="101"/>
        <v>1553</v>
      </c>
      <c r="AE437" s="14" t="str">
        <f t="shared" si="102"/>
        <v>[x]</v>
      </c>
      <c r="AF437" s="27" t="str">
        <f t="shared" si="103"/>
        <v>[x]</v>
      </c>
      <c r="AG437" s="27" t="str">
        <f t="shared" si="104"/>
        <v>[x]</v>
      </c>
    </row>
    <row r="438" spans="16:33" ht="16.5" x14ac:dyDescent="0.2">
      <c r="P438" s="13">
        <v>382</v>
      </c>
      <c r="Q438" s="14">
        <f t="shared" si="89"/>
        <v>21</v>
      </c>
      <c r="R438" s="14">
        <f t="shared" si="90"/>
        <v>1606027</v>
      </c>
      <c r="S438" s="14" t="str">
        <f t="shared" si="94"/>
        <v>神器5碎片1等级10</v>
      </c>
      <c r="T438" s="29" t="s">
        <v>520</v>
      </c>
      <c r="U438" s="14">
        <f t="shared" si="91"/>
        <v>10</v>
      </c>
      <c r="V438" s="36">
        <f t="shared" si="95"/>
        <v>0.85000000000000009</v>
      </c>
      <c r="W438" s="17">
        <f t="shared" si="92"/>
        <v>8.5000000000000006E-3</v>
      </c>
      <c r="X438" s="14">
        <f t="shared" si="96"/>
        <v>2</v>
      </c>
      <c r="Y438" s="14">
        <f t="shared" si="97"/>
        <v>3</v>
      </c>
      <c r="Z438" s="14">
        <f t="shared" si="98"/>
        <v>0</v>
      </c>
      <c r="AA438" s="14" t="str">
        <f t="shared" si="99"/>
        <v>DefExt</v>
      </c>
      <c r="AB438" s="14">
        <f t="shared" si="93"/>
        <v>577</v>
      </c>
      <c r="AC438" s="14" t="str">
        <f t="shared" si="100"/>
        <v>HPExt</v>
      </c>
      <c r="AD438" s="14">
        <f t="shared" si="101"/>
        <v>1732</v>
      </c>
      <c r="AE438" s="14" t="str">
        <f t="shared" si="102"/>
        <v>[x]</v>
      </c>
      <c r="AF438" s="27" t="str">
        <f t="shared" si="103"/>
        <v>[x]</v>
      </c>
      <c r="AG438" s="27" t="str">
        <f t="shared" si="104"/>
        <v>[x]</v>
      </c>
    </row>
    <row r="439" spans="16:33" ht="16.5" x14ac:dyDescent="0.2">
      <c r="P439" s="13">
        <v>383</v>
      </c>
      <c r="Q439" s="14">
        <f t="shared" si="89"/>
        <v>21</v>
      </c>
      <c r="R439" s="14">
        <f t="shared" si="90"/>
        <v>1606027</v>
      </c>
      <c r="S439" s="14" t="str">
        <f t="shared" si="94"/>
        <v>神器5碎片1等级11</v>
      </c>
      <c r="T439" s="29" t="s">
        <v>520</v>
      </c>
      <c r="U439" s="14">
        <f t="shared" si="91"/>
        <v>11</v>
      </c>
      <c r="V439" s="36">
        <f t="shared" si="95"/>
        <v>0.94200000000000006</v>
      </c>
      <c r="W439" s="17">
        <f t="shared" si="92"/>
        <v>9.4200000000000013E-3</v>
      </c>
      <c r="X439" s="14">
        <f t="shared" si="96"/>
        <v>2</v>
      </c>
      <c r="Y439" s="14">
        <f t="shared" si="97"/>
        <v>3</v>
      </c>
      <c r="Z439" s="14">
        <f t="shared" si="98"/>
        <v>0</v>
      </c>
      <c r="AA439" s="14" t="str">
        <f t="shared" si="99"/>
        <v>DefExt</v>
      </c>
      <c r="AB439" s="14">
        <f t="shared" si="93"/>
        <v>639</v>
      </c>
      <c r="AC439" s="14" t="str">
        <f t="shared" si="100"/>
        <v>HPExt</v>
      </c>
      <c r="AD439" s="14">
        <f t="shared" si="101"/>
        <v>1920</v>
      </c>
      <c r="AE439" s="14" t="str">
        <f t="shared" si="102"/>
        <v>[x]</v>
      </c>
      <c r="AF439" s="27" t="str">
        <f t="shared" si="103"/>
        <v>[x]</v>
      </c>
      <c r="AG439" s="27" t="str">
        <f t="shared" si="104"/>
        <v>[x]</v>
      </c>
    </row>
    <row r="440" spans="16:33" ht="16.5" x14ac:dyDescent="0.2">
      <c r="P440" s="13">
        <v>384</v>
      </c>
      <c r="Q440" s="14">
        <f t="shared" si="89"/>
        <v>21</v>
      </c>
      <c r="R440" s="14">
        <f t="shared" si="90"/>
        <v>1606027</v>
      </c>
      <c r="S440" s="14" t="str">
        <f t="shared" si="94"/>
        <v>神器5碎片1等级12</v>
      </c>
      <c r="T440" s="29" t="s">
        <v>520</v>
      </c>
      <c r="U440" s="14">
        <f t="shared" si="91"/>
        <v>12</v>
      </c>
      <c r="V440" s="36">
        <f t="shared" si="95"/>
        <v>1.0380000000000003</v>
      </c>
      <c r="W440" s="17">
        <f t="shared" si="92"/>
        <v>1.0380000000000002E-2</v>
      </c>
      <c r="X440" s="14">
        <f t="shared" si="96"/>
        <v>2</v>
      </c>
      <c r="Y440" s="14">
        <f t="shared" si="97"/>
        <v>3</v>
      </c>
      <c r="Z440" s="14">
        <f t="shared" si="98"/>
        <v>0</v>
      </c>
      <c r="AA440" s="14" t="str">
        <f t="shared" si="99"/>
        <v>DefExt</v>
      </c>
      <c r="AB440" s="14">
        <f t="shared" si="93"/>
        <v>704</v>
      </c>
      <c r="AC440" s="14" t="str">
        <f t="shared" si="100"/>
        <v>HPExt</v>
      </c>
      <c r="AD440" s="14">
        <f t="shared" si="101"/>
        <v>2116</v>
      </c>
      <c r="AE440" s="14" t="str">
        <f t="shared" si="102"/>
        <v>[x]</v>
      </c>
      <c r="AF440" s="27" t="str">
        <f t="shared" si="103"/>
        <v>[x]</v>
      </c>
      <c r="AG440" s="27" t="str">
        <f t="shared" si="104"/>
        <v>[x]</v>
      </c>
    </row>
    <row r="441" spans="16:33" ht="16.5" x14ac:dyDescent="0.2">
      <c r="P441" s="13">
        <v>385</v>
      </c>
      <c r="Q441" s="14">
        <f t="shared" ref="Q441:Q504" si="105">MATCH(P441-1,$X$4:$X$46,1)</f>
        <v>21</v>
      </c>
      <c r="R441" s="14">
        <f t="shared" ref="R441:R504" si="106">INDEX($S$5:$S$46,Q441)</f>
        <v>1606027</v>
      </c>
      <c r="S441" s="14" t="str">
        <f t="shared" si="94"/>
        <v>神器5碎片1等级13</v>
      </c>
      <c r="T441" s="29" t="s">
        <v>520</v>
      </c>
      <c r="U441" s="14">
        <f t="shared" ref="U441:U504" si="107">P441-INDEX($X$4:$X$46,Q441)</f>
        <v>13</v>
      </c>
      <c r="V441" s="36">
        <f t="shared" si="95"/>
        <v>1.1380000000000001</v>
      </c>
      <c r="W441" s="17">
        <f t="shared" ref="W441:W504" si="108">INDEX($V$5:$V$46,Q441)*V441</f>
        <v>1.1380000000000001E-2</v>
      </c>
      <c r="X441" s="14">
        <f t="shared" si="96"/>
        <v>2</v>
      </c>
      <c r="Y441" s="14">
        <f t="shared" si="97"/>
        <v>3</v>
      </c>
      <c r="Z441" s="14">
        <f t="shared" si="98"/>
        <v>0</v>
      </c>
      <c r="AA441" s="14" t="str">
        <f t="shared" si="99"/>
        <v>DefExt</v>
      </c>
      <c r="AB441" s="14">
        <f t="shared" ref="AB441:AB504" si="109">INT(INDEX($E$4:$G$4,X441)*W441*INDEX($Y$5:$AA$46,Q441,X441))</f>
        <v>772</v>
      </c>
      <c r="AC441" s="14" t="str">
        <f t="shared" si="100"/>
        <v>HPExt</v>
      </c>
      <c r="AD441" s="14">
        <f t="shared" si="101"/>
        <v>2320</v>
      </c>
      <c r="AE441" s="14" t="str">
        <f t="shared" si="102"/>
        <v>[x]</v>
      </c>
      <c r="AF441" s="27" t="str">
        <f t="shared" si="103"/>
        <v>[x]</v>
      </c>
      <c r="AG441" s="27" t="str">
        <f t="shared" si="104"/>
        <v>[x]</v>
      </c>
    </row>
    <row r="442" spans="16:33" ht="16.5" x14ac:dyDescent="0.2">
      <c r="P442" s="13">
        <v>386</v>
      </c>
      <c r="Q442" s="14">
        <f t="shared" si="105"/>
        <v>21</v>
      </c>
      <c r="R442" s="14">
        <f t="shared" si="106"/>
        <v>1606027</v>
      </c>
      <c r="S442" s="14" t="str">
        <f t="shared" ref="S442:S505" si="110">INDEX($P$5:$P$46,Q442)&amp;"碎片"&amp;INDEX($R$5:$R$46,Q442)&amp;"等级"&amp;U442</f>
        <v>神器5碎片1等级14</v>
      </c>
      <c r="T442" s="29" t="s">
        <v>520</v>
      </c>
      <c r="U442" s="14">
        <f t="shared" si="107"/>
        <v>14</v>
      </c>
      <c r="V442" s="36">
        <f t="shared" ref="V442:V505" si="111">15%+U442*5%+U442*U442*0.2%</f>
        <v>1.242</v>
      </c>
      <c r="W442" s="17">
        <f t="shared" si="108"/>
        <v>1.242E-2</v>
      </c>
      <c r="X442" s="14">
        <f t="shared" ref="X442:X505" si="112">INDEX($AB$5:$AB$46,Q442)</f>
        <v>2</v>
      </c>
      <c r="Y442" s="14">
        <f t="shared" ref="Y442:Y505" si="113">INDEX(AC$5:AC$46,$Q442)</f>
        <v>3</v>
      </c>
      <c r="Z442" s="14">
        <f t="shared" ref="Z442:Z505" si="114">INDEX(AD$5:AD$46,$Q442)</f>
        <v>0</v>
      </c>
      <c r="AA442" s="14" t="str">
        <f t="shared" ref="AA442:AA505" si="115">INDEX($Y$3:$AA$3,X442)</f>
        <v>DefExt</v>
      </c>
      <c r="AB442" s="14">
        <f t="shared" si="109"/>
        <v>843</v>
      </c>
      <c r="AC442" s="14" t="str">
        <f t="shared" ref="AC442:AC505" si="116">IF(Y442&gt;0,INDEX($Y$3:$AA$3,Y442),"[x]")</f>
        <v>HPExt</v>
      </c>
      <c r="AD442" s="14">
        <f t="shared" ref="AD442:AD505" si="117">IF(Y442&gt;0,INT(INDEX($E$4:$G$4,Y442)*W442*INDEX($Y$5:$AA$46,Q442,Y442)),"[x]")</f>
        <v>2532</v>
      </c>
      <c r="AE442" s="14" t="str">
        <f t="shared" ref="AE442:AE505" si="118">IF(Z442&gt;0,INDEX($Y$3:$AA$3,Z442),"[x]")</f>
        <v>[x]</v>
      </c>
      <c r="AF442" s="27" t="str">
        <f t="shared" ref="AF442:AF505" si="119">IF(Z442&gt;0,INT(INDEX($E$4:$G$4,Z442)*W442*INDEX($Y$5:$AA$46,Q442,Z442)),"[x]")</f>
        <v>[x]</v>
      </c>
      <c r="AG442" s="27" t="str">
        <f t="shared" ref="AG442:AG505" si="120">IF(INDEX($AE$5:$AE$46,Q442)&gt;0,INDEX($AE$5:$AE$46,Q442)*U442,"[x]")</f>
        <v>[x]</v>
      </c>
    </row>
    <row r="443" spans="16:33" ht="16.5" x14ac:dyDescent="0.2">
      <c r="P443" s="13">
        <v>387</v>
      </c>
      <c r="Q443" s="14">
        <f t="shared" si="105"/>
        <v>21</v>
      </c>
      <c r="R443" s="14">
        <f t="shared" si="106"/>
        <v>1606027</v>
      </c>
      <c r="S443" s="14" t="str">
        <f t="shared" si="110"/>
        <v>神器5碎片1等级15</v>
      </c>
      <c r="T443" s="29" t="s">
        <v>520</v>
      </c>
      <c r="U443" s="14">
        <f t="shared" si="107"/>
        <v>15</v>
      </c>
      <c r="V443" s="36">
        <f t="shared" si="111"/>
        <v>1.35</v>
      </c>
      <c r="W443" s="17">
        <f t="shared" si="108"/>
        <v>1.3500000000000002E-2</v>
      </c>
      <c r="X443" s="14">
        <f t="shared" si="112"/>
        <v>2</v>
      </c>
      <c r="Y443" s="14">
        <f t="shared" si="113"/>
        <v>3</v>
      </c>
      <c r="Z443" s="14">
        <f t="shared" si="114"/>
        <v>0</v>
      </c>
      <c r="AA443" s="14" t="str">
        <f t="shared" si="115"/>
        <v>DefExt</v>
      </c>
      <c r="AB443" s="14">
        <f t="shared" si="109"/>
        <v>916</v>
      </c>
      <c r="AC443" s="14" t="str">
        <f t="shared" si="116"/>
        <v>HPExt</v>
      </c>
      <c r="AD443" s="14">
        <f t="shared" si="117"/>
        <v>2752</v>
      </c>
      <c r="AE443" s="14" t="str">
        <f t="shared" si="118"/>
        <v>[x]</v>
      </c>
      <c r="AF443" s="27" t="str">
        <f t="shared" si="119"/>
        <v>[x]</v>
      </c>
      <c r="AG443" s="27" t="str">
        <f t="shared" si="120"/>
        <v>[x]</v>
      </c>
    </row>
    <row r="444" spans="16:33" ht="16.5" x14ac:dyDescent="0.2">
      <c r="P444" s="13">
        <v>388</v>
      </c>
      <c r="Q444" s="14">
        <f t="shared" si="105"/>
        <v>21</v>
      </c>
      <c r="R444" s="14">
        <f t="shared" si="106"/>
        <v>1606027</v>
      </c>
      <c r="S444" s="14" t="str">
        <f t="shared" si="110"/>
        <v>神器5碎片1等级16</v>
      </c>
      <c r="T444" s="29" t="s">
        <v>520</v>
      </c>
      <c r="U444" s="14">
        <f t="shared" si="107"/>
        <v>16</v>
      </c>
      <c r="V444" s="36">
        <f t="shared" si="111"/>
        <v>1.4620000000000002</v>
      </c>
      <c r="W444" s="17">
        <f t="shared" si="108"/>
        <v>1.4620000000000003E-2</v>
      </c>
      <c r="X444" s="14">
        <f t="shared" si="112"/>
        <v>2</v>
      </c>
      <c r="Y444" s="14">
        <f t="shared" si="113"/>
        <v>3</v>
      </c>
      <c r="Z444" s="14">
        <f t="shared" si="114"/>
        <v>0</v>
      </c>
      <c r="AA444" s="14" t="str">
        <f t="shared" si="115"/>
        <v>DefExt</v>
      </c>
      <c r="AB444" s="14">
        <f t="shared" si="109"/>
        <v>992</v>
      </c>
      <c r="AC444" s="14" t="str">
        <f t="shared" si="116"/>
        <v>HPExt</v>
      </c>
      <c r="AD444" s="14">
        <f t="shared" si="117"/>
        <v>2980</v>
      </c>
      <c r="AE444" s="14" t="str">
        <f t="shared" si="118"/>
        <v>[x]</v>
      </c>
      <c r="AF444" s="27" t="str">
        <f t="shared" si="119"/>
        <v>[x]</v>
      </c>
      <c r="AG444" s="27" t="str">
        <f t="shared" si="120"/>
        <v>[x]</v>
      </c>
    </row>
    <row r="445" spans="16:33" ht="16.5" x14ac:dyDescent="0.2">
      <c r="P445" s="13">
        <v>389</v>
      </c>
      <c r="Q445" s="14">
        <f t="shared" si="105"/>
        <v>21</v>
      </c>
      <c r="R445" s="14">
        <f t="shared" si="106"/>
        <v>1606027</v>
      </c>
      <c r="S445" s="14" t="str">
        <f t="shared" si="110"/>
        <v>神器5碎片1等级17</v>
      </c>
      <c r="T445" s="29" t="s">
        <v>520</v>
      </c>
      <c r="U445" s="14">
        <f t="shared" si="107"/>
        <v>17</v>
      </c>
      <c r="V445" s="36">
        <f t="shared" si="111"/>
        <v>1.5779999999999998</v>
      </c>
      <c r="W445" s="17">
        <f t="shared" si="108"/>
        <v>1.5779999999999999E-2</v>
      </c>
      <c r="X445" s="14">
        <f t="shared" si="112"/>
        <v>2</v>
      </c>
      <c r="Y445" s="14">
        <f t="shared" si="113"/>
        <v>3</v>
      </c>
      <c r="Z445" s="14">
        <f t="shared" si="114"/>
        <v>0</v>
      </c>
      <c r="AA445" s="14" t="str">
        <f t="shared" si="115"/>
        <v>DefExt</v>
      </c>
      <c r="AB445" s="14">
        <f t="shared" si="109"/>
        <v>1071</v>
      </c>
      <c r="AC445" s="14" t="str">
        <f t="shared" si="116"/>
        <v>HPExt</v>
      </c>
      <c r="AD445" s="14">
        <f t="shared" si="117"/>
        <v>3217</v>
      </c>
      <c r="AE445" s="14" t="str">
        <f t="shared" si="118"/>
        <v>[x]</v>
      </c>
      <c r="AF445" s="27" t="str">
        <f t="shared" si="119"/>
        <v>[x]</v>
      </c>
      <c r="AG445" s="27" t="str">
        <f t="shared" si="120"/>
        <v>[x]</v>
      </c>
    </row>
    <row r="446" spans="16:33" ht="16.5" x14ac:dyDescent="0.2">
      <c r="P446" s="13">
        <v>390</v>
      </c>
      <c r="Q446" s="14">
        <f t="shared" si="105"/>
        <v>21</v>
      </c>
      <c r="R446" s="14">
        <f t="shared" si="106"/>
        <v>1606027</v>
      </c>
      <c r="S446" s="14" t="str">
        <f t="shared" si="110"/>
        <v>神器5碎片1等级18</v>
      </c>
      <c r="T446" s="29" t="s">
        <v>520</v>
      </c>
      <c r="U446" s="14">
        <f t="shared" si="107"/>
        <v>18</v>
      </c>
      <c r="V446" s="36">
        <f t="shared" si="111"/>
        <v>1.698</v>
      </c>
      <c r="W446" s="17">
        <f t="shared" si="108"/>
        <v>1.6979999999999999E-2</v>
      </c>
      <c r="X446" s="14">
        <f t="shared" si="112"/>
        <v>2</v>
      </c>
      <c r="Y446" s="14">
        <f t="shared" si="113"/>
        <v>3</v>
      </c>
      <c r="Z446" s="14">
        <f t="shared" si="114"/>
        <v>0</v>
      </c>
      <c r="AA446" s="14" t="str">
        <f t="shared" si="115"/>
        <v>DefExt</v>
      </c>
      <c r="AB446" s="14">
        <f t="shared" si="109"/>
        <v>1152</v>
      </c>
      <c r="AC446" s="14" t="str">
        <f t="shared" si="116"/>
        <v>HPExt</v>
      </c>
      <c r="AD446" s="14">
        <f t="shared" si="117"/>
        <v>3461</v>
      </c>
      <c r="AE446" s="14" t="str">
        <f t="shared" si="118"/>
        <v>[x]</v>
      </c>
      <c r="AF446" s="27" t="str">
        <f t="shared" si="119"/>
        <v>[x]</v>
      </c>
      <c r="AG446" s="27" t="str">
        <f t="shared" si="120"/>
        <v>[x]</v>
      </c>
    </row>
    <row r="447" spans="16:33" ht="16.5" x14ac:dyDescent="0.2">
      <c r="P447" s="13">
        <v>391</v>
      </c>
      <c r="Q447" s="14">
        <f t="shared" si="105"/>
        <v>21</v>
      </c>
      <c r="R447" s="14">
        <f t="shared" si="106"/>
        <v>1606027</v>
      </c>
      <c r="S447" s="14" t="str">
        <f t="shared" si="110"/>
        <v>神器5碎片1等级19</v>
      </c>
      <c r="T447" s="29" t="s">
        <v>520</v>
      </c>
      <c r="U447" s="14">
        <f t="shared" si="107"/>
        <v>19</v>
      </c>
      <c r="V447" s="36">
        <f t="shared" si="111"/>
        <v>1.8220000000000001</v>
      </c>
      <c r="W447" s="17">
        <f t="shared" si="108"/>
        <v>1.822E-2</v>
      </c>
      <c r="X447" s="14">
        <f t="shared" si="112"/>
        <v>2</v>
      </c>
      <c r="Y447" s="14">
        <f t="shared" si="113"/>
        <v>3</v>
      </c>
      <c r="Z447" s="14">
        <f t="shared" si="114"/>
        <v>0</v>
      </c>
      <c r="AA447" s="14" t="str">
        <f t="shared" si="115"/>
        <v>DefExt</v>
      </c>
      <c r="AB447" s="14">
        <f t="shared" si="109"/>
        <v>1237</v>
      </c>
      <c r="AC447" s="14" t="str">
        <f t="shared" si="116"/>
        <v>HPExt</v>
      </c>
      <c r="AD447" s="14">
        <f t="shared" si="117"/>
        <v>3714</v>
      </c>
      <c r="AE447" s="14" t="str">
        <f t="shared" si="118"/>
        <v>[x]</v>
      </c>
      <c r="AF447" s="27" t="str">
        <f t="shared" si="119"/>
        <v>[x]</v>
      </c>
      <c r="AG447" s="27" t="str">
        <f t="shared" si="120"/>
        <v>[x]</v>
      </c>
    </row>
    <row r="448" spans="16:33" ht="16.5" x14ac:dyDescent="0.2">
      <c r="P448" s="13">
        <v>392</v>
      </c>
      <c r="Q448" s="14">
        <f t="shared" si="105"/>
        <v>21</v>
      </c>
      <c r="R448" s="14">
        <f t="shared" si="106"/>
        <v>1606027</v>
      </c>
      <c r="S448" s="14" t="str">
        <f t="shared" si="110"/>
        <v>神器5碎片1等级20</v>
      </c>
      <c r="T448" s="29" t="s">
        <v>520</v>
      </c>
      <c r="U448" s="14">
        <f t="shared" si="107"/>
        <v>20</v>
      </c>
      <c r="V448" s="36">
        <f t="shared" si="111"/>
        <v>1.95</v>
      </c>
      <c r="W448" s="17">
        <f t="shared" si="108"/>
        <v>1.95E-2</v>
      </c>
      <c r="X448" s="14">
        <f t="shared" si="112"/>
        <v>2</v>
      </c>
      <c r="Y448" s="14">
        <f t="shared" si="113"/>
        <v>3</v>
      </c>
      <c r="Z448" s="14">
        <f t="shared" si="114"/>
        <v>0</v>
      </c>
      <c r="AA448" s="14" t="str">
        <f t="shared" si="115"/>
        <v>DefExt</v>
      </c>
      <c r="AB448" s="14">
        <f t="shared" si="109"/>
        <v>1323</v>
      </c>
      <c r="AC448" s="14" t="str">
        <f t="shared" si="116"/>
        <v>HPExt</v>
      </c>
      <c r="AD448" s="14">
        <f t="shared" si="117"/>
        <v>3975</v>
      </c>
      <c r="AE448" s="14" t="str">
        <f t="shared" si="118"/>
        <v>[x]</v>
      </c>
      <c r="AF448" s="27" t="str">
        <f t="shared" si="119"/>
        <v>[x]</v>
      </c>
      <c r="AG448" s="27" t="str">
        <f t="shared" si="120"/>
        <v>[x]</v>
      </c>
    </row>
    <row r="449" spans="16:33" ht="16.5" x14ac:dyDescent="0.2">
      <c r="P449" s="13">
        <v>393</v>
      </c>
      <c r="Q449" s="14">
        <f t="shared" si="105"/>
        <v>21</v>
      </c>
      <c r="R449" s="14">
        <f t="shared" si="106"/>
        <v>1606027</v>
      </c>
      <c r="S449" s="14" t="str">
        <f t="shared" si="110"/>
        <v>神器5碎片1等级21</v>
      </c>
      <c r="T449" s="29" t="s">
        <v>520</v>
      </c>
      <c r="U449" s="14">
        <f t="shared" si="107"/>
        <v>21</v>
      </c>
      <c r="V449" s="36">
        <f t="shared" si="111"/>
        <v>2.0819999999999999</v>
      </c>
      <c r="W449" s="17">
        <f t="shared" si="108"/>
        <v>2.0819999999999998E-2</v>
      </c>
      <c r="X449" s="14">
        <f t="shared" si="112"/>
        <v>2</v>
      </c>
      <c r="Y449" s="14">
        <f t="shared" si="113"/>
        <v>3</v>
      </c>
      <c r="Z449" s="14">
        <f t="shared" si="114"/>
        <v>0</v>
      </c>
      <c r="AA449" s="14" t="str">
        <f t="shared" si="115"/>
        <v>DefExt</v>
      </c>
      <c r="AB449" s="14">
        <f t="shared" si="109"/>
        <v>1413</v>
      </c>
      <c r="AC449" s="14" t="str">
        <f t="shared" si="116"/>
        <v>HPExt</v>
      </c>
      <c r="AD449" s="14">
        <f t="shared" si="117"/>
        <v>4244</v>
      </c>
      <c r="AE449" s="14" t="str">
        <f t="shared" si="118"/>
        <v>[x]</v>
      </c>
      <c r="AF449" s="27" t="str">
        <f t="shared" si="119"/>
        <v>[x]</v>
      </c>
      <c r="AG449" s="27" t="str">
        <f t="shared" si="120"/>
        <v>[x]</v>
      </c>
    </row>
    <row r="450" spans="16:33" ht="16.5" x14ac:dyDescent="0.2">
      <c r="P450" s="13">
        <v>394</v>
      </c>
      <c r="Q450" s="14">
        <f t="shared" si="105"/>
        <v>22</v>
      </c>
      <c r="R450" s="14">
        <f t="shared" si="106"/>
        <v>1606028</v>
      </c>
      <c r="S450" s="14" t="str">
        <f t="shared" si="110"/>
        <v>神器5碎片2等级1</v>
      </c>
      <c r="T450" s="29" t="s">
        <v>520</v>
      </c>
      <c r="U450" s="14">
        <f t="shared" si="107"/>
        <v>1</v>
      </c>
      <c r="V450" s="36">
        <f t="shared" si="111"/>
        <v>0.20200000000000001</v>
      </c>
      <c r="W450" s="17">
        <f t="shared" si="108"/>
        <v>2.0200000000000001E-3</v>
      </c>
      <c r="X450" s="14">
        <f t="shared" si="112"/>
        <v>2</v>
      </c>
      <c r="Y450" s="14">
        <f t="shared" si="113"/>
        <v>3</v>
      </c>
      <c r="Z450" s="14">
        <f t="shared" si="114"/>
        <v>0</v>
      </c>
      <c r="AA450" s="14" t="str">
        <f t="shared" si="115"/>
        <v>DefExt</v>
      </c>
      <c r="AB450" s="14">
        <f t="shared" si="109"/>
        <v>137</v>
      </c>
      <c r="AC450" s="14" t="str">
        <f t="shared" si="116"/>
        <v>HPExt</v>
      </c>
      <c r="AD450" s="14">
        <f t="shared" si="117"/>
        <v>411</v>
      </c>
      <c r="AE450" s="14" t="str">
        <f t="shared" si="118"/>
        <v>[x]</v>
      </c>
      <c r="AF450" s="27" t="str">
        <f t="shared" si="119"/>
        <v>[x]</v>
      </c>
      <c r="AG450" s="27" t="str">
        <f t="shared" si="120"/>
        <v>[x]</v>
      </c>
    </row>
    <row r="451" spans="16:33" ht="16.5" x14ac:dyDescent="0.2">
      <c r="P451" s="13">
        <v>395</v>
      </c>
      <c r="Q451" s="14">
        <f t="shared" si="105"/>
        <v>22</v>
      </c>
      <c r="R451" s="14">
        <f t="shared" si="106"/>
        <v>1606028</v>
      </c>
      <c r="S451" s="14" t="str">
        <f t="shared" si="110"/>
        <v>神器5碎片2等级2</v>
      </c>
      <c r="T451" s="29" t="s">
        <v>520</v>
      </c>
      <c r="U451" s="14">
        <f t="shared" si="107"/>
        <v>2</v>
      </c>
      <c r="V451" s="36">
        <f t="shared" si="111"/>
        <v>0.25800000000000001</v>
      </c>
      <c r="W451" s="17">
        <f t="shared" si="108"/>
        <v>2.5800000000000003E-3</v>
      </c>
      <c r="X451" s="14">
        <f t="shared" si="112"/>
        <v>2</v>
      </c>
      <c r="Y451" s="14">
        <f t="shared" si="113"/>
        <v>3</v>
      </c>
      <c r="Z451" s="14">
        <f t="shared" si="114"/>
        <v>0</v>
      </c>
      <c r="AA451" s="14" t="str">
        <f t="shared" si="115"/>
        <v>DefExt</v>
      </c>
      <c r="AB451" s="14">
        <f t="shared" si="109"/>
        <v>175</v>
      </c>
      <c r="AC451" s="14" t="str">
        <f t="shared" si="116"/>
        <v>HPExt</v>
      </c>
      <c r="AD451" s="14">
        <f t="shared" si="117"/>
        <v>525</v>
      </c>
      <c r="AE451" s="14" t="str">
        <f t="shared" si="118"/>
        <v>[x]</v>
      </c>
      <c r="AF451" s="27" t="str">
        <f t="shared" si="119"/>
        <v>[x]</v>
      </c>
      <c r="AG451" s="27" t="str">
        <f t="shared" si="120"/>
        <v>[x]</v>
      </c>
    </row>
    <row r="452" spans="16:33" ht="16.5" x14ac:dyDescent="0.2">
      <c r="P452" s="13">
        <v>396</v>
      </c>
      <c r="Q452" s="14">
        <f t="shared" si="105"/>
        <v>22</v>
      </c>
      <c r="R452" s="14">
        <f t="shared" si="106"/>
        <v>1606028</v>
      </c>
      <c r="S452" s="14" t="str">
        <f t="shared" si="110"/>
        <v>神器5碎片2等级3</v>
      </c>
      <c r="T452" s="29" t="s">
        <v>520</v>
      </c>
      <c r="U452" s="14">
        <f t="shared" si="107"/>
        <v>3</v>
      </c>
      <c r="V452" s="36">
        <f t="shared" si="111"/>
        <v>0.31800000000000006</v>
      </c>
      <c r="W452" s="17">
        <f t="shared" si="108"/>
        <v>3.1800000000000005E-3</v>
      </c>
      <c r="X452" s="14">
        <f t="shared" si="112"/>
        <v>2</v>
      </c>
      <c r="Y452" s="14">
        <f t="shared" si="113"/>
        <v>3</v>
      </c>
      <c r="Z452" s="14">
        <f t="shared" si="114"/>
        <v>0</v>
      </c>
      <c r="AA452" s="14" t="str">
        <f t="shared" si="115"/>
        <v>DefExt</v>
      </c>
      <c r="AB452" s="14">
        <f t="shared" si="109"/>
        <v>215</v>
      </c>
      <c r="AC452" s="14" t="str">
        <f t="shared" si="116"/>
        <v>HPExt</v>
      </c>
      <c r="AD452" s="14">
        <f t="shared" si="117"/>
        <v>648</v>
      </c>
      <c r="AE452" s="14" t="str">
        <f t="shared" si="118"/>
        <v>[x]</v>
      </c>
      <c r="AF452" s="27" t="str">
        <f t="shared" si="119"/>
        <v>[x]</v>
      </c>
      <c r="AG452" s="27" t="str">
        <f t="shared" si="120"/>
        <v>[x]</v>
      </c>
    </row>
    <row r="453" spans="16:33" ht="16.5" x14ac:dyDescent="0.2">
      <c r="P453" s="13">
        <v>397</v>
      </c>
      <c r="Q453" s="14">
        <f t="shared" si="105"/>
        <v>22</v>
      </c>
      <c r="R453" s="14">
        <f t="shared" si="106"/>
        <v>1606028</v>
      </c>
      <c r="S453" s="14" t="str">
        <f t="shared" si="110"/>
        <v>神器5碎片2等级4</v>
      </c>
      <c r="T453" s="29" t="s">
        <v>520</v>
      </c>
      <c r="U453" s="14">
        <f t="shared" si="107"/>
        <v>4</v>
      </c>
      <c r="V453" s="36">
        <f t="shared" si="111"/>
        <v>0.38200000000000001</v>
      </c>
      <c r="W453" s="17">
        <f t="shared" si="108"/>
        <v>3.82E-3</v>
      </c>
      <c r="X453" s="14">
        <f t="shared" si="112"/>
        <v>2</v>
      </c>
      <c r="Y453" s="14">
        <f t="shared" si="113"/>
        <v>3</v>
      </c>
      <c r="Z453" s="14">
        <f t="shared" si="114"/>
        <v>0</v>
      </c>
      <c r="AA453" s="14" t="str">
        <f t="shared" si="115"/>
        <v>DefExt</v>
      </c>
      <c r="AB453" s="14">
        <f t="shared" si="109"/>
        <v>259</v>
      </c>
      <c r="AC453" s="14" t="str">
        <f t="shared" si="116"/>
        <v>HPExt</v>
      </c>
      <c r="AD453" s="14">
        <f t="shared" si="117"/>
        <v>778</v>
      </c>
      <c r="AE453" s="14" t="str">
        <f t="shared" si="118"/>
        <v>[x]</v>
      </c>
      <c r="AF453" s="27" t="str">
        <f t="shared" si="119"/>
        <v>[x]</v>
      </c>
      <c r="AG453" s="27" t="str">
        <f t="shared" si="120"/>
        <v>[x]</v>
      </c>
    </row>
    <row r="454" spans="16:33" ht="16.5" x14ac:dyDescent="0.2">
      <c r="P454" s="13">
        <v>398</v>
      </c>
      <c r="Q454" s="14">
        <f t="shared" si="105"/>
        <v>22</v>
      </c>
      <c r="R454" s="14">
        <f t="shared" si="106"/>
        <v>1606028</v>
      </c>
      <c r="S454" s="14" t="str">
        <f t="shared" si="110"/>
        <v>神器5碎片2等级5</v>
      </c>
      <c r="T454" s="29" t="s">
        <v>520</v>
      </c>
      <c r="U454" s="14">
        <f t="shared" si="107"/>
        <v>5</v>
      </c>
      <c r="V454" s="36">
        <f t="shared" si="111"/>
        <v>0.45</v>
      </c>
      <c r="W454" s="17">
        <f t="shared" si="108"/>
        <v>4.5000000000000005E-3</v>
      </c>
      <c r="X454" s="14">
        <f t="shared" si="112"/>
        <v>2</v>
      </c>
      <c r="Y454" s="14">
        <f t="shared" si="113"/>
        <v>3</v>
      </c>
      <c r="Z454" s="14">
        <f t="shared" si="114"/>
        <v>0</v>
      </c>
      <c r="AA454" s="14" t="str">
        <f t="shared" si="115"/>
        <v>DefExt</v>
      </c>
      <c r="AB454" s="14">
        <f t="shared" si="109"/>
        <v>305</v>
      </c>
      <c r="AC454" s="14" t="str">
        <f t="shared" si="116"/>
        <v>HPExt</v>
      </c>
      <c r="AD454" s="14">
        <f t="shared" si="117"/>
        <v>917</v>
      </c>
      <c r="AE454" s="14" t="str">
        <f t="shared" si="118"/>
        <v>[x]</v>
      </c>
      <c r="AF454" s="27" t="str">
        <f t="shared" si="119"/>
        <v>[x]</v>
      </c>
      <c r="AG454" s="27" t="str">
        <f t="shared" si="120"/>
        <v>[x]</v>
      </c>
    </row>
    <row r="455" spans="16:33" ht="16.5" x14ac:dyDescent="0.2">
      <c r="P455" s="13">
        <v>399</v>
      </c>
      <c r="Q455" s="14">
        <f t="shared" si="105"/>
        <v>22</v>
      </c>
      <c r="R455" s="14">
        <f t="shared" si="106"/>
        <v>1606028</v>
      </c>
      <c r="S455" s="14" t="str">
        <f t="shared" si="110"/>
        <v>神器5碎片2等级6</v>
      </c>
      <c r="T455" s="29" t="s">
        <v>520</v>
      </c>
      <c r="U455" s="14">
        <f t="shared" si="107"/>
        <v>6</v>
      </c>
      <c r="V455" s="36">
        <f t="shared" si="111"/>
        <v>0.52200000000000002</v>
      </c>
      <c r="W455" s="17">
        <f t="shared" si="108"/>
        <v>5.2200000000000007E-3</v>
      </c>
      <c r="X455" s="14">
        <f t="shared" si="112"/>
        <v>2</v>
      </c>
      <c r="Y455" s="14">
        <f t="shared" si="113"/>
        <v>3</v>
      </c>
      <c r="Z455" s="14">
        <f t="shared" si="114"/>
        <v>0</v>
      </c>
      <c r="AA455" s="14" t="str">
        <f t="shared" si="115"/>
        <v>DefExt</v>
      </c>
      <c r="AB455" s="14">
        <f t="shared" si="109"/>
        <v>354</v>
      </c>
      <c r="AC455" s="14" t="str">
        <f t="shared" si="116"/>
        <v>HPExt</v>
      </c>
      <c r="AD455" s="14">
        <f t="shared" si="117"/>
        <v>1064</v>
      </c>
      <c r="AE455" s="14" t="str">
        <f t="shared" si="118"/>
        <v>[x]</v>
      </c>
      <c r="AF455" s="27" t="str">
        <f t="shared" si="119"/>
        <v>[x]</v>
      </c>
      <c r="AG455" s="27" t="str">
        <f t="shared" si="120"/>
        <v>[x]</v>
      </c>
    </row>
    <row r="456" spans="16:33" ht="16.5" x14ac:dyDescent="0.2">
      <c r="P456" s="13">
        <v>400</v>
      </c>
      <c r="Q456" s="14">
        <f t="shared" si="105"/>
        <v>22</v>
      </c>
      <c r="R456" s="14">
        <f t="shared" si="106"/>
        <v>1606028</v>
      </c>
      <c r="S456" s="14" t="str">
        <f t="shared" si="110"/>
        <v>神器5碎片2等级7</v>
      </c>
      <c r="T456" s="29" t="s">
        <v>520</v>
      </c>
      <c r="U456" s="14">
        <f t="shared" si="107"/>
        <v>7</v>
      </c>
      <c r="V456" s="36">
        <f t="shared" si="111"/>
        <v>0.59799999999999998</v>
      </c>
      <c r="W456" s="17">
        <f t="shared" si="108"/>
        <v>5.9800000000000001E-3</v>
      </c>
      <c r="X456" s="14">
        <f t="shared" si="112"/>
        <v>2</v>
      </c>
      <c r="Y456" s="14">
        <f t="shared" si="113"/>
        <v>3</v>
      </c>
      <c r="Z456" s="14">
        <f t="shared" si="114"/>
        <v>0</v>
      </c>
      <c r="AA456" s="14" t="str">
        <f t="shared" si="115"/>
        <v>DefExt</v>
      </c>
      <c r="AB456" s="14">
        <f t="shared" si="109"/>
        <v>406</v>
      </c>
      <c r="AC456" s="14" t="str">
        <f t="shared" si="116"/>
        <v>HPExt</v>
      </c>
      <c r="AD456" s="14">
        <f t="shared" si="117"/>
        <v>1219</v>
      </c>
      <c r="AE456" s="14" t="str">
        <f t="shared" si="118"/>
        <v>[x]</v>
      </c>
      <c r="AF456" s="27" t="str">
        <f t="shared" si="119"/>
        <v>[x]</v>
      </c>
      <c r="AG456" s="27" t="str">
        <f t="shared" si="120"/>
        <v>[x]</v>
      </c>
    </row>
    <row r="457" spans="16:33" ht="16.5" x14ac:dyDescent="0.2">
      <c r="P457" s="13">
        <v>401</v>
      </c>
      <c r="Q457" s="14">
        <f t="shared" si="105"/>
        <v>22</v>
      </c>
      <c r="R457" s="14">
        <f t="shared" si="106"/>
        <v>1606028</v>
      </c>
      <c r="S457" s="14" t="str">
        <f t="shared" si="110"/>
        <v>神器5碎片2等级8</v>
      </c>
      <c r="T457" s="29" t="s">
        <v>520</v>
      </c>
      <c r="U457" s="14">
        <f t="shared" si="107"/>
        <v>8</v>
      </c>
      <c r="V457" s="36">
        <f t="shared" si="111"/>
        <v>0.67800000000000005</v>
      </c>
      <c r="W457" s="17">
        <f t="shared" si="108"/>
        <v>6.7800000000000004E-3</v>
      </c>
      <c r="X457" s="14">
        <f t="shared" si="112"/>
        <v>2</v>
      </c>
      <c r="Y457" s="14">
        <f t="shared" si="113"/>
        <v>3</v>
      </c>
      <c r="Z457" s="14">
        <f t="shared" si="114"/>
        <v>0</v>
      </c>
      <c r="AA457" s="14" t="str">
        <f t="shared" si="115"/>
        <v>DefExt</v>
      </c>
      <c r="AB457" s="14">
        <f t="shared" si="109"/>
        <v>460</v>
      </c>
      <c r="AC457" s="14" t="str">
        <f t="shared" si="116"/>
        <v>HPExt</v>
      </c>
      <c r="AD457" s="14">
        <f t="shared" si="117"/>
        <v>1382</v>
      </c>
      <c r="AE457" s="14" t="str">
        <f t="shared" si="118"/>
        <v>[x]</v>
      </c>
      <c r="AF457" s="27" t="str">
        <f t="shared" si="119"/>
        <v>[x]</v>
      </c>
      <c r="AG457" s="27" t="str">
        <f t="shared" si="120"/>
        <v>[x]</v>
      </c>
    </row>
    <row r="458" spans="16:33" ht="16.5" x14ac:dyDescent="0.2">
      <c r="P458" s="13">
        <v>402</v>
      </c>
      <c r="Q458" s="14">
        <f t="shared" si="105"/>
        <v>22</v>
      </c>
      <c r="R458" s="14">
        <f t="shared" si="106"/>
        <v>1606028</v>
      </c>
      <c r="S458" s="14" t="str">
        <f t="shared" si="110"/>
        <v>神器5碎片2等级9</v>
      </c>
      <c r="T458" s="29" t="s">
        <v>520</v>
      </c>
      <c r="U458" s="14">
        <f t="shared" si="107"/>
        <v>9</v>
      </c>
      <c r="V458" s="36">
        <f t="shared" si="111"/>
        <v>0.76200000000000001</v>
      </c>
      <c r="W458" s="17">
        <f t="shared" si="108"/>
        <v>7.62E-3</v>
      </c>
      <c r="X458" s="14">
        <f t="shared" si="112"/>
        <v>2</v>
      </c>
      <c r="Y458" s="14">
        <f t="shared" si="113"/>
        <v>3</v>
      </c>
      <c r="Z458" s="14">
        <f t="shared" si="114"/>
        <v>0</v>
      </c>
      <c r="AA458" s="14" t="str">
        <f t="shared" si="115"/>
        <v>DefExt</v>
      </c>
      <c r="AB458" s="14">
        <f t="shared" si="109"/>
        <v>517</v>
      </c>
      <c r="AC458" s="14" t="str">
        <f t="shared" si="116"/>
        <v>HPExt</v>
      </c>
      <c r="AD458" s="14">
        <f t="shared" si="117"/>
        <v>1553</v>
      </c>
      <c r="AE458" s="14" t="str">
        <f t="shared" si="118"/>
        <v>[x]</v>
      </c>
      <c r="AF458" s="27" t="str">
        <f t="shared" si="119"/>
        <v>[x]</v>
      </c>
      <c r="AG458" s="27" t="str">
        <f t="shared" si="120"/>
        <v>[x]</v>
      </c>
    </row>
    <row r="459" spans="16:33" ht="16.5" x14ac:dyDescent="0.2">
      <c r="P459" s="13">
        <v>403</v>
      </c>
      <c r="Q459" s="14">
        <f t="shared" si="105"/>
        <v>22</v>
      </c>
      <c r="R459" s="14">
        <f t="shared" si="106"/>
        <v>1606028</v>
      </c>
      <c r="S459" s="14" t="str">
        <f t="shared" si="110"/>
        <v>神器5碎片2等级10</v>
      </c>
      <c r="T459" s="29" t="s">
        <v>520</v>
      </c>
      <c r="U459" s="14">
        <f t="shared" si="107"/>
        <v>10</v>
      </c>
      <c r="V459" s="36">
        <f t="shared" si="111"/>
        <v>0.85000000000000009</v>
      </c>
      <c r="W459" s="17">
        <f t="shared" si="108"/>
        <v>8.5000000000000006E-3</v>
      </c>
      <c r="X459" s="14">
        <f t="shared" si="112"/>
        <v>2</v>
      </c>
      <c r="Y459" s="14">
        <f t="shared" si="113"/>
        <v>3</v>
      </c>
      <c r="Z459" s="14">
        <f t="shared" si="114"/>
        <v>0</v>
      </c>
      <c r="AA459" s="14" t="str">
        <f t="shared" si="115"/>
        <v>DefExt</v>
      </c>
      <c r="AB459" s="14">
        <f t="shared" si="109"/>
        <v>577</v>
      </c>
      <c r="AC459" s="14" t="str">
        <f t="shared" si="116"/>
        <v>HPExt</v>
      </c>
      <c r="AD459" s="14">
        <f t="shared" si="117"/>
        <v>1732</v>
      </c>
      <c r="AE459" s="14" t="str">
        <f t="shared" si="118"/>
        <v>[x]</v>
      </c>
      <c r="AF459" s="27" t="str">
        <f t="shared" si="119"/>
        <v>[x]</v>
      </c>
      <c r="AG459" s="27" t="str">
        <f t="shared" si="120"/>
        <v>[x]</v>
      </c>
    </row>
    <row r="460" spans="16:33" ht="16.5" x14ac:dyDescent="0.2">
      <c r="P460" s="13">
        <v>404</v>
      </c>
      <c r="Q460" s="14">
        <f t="shared" si="105"/>
        <v>22</v>
      </c>
      <c r="R460" s="14">
        <f t="shared" si="106"/>
        <v>1606028</v>
      </c>
      <c r="S460" s="14" t="str">
        <f t="shared" si="110"/>
        <v>神器5碎片2等级11</v>
      </c>
      <c r="T460" s="29" t="s">
        <v>520</v>
      </c>
      <c r="U460" s="14">
        <f t="shared" si="107"/>
        <v>11</v>
      </c>
      <c r="V460" s="36">
        <f t="shared" si="111"/>
        <v>0.94200000000000006</v>
      </c>
      <c r="W460" s="17">
        <f t="shared" si="108"/>
        <v>9.4200000000000013E-3</v>
      </c>
      <c r="X460" s="14">
        <f t="shared" si="112"/>
        <v>2</v>
      </c>
      <c r="Y460" s="14">
        <f t="shared" si="113"/>
        <v>3</v>
      </c>
      <c r="Z460" s="14">
        <f t="shared" si="114"/>
        <v>0</v>
      </c>
      <c r="AA460" s="14" t="str">
        <f t="shared" si="115"/>
        <v>DefExt</v>
      </c>
      <c r="AB460" s="14">
        <f t="shared" si="109"/>
        <v>639</v>
      </c>
      <c r="AC460" s="14" t="str">
        <f t="shared" si="116"/>
        <v>HPExt</v>
      </c>
      <c r="AD460" s="14">
        <f t="shared" si="117"/>
        <v>1920</v>
      </c>
      <c r="AE460" s="14" t="str">
        <f t="shared" si="118"/>
        <v>[x]</v>
      </c>
      <c r="AF460" s="27" t="str">
        <f t="shared" si="119"/>
        <v>[x]</v>
      </c>
      <c r="AG460" s="27" t="str">
        <f t="shared" si="120"/>
        <v>[x]</v>
      </c>
    </row>
    <row r="461" spans="16:33" ht="16.5" x14ac:dyDescent="0.2">
      <c r="P461" s="13">
        <v>405</v>
      </c>
      <c r="Q461" s="14">
        <f t="shared" si="105"/>
        <v>22</v>
      </c>
      <c r="R461" s="14">
        <f t="shared" si="106"/>
        <v>1606028</v>
      </c>
      <c r="S461" s="14" t="str">
        <f t="shared" si="110"/>
        <v>神器5碎片2等级12</v>
      </c>
      <c r="T461" s="29" t="s">
        <v>520</v>
      </c>
      <c r="U461" s="14">
        <f t="shared" si="107"/>
        <v>12</v>
      </c>
      <c r="V461" s="36">
        <f t="shared" si="111"/>
        <v>1.0380000000000003</v>
      </c>
      <c r="W461" s="17">
        <f t="shared" si="108"/>
        <v>1.0380000000000002E-2</v>
      </c>
      <c r="X461" s="14">
        <f t="shared" si="112"/>
        <v>2</v>
      </c>
      <c r="Y461" s="14">
        <f t="shared" si="113"/>
        <v>3</v>
      </c>
      <c r="Z461" s="14">
        <f t="shared" si="114"/>
        <v>0</v>
      </c>
      <c r="AA461" s="14" t="str">
        <f t="shared" si="115"/>
        <v>DefExt</v>
      </c>
      <c r="AB461" s="14">
        <f t="shared" si="109"/>
        <v>704</v>
      </c>
      <c r="AC461" s="14" t="str">
        <f t="shared" si="116"/>
        <v>HPExt</v>
      </c>
      <c r="AD461" s="14">
        <f t="shared" si="117"/>
        <v>2116</v>
      </c>
      <c r="AE461" s="14" t="str">
        <f t="shared" si="118"/>
        <v>[x]</v>
      </c>
      <c r="AF461" s="27" t="str">
        <f t="shared" si="119"/>
        <v>[x]</v>
      </c>
      <c r="AG461" s="27" t="str">
        <f t="shared" si="120"/>
        <v>[x]</v>
      </c>
    </row>
    <row r="462" spans="16:33" ht="16.5" x14ac:dyDescent="0.2">
      <c r="P462" s="13">
        <v>406</v>
      </c>
      <c r="Q462" s="14">
        <f t="shared" si="105"/>
        <v>22</v>
      </c>
      <c r="R462" s="14">
        <f t="shared" si="106"/>
        <v>1606028</v>
      </c>
      <c r="S462" s="14" t="str">
        <f t="shared" si="110"/>
        <v>神器5碎片2等级13</v>
      </c>
      <c r="T462" s="29" t="s">
        <v>520</v>
      </c>
      <c r="U462" s="14">
        <f t="shared" si="107"/>
        <v>13</v>
      </c>
      <c r="V462" s="36">
        <f t="shared" si="111"/>
        <v>1.1380000000000001</v>
      </c>
      <c r="W462" s="17">
        <f t="shared" si="108"/>
        <v>1.1380000000000001E-2</v>
      </c>
      <c r="X462" s="14">
        <f t="shared" si="112"/>
        <v>2</v>
      </c>
      <c r="Y462" s="14">
        <f t="shared" si="113"/>
        <v>3</v>
      </c>
      <c r="Z462" s="14">
        <f t="shared" si="114"/>
        <v>0</v>
      </c>
      <c r="AA462" s="14" t="str">
        <f t="shared" si="115"/>
        <v>DefExt</v>
      </c>
      <c r="AB462" s="14">
        <f t="shared" si="109"/>
        <v>772</v>
      </c>
      <c r="AC462" s="14" t="str">
        <f t="shared" si="116"/>
        <v>HPExt</v>
      </c>
      <c r="AD462" s="14">
        <f t="shared" si="117"/>
        <v>2320</v>
      </c>
      <c r="AE462" s="14" t="str">
        <f t="shared" si="118"/>
        <v>[x]</v>
      </c>
      <c r="AF462" s="27" t="str">
        <f t="shared" si="119"/>
        <v>[x]</v>
      </c>
      <c r="AG462" s="27" t="str">
        <f t="shared" si="120"/>
        <v>[x]</v>
      </c>
    </row>
    <row r="463" spans="16:33" ht="16.5" x14ac:dyDescent="0.2">
      <c r="P463" s="13">
        <v>407</v>
      </c>
      <c r="Q463" s="14">
        <f t="shared" si="105"/>
        <v>22</v>
      </c>
      <c r="R463" s="14">
        <f t="shared" si="106"/>
        <v>1606028</v>
      </c>
      <c r="S463" s="14" t="str">
        <f t="shared" si="110"/>
        <v>神器5碎片2等级14</v>
      </c>
      <c r="T463" s="29" t="s">
        <v>520</v>
      </c>
      <c r="U463" s="14">
        <f t="shared" si="107"/>
        <v>14</v>
      </c>
      <c r="V463" s="36">
        <f t="shared" si="111"/>
        <v>1.242</v>
      </c>
      <c r="W463" s="17">
        <f t="shared" si="108"/>
        <v>1.242E-2</v>
      </c>
      <c r="X463" s="14">
        <f t="shared" si="112"/>
        <v>2</v>
      </c>
      <c r="Y463" s="14">
        <f t="shared" si="113"/>
        <v>3</v>
      </c>
      <c r="Z463" s="14">
        <f t="shared" si="114"/>
        <v>0</v>
      </c>
      <c r="AA463" s="14" t="str">
        <f t="shared" si="115"/>
        <v>DefExt</v>
      </c>
      <c r="AB463" s="14">
        <f t="shared" si="109"/>
        <v>843</v>
      </c>
      <c r="AC463" s="14" t="str">
        <f t="shared" si="116"/>
        <v>HPExt</v>
      </c>
      <c r="AD463" s="14">
        <f t="shared" si="117"/>
        <v>2532</v>
      </c>
      <c r="AE463" s="14" t="str">
        <f t="shared" si="118"/>
        <v>[x]</v>
      </c>
      <c r="AF463" s="27" t="str">
        <f t="shared" si="119"/>
        <v>[x]</v>
      </c>
      <c r="AG463" s="27" t="str">
        <f t="shared" si="120"/>
        <v>[x]</v>
      </c>
    </row>
    <row r="464" spans="16:33" ht="16.5" x14ac:dyDescent="0.2">
      <c r="P464" s="13">
        <v>408</v>
      </c>
      <c r="Q464" s="14">
        <f t="shared" si="105"/>
        <v>22</v>
      </c>
      <c r="R464" s="14">
        <f t="shared" si="106"/>
        <v>1606028</v>
      </c>
      <c r="S464" s="14" t="str">
        <f t="shared" si="110"/>
        <v>神器5碎片2等级15</v>
      </c>
      <c r="T464" s="29" t="s">
        <v>520</v>
      </c>
      <c r="U464" s="14">
        <f t="shared" si="107"/>
        <v>15</v>
      </c>
      <c r="V464" s="36">
        <f t="shared" si="111"/>
        <v>1.35</v>
      </c>
      <c r="W464" s="17">
        <f t="shared" si="108"/>
        <v>1.3500000000000002E-2</v>
      </c>
      <c r="X464" s="14">
        <f t="shared" si="112"/>
        <v>2</v>
      </c>
      <c r="Y464" s="14">
        <f t="shared" si="113"/>
        <v>3</v>
      </c>
      <c r="Z464" s="14">
        <f t="shared" si="114"/>
        <v>0</v>
      </c>
      <c r="AA464" s="14" t="str">
        <f t="shared" si="115"/>
        <v>DefExt</v>
      </c>
      <c r="AB464" s="14">
        <f t="shared" si="109"/>
        <v>916</v>
      </c>
      <c r="AC464" s="14" t="str">
        <f t="shared" si="116"/>
        <v>HPExt</v>
      </c>
      <c r="AD464" s="14">
        <f t="shared" si="117"/>
        <v>2752</v>
      </c>
      <c r="AE464" s="14" t="str">
        <f t="shared" si="118"/>
        <v>[x]</v>
      </c>
      <c r="AF464" s="27" t="str">
        <f t="shared" si="119"/>
        <v>[x]</v>
      </c>
      <c r="AG464" s="27" t="str">
        <f t="shared" si="120"/>
        <v>[x]</v>
      </c>
    </row>
    <row r="465" spans="16:33" ht="16.5" x14ac:dyDescent="0.2">
      <c r="P465" s="13">
        <v>409</v>
      </c>
      <c r="Q465" s="14">
        <f t="shared" si="105"/>
        <v>22</v>
      </c>
      <c r="R465" s="14">
        <f t="shared" si="106"/>
        <v>1606028</v>
      </c>
      <c r="S465" s="14" t="str">
        <f t="shared" si="110"/>
        <v>神器5碎片2等级16</v>
      </c>
      <c r="T465" s="29" t="s">
        <v>520</v>
      </c>
      <c r="U465" s="14">
        <f t="shared" si="107"/>
        <v>16</v>
      </c>
      <c r="V465" s="36">
        <f t="shared" si="111"/>
        <v>1.4620000000000002</v>
      </c>
      <c r="W465" s="17">
        <f t="shared" si="108"/>
        <v>1.4620000000000003E-2</v>
      </c>
      <c r="X465" s="14">
        <f t="shared" si="112"/>
        <v>2</v>
      </c>
      <c r="Y465" s="14">
        <f t="shared" si="113"/>
        <v>3</v>
      </c>
      <c r="Z465" s="14">
        <f t="shared" si="114"/>
        <v>0</v>
      </c>
      <c r="AA465" s="14" t="str">
        <f t="shared" si="115"/>
        <v>DefExt</v>
      </c>
      <c r="AB465" s="14">
        <f t="shared" si="109"/>
        <v>992</v>
      </c>
      <c r="AC465" s="14" t="str">
        <f t="shared" si="116"/>
        <v>HPExt</v>
      </c>
      <c r="AD465" s="14">
        <f t="shared" si="117"/>
        <v>2980</v>
      </c>
      <c r="AE465" s="14" t="str">
        <f t="shared" si="118"/>
        <v>[x]</v>
      </c>
      <c r="AF465" s="27" t="str">
        <f t="shared" si="119"/>
        <v>[x]</v>
      </c>
      <c r="AG465" s="27" t="str">
        <f t="shared" si="120"/>
        <v>[x]</v>
      </c>
    </row>
    <row r="466" spans="16:33" ht="16.5" x14ac:dyDescent="0.2">
      <c r="P466" s="13">
        <v>410</v>
      </c>
      <c r="Q466" s="14">
        <f t="shared" si="105"/>
        <v>22</v>
      </c>
      <c r="R466" s="14">
        <f t="shared" si="106"/>
        <v>1606028</v>
      </c>
      <c r="S466" s="14" t="str">
        <f t="shared" si="110"/>
        <v>神器5碎片2等级17</v>
      </c>
      <c r="T466" s="29" t="s">
        <v>520</v>
      </c>
      <c r="U466" s="14">
        <f t="shared" si="107"/>
        <v>17</v>
      </c>
      <c r="V466" s="36">
        <f t="shared" si="111"/>
        <v>1.5779999999999998</v>
      </c>
      <c r="W466" s="17">
        <f t="shared" si="108"/>
        <v>1.5779999999999999E-2</v>
      </c>
      <c r="X466" s="14">
        <f t="shared" si="112"/>
        <v>2</v>
      </c>
      <c r="Y466" s="14">
        <f t="shared" si="113"/>
        <v>3</v>
      </c>
      <c r="Z466" s="14">
        <f t="shared" si="114"/>
        <v>0</v>
      </c>
      <c r="AA466" s="14" t="str">
        <f t="shared" si="115"/>
        <v>DefExt</v>
      </c>
      <c r="AB466" s="14">
        <f t="shared" si="109"/>
        <v>1071</v>
      </c>
      <c r="AC466" s="14" t="str">
        <f t="shared" si="116"/>
        <v>HPExt</v>
      </c>
      <c r="AD466" s="14">
        <f t="shared" si="117"/>
        <v>3217</v>
      </c>
      <c r="AE466" s="14" t="str">
        <f t="shared" si="118"/>
        <v>[x]</v>
      </c>
      <c r="AF466" s="27" t="str">
        <f t="shared" si="119"/>
        <v>[x]</v>
      </c>
      <c r="AG466" s="27" t="str">
        <f t="shared" si="120"/>
        <v>[x]</v>
      </c>
    </row>
    <row r="467" spans="16:33" ht="16.5" x14ac:dyDescent="0.2">
      <c r="P467" s="13">
        <v>411</v>
      </c>
      <c r="Q467" s="14">
        <f t="shared" si="105"/>
        <v>22</v>
      </c>
      <c r="R467" s="14">
        <f t="shared" si="106"/>
        <v>1606028</v>
      </c>
      <c r="S467" s="14" t="str">
        <f t="shared" si="110"/>
        <v>神器5碎片2等级18</v>
      </c>
      <c r="T467" s="29" t="s">
        <v>520</v>
      </c>
      <c r="U467" s="14">
        <f t="shared" si="107"/>
        <v>18</v>
      </c>
      <c r="V467" s="36">
        <f t="shared" si="111"/>
        <v>1.698</v>
      </c>
      <c r="W467" s="17">
        <f t="shared" si="108"/>
        <v>1.6979999999999999E-2</v>
      </c>
      <c r="X467" s="14">
        <f t="shared" si="112"/>
        <v>2</v>
      </c>
      <c r="Y467" s="14">
        <f t="shared" si="113"/>
        <v>3</v>
      </c>
      <c r="Z467" s="14">
        <f t="shared" si="114"/>
        <v>0</v>
      </c>
      <c r="AA467" s="14" t="str">
        <f t="shared" si="115"/>
        <v>DefExt</v>
      </c>
      <c r="AB467" s="14">
        <f t="shared" si="109"/>
        <v>1152</v>
      </c>
      <c r="AC467" s="14" t="str">
        <f t="shared" si="116"/>
        <v>HPExt</v>
      </c>
      <c r="AD467" s="14">
        <f t="shared" si="117"/>
        <v>3461</v>
      </c>
      <c r="AE467" s="14" t="str">
        <f t="shared" si="118"/>
        <v>[x]</v>
      </c>
      <c r="AF467" s="27" t="str">
        <f t="shared" si="119"/>
        <v>[x]</v>
      </c>
      <c r="AG467" s="27" t="str">
        <f t="shared" si="120"/>
        <v>[x]</v>
      </c>
    </row>
    <row r="468" spans="16:33" ht="16.5" x14ac:dyDescent="0.2">
      <c r="P468" s="13">
        <v>412</v>
      </c>
      <c r="Q468" s="14">
        <f t="shared" si="105"/>
        <v>22</v>
      </c>
      <c r="R468" s="14">
        <f t="shared" si="106"/>
        <v>1606028</v>
      </c>
      <c r="S468" s="14" t="str">
        <f t="shared" si="110"/>
        <v>神器5碎片2等级19</v>
      </c>
      <c r="T468" s="29" t="s">
        <v>520</v>
      </c>
      <c r="U468" s="14">
        <f t="shared" si="107"/>
        <v>19</v>
      </c>
      <c r="V468" s="36">
        <f t="shared" si="111"/>
        <v>1.8220000000000001</v>
      </c>
      <c r="W468" s="17">
        <f t="shared" si="108"/>
        <v>1.822E-2</v>
      </c>
      <c r="X468" s="14">
        <f t="shared" si="112"/>
        <v>2</v>
      </c>
      <c r="Y468" s="14">
        <f t="shared" si="113"/>
        <v>3</v>
      </c>
      <c r="Z468" s="14">
        <f t="shared" si="114"/>
        <v>0</v>
      </c>
      <c r="AA468" s="14" t="str">
        <f t="shared" si="115"/>
        <v>DefExt</v>
      </c>
      <c r="AB468" s="14">
        <f t="shared" si="109"/>
        <v>1237</v>
      </c>
      <c r="AC468" s="14" t="str">
        <f t="shared" si="116"/>
        <v>HPExt</v>
      </c>
      <c r="AD468" s="14">
        <f t="shared" si="117"/>
        <v>3714</v>
      </c>
      <c r="AE468" s="14" t="str">
        <f t="shared" si="118"/>
        <v>[x]</v>
      </c>
      <c r="AF468" s="27" t="str">
        <f t="shared" si="119"/>
        <v>[x]</v>
      </c>
      <c r="AG468" s="27" t="str">
        <f t="shared" si="120"/>
        <v>[x]</v>
      </c>
    </row>
    <row r="469" spans="16:33" ht="16.5" x14ac:dyDescent="0.2">
      <c r="P469" s="13">
        <v>413</v>
      </c>
      <c r="Q469" s="14">
        <f t="shared" si="105"/>
        <v>22</v>
      </c>
      <c r="R469" s="14">
        <f t="shared" si="106"/>
        <v>1606028</v>
      </c>
      <c r="S469" s="14" t="str">
        <f t="shared" si="110"/>
        <v>神器5碎片2等级20</v>
      </c>
      <c r="T469" s="29" t="s">
        <v>520</v>
      </c>
      <c r="U469" s="14">
        <f t="shared" si="107"/>
        <v>20</v>
      </c>
      <c r="V469" s="36">
        <f t="shared" si="111"/>
        <v>1.95</v>
      </c>
      <c r="W469" s="17">
        <f t="shared" si="108"/>
        <v>1.95E-2</v>
      </c>
      <c r="X469" s="14">
        <f t="shared" si="112"/>
        <v>2</v>
      </c>
      <c r="Y469" s="14">
        <f t="shared" si="113"/>
        <v>3</v>
      </c>
      <c r="Z469" s="14">
        <f t="shared" si="114"/>
        <v>0</v>
      </c>
      <c r="AA469" s="14" t="str">
        <f t="shared" si="115"/>
        <v>DefExt</v>
      </c>
      <c r="AB469" s="14">
        <f t="shared" si="109"/>
        <v>1323</v>
      </c>
      <c r="AC469" s="14" t="str">
        <f t="shared" si="116"/>
        <v>HPExt</v>
      </c>
      <c r="AD469" s="14">
        <f t="shared" si="117"/>
        <v>3975</v>
      </c>
      <c r="AE469" s="14" t="str">
        <f t="shared" si="118"/>
        <v>[x]</v>
      </c>
      <c r="AF469" s="27" t="str">
        <f t="shared" si="119"/>
        <v>[x]</v>
      </c>
      <c r="AG469" s="27" t="str">
        <f t="shared" si="120"/>
        <v>[x]</v>
      </c>
    </row>
    <row r="470" spans="16:33" ht="16.5" x14ac:dyDescent="0.2">
      <c r="P470" s="13">
        <v>414</v>
      </c>
      <c r="Q470" s="14">
        <f t="shared" si="105"/>
        <v>22</v>
      </c>
      <c r="R470" s="14">
        <f t="shared" si="106"/>
        <v>1606028</v>
      </c>
      <c r="S470" s="14" t="str">
        <f t="shared" si="110"/>
        <v>神器5碎片2等级21</v>
      </c>
      <c r="T470" s="29" t="s">
        <v>520</v>
      </c>
      <c r="U470" s="14">
        <f t="shared" si="107"/>
        <v>21</v>
      </c>
      <c r="V470" s="36">
        <f t="shared" si="111"/>
        <v>2.0819999999999999</v>
      </c>
      <c r="W470" s="17">
        <f t="shared" si="108"/>
        <v>2.0819999999999998E-2</v>
      </c>
      <c r="X470" s="14">
        <f t="shared" si="112"/>
        <v>2</v>
      </c>
      <c r="Y470" s="14">
        <f t="shared" si="113"/>
        <v>3</v>
      </c>
      <c r="Z470" s="14">
        <f t="shared" si="114"/>
        <v>0</v>
      </c>
      <c r="AA470" s="14" t="str">
        <f t="shared" si="115"/>
        <v>DefExt</v>
      </c>
      <c r="AB470" s="14">
        <f t="shared" si="109"/>
        <v>1413</v>
      </c>
      <c r="AC470" s="14" t="str">
        <f t="shared" si="116"/>
        <v>HPExt</v>
      </c>
      <c r="AD470" s="14">
        <f t="shared" si="117"/>
        <v>4244</v>
      </c>
      <c r="AE470" s="14" t="str">
        <f t="shared" si="118"/>
        <v>[x]</v>
      </c>
      <c r="AF470" s="27" t="str">
        <f t="shared" si="119"/>
        <v>[x]</v>
      </c>
      <c r="AG470" s="27" t="str">
        <f t="shared" si="120"/>
        <v>[x]</v>
      </c>
    </row>
    <row r="471" spans="16:33" ht="16.5" x14ac:dyDescent="0.2">
      <c r="P471" s="13">
        <v>415</v>
      </c>
      <c r="Q471" s="14">
        <f t="shared" si="105"/>
        <v>23</v>
      </c>
      <c r="R471" s="14">
        <f t="shared" si="106"/>
        <v>1606029</v>
      </c>
      <c r="S471" s="14" t="str">
        <f t="shared" si="110"/>
        <v>神器5碎片3等级1</v>
      </c>
      <c r="T471" s="29" t="s">
        <v>520</v>
      </c>
      <c r="U471" s="14">
        <f t="shared" si="107"/>
        <v>1</v>
      </c>
      <c r="V471" s="36">
        <f t="shared" si="111"/>
        <v>0.20200000000000001</v>
      </c>
      <c r="W471" s="17">
        <f t="shared" si="108"/>
        <v>4.0400000000000002E-3</v>
      </c>
      <c r="X471" s="14">
        <f t="shared" si="112"/>
        <v>1</v>
      </c>
      <c r="Y471" s="14">
        <f t="shared" si="113"/>
        <v>2</v>
      </c>
      <c r="Z471" s="14">
        <f t="shared" si="114"/>
        <v>0</v>
      </c>
      <c r="AA471" s="14" t="str">
        <f t="shared" si="115"/>
        <v>AtkExt</v>
      </c>
      <c r="AB471" s="14">
        <f t="shared" si="109"/>
        <v>274</v>
      </c>
      <c r="AC471" s="14" t="str">
        <f t="shared" si="116"/>
        <v>DefExt</v>
      </c>
      <c r="AD471" s="14">
        <f t="shared" si="117"/>
        <v>274</v>
      </c>
      <c r="AE471" s="14" t="str">
        <f t="shared" si="118"/>
        <v>[x]</v>
      </c>
      <c r="AF471" s="27" t="str">
        <f t="shared" si="119"/>
        <v>[x]</v>
      </c>
      <c r="AG471" s="27" t="str">
        <f t="shared" si="120"/>
        <v>[x]</v>
      </c>
    </row>
    <row r="472" spans="16:33" ht="16.5" x14ac:dyDescent="0.2">
      <c r="P472" s="13">
        <v>416</v>
      </c>
      <c r="Q472" s="14">
        <f t="shared" si="105"/>
        <v>23</v>
      </c>
      <c r="R472" s="14">
        <f t="shared" si="106"/>
        <v>1606029</v>
      </c>
      <c r="S472" s="14" t="str">
        <f t="shared" si="110"/>
        <v>神器5碎片3等级2</v>
      </c>
      <c r="T472" s="29" t="s">
        <v>520</v>
      </c>
      <c r="U472" s="14">
        <f t="shared" si="107"/>
        <v>2</v>
      </c>
      <c r="V472" s="36">
        <f t="shared" si="111"/>
        <v>0.25800000000000001</v>
      </c>
      <c r="W472" s="17">
        <f t="shared" si="108"/>
        <v>5.1600000000000005E-3</v>
      </c>
      <c r="X472" s="14">
        <f t="shared" si="112"/>
        <v>1</v>
      </c>
      <c r="Y472" s="14">
        <f t="shared" si="113"/>
        <v>2</v>
      </c>
      <c r="Z472" s="14">
        <f t="shared" si="114"/>
        <v>0</v>
      </c>
      <c r="AA472" s="14" t="str">
        <f t="shared" si="115"/>
        <v>AtkExt</v>
      </c>
      <c r="AB472" s="14">
        <f t="shared" si="109"/>
        <v>350</v>
      </c>
      <c r="AC472" s="14" t="str">
        <f t="shared" si="116"/>
        <v>DefExt</v>
      </c>
      <c r="AD472" s="14">
        <f t="shared" si="117"/>
        <v>350</v>
      </c>
      <c r="AE472" s="14" t="str">
        <f t="shared" si="118"/>
        <v>[x]</v>
      </c>
      <c r="AF472" s="27" t="str">
        <f t="shared" si="119"/>
        <v>[x]</v>
      </c>
      <c r="AG472" s="27" t="str">
        <f t="shared" si="120"/>
        <v>[x]</v>
      </c>
    </row>
    <row r="473" spans="16:33" ht="16.5" x14ac:dyDescent="0.2">
      <c r="P473" s="13">
        <v>417</v>
      </c>
      <c r="Q473" s="14">
        <f t="shared" si="105"/>
        <v>23</v>
      </c>
      <c r="R473" s="14">
        <f t="shared" si="106"/>
        <v>1606029</v>
      </c>
      <c r="S473" s="14" t="str">
        <f t="shared" si="110"/>
        <v>神器5碎片3等级3</v>
      </c>
      <c r="T473" s="29" t="s">
        <v>520</v>
      </c>
      <c r="U473" s="14">
        <f t="shared" si="107"/>
        <v>3</v>
      </c>
      <c r="V473" s="36">
        <f t="shared" si="111"/>
        <v>0.31800000000000006</v>
      </c>
      <c r="W473" s="17">
        <f t="shared" si="108"/>
        <v>6.3600000000000011E-3</v>
      </c>
      <c r="X473" s="14">
        <f t="shared" si="112"/>
        <v>1</v>
      </c>
      <c r="Y473" s="14">
        <f t="shared" si="113"/>
        <v>2</v>
      </c>
      <c r="Z473" s="14">
        <f t="shared" si="114"/>
        <v>0</v>
      </c>
      <c r="AA473" s="14" t="str">
        <f t="shared" si="115"/>
        <v>AtkExt</v>
      </c>
      <c r="AB473" s="14">
        <f t="shared" si="109"/>
        <v>432</v>
      </c>
      <c r="AC473" s="14" t="str">
        <f t="shared" si="116"/>
        <v>DefExt</v>
      </c>
      <c r="AD473" s="14">
        <f t="shared" si="117"/>
        <v>431</v>
      </c>
      <c r="AE473" s="14" t="str">
        <f t="shared" si="118"/>
        <v>[x]</v>
      </c>
      <c r="AF473" s="27" t="str">
        <f t="shared" si="119"/>
        <v>[x]</v>
      </c>
      <c r="AG473" s="27" t="str">
        <f t="shared" si="120"/>
        <v>[x]</v>
      </c>
    </row>
    <row r="474" spans="16:33" ht="16.5" x14ac:dyDescent="0.2">
      <c r="P474" s="13">
        <v>418</v>
      </c>
      <c r="Q474" s="14">
        <f t="shared" si="105"/>
        <v>23</v>
      </c>
      <c r="R474" s="14">
        <f t="shared" si="106"/>
        <v>1606029</v>
      </c>
      <c r="S474" s="14" t="str">
        <f t="shared" si="110"/>
        <v>神器5碎片3等级4</v>
      </c>
      <c r="T474" s="29" t="s">
        <v>520</v>
      </c>
      <c r="U474" s="14">
        <f t="shared" si="107"/>
        <v>4</v>
      </c>
      <c r="V474" s="36">
        <f t="shared" si="111"/>
        <v>0.38200000000000001</v>
      </c>
      <c r="W474" s="17">
        <f t="shared" si="108"/>
        <v>7.6400000000000001E-3</v>
      </c>
      <c r="X474" s="14">
        <f t="shared" si="112"/>
        <v>1</v>
      </c>
      <c r="Y474" s="14">
        <f t="shared" si="113"/>
        <v>2</v>
      </c>
      <c r="Z474" s="14">
        <f t="shared" si="114"/>
        <v>0</v>
      </c>
      <c r="AA474" s="14" t="str">
        <f t="shared" si="115"/>
        <v>AtkExt</v>
      </c>
      <c r="AB474" s="14">
        <f t="shared" si="109"/>
        <v>518</v>
      </c>
      <c r="AC474" s="14" t="str">
        <f t="shared" si="116"/>
        <v>DefExt</v>
      </c>
      <c r="AD474" s="14">
        <f t="shared" si="117"/>
        <v>518</v>
      </c>
      <c r="AE474" s="14" t="str">
        <f t="shared" si="118"/>
        <v>[x]</v>
      </c>
      <c r="AF474" s="27" t="str">
        <f t="shared" si="119"/>
        <v>[x]</v>
      </c>
      <c r="AG474" s="27" t="str">
        <f t="shared" si="120"/>
        <v>[x]</v>
      </c>
    </row>
    <row r="475" spans="16:33" ht="16.5" x14ac:dyDescent="0.2">
      <c r="P475" s="13">
        <v>419</v>
      </c>
      <c r="Q475" s="14">
        <f t="shared" si="105"/>
        <v>23</v>
      </c>
      <c r="R475" s="14">
        <f t="shared" si="106"/>
        <v>1606029</v>
      </c>
      <c r="S475" s="14" t="str">
        <f t="shared" si="110"/>
        <v>神器5碎片3等级5</v>
      </c>
      <c r="T475" s="29" t="s">
        <v>520</v>
      </c>
      <c r="U475" s="14">
        <f t="shared" si="107"/>
        <v>5</v>
      </c>
      <c r="V475" s="36">
        <f t="shared" si="111"/>
        <v>0.45</v>
      </c>
      <c r="W475" s="17">
        <f t="shared" si="108"/>
        <v>9.0000000000000011E-3</v>
      </c>
      <c r="X475" s="14">
        <f t="shared" si="112"/>
        <v>1</v>
      </c>
      <c r="Y475" s="14">
        <f t="shared" si="113"/>
        <v>2</v>
      </c>
      <c r="Z475" s="14">
        <f t="shared" si="114"/>
        <v>0</v>
      </c>
      <c r="AA475" s="14" t="str">
        <f t="shared" si="115"/>
        <v>AtkExt</v>
      </c>
      <c r="AB475" s="14">
        <f t="shared" si="109"/>
        <v>611</v>
      </c>
      <c r="AC475" s="14" t="str">
        <f t="shared" si="116"/>
        <v>DefExt</v>
      </c>
      <c r="AD475" s="14">
        <f t="shared" si="117"/>
        <v>611</v>
      </c>
      <c r="AE475" s="14" t="str">
        <f t="shared" si="118"/>
        <v>[x]</v>
      </c>
      <c r="AF475" s="27" t="str">
        <f t="shared" si="119"/>
        <v>[x]</v>
      </c>
      <c r="AG475" s="27" t="str">
        <f t="shared" si="120"/>
        <v>[x]</v>
      </c>
    </row>
    <row r="476" spans="16:33" ht="16.5" x14ac:dyDescent="0.2">
      <c r="P476" s="13">
        <v>420</v>
      </c>
      <c r="Q476" s="14">
        <f t="shared" si="105"/>
        <v>23</v>
      </c>
      <c r="R476" s="14">
        <f t="shared" si="106"/>
        <v>1606029</v>
      </c>
      <c r="S476" s="14" t="str">
        <f t="shared" si="110"/>
        <v>神器5碎片3等级6</v>
      </c>
      <c r="T476" s="29" t="s">
        <v>520</v>
      </c>
      <c r="U476" s="14">
        <f t="shared" si="107"/>
        <v>6</v>
      </c>
      <c r="V476" s="36">
        <f t="shared" si="111"/>
        <v>0.52200000000000002</v>
      </c>
      <c r="W476" s="17">
        <f t="shared" si="108"/>
        <v>1.0440000000000001E-2</v>
      </c>
      <c r="X476" s="14">
        <f t="shared" si="112"/>
        <v>1</v>
      </c>
      <c r="Y476" s="14">
        <f t="shared" si="113"/>
        <v>2</v>
      </c>
      <c r="Z476" s="14">
        <f t="shared" si="114"/>
        <v>0</v>
      </c>
      <c r="AA476" s="14" t="str">
        <f t="shared" si="115"/>
        <v>AtkExt</v>
      </c>
      <c r="AB476" s="14">
        <f t="shared" si="109"/>
        <v>709</v>
      </c>
      <c r="AC476" s="14" t="str">
        <f t="shared" si="116"/>
        <v>DefExt</v>
      </c>
      <c r="AD476" s="14">
        <f t="shared" si="117"/>
        <v>708</v>
      </c>
      <c r="AE476" s="14" t="str">
        <f t="shared" si="118"/>
        <v>[x]</v>
      </c>
      <c r="AF476" s="27" t="str">
        <f t="shared" si="119"/>
        <v>[x]</v>
      </c>
      <c r="AG476" s="27" t="str">
        <f t="shared" si="120"/>
        <v>[x]</v>
      </c>
    </row>
    <row r="477" spans="16:33" ht="16.5" x14ac:dyDescent="0.2">
      <c r="P477" s="13">
        <v>421</v>
      </c>
      <c r="Q477" s="14">
        <f t="shared" si="105"/>
        <v>23</v>
      </c>
      <c r="R477" s="14">
        <f t="shared" si="106"/>
        <v>1606029</v>
      </c>
      <c r="S477" s="14" t="str">
        <f t="shared" si="110"/>
        <v>神器5碎片3等级7</v>
      </c>
      <c r="T477" s="29" t="s">
        <v>520</v>
      </c>
      <c r="U477" s="14">
        <f t="shared" si="107"/>
        <v>7</v>
      </c>
      <c r="V477" s="36">
        <f t="shared" si="111"/>
        <v>0.59799999999999998</v>
      </c>
      <c r="W477" s="17">
        <f t="shared" si="108"/>
        <v>1.196E-2</v>
      </c>
      <c r="X477" s="14">
        <f t="shared" si="112"/>
        <v>1</v>
      </c>
      <c r="Y477" s="14">
        <f t="shared" si="113"/>
        <v>2</v>
      </c>
      <c r="Z477" s="14">
        <f t="shared" si="114"/>
        <v>0</v>
      </c>
      <c r="AA477" s="14" t="str">
        <f t="shared" si="115"/>
        <v>AtkExt</v>
      </c>
      <c r="AB477" s="14">
        <f t="shared" si="109"/>
        <v>812</v>
      </c>
      <c r="AC477" s="14" t="str">
        <f t="shared" si="116"/>
        <v>DefExt</v>
      </c>
      <c r="AD477" s="14">
        <f t="shared" si="117"/>
        <v>812</v>
      </c>
      <c r="AE477" s="14" t="str">
        <f t="shared" si="118"/>
        <v>[x]</v>
      </c>
      <c r="AF477" s="27" t="str">
        <f t="shared" si="119"/>
        <v>[x]</v>
      </c>
      <c r="AG477" s="27" t="str">
        <f t="shared" si="120"/>
        <v>[x]</v>
      </c>
    </row>
    <row r="478" spans="16:33" ht="16.5" x14ac:dyDescent="0.2">
      <c r="P478" s="13">
        <v>422</v>
      </c>
      <c r="Q478" s="14">
        <f t="shared" si="105"/>
        <v>23</v>
      </c>
      <c r="R478" s="14">
        <f t="shared" si="106"/>
        <v>1606029</v>
      </c>
      <c r="S478" s="14" t="str">
        <f t="shared" si="110"/>
        <v>神器5碎片3等级8</v>
      </c>
      <c r="T478" s="29" t="s">
        <v>520</v>
      </c>
      <c r="U478" s="14">
        <f t="shared" si="107"/>
        <v>8</v>
      </c>
      <c r="V478" s="36">
        <f t="shared" si="111"/>
        <v>0.67800000000000005</v>
      </c>
      <c r="W478" s="17">
        <f t="shared" si="108"/>
        <v>1.3560000000000001E-2</v>
      </c>
      <c r="X478" s="14">
        <f t="shared" si="112"/>
        <v>1</v>
      </c>
      <c r="Y478" s="14">
        <f t="shared" si="113"/>
        <v>2</v>
      </c>
      <c r="Z478" s="14">
        <f t="shared" si="114"/>
        <v>0</v>
      </c>
      <c r="AA478" s="14" t="str">
        <f t="shared" si="115"/>
        <v>AtkExt</v>
      </c>
      <c r="AB478" s="14">
        <f t="shared" si="109"/>
        <v>921</v>
      </c>
      <c r="AC478" s="14" t="str">
        <f t="shared" si="116"/>
        <v>DefExt</v>
      </c>
      <c r="AD478" s="14">
        <f t="shared" si="117"/>
        <v>920</v>
      </c>
      <c r="AE478" s="14" t="str">
        <f t="shared" si="118"/>
        <v>[x]</v>
      </c>
      <c r="AF478" s="27" t="str">
        <f t="shared" si="119"/>
        <v>[x]</v>
      </c>
      <c r="AG478" s="27" t="str">
        <f t="shared" si="120"/>
        <v>[x]</v>
      </c>
    </row>
    <row r="479" spans="16:33" ht="16.5" x14ac:dyDescent="0.2">
      <c r="P479" s="13">
        <v>423</v>
      </c>
      <c r="Q479" s="14">
        <f t="shared" si="105"/>
        <v>23</v>
      </c>
      <c r="R479" s="14">
        <f t="shared" si="106"/>
        <v>1606029</v>
      </c>
      <c r="S479" s="14" t="str">
        <f t="shared" si="110"/>
        <v>神器5碎片3等级9</v>
      </c>
      <c r="T479" s="29" t="s">
        <v>520</v>
      </c>
      <c r="U479" s="14">
        <f t="shared" si="107"/>
        <v>9</v>
      </c>
      <c r="V479" s="36">
        <f t="shared" si="111"/>
        <v>0.76200000000000001</v>
      </c>
      <c r="W479" s="17">
        <f t="shared" si="108"/>
        <v>1.524E-2</v>
      </c>
      <c r="X479" s="14">
        <f t="shared" si="112"/>
        <v>1</v>
      </c>
      <c r="Y479" s="14">
        <f t="shared" si="113"/>
        <v>2</v>
      </c>
      <c r="Z479" s="14">
        <f t="shared" si="114"/>
        <v>0</v>
      </c>
      <c r="AA479" s="14" t="str">
        <f t="shared" si="115"/>
        <v>AtkExt</v>
      </c>
      <c r="AB479" s="14">
        <f t="shared" si="109"/>
        <v>1035</v>
      </c>
      <c r="AC479" s="14" t="str">
        <f t="shared" si="116"/>
        <v>DefExt</v>
      </c>
      <c r="AD479" s="14">
        <f t="shared" si="117"/>
        <v>1034</v>
      </c>
      <c r="AE479" s="14" t="str">
        <f t="shared" si="118"/>
        <v>[x]</v>
      </c>
      <c r="AF479" s="27" t="str">
        <f t="shared" si="119"/>
        <v>[x]</v>
      </c>
      <c r="AG479" s="27" t="str">
        <f t="shared" si="120"/>
        <v>[x]</v>
      </c>
    </row>
    <row r="480" spans="16:33" ht="16.5" x14ac:dyDescent="0.2">
      <c r="P480" s="13">
        <v>424</v>
      </c>
      <c r="Q480" s="14">
        <f t="shared" si="105"/>
        <v>23</v>
      </c>
      <c r="R480" s="14">
        <f t="shared" si="106"/>
        <v>1606029</v>
      </c>
      <c r="S480" s="14" t="str">
        <f t="shared" si="110"/>
        <v>神器5碎片3等级10</v>
      </c>
      <c r="T480" s="29" t="s">
        <v>520</v>
      </c>
      <c r="U480" s="14">
        <f t="shared" si="107"/>
        <v>10</v>
      </c>
      <c r="V480" s="36">
        <f t="shared" si="111"/>
        <v>0.85000000000000009</v>
      </c>
      <c r="W480" s="17">
        <f t="shared" si="108"/>
        <v>1.7000000000000001E-2</v>
      </c>
      <c r="X480" s="14">
        <f t="shared" si="112"/>
        <v>1</v>
      </c>
      <c r="Y480" s="14">
        <f t="shared" si="113"/>
        <v>2</v>
      </c>
      <c r="Z480" s="14">
        <f t="shared" si="114"/>
        <v>0</v>
      </c>
      <c r="AA480" s="14" t="str">
        <f t="shared" si="115"/>
        <v>AtkExt</v>
      </c>
      <c r="AB480" s="14">
        <f t="shared" si="109"/>
        <v>1154</v>
      </c>
      <c r="AC480" s="14" t="str">
        <f t="shared" si="116"/>
        <v>DefExt</v>
      </c>
      <c r="AD480" s="14">
        <f t="shared" si="117"/>
        <v>1154</v>
      </c>
      <c r="AE480" s="14" t="str">
        <f t="shared" si="118"/>
        <v>[x]</v>
      </c>
      <c r="AF480" s="27" t="str">
        <f t="shared" si="119"/>
        <v>[x]</v>
      </c>
      <c r="AG480" s="27" t="str">
        <f t="shared" si="120"/>
        <v>[x]</v>
      </c>
    </row>
    <row r="481" spans="16:33" ht="16.5" x14ac:dyDescent="0.2">
      <c r="P481" s="13">
        <v>425</v>
      </c>
      <c r="Q481" s="14">
        <f t="shared" si="105"/>
        <v>23</v>
      </c>
      <c r="R481" s="14">
        <f t="shared" si="106"/>
        <v>1606029</v>
      </c>
      <c r="S481" s="14" t="str">
        <f t="shared" si="110"/>
        <v>神器5碎片3等级11</v>
      </c>
      <c r="T481" s="29" t="s">
        <v>520</v>
      </c>
      <c r="U481" s="14">
        <f t="shared" si="107"/>
        <v>11</v>
      </c>
      <c r="V481" s="36">
        <f t="shared" si="111"/>
        <v>0.94200000000000006</v>
      </c>
      <c r="W481" s="17">
        <f t="shared" si="108"/>
        <v>1.8840000000000003E-2</v>
      </c>
      <c r="X481" s="14">
        <f t="shared" si="112"/>
        <v>1</v>
      </c>
      <c r="Y481" s="14">
        <f t="shared" si="113"/>
        <v>2</v>
      </c>
      <c r="Z481" s="14">
        <f t="shared" si="114"/>
        <v>0</v>
      </c>
      <c r="AA481" s="14" t="str">
        <f t="shared" si="115"/>
        <v>AtkExt</v>
      </c>
      <c r="AB481" s="14">
        <f t="shared" si="109"/>
        <v>1279</v>
      </c>
      <c r="AC481" s="14" t="str">
        <f t="shared" si="116"/>
        <v>DefExt</v>
      </c>
      <c r="AD481" s="14">
        <f t="shared" si="117"/>
        <v>1279</v>
      </c>
      <c r="AE481" s="14" t="str">
        <f t="shared" si="118"/>
        <v>[x]</v>
      </c>
      <c r="AF481" s="27" t="str">
        <f t="shared" si="119"/>
        <v>[x]</v>
      </c>
      <c r="AG481" s="27" t="str">
        <f t="shared" si="120"/>
        <v>[x]</v>
      </c>
    </row>
    <row r="482" spans="16:33" ht="16.5" x14ac:dyDescent="0.2">
      <c r="P482" s="13">
        <v>426</v>
      </c>
      <c r="Q482" s="14">
        <f t="shared" si="105"/>
        <v>23</v>
      </c>
      <c r="R482" s="14">
        <f t="shared" si="106"/>
        <v>1606029</v>
      </c>
      <c r="S482" s="14" t="str">
        <f t="shared" si="110"/>
        <v>神器5碎片3等级12</v>
      </c>
      <c r="T482" s="29" t="s">
        <v>520</v>
      </c>
      <c r="U482" s="14">
        <f t="shared" si="107"/>
        <v>12</v>
      </c>
      <c r="V482" s="36">
        <f t="shared" si="111"/>
        <v>1.0380000000000003</v>
      </c>
      <c r="W482" s="17">
        <f t="shared" si="108"/>
        <v>2.0760000000000004E-2</v>
      </c>
      <c r="X482" s="14">
        <f t="shared" si="112"/>
        <v>1</v>
      </c>
      <c r="Y482" s="14">
        <f t="shared" si="113"/>
        <v>2</v>
      </c>
      <c r="Z482" s="14">
        <f t="shared" si="114"/>
        <v>0</v>
      </c>
      <c r="AA482" s="14" t="str">
        <f t="shared" si="115"/>
        <v>AtkExt</v>
      </c>
      <c r="AB482" s="14">
        <f t="shared" si="109"/>
        <v>1410</v>
      </c>
      <c r="AC482" s="14" t="str">
        <f t="shared" si="116"/>
        <v>DefExt</v>
      </c>
      <c r="AD482" s="14">
        <f t="shared" si="117"/>
        <v>1409</v>
      </c>
      <c r="AE482" s="14" t="str">
        <f t="shared" si="118"/>
        <v>[x]</v>
      </c>
      <c r="AF482" s="27" t="str">
        <f t="shared" si="119"/>
        <v>[x]</v>
      </c>
      <c r="AG482" s="27" t="str">
        <f t="shared" si="120"/>
        <v>[x]</v>
      </c>
    </row>
    <row r="483" spans="16:33" ht="16.5" x14ac:dyDescent="0.2">
      <c r="P483" s="13">
        <v>427</v>
      </c>
      <c r="Q483" s="14">
        <f t="shared" si="105"/>
        <v>23</v>
      </c>
      <c r="R483" s="14">
        <f t="shared" si="106"/>
        <v>1606029</v>
      </c>
      <c r="S483" s="14" t="str">
        <f t="shared" si="110"/>
        <v>神器5碎片3等级13</v>
      </c>
      <c r="T483" s="29" t="s">
        <v>520</v>
      </c>
      <c r="U483" s="14">
        <f t="shared" si="107"/>
        <v>13</v>
      </c>
      <c r="V483" s="36">
        <f t="shared" si="111"/>
        <v>1.1380000000000001</v>
      </c>
      <c r="W483" s="17">
        <f t="shared" si="108"/>
        <v>2.2760000000000002E-2</v>
      </c>
      <c r="X483" s="14">
        <f t="shared" si="112"/>
        <v>1</v>
      </c>
      <c r="Y483" s="14">
        <f t="shared" si="113"/>
        <v>2</v>
      </c>
      <c r="Z483" s="14">
        <f t="shared" si="114"/>
        <v>0</v>
      </c>
      <c r="AA483" s="14" t="str">
        <f t="shared" si="115"/>
        <v>AtkExt</v>
      </c>
      <c r="AB483" s="14">
        <f t="shared" si="109"/>
        <v>1546</v>
      </c>
      <c r="AC483" s="14" t="str">
        <f t="shared" si="116"/>
        <v>DefExt</v>
      </c>
      <c r="AD483" s="14">
        <f t="shared" si="117"/>
        <v>1545</v>
      </c>
      <c r="AE483" s="14" t="str">
        <f t="shared" si="118"/>
        <v>[x]</v>
      </c>
      <c r="AF483" s="27" t="str">
        <f t="shared" si="119"/>
        <v>[x]</v>
      </c>
      <c r="AG483" s="27" t="str">
        <f t="shared" si="120"/>
        <v>[x]</v>
      </c>
    </row>
    <row r="484" spans="16:33" ht="16.5" x14ac:dyDescent="0.2">
      <c r="P484" s="13">
        <v>428</v>
      </c>
      <c r="Q484" s="14">
        <f t="shared" si="105"/>
        <v>23</v>
      </c>
      <c r="R484" s="14">
        <f t="shared" si="106"/>
        <v>1606029</v>
      </c>
      <c r="S484" s="14" t="str">
        <f t="shared" si="110"/>
        <v>神器5碎片3等级14</v>
      </c>
      <c r="T484" s="29" t="s">
        <v>520</v>
      </c>
      <c r="U484" s="14">
        <f t="shared" si="107"/>
        <v>14</v>
      </c>
      <c r="V484" s="36">
        <f t="shared" si="111"/>
        <v>1.242</v>
      </c>
      <c r="W484" s="17">
        <f t="shared" si="108"/>
        <v>2.4840000000000001E-2</v>
      </c>
      <c r="X484" s="14">
        <f t="shared" si="112"/>
        <v>1</v>
      </c>
      <c r="Y484" s="14">
        <f t="shared" si="113"/>
        <v>2</v>
      </c>
      <c r="Z484" s="14">
        <f t="shared" si="114"/>
        <v>0</v>
      </c>
      <c r="AA484" s="14" t="str">
        <f t="shared" si="115"/>
        <v>AtkExt</v>
      </c>
      <c r="AB484" s="14">
        <f t="shared" si="109"/>
        <v>1687</v>
      </c>
      <c r="AC484" s="14" t="str">
        <f t="shared" si="116"/>
        <v>DefExt</v>
      </c>
      <c r="AD484" s="14">
        <f t="shared" si="117"/>
        <v>1686</v>
      </c>
      <c r="AE484" s="14" t="str">
        <f t="shared" si="118"/>
        <v>[x]</v>
      </c>
      <c r="AF484" s="27" t="str">
        <f t="shared" si="119"/>
        <v>[x]</v>
      </c>
      <c r="AG484" s="27" t="str">
        <f t="shared" si="120"/>
        <v>[x]</v>
      </c>
    </row>
    <row r="485" spans="16:33" ht="16.5" x14ac:dyDescent="0.2">
      <c r="P485" s="13">
        <v>429</v>
      </c>
      <c r="Q485" s="14">
        <f t="shared" si="105"/>
        <v>23</v>
      </c>
      <c r="R485" s="14">
        <f t="shared" si="106"/>
        <v>1606029</v>
      </c>
      <c r="S485" s="14" t="str">
        <f t="shared" si="110"/>
        <v>神器5碎片3等级15</v>
      </c>
      <c r="T485" s="29" t="s">
        <v>520</v>
      </c>
      <c r="U485" s="14">
        <f t="shared" si="107"/>
        <v>15</v>
      </c>
      <c r="V485" s="36">
        <f t="shared" si="111"/>
        <v>1.35</v>
      </c>
      <c r="W485" s="17">
        <f t="shared" si="108"/>
        <v>2.7000000000000003E-2</v>
      </c>
      <c r="X485" s="14">
        <f t="shared" si="112"/>
        <v>1</v>
      </c>
      <c r="Y485" s="14">
        <f t="shared" si="113"/>
        <v>2</v>
      </c>
      <c r="Z485" s="14">
        <f t="shared" si="114"/>
        <v>0</v>
      </c>
      <c r="AA485" s="14" t="str">
        <f t="shared" si="115"/>
        <v>AtkExt</v>
      </c>
      <c r="AB485" s="14">
        <f t="shared" si="109"/>
        <v>1834</v>
      </c>
      <c r="AC485" s="14" t="str">
        <f t="shared" si="116"/>
        <v>DefExt</v>
      </c>
      <c r="AD485" s="14">
        <f t="shared" si="117"/>
        <v>1833</v>
      </c>
      <c r="AE485" s="14" t="str">
        <f t="shared" si="118"/>
        <v>[x]</v>
      </c>
      <c r="AF485" s="27" t="str">
        <f t="shared" si="119"/>
        <v>[x]</v>
      </c>
      <c r="AG485" s="27" t="str">
        <f t="shared" si="120"/>
        <v>[x]</v>
      </c>
    </row>
    <row r="486" spans="16:33" ht="16.5" x14ac:dyDescent="0.2">
      <c r="P486" s="13">
        <v>430</v>
      </c>
      <c r="Q486" s="14">
        <f t="shared" si="105"/>
        <v>23</v>
      </c>
      <c r="R486" s="14">
        <f t="shared" si="106"/>
        <v>1606029</v>
      </c>
      <c r="S486" s="14" t="str">
        <f t="shared" si="110"/>
        <v>神器5碎片3等级16</v>
      </c>
      <c r="T486" s="29" t="s">
        <v>520</v>
      </c>
      <c r="U486" s="14">
        <f t="shared" si="107"/>
        <v>16</v>
      </c>
      <c r="V486" s="36">
        <f t="shared" si="111"/>
        <v>1.4620000000000002</v>
      </c>
      <c r="W486" s="17">
        <f t="shared" si="108"/>
        <v>2.9240000000000006E-2</v>
      </c>
      <c r="X486" s="14">
        <f t="shared" si="112"/>
        <v>1</v>
      </c>
      <c r="Y486" s="14">
        <f t="shared" si="113"/>
        <v>2</v>
      </c>
      <c r="Z486" s="14">
        <f t="shared" si="114"/>
        <v>0</v>
      </c>
      <c r="AA486" s="14" t="str">
        <f t="shared" si="115"/>
        <v>AtkExt</v>
      </c>
      <c r="AB486" s="14">
        <f t="shared" si="109"/>
        <v>1986</v>
      </c>
      <c r="AC486" s="14" t="str">
        <f t="shared" si="116"/>
        <v>DefExt</v>
      </c>
      <c r="AD486" s="14">
        <f t="shared" si="117"/>
        <v>1985</v>
      </c>
      <c r="AE486" s="14" t="str">
        <f t="shared" si="118"/>
        <v>[x]</v>
      </c>
      <c r="AF486" s="27" t="str">
        <f t="shared" si="119"/>
        <v>[x]</v>
      </c>
      <c r="AG486" s="27" t="str">
        <f t="shared" si="120"/>
        <v>[x]</v>
      </c>
    </row>
    <row r="487" spans="16:33" ht="16.5" x14ac:dyDescent="0.2">
      <c r="P487" s="13">
        <v>431</v>
      </c>
      <c r="Q487" s="14">
        <f t="shared" si="105"/>
        <v>23</v>
      </c>
      <c r="R487" s="14">
        <f t="shared" si="106"/>
        <v>1606029</v>
      </c>
      <c r="S487" s="14" t="str">
        <f t="shared" si="110"/>
        <v>神器5碎片3等级17</v>
      </c>
      <c r="T487" s="29" t="s">
        <v>520</v>
      </c>
      <c r="U487" s="14">
        <f t="shared" si="107"/>
        <v>17</v>
      </c>
      <c r="V487" s="36">
        <f t="shared" si="111"/>
        <v>1.5779999999999998</v>
      </c>
      <c r="W487" s="17">
        <f t="shared" si="108"/>
        <v>3.1559999999999998E-2</v>
      </c>
      <c r="X487" s="14">
        <f t="shared" si="112"/>
        <v>1</v>
      </c>
      <c r="Y487" s="14">
        <f t="shared" si="113"/>
        <v>2</v>
      </c>
      <c r="Z487" s="14">
        <f t="shared" si="114"/>
        <v>0</v>
      </c>
      <c r="AA487" s="14" t="str">
        <f t="shared" si="115"/>
        <v>AtkExt</v>
      </c>
      <c r="AB487" s="14">
        <f t="shared" si="109"/>
        <v>2143</v>
      </c>
      <c r="AC487" s="14" t="str">
        <f t="shared" si="116"/>
        <v>DefExt</v>
      </c>
      <c r="AD487" s="14">
        <f t="shared" si="117"/>
        <v>2142</v>
      </c>
      <c r="AE487" s="14" t="str">
        <f t="shared" si="118"/>
        <v>[x]</v>
      </c>
      <c r="AF487" s="27" t="str">
        <f t="shared" si="119"/>
        <v>[x]</v>
      </c>
      <c r="AG487" s="27" t="str">
        <f t="shared" si="120"/>
        <v>[x]</v>
      </c>
    </row>
    <row r="488" spans="16:33" ht="16.5" x14ac:dyDescent="0.2">
      <c r="P488" s="13">
        <v>432</v>
      </c>
      <c r="Q488" s="14">
        <f t="shared" si="105"/>
        <v>23</v>
      </c>
      <c r="R488" s="14">
        <f t="shared" si="106"/>
        <v>1606029</v>
      </c>
      <c r="S488" s="14" t="str">
        <f t="shared" si="110"/>
        <v>神器5碎片3等级18</v>
      </c>
      <c r="T488" s="29" t="s">
        <v>520</v>
      </c>
      <c r="U488" s="14">
        <f t="shared" si="107"/>
        <v>18</v>
      </c>
      <c r="V488" s="36">
        <f t="shared" si="111"/>
        <v>1.698</v>
      </c>
      <c r="W488" s="17">
        <f t="shared" si="108"/>
        <v>3.3959999999999997E-2</v>
      </c>
      <c r="X488" s="14">
        <f t="shared" si="112"/>
        <v>1</v>
      </c>
      <c r="Y488" s="14">
        <f t="shared" si="113"/>
        <v>2</v>
      </c>
      <c r="Z488" s="14">
        <f t="shared" si="114"/>
        <v>0</v>
      </c>
      <c r="AA488" s="14" t="str">
        <f t="shared" si="115"/>
        <v>AtkExt</v>
      </c>
      <c r="AB488" s="14">
        <f t="shared" si="109"/>
        <v>2306</v>
      </c>
      <c r="AC488" s="14" t="str">
        <f t="shared" si="116"/>
        <v>DefExt</v>
      </c>
      <c r="AD488" s="14">
        <f t="shared" si="117"/>
        <v>2305</v>
      </c>
      <c r="AE488" s="14" t="str">
        <f t="shared" si="118"/>
        <v>[x]</v>
      </c>
      <c r="AF488" s="27" t="str">
        <f t="shared" si="119"/>
        <v>[x]</v>
      </c>
      <c r="AG488" s="27" t="str">
        <f t="shared" si="120"/>
        <v>[x]</v>
      </c>
    </row>
    <row r="489" spans="16:33" ht="16.5" x14ac:dyDescent="0.2">
      <c r="P489" s="13">
        <v>433</v>
      </c>
      <c r="Q489" s="14">
        <f t="shared" si="105"/>
        <v>23</v>
      </c>
      <c r="R489" s="14">
        <f t="shared" si="106"/>
        <v>1606029</v>
      </c>
      <c r="S489" s="14" t="str">
        <f t="shared" si="110"/>
        <v>神器5碎片3等级19</v>
      </c>
      <c r="T489" s="29" t="s">
        <v>520</v>
      </c>
      <c r="U489" s="14">
        <f t="shared" si="107"/>
        <v>19</v>
      </c>
      <c r="V489" s="36">
        <f t="shared" si="111"/>
        <v>1.8220000000000001</v>
      </c>
      <c r="W489" s="17">
        <f t="shared" si="108"/>
        <v>3.644E-2</v>
      </c>
      <c r="X489" s="14">
        <f t="shared" si="112"/>
        <v>1</v>
      </c>
      <c r="Y489" s="14">
        <f t="shared" si="113"/>
        <v>2</v>
      </c>
      <c r="Z489" s="14">
        <f t="shared" si="114"/>
        <v>0</v>
      </c>
      <c r="AA489" s="14" t="str">
        <f t="shared" si="115"/>
        <v>AtkExt</v>
      </c>
      <c r="AB489" s="14">
        <f t="shared" si="109"/>
        <v>2475</v>
      </c>
      <c r="AC489" s="14" t="str">
        <f t="shared" si="116"/>
        <v>DefExt</v>
      </c>
      <c r="AD489" s="14">
        <f t="shared" si="117"/>
        <v>2474</v>
      </c>
      <c r="AE489" s="14" t="str">
        <f t="shared" si="118"/>
        <v>[x]</v>
      </c>
      <c r="AF489" s="27" t="str">
        <f t="shared" si="119"/>
        <v>[x]</v>
      </c>
      <c r="AG489" s="27" t="str">
        <f t="shared" si="120"/>
        <v>[x]</v>
      </c>
    </row>
    <row r="490" spans="16:33" ht="16.5" x14ac:dyDescent="0.2">
      <c r="P490" s="13">
        <v>434</v>
      </c>
      <c r="Q490" s="14">
        <f t="shared" si="105"/>
        <v>23</v>
      </c>
      <c r="R490" s="14">
        <f t="shared" si="106"/>
        <v>1606029</v>
      </c>
      <c r="S490" s="14" t="str">
        <f t="shared" si="110"/>
        <v>神器5碎片3等级20</v>
      </c>
      <c r="T490" s="29" t="s">
        <v>520</v>
      </c>
      <c r="U490" s="14">
        <f t="shared" si="107"/>
        <v>20</v>
      </c>
      <c r="V490" s="36">
        <f t="shared" si="111"/>
        <v>1.95</v>
      </c>
      <c r="W490" s="17">
        <f t="shared" si="108"/>
        <v>3.9E-2</v>
      </c>
      <c r="X490" s="14">
        <f t="shared" si="112"/>
        <v>1</v>
      </c>
      <c r="Y490" s="14">
        <f t="shared" si="113"/>
        <v>2</v>
      </c>
      <c r="Z490" s="14">
        <f t="shared" si="114"/>
        <v>0</v>
      </c>
      <c r="AA490" s="14" t="str">
        <f t="shared" si="115"/>
        <v>AtkExt</v>
      </c>
      <c r="AB490" s="14">
        <f t="shared" si="109"/>
        <v>2649</v>
      </c>
      <c r="AC490" s="14" t="str">
        <f t="shared" si="116"/>
        <v>DefExt</v>
      </c>
      <c r="AD490" s="14">
        <f t="shared" si="117"/>
        <v>2647</v>
      </c>
      <c r="AE490" s="14" t="str">
        <f t="shared" si="118"/>
        <v>[x]</v>
      </c>
      <c r="AF490" s="27" t="str">
        <f t="shared" si="119"/>
        <v>[x]</v>
      </c>
      <c r="AG490" s="27" t="str">
        <f t="shared" si="120"/>
        <v>[x]</v>
      </c>
    </row>
    <row r="491" spans="16:33" ht="16.5" x14ac:dyDescent="0.2">
      <c r="P491" s="13">
        <v>435</v>
      </c>
      <c r="Q491" s="14">
        <f t="shared" si="105"/>
        <v>23</v>
      </c>
      <c r="R491" s="14">
        <f t="shared" si="106"/>
        <v>1606029</v>
      </c>
      <c r="S491" s="14" t="str">
        <f t="shared" si="110"/>
        <v>神器5碎片3等级21</v>
      </c>
      <c r="T491" s="29" t="s">
        <v>520</v>
      </c>
      <c r="U491" s="14">
        <f t="shared" si="107"/>
        <v>21</v>
      </c>
      <c r="V491" s="36">
        <f t="shared" si="111"/>
        <v>2.0819999999999999</v>
      </c>
      <c r="W491" s="17">
        <f t="shared" si="108"/>
        <v>4.1639999999999996E-2</v>
      </c>
      <c r="X491" s="14">
        <f t="shared" si="112"/>
        <v>1</v>
      </c>
      <c r="Y491" s="14">
        <f t="shared" si="113"/>
        <v>2</v>
      </c>
      <c r="Z491" s="14">
        <f t="shared" si="114"/>
        <v>0</v>
      </c>
      <c r="AA491" s="14" t="str">
        <f t="shared" si="115"/>
        <v>AtkExt</v>
      </c>
      <c r="AB491" s="14">
        <f t="shared" si="109"/>
        <v>2828</v>
      </c>
      <c r="AC491" s="14" t="str">
        <f t="shared" si="116"/>
        <v>DefExt</v>
      </c>
      <c r="AD491" s="14">
        <f t="shared" si="117"/>
        <v>2827</v>
      </c>
      <c r="AE491" s="14" t="str">
        <f t="shared" si="118"/>
        <v>[x]</v>
      </c>
      <c r="AF491" s="27" t="str">
        <f t="shared" si="119"/>
        <v>[x]</v>
      </c>
      <c r="AG491" s="27" t="str">
        <f t="shared" si="120"/>
        <v>[x]</v>
      </c>
    </row>
    <row r="492" spans="16:33" ht="16.5" x14ac:dyDescent="0.2">
      <c r="P492" s="13">
        <v>436</v>
      </c>
      <c r="Q492" s="14">
        <f t="shared" si="105"/>
        <v>24</v>
      </c>
      <c r="R492" s="14">
        <f t="shared" si="106"/>
        <v>1606030</v>
      </c>
      <c r="S492" s="14" t="str">
        <f t="shared" si="110"/>
        <v>神器5碎片4等级1</v>
      </c>
      <c r="T492" s="29" t="s">
        <v>520</v>
      </c>
      <c r="U492" s="14">
        <f t="shared" si="107"/>
        <v>1</v>
      </c>
      <c r="V492" s="36">
        <f t="shared" si="111"/>
        <v>0.20200000000000001</v>
      </c>
      <c r="W492" s="17">
        <f t="shared" si="108"/>
        <v>4.0400000000000002E-3</v>
      </c>
      <c r="X492" s="14">
        <f t="shared" si="112"/>
        <v>2</v>
      </c>
      <c r="Y492" s="14">
        <f t="shared" si="113"/>
        <v>3</v>
      </c>
      <c r="Z492" s="14">
        <f t="shared" si="114"/>
        <v>0</v>
      </c>
      <c r="AA492" s="14" t="str">
        <f t="shared" si="115"/>
        <v>DefExt</v>
      </c>
      <c r="AB492" s="14">
        <f t="shared" si="109"/>
        <v>274</v>
      </c>
      <c r="AC492" s="14" t="str">
        <f t="shared" si="116"/>
        <v>HPExt</v>
      </c>
      <c r="AD492" s="14">
        <f t="shared" si="117"/>
        <v>823</v>
      </c>
      <c r="AE492" s="14" t="str">
        <f t="shared" si="118"/>
        <v>[x]</v>
      </c>
      <c r="AF492" s="27" t="str">
        <f t="shared" si="119"/>
        <v>[x]</v>
      </c>
      <c r="AG492" s="27" t="str">
        <f t="shared" si="120"/>
        <v>[x]</v>
      </c>
    </row>
    <row r="493" spans="16:33" ht="16.5" x14ac:dyDescent="0.2">
      <c r="P493" s="13">
        <v>437</v>
      </c>
      <c r="Q493" s="14">
        <f t="shared" si="105"/>
        <v>24</v>
      </c>
      <c r="R493" s="14">
        <f t="shared" si="106"/>
        <v>1606030</v>
      </c>
      <c r="S493" s="14" t="str">
        <f t="shared" si="110"/>
        <v>神器5碎片4等级2</v>
      </c>
      <c r="T493" s="29" t="s">
        <v>520</v>
      </c>
      <c r="U493" s="14">
        <f t="shared" si="107"/>
        <v>2</v>
      </c>
      <c r="V493" s="36">
        <f t="shared" si="111"/>
        <v>0.25800000000000001</v>
      </c>
      <c r="W493" s="17">
        <f t="shared" si="108"/>
        <v>5.1600000000000005E-3</v>
      </c>
      <c r="X493" s="14">
        <f t="shared" si="112"/>
        <v>2</v>
      </c>
      <c r="Y493" s="14">
        <f t="shared" si="113"/>
        <v>3</v>
      </c>
      <c r="Z493" s="14">
        <f t="shared" si="114"/>
        <v>0</v>
      </c>
      <c r="AA493" s="14" t="str">
        <f t="shared" si="115"/>
        <v>DefExt</v>
      </c>
      <c r="AB493" s="14">
        <f t="shared" si="109"/>
        <v>350</v>
      </c>
      <c r="AC493" s="14" t="str">
        <f t="shared" si="116"/>
        <v>HPExt</v>
      </c>
      <c r="AD493" s="14">
        <f t="shared" si="117"/>
        <v>1051</v>
      </c>
      <c r="AE493" s="14" t="str">
        <f t="shared" si="118"/>
        <v>[x]</v>
      </c>
      <c r="AF493" s="27" t="str">
        <f t="shared" si="119"/>
        <v>[x]</v>
      </c>
      <c r="AG493" s="27" t="str">
        <f t="shared" si="120"/>
        <v>[x]</v>
      </c>
    </row>
    <row r="494" spans="16:33" ht="16.5" x14ac:dyDescent="0.2">
      <c r="P494" s="13">
        <v>438</v>
      </c>
      <c r="Q494" s="14">
        <f t="shared" si="105"/>
        <v>24</v>
      </c>
      <c r="R494" s="14">
        <f t="shared" si="106"/>
        <v>1606030</v>
      </c>
      <c r="S494" s="14" t="str">
        <f t="shared" si="110"/>
        <v>神器5碎片4等级3</v>
      </c>
      <c r="T494" s="29" t="s">
        <v>520</v>
      </c>
      <c r="U494" s="14">
        <f t="shared" si="107"/>
        <v>3</v>
      </c>
      <c r="V494" s="36">
        <f t="shared" si="111"/>
        <v>0.31800000000000006</v>
      </c>
      <c r="W494" s="17">
        <f t="shared" si="108"/>
        <v>6.3600000000000011E-3</v>
      </c>
      <c r="X494" s="14">
        <f t="shared" si="112"/>
        <v>2</v>
      </c>
      <c r="Y494" s="14">
        <f t="shared" si="113"/>
        <v>3</v>
      </c>
      <c r="Z494" s="14">
        <f t="shared" si="114"/>
        <v>0</v>
      </c>
      <c r="AA494" s="14" t="str">
        <f t="shared" si="115"/>
        <v>DefExt</v>
      </c>
      <c r="AB494" s="14">
        <f t="shared" si="109"/>
        <v>431</v>
      </c>
      <c r="AC494" s="14" t="str">
        <f t="shared" si="116"/>
        <v>HPExt</v>
      </c>
      <c r="AD494" s="14">
        <f t="shared" si="117"/>
        <v>1296</v>
      </c>
      <c r="AE494" s="14" t="str">
        <f t="shared" si="118"/>
        <v>[x]</v>
      </c>
      <c r="AF494" s="27" t="str">
        <f t="shared" si="119"/>
        <v>[x]</v>
      </c>
      <c r="AG494" s="27" t="str">
        <f t="shared" si="120"/>
        <v>[x]</v>
      </c>
    </row>
    <row r="495" spans="16:33" ht="16.5" x14ac:dyDescent="0.2">
      <c r="P495" s="13">
        <v>439</v>
      </c>
      <c r="Q495" s="14">
        <f t="shared" si="105"/>
        <v>24</v>
      </c>
      <c r="R495" s="14">
        <f t="shared" si="106"/>
        <v>1606030</v>
      </c>
      <c r="S495" s="14" t="str">
        <f t="shared" si="110"/>
        <v>神器5碎片4等级4</v>
      </c>
      <c r="T495" s="29" t="s">
        <v>520</v>
      </c>
      <c r="U495" s="14">
        <f t="shared" si="107"/>
        <v>4</v>
      </c>
      <c r="V495" s="36">
        <f t="shared" si="111"/>
        <v>0.38200000000000001</v>
      </c>
      <c r="W495" s="17">
        <f t="shared" si="108"/>
        <v>7.6400000000000001E-3</v>
      </c>
      <c r="X495" s="14">
        <f t="shared" si="112"/>
        <v>2</v>
      </c>
      <c r="Y495" s="14">
        <f t="shared" si="113"/>
        <v>3</v>
      </c>
      <c r="Z495" s="14">
        <f t="shared" si="114"/>
        <v>0</v>
      </c>
      <c r="AA495" s="14" t="str">
        <f t="shared" si="115"/>
        <v>DefExt</v>
      </c>
      <c r="AB495" s="14">
        <f t="shared" si="109"/>
        <v>518</v>
      </c>
      <c r="AC495" s="14" t="str">
        <f t="shared" si="116"/>
        <v>HPExt</v>
      </c>
      <c r="AD495" s="14">
        <f t="shared" si="117"/>
        <v>1557</v>
      </c>
      <c r="AE495" s="14" t="str">
        <f t="shared" si="118"/>
        <v>[x]</v>
      </c>
      <c r="AF495" s="27" t="str">
        <f t="shared" si="119"/>
        <v>[x]</v>
      </c>
      <c r="AG495" s="27" t="str">
        <f t="shared" si="120"/>
        <v>[x]</v>
      </c>
    </row>
    <row r="496" spans="16:33" ht="16.5" x14ac:dyDescent="0.2">
      <c r="P496" s="13">
        <v>440</v>
      </c>
      <c r="Q496" s="14">
        <f t="shared" si="105"/>
        <v>24</v>
      </c>
      <c r="R496" s="14">
        <f t="shared" si="106"/>
        <v>1606030</v>
      </c>
      <c r="S496" s="14" t="str">
        <f t="shared" si="110"/>
        <v>神器5碎片4等级5</v>
      </c>
      <c r="T496" s="29" t="s">
        <v>520</v>
      </c>
      <c r="U496" s="14">
        <f t="shared" si="107"/>
        <v>5</v>
      </c>
      <c r="V496" s="36">
        <f t="shared" si="111"/>
        <v>0.45</v>
      </c>
      <c r="W496" s="17">
        <f t="shared" si="108"/>
        <v>9.0000000000000011E-3</v>
      </c>
      <c r="X496" s="14">
        <f t="shared" si="112"/>
        <v>2</v>
      </c>
      <c r="Y496" s="14">
        <f t="shared" si="113"/>
        <v>3</v>
      </c>
      <c r="Z496" s="14">
        <f t="shared" si="114"/>
        <v>0</v>
      </c>
      <c r="AA496" s="14" t="str">
        <f t="shared" si="115"/>
        <v>DefExt</v>
      </c>
      <c r="AB496" s="14">
        <f t="shared" si="109"/>
        <v>611</v>
      </c>
      <c r="AC496" s="14" t="str">
        <f t="shared" si="116"/>
        <v>HPExt</v>
      </c>
      <c r="AD496" s="14">
        <f t="shared" si="117"/>
        <v>1834</v>
      </c>
      <c r="AE496" s="14" t="str">
        <f t="shared" si="118"/>
        <v>[x]</v>
      </c>
      <c r="AF496" s="27" t="str">
        <f t="shared" si="119"/>
        <v>[x]</v>
      </c>
      <c r="AG496" s="27" t="str">
        <f t="shared" si="120"/>
        <v>[x]</v>
      </c>
    </row>
    <row r="497" spans="16:33" ht="16.5" x14ac:dyDescent="0.2">
      <c r="P497" s="13">
        <v>441</v>
      </c>
      <c r="Q497" s="14">
        <f t="shared" si="105"/>
        <v>24</v>
      </c>
      <c r="R497" s="14">
        <f t="shared" si="106"/>
        <v>1606030</v>
      </c>
      <c r="S497" s="14" t="str">
        <f t="shared" si="110"/>
        <v>神器5碎片4等级6</v>
      </c>
      <c r="T497" s="29" t="s">
        <v>520</v>
      </c>
      <c r="U497" s="14">
        <f t="shared" si="107"/>
        <v>6</v>
      </c>
      <c r="V497" s="36">
        <f t="shared" si="111"/>
        <v>0.52200000000000002</v>
      </c>
      <c r="W497" s="17">
        <f t="shared" si="108"/>
        <v>1.0440000000000001E-2</v>
      </c>
      <c r="X497" s="14">
        <f t="shared" si="112"/>
        <v>2</v>
      </c>
      <c r="Y497" s="14">
        <f t="shared" si="113"/>
        <v>3</v>
      </c>
      <c r="Z497" s="14">
        <f t="shared" si="114"/>
        <v>0</v>
      </c>
      <c r="AA497" s="14" t="str">
        <f t="shared" si="115"/>
        <v>DefExt</v>
      </c>
      <c r="AB497" s="14">
        <f t="shared" si="109"/>
        <v>708</v>
      </c>
      <c r="AC497" s="14" t="str">
        <f t="shared" si="116"/>
        <v>HPExt</v>
      </c>
      <c r="AD497" s="14">
        <f t="shared" si="117"/>
        <v>2128</v>
      </c>
      <c r="AE497" s="14" t="str">
        <f t="shared" si="118"/>
        <v>[x]</v>
      </c>
      <c r="AF497" s="27" t="str">
        <f t="shared" si="119"/>
        <v>[x]</v>
      </c>
      <c r="AG497" s="27" t="str">
        <f t="shared" si="120"/>
        <v>[x]</v>
      </c>
    </row>
    <row r="498" spans="16:33" ht="16.5" x14ac:dyDescent="0.2">
      <c r="P498" s="13">
        <v>442</v>
      </c>
      <c r="Q498" s="14">
        <f t="shared" si="105"/>
        <v>24</v>
      </c>
      <c r="R498" s="14">
        <f t="shared" si="106"/>
        <v>1606030</v>
      </c>
      <c r="S498" s="14" t="str">
        <f t="shared" si="110"/>
        <v>神器5碎片4等级7</v>
      </c>
      <c r="T498" s="29" t="s">
        <v>520</v>
      </c>
      <c r="U498" s="14">
        <f t="shared" si="107"/>
        <v>7</v>
      </c>
      <c r="V498" s="36">
        <f t="shared" si="111"/>
        <v>0.59799999999999998</v>
      </c>
      <c r="W498" s="17">
        <f t="shared" si="108"/>
        <v>1.196E-2</v>
      </c>
      <c r="X498" s="14">
        <f t="shared" si="112"/>
        <v>2</v>
      </c>
      <c r="Y498" s="14">
        <f t="shared" si="113"/>
        <v>3</v>
      </c>
      <c r="Z498" s="14">
        <f t="shared" si="114"/>
        <v>0</v>
      </c>
      <c r="AA498" s="14" t="str">
        <f t="shared" si="115"/>
        <v>DefExt</v>
      </c>
      <c r="AB498" s="14">
        <f t="shared" si="109"/>
        <v>812</v>
      </c>
      <c r="AC498" s="14" t="str">
        <f t="shared" si="116"/>
        <v>HPExt</v>
      </c>
      <c r="AD498" s="14">
        <f t="shared" si="117"/>
        <v>2438</v>
      </c>
      <c r="AE498" s="14" t="str">
        <f t="shared" si="118"/>
        <v>[x]</v>
      </c>
      <c r="AF498" s="27" t="str">
        <f t="shared" si="119"/>
        <v>[x]</v>
      </c>
      <c r="AG498" s="27" t="str">
        <f t="shared" si="120"/>
        <v>[x]</v>
      </c>
    </row>
    <row r="499" spans="16:33" ht="16.5" x14ac:dyDescent="0.2">
      <c r="P499" s="13">
        <v>443</v>
      </c>
      <c r="Q499" s="14">
        <f t="shared" si="105"/>
        <v>24</v>
      </c>
      <c r="R499" s="14">
        <f t="shared" si="106"/>
        <v>1606030</v>
      </c>
      <c r="S499" s="14" t="str">
        <f t="shared" si="110"/>
        <v>神器5碎片4等级8</v>
      </c>
      <c r="T499" s="29" t="s">
        <v>520</v>
      </c>
      <c r="U499" s="14">
        <f t="shared" si="107"/>
        <v>8</v>
      </c>
      <c r="V499" s="36">
        <f t="shared" si="111"/>
        <v>0.67800000000000005</v>
      </c>
      <c r="W499" s="17">
        <f t="shared" si="108"/>
        <v>1.3560000000000001E-2</v>
      </c>
      <c r="X499" s="14">
        <f t="shared" si="112"/>
        <v>2</v>
      </c>
      <c r="Y499" s="14">
        <f t="shared" si="113"/>
        <v>3</v>
      </c>
      <c r="Z499" s="14">
        <f t="shared" si="114"/>
        <v>0</v>
      </c>
      <c r="AA499" s="14" t="str">
        <f t="shared" si="115"/>
        <v>DefExt</v>
      </c>
      <c r="AB499" s="14">
        <f t="shared" si="109"/>
        <v>920</v>
      </c>
      <c r="AC499" s="14" t="str">
        <f t="shared" si="116"/>
        <v>HPExt</v>
      </c>
      <c r="AD499" s="14">
        <f t="shared" si="117"/>
        <v>2764</v>
      </c>
      <c r="AE499" s="14" t="str">
        <f t="shared" si="118"/>
        <v>[x]</v>
      </c>
      <c r="AF499" s="27" t="str">
        <f t="shared" si="119"/>
        <v>[x]</v>
      </c>
      <c r="AG499" s="27" t="str">
        <f t="shared" si="120"/>
        <v>[x]</v>
      </c>
    </row>
    <row r="500" spans="16:33" ht="16.5" x14ac:dyDescent="0.2">
      <c r="P500" s="13">
        <v>444</v>
      </c>
      <c r="Q500" s="14">
        <f t="shared" si="105"/>
        <v>24</v>
      </c>
      <c r="R500" s="14">
        <f t="shared" si="106"/>
        <v>1606030</v>
      </c>
      <c r="S500" s="14" t="str">
        <f t="shared" si="110"/>
        <v>神器5碎片4等级9</v>
      </c>
      <c r="T500" s="29" t="s">
        <v>520</v>
      </c>
      <c r="U500" s="14">
        <f t="shared" si="107"/>
        <v>9</v>
      </c>
      <c r="V500" s="36">
        <f t="shared" si="111"/>
        <v>0.76200000000000001</v>
      </c>
      <c r="W500" s="17">
        <f t="shared" si="108"/>
        <v>1.524E-2</v>
      </c>
      <c r="X500" s="14">
        <f t="shared" si="112"/>
        <v>2</v>
      </c>
      <c r="Y500" s="14">
        <f t="shared" si="113"/>
        <v>3</v>
      </c>
      <c r="Z500" s="14">
        <f t="shared" si="114"/>
        <v>0</v>
      </c>
      <c r="AA500" s="14" t="str">
        <f t="shared" si="115"/>
        <v>DefExt</v>
      </c>
      <c r="AB500" s="14">
        <f t="shared" si="109"/>
        <v>1034</v>
      </c>
      <c r="AC500" s="14" t="str">
        <f t="shared" si="116"/>
        <v>HPExt</v>
      </c>
      <c r="AD500" s="14">
        <f t="shared" si="117"/>
        <v>3107</v>
      </c>
      <c r="AE500" s="14" t="str">
        <f t="shared" si="118"/>
        <v>[x]</v>
      </c>
      <c r="AF500" s="27" t="str">
        <f t="shared" si="119"/>
        <v>[x]</v>
      </c>
      <c r="AG500" s="27" t="str">
        <f t="shared" si="120"/>
        <v>[x]</v>
      </c>
    </row>
    <row r="501" spans="16:33" ht="16.5" x14ac:dyDescent="0.2">
      <c r="P501" s="13">
        <v>445</v>
      </c>
      <c r="Q501" s="14">
        <f t="shared" si="105"/>
        <v>24</v>
      </c>
      <c r="R501" s="14">
        <f t="shared" si="106"/>
        <v>1606030</v>
      </c>
      <c r="S501" s="14" t="str">
        <f t="shared" si="110"/>
        <v>神器5碎片4等级10</v>
      </c>
      <c r="T501" s="29" t="s">
        <v>520</v>
      </c>
      <c r="U501" s="14">
        <f t="shared" si="107"/>
        <v>10</v>
      </c>
      <c r="V501" s="36">
        <f t="shared" si="111"/>
        <v>0.85000000000000009</v>
      </c>
      <c r="W501" s="17">
        <f t="shared" si="108"/>
        <v>1.7000000000000001E-2</v>
      </c>
      <c r="X501" s="14">
        <f t="shared" si="112"/>
        <v>2</v>
      </c>
      <c r="Y501" s="14">
        <f t="shared" si="113"/>
        <v>3</v>
      </c>
      <c r="Z501" s="14">
        <f t="shared" si="114"/>
        <v>0</v>
      </c>
      <c r="AA501" s="14" t="str">
        <f t="shared" si="115"/>
        <v>DefExt</v>
      </c>
      <c r="AB501" s="14">
        <f t="shared" si="109"/>
        <v>1154</v>
      </c>
      <c r="AC501" s="14" t="str">
        <f t="shared" si="116"/>
        <v>HPExt</v>
      </c>
      <c r="AD501" s="14">
        <f t="shared" si="117"/>
        <v>3465</v>
      </c>
      <c r="AE501" s="14" t="str">
        <f t="shared" si="118"/>
        <v>[x]</v>
      </c>
      <c r="AF501" s="27" t="str">
        <f t="shared" si="119"/>
        <v>[x]</v>
      </c>
      <c r="AG501" s="27" t="str">
        <f t="shared" si="120"/>
        <v>[x]</v>
      </c>
    </row>
    <row r="502" spans="16:33" ht="16.5" x14ac:dyDescent="0.2">
      <c r="P502" s="13">
        <v>446</v>
      </c>
      <c r="Q502" s="14">
        <f t="shared" si="105"/>
        <v>24</v>
      </c>
      <c r="R502" s="14">
        <f t="shared" si="106"/>
        <v>1606030</v>
      </c>
      <c r="S502" s="14" t="str">
        <f t="shared" si="110"/>
        <v>神器5碎片4等级11</v>
      </c>
      <c r="T502" s="29" t="s">
        <v>520</v>
      </c>
      <c r="U502" s="14">
        <f t="shared" si="107"/>
        <v>11</v>
      </c>
      <c r="V502" s="36">
        <f t="shared" si="111"/>
        <v>0.94200000000000006</v>
      </c>
      <c r="W502" s="17">
        <f t="shared" si="108"/>
        <v>1.8840000000000003E-2</v>
      </c>
      <c r="X502" s="14">
        <f t="shared" si="112"/>
        <v>2</v>
      </c>
      <c r="Y502" s="14">
        <f t="shared" si="113"/>
        <v>3</v>
      </c>
      <c r="Z502" s="14">
        <f t="shared" si="114"/>
        <v>0</v>
      </c>
      <c r="AA502" s="14" t="str">
        <f t="shared" si="115"/>
        <v>DefExt</v>
      </c>
      <c r="AB502" s="14">
        <f t="shared" si="109"/>
        <v>1279</v>
      </c>
      <c r="AC502" s="14" t="str">
        <f t="shared" si="116"/>
        <v>HPExt</v>
      </c>
      <c r="AD502" s="14">
        <f t="shared" si="117"/>
        <v>3840</v>
      </c>
      <c r="AE502" s="14" t="str">
        <f t="shared" si="118"/>
        <v>[x]</v>
      </c>
      <c r="AF502" s="27" t="str">
        <f t="shared" si="119"/>
        <v>[x]</v>
      </c>
      <c r="AG502" s="27" t="str">
        <f t="shared" si="120"/>
        <v>[x]</v>
      </c>
    </row>
    <row r="503" spans="16:33" ht="16.5" x14ac:dyDescent="0.2">
      <c r="P503" s="13">
        <v>447</v>
      </c>
      <c r="Q503" s="14">
        <f t="shared" si="105"/>
        <v>24</v>
      </c>
      <c r="R503" s="14">
        <f t="shared" si="106"/>
        <v>1606030</v>
      </c>
      <c r="S503" s="14" t="str">
        <f t="shared" si="110"/>
        <v>神器5碎片4等级12</v>
      </c>
      <c r="T503" s="29" t="s">
        <v>520</v>
      </c>
      <c r="U503" s="14">
        <f t="shared" si="107"/>
        <v>12</v>
      </c>
      <c r="V503" s="36">
        <f t="shared" si="111"/>
        <v>1.0380000000000003</v>
      </c>
      <c r="W503" s="17">
        <f t="shared" si="108"/>
        <v>2.0760000000000004E-2</v>
      </c>
      <c r="X503" s="14">
        <f t="shared" si="112"/>
        <v>2</v>
      </c>
      <c r="Y503" s="14">
        <f t="shared" si="113"/>
        <v>3</v>
      </c>
      <c r="Z503" s="14">
        <f t="shared" si="114"/>
        <v>0</v>
      </c>
      <c r="AA503" s="14" t="str">
        <f t="shared" si="115"/>
        <v>DefExt</v>
      </c>
      <c r="AB503" s="14">
        <f t="shared" si="109"/>
        <v>1409</v>
      </c>
      <c r="AC503" s="14" t="str">
        <f t="shared" si="116"/>
        <v>HPExt</v>
      </c>
      <c r="AD503" s="14">
        <f t="shared" si="117"/>
        <v>4232</v>
      </c>
      <c r="AE503" s="14" t="str">
        <f t="shared" si="118"/>
        <v>[x]</v>
      </c>
      <c r="AF503" s="27" t="str">
        <f t="shared" si="119"/>
        <v>[x]</v>
      </c>
      <c r="AG503" s="27" t="str">
        <f t="shared" si="120"/>
        <v>[x]</v>
      </c>
    </row>
    <row r="504" spans="16:33" ht="16.5" x14ac:dyDescent="0.2">
      <c r="P504" s="13">
        <v>448</v>
      </c>
      <c r="Q504" s="14">
        <f t="shared" si="105"/>
        <v>24</v>
      </c>
      <c r="R504" s="14">
        <f t="shared" si="106"/>
        <v>1606030</v>
      </c>
      <c r="S504" s="14" t="str">
        <f t="shared" si="110"/>
        <v>神器5碎片4等级13</v>
      </c>
      <c r="T504" s="29" t="s">
        <v>520</v>
      </c>
      <c r="U504" s="14">
        <f t="shared" si="107"/>
        <v>13</v>
      </c>
      <c r="V504" s="36">
        <f t="shared" si="111"/>
        <v>1.1380000000000001</v>
      </c>
      <c r="W504" s="17">
        <f t="shared" si="108"/>
        <v>2.2760000000000002E-2</v>
      </c>
      <c r="X504" s="14">
        <f t="shared" si="112"/>
        <v>2</v>
      </c>
      <c r="Y504" s="14">
        <f t="shared" si="113"/>
        <v>3</v>
      </c>
      <c r="Z504" s="14">
        <f t="shared" si="114"/>
        <v>0</v>
      </c>
      <c r="AA504" s="14" t="str">
        <f t="shared" si="115"/>
        <v>DefExt</v>
      </c>
      <c r="AB504" s="14">
        <f t="shared" si="109"/>
        <v>1545</v>
      </c>
      <c r="AC504" s="14" t="str">
        <f t="shared" si="116"/>
        <v>HPExt</v>
      </c>
      <c r="AD504" s="14">
        <f t="shared" si="117"/>
        <v>4640</v>
      </c>
      <c r="AE504" s="14" t="str">
        <f t="shared" si="118"/>
        <v>[x]</v>
      </c>
      <c r="AF504" s="27" t="str">
        <f t="shared" si="119"/>
        <v>[x]</v>
      </c>
      <c r="AG504" s="27" t="str">
        <f t="shared" si="120"/>
        <v>[x]</v>
      </c>
    </row>
    <row r="505" spans="16:33" ht="16.5" x14ac:dyDescent="0.2">
      <c r="P505" s="13">
        <v>449</v>
      </c>
      <c r="Q505" s="14">
        <f t="shared" ref="Q505:Q568" si="121">MATCH(P505-1,$X$4:$X$46,1)</f>
        <v>24</v>
      </c>
      <c r="R505" s="14">
        <f t="shared" ref="R505:R568" si="122">INDEX($S$5:$S$46,Q505)</f>
        <v>1606030</v>
      </c>
      <c r="S505" s="14" t="str">
        <f t="shared" si="110"/>
        <v>神器5碎片4等级14</v>
      </c>
      <c r="T505" s="29" t="s">
        <v>520</v>
      </c>
      <c r="U505" s="14">
        <f t="shared" ref="U505:U568" si="123">P505-INDEX($X$4:$X$46,Q505)</f>
        <v>14</v>
      </c>
      <c r="V505" s="36">
        <f t="shared" si="111"/>
        <v>1.242</v>
      </c>
      <c r="W505" s="17">
        <f t="shared" ref="W505:W568" si="124">INDEX($V$5:$V$46,Q505)*V505</f>
        <v>2.4840000000000001E-2</v>
      </c>
      <c r="X505" s="14">
        <f t="shared" si="112"/>
        <v>2</v>
      </c>
      <c r="Y505" s="14">
        <f t="shared" si="113"/>
        <v>3</v>
      </c>
      <c r="Z505" s="14">
        <f t="shared" si="114"/>
        <v>0</v>
      </c>
      <c r="AA505" s="14" t="str">
        <f t="shared" si="115"/>
        <v>DefExt</v>
      </c>
      <c r="AB505" s="14">
        <f t="shared" ref="AB505:AB568" si="125">INT(INDEX($E$4:$G$4,X505)*W505*INDEX($Y$5:$AA$46,Q505,X505))</f>
        <v>1686</v>
      </c>
      <c r="AC505" s="14" t="str">
        <f t="shared" si="116"/>
        <v>HPExt</v>
      </c>
      <c r="AD505" s="14">
        <f t="shared" si="117"/>
        <v>5064</v>
      </c>
      <c r="AE505" s="14" t="str">
        <f t="shared" si="118"/>
        <v>[x]</v>
      </c>
      <c r="AF505" s="27" t="str">
        <f t="shared" si="119"/>
        <v>[x]</v>
      </c>
      <c r="AG505" s="27" t="str">
        <f t="shared" si="120"/>
        <v>[x]</v>
      </c>
    </row>
    <row r="506" spans="16:33" ht="16.5" x14ac:dyDescent="0.2">
      <c r="P506" s="13">
        <v>450</v>
      </c>
      <c r="Q506" s="14">
        <f t="shared" si="121"/>
        <v>24</v>
      </c>
      <c r="R506" s="14">
        <f t="shared" si="122"/>
        <v>1606030</v>
      </c>
      <c r="S506" s="14" t="str">
        <f t="shared" ref="S506:S569" si="126">INDEX($P$5:$P$46,Q506)&amp;"碎片"&amp;INDEX($R$5:$R$46,Q506)&amp;"等级"&amp;U506</f>
        <v>神器5碎片4等级15</v>
      </c>
      <c r="T506" s="29" t="s">
        <v>520</v>
      </c>
      <c r="U506" s="14">
        <f t="shared" si="123"/>
        <v>15</v>
      </c>
      <c r="V506" s="36">
        <f t="shared" ref="V506:V569" si="127">15%+U506*5%+U506*U506*0.2%</f>
        <v>1.35</v>
      </c>
      <c r="W506" s="17">
        <f t="shared" si="124"/>
        <v>2.7000000000000003E-2</v>
      </c>
      <c r="X506" s="14">
        <f t="shared" ref="X506:X569" si="128">INDEX($AB$5:$AB$46,Q506)</f>
        <v>2</v>
      </c>
      <c r="Y506" s="14">
        <f t="shared" ref="Y506:Y569" si="129">INDEX(AC$5:AC$46,$Q506)</f>
        <v>3</v>
      </c>
      <c r="Z506" s="14">
        <f t="shared" ref="Z506:Z569" si="130">INDEX(AD$5:AD$46,$Q506)</f>
        <v>0</v>
      </c>
      <c r="AA506" s="14" t="str">
        <f t="shared" ref="AA506:AA569" si="131">INDEX($Y$3:$AA$3,X506)</f>
        <v>DefExt</v>
      </c>
      <c r="AB506" s="14">
        <f t="shared" si="125"/>
        <v>1833</v>
      </c>
      <c r="AC506" s="14" t="str">
        <f t="shared" ref="AC506:AC569" si="132">IF(Y506&gt;0,INDEX($Y$3:$AA$3,Y506),"[x]")</f>
        <v>HPExt</v>
      </c>
      <c r="AD506" s="14">
        <f t="shared" ref="AD506:AD569" si="133">IF(Y506&gt;0,INT(INDEX($E$4:$G$4,Y506)*W506*INDEX($Y$5:$AA$46,Q506,Y506)),"[x]")</f>
        <v>5504</v>
      </c>
      <c r="AE506" s="14" t="str">
        <f t="shared" ref="AE506:AE569" si="134">IF(Z506&gt;0,INDEX($Y$3:$AA$3,Z506),"[x]")</f>
        <v>[x]</v>
      </c>
      <c r="AF506" s="27" t="str">
        <f t="shared" ref="AF506:AF569" si="135">IF(Z506&gt;0,INT(INDEX($E$4:$G$4,Z506)*W506*INDEX($Y$5:$AA$46,Q506,Z506)),"[x]")</f>
        <v>[x]</v>
      </c>
      <c r="AG506" s="27" t="str">
        <f t="shared" ref="AG506:AG569" si="136">IF(INDEX($AE$5:$AE$46,Q506)&gt;0,INDEX($AE$5:$AE$46,Q506)*U506,"[x]")</f>
        <v>[x]</v>
      </c>
    </row>
    <row r="507" spans="16:33" ht="16.5" x14ac:dyDescent="0.2">
      <c r="P507" s="13">
        <v>451</v>
      </c>
      <c r="Q507" s="14">
        <f t="shared" si="121"/>
        <v>24</v>
      </c>
      <c r="R507" s="14">
        <f t="shared" si="122"/>
        <v>1606030</v>
      </c>
      <c r="S507" s="14" t="str">
        <f t="shared" si="126"/>
        <v>神器5碎片4等级16</v>
      </c>
      <c r="T507" s="29" t="s">
        <v>520</v>
      </c>
      <c r="U507" s="14">
        <f t="shared" si="123"/>
        <v>16</v>
      </c>
      <c r="V507" s="36">
        <f t="shared" si="127"/>
        <v>1.4620000000000002</v>
      </c>
      <c r="W507" s="17">
        <f t="shared" si="124"/>
        <v>2.9240000000000006E-2</v>
      </c>
      <c r="X507" s="14">
        <f t="shared" si="128"/>
        <v>2</v>
      </c>
      <c r="Y507" s="14">
        <f t="shared" si="129"/>
        <v>3</v>
      </c>
      <c r="Z507" s="14">
        <f t="shared" si="130"/>
        <v>0</v>
      </c>
      <c r="AA507" s="14" t="str">
        <f t="shared" si="131"/>
        <v>DefExt</v>
      </c>
      <c r="AB507" s="14">
        <f t="shared" si="125"/>
        <v>1985</v>
      </c>
      <c r="AC507" s="14" t="str">
        <f t="shared" si="132"/>
        <v>HPExt</v>
      </c>
      <c r="AD507" s="14">
        <f t="shared" si="133"/>
        <v>5961</v>
      </c>
      <c r="AE507" s="14" t="str">
        <f t="shared" si="134"/>
        <v>[x]</v>
      </c>
      <c r="AF507" s="27" t="str">
        <f t="shared" si="135"/>
        <v>[x]</v>
      </c>
      <c r="AG507" s="27" t="str">
        <f t="shared" si="136"/>
        <v>[x]</v>
      </c>
    </row>
    <row r="508" spans="16:33" ht="16.5" x14ac:dyDescent="0.2">
      <c r="P508" s="13">
        <v>452</v>
      </c>
      <c r="Q508" s="14">
        <f t="shared" si="121"/>
        <v>24</v>
      </c>
      <c r="R508" s="14">
        <f t="shared" si="122"/>
        <v>1606030</v>
      </c>
      <c r="S508" s="14" t="str">
        <f t="shared" si="126"/>
        <v>神器5碎片4等级17</v>
      </c>
      <c r="T508" s="29" t="s">
        <v>520</v>
      </c>
      <c r="U508" s="14">
        <f t="shared" si="123"/>
        <v>17</v>
      </c>
      <c r="V508" s="36">
        <f t="shared" si="127"/>
        <v>1.5779999999999998</v>
      </c>
      <c r="W508" s="17">
        <f t="shared" si="124"/>
        <v>3.1559999999999998E-2</v>
      </c>
      <c r="X508" s="14">
        <f t="shared" si="128"/>
        <v>2</v>
      </c>
      <c r="Y508" s="14">
        <f t="shared" si="129"/>
        <v>3</v>
      </c>
      <c r="Z508" s="14">
        <f t="shared" si="130"/>
        <v>0</v>
      </c>
      <c r="AA508" s="14" t="str">
        <f t="shared" si="131"/>
        <v>DefExt</v>
      </c>
      <c r="AB508" s="14">
        <f t="shared" si="125"/>
        <v>2142</v>
      </c>
      <c r="AC508" s="14" t="str">
        <f t="shared" si="132"/>
        <v>HPExt</v>
      </c>
      <c r="AD508" s="14">
        <f t="shared" si="133"/>
        <v>6434</v>
      </c>
      <c r="AE508" s="14" t="str">
        <f t="shared" si="134"/>
        <v>[x]</v>
      </c>
      <c r="AF508" s="27" t="str">
        <f t="shared" si="135"/>
        <v>[x]</v>
      </c>
      <c r="AG508" s="27" t="str">
        <f t="shared" si="136"/>
        <v>[x]</v>
      </c>
    </row>
    <row r="509" spans="16:33" ht="16.5" x14ac:dyDescent="0.2">
      <c r="P509" s="13">
        <v>453</v>
      </c>
      <c r="Q509" s="14">
        <f t="shared" si="121"/>
        <v>24</v>
      </c>
      <c r="R509" s="14">
        <f t="shared" si="122"/>
        <v>1606030</v>
      </c>
      <c r="S509" s="14" t="str">
        <f t="shared" si="126"/>
        <v>神器5碎片4等级18</v>
      </c>
      <c r="T509" s="29" t="s">
        <v>520</v>
      </c>
      <c r="U509" s="14">
        <f t="shared" si="123"/>
        <v>18</v>
      </c>
      <c r="V509" s="36">
        <f t="shared" si="127"/>
        <v>1.698</v>
      </c>
      <c r="W509" s="17">
        <f t="shared" si="124"/>
        <v>3.3959999999999997E-2</v>
      </c>
      <c r="X509" s="14">
        <f t="shared" si="128"/>
        <v>2</v>
      </c>
      <c r="Y509" s="14">
        <f t="shared" si="129"/>
        <v>3</v>
      </c>
      <c r="Z509" s="14">
        <f t="shared" si="130"/>
        <v>0</v>
      </c>
      <c r="AA509" s="14" t="str">
        <f t="shared" si="131"/>
        <v>DefExt</v>
      </c>
      <c r="AB509" s="14">
        <f t="shared" si="125"/>
        <v>2305</v>
      </c>
      <c r="AC509" s="14" t="str">
        <f t="shared" si="132"/>
        <v>HPExt</v>
      </c>
      <c r="AD509" s="14">
        <f t="shared" si="133"/>
        <v>6923</v>
      </c>
      <c r="AE509" s="14" t="str">
        <f t="shared" si="134"/>
        <v>[x]</v>
      </c>
      <c r="AF509" s="27" t="str">
        <f t="shared" si="135"/>
        <v>[x]</v>
      </c>
      <c r="AG509" s="27" t="str">
        <f t="shared" si="136"/>
        <v>[x]</v>
      </c>
    </row>
    <row r="510" spans="16:33" ht="16.5" x14ac:dyDescent="0.2">
      <c r="P510" s="13">
        <v>454</v>
      </c>
      <c r="Q510" s="14">
        <f t="shared" si="121"/>
        <v>24</v>
      </c>
      <c r="R510" s="14">
        <f t="shared" si="122"/>
        <v>1606030</v>
      </c>
      <c r="S510" s="14" t="str">
        <f t="shared" si="126"/>
        <v>神器5碎片4等级19</v>
      </c>
      <c r="T510" s="29" t="s">
        <v>520</v>
      </c>
      <c r="U510" s="14">
        <f t="shared" si="123"/>
        <v>19</v>
      </c>
      <c r="V510" s="36">
        <f t="shared" si="127"/>
        <v>1.8220000000000001</v>
      </c>
      <c r="W510" s="17">
        <f t="shared" si="124"/>
        <v>3.644E-2</v>
      </c>
      <c r="X510" s="14">
        <f t="shared" si="128"/>
        <v>2</v>
      </c>
      <c r="Y510" s="14">
        <f t="shared" si="129"/>
        <v>3</v>
      </c>
      <c r="Z510" s="14">
        <f t="shared" si="130"/>
        <v>0</v>
      </c>
      <c r="AA510" s="14" t="str">
        <f t="shared" si="131"/>
        <v>DefExt</v>
      </c>
      <c r="AB510" s="14">
        <f t="shared" si="125"/>
        <v>2474</v>
      </c>
      <c r="AC510" s="14" t="str">
        <f t="shared" si="132"/>
        <v>HPExt</v>
      </c>
      <c r="AD510" s="14">
        <f t="shared" si="133"/>
        <v>7429</v>
      </c>
      <c r="AE510" s="14" t="str">
        <f t="shared" si="134"/>
        <v>[x]</v>
      </c>
      <c r="AF510" s="27" t="str">
        <f t="shared" si="135"/>
        <v>[x]</v>
      </c>
      <c r="AG510" s="27" t="str">
        <f t="shared" si="136"/>
        <v>[x]</v>
      </c>
    </row>
    <row r="511" spans="16:33" ht="16.5" x14ac:dyDescent="0.2">
      <c r="P511" s="13">
        <v>455</v>
      </c>
      <c r="Q511" s="14">
        <f t="shared" si="121"/>
        <v>24</v>
      </c>
      <c r="R511" s="14">
        <f t="shared" si="122"/>
        <v>1606030</v>
      </c>
      <c r="S511" s="14" t="str">
        <f t="shared" si="126"/>
        <v>神器5碎片4等级20</v>
      </c>
      <c r="T511" s="29" t="s">
        <v>520</v>
      </c>
      <c r="U511" s="14">
        <f t="shared" si="123"/>
        <v>20</v>
      </c>
      <c r="V511" s="36">
        <f t="shared" si="127"/>
        <v>1.95</v>
      </c>
      <c r="W511" s="17">
        <f t="shared" si="124"/>
        <v>3.9E-2</v>
      </c>
      <c r="X511" s="14">
        <f t="shared" si="128"/>
        <v>2</v>
      </c>
      <c r="Y511" s="14">
        <f t="shared" si="129"/>
        <v>3</v>
      </c>
      <c r="Z511" s="14">
        <f t="shared" si="130"/>
        <v>0</v>
      </c>
      <c r="AA511" s="14" t="str">
        <f t="shared" si="131"/>
        <v>DefExt</v>
      </c>
      <c r="AB511" s="14">
        <f t="shared" si="125"/>
        <v>2647</v>
      </c>
      <c r="AC511" s="14" t="str">
        <f t="shared" si="132"/>
        <v>HPExt</v>
      </c>
      <c r="AD511" s="14">
        <f t="shared" si="133"/>
        <v>7951</v>
      </c>
      <c r="AE511" s="14" t="str">
        <f t="shared" si="134"/>
        <v>[x]</v>
      </c>
      <c r="AF511" s="27" t="str">
        <f t="shared" si="135"/>
        <v>[x]</v>
      </c>
      <c r="AG511" s="27" t="str">
        <f t="shared" si="136"/>
        <v>[x]</v>
      </c>
    </row>
    <row r="512" spans="16:33" ht="16.5" x14ac:dyDescent="0.2">
      <c r="P512" s="13">
        <v>456</v>
      </c>
      <c r="Q512" s="14">
        <f t="shared" si="121"/>
        <v>24</v>
      </c>
      <c r="R512" s="14">
        <f t="shared" si="122"/>
        <v>1606030</v>
      </c>
      <c r="S512" s="14" t="str">
        <f t="shared" si="126"/>
        <v>神器5碎片4等级21</v>
      </c>
      <c r="T512" s="29" t="s">
        <v>520</v>
      </c>
      <c r="U512" s="14">
        <f t="shared" si="123"/>
        <v>21</v>
      </c>
      <c r="V512" s="36">
        <f t="shared" si="127"/>
        <v>2.0819999999999999</v>
      </c>
      <c r="W512" s="17">
        <f t="shared" si="124"/>
        <v>4.1639999999999996E-2</v>
      </c>
      <c r="X512" s="14">
        <f t="shared" si="128"/>
        <v>2</v>
      </c>
      <c r="Y512" s="14">
        <f t="shared" si="129"/>
        <v>3</v>
      </c>
      <c r="Z512" s="14">
        <f t="shared" si="130"/>
        <v>0</v>
      </c>
      <c r="AA512" s="14" t="str">
        <f t="shared" si="131"/>
        <v>DefExt</v>
      </c>
      <c r="AB512" s="14">
        <f t="shared" si="125"/>
        <v>2827</v>
      </c>
      <c r="AC512" s="14" t="str">
        <f t="shared" si="132"/>
        <v>HPExt</v>
      </c>
      <c r="AD512" s="14">
        <f t="shared" si="133"/>
        <v>8489</v>
      </c>
      <c r="AE512" s="14" t="str">
        <f t="shared" si="134"/>
        <v>[x]</v>
      </c>
      <c r="AF512" s="27" t="str">
        <f t="shared" si="135"/>
        <v>[x]</v>
      </c>
      <c r="AG512" s="27" t="str">
        <f t="shared" si="136"/>
        <v>[x]</v>
      </c>
    </row>
    <row r="513" spans="16:33" ht="16.5" x14ac:dyDescent="0.2">
      <c r="P513" s="13">
        <v>457</v>
      </c>
      <c r="Q513" s="14">
        <f t="shared" si="121"/>
        <v>25</v>
      </c>
      <c r="R513" s="14">
        <f t="shared" si="122"/>
        <v>1606031</v>
      </c>
      <c r="S513" s="14" t="str">
        <f t="shared" si="126"/>
        <v>神器5碎片5等级1</v>
      </c>
      <c r="T513" s="29" t="s">
        <v>520</v>
      </c>
      <c r="U513" s="14">
        <f t="shared" si="123"/>
        <v>1</v>
      </c>
      <c r="V513" s="36">
        <f t="shared" si="127"/>
        <v>0.20200000000000001</v>
      </c>
      <c r="W513" s="17">
        <f t="shared" si="124"/>
        <v>4.0400000000000002E-3</v>
      </c>
      <c r="X513" s="14">
        <f t="shared" si="128"/>
        <v>1</v>
      </c>
      <c r="Y513" s="14">
        <f t="shared" si="129"/>
        <v>2</v>
      </c>
      <c r="Z513" s="14">
        <f t="shared" si="130"/>
        <v>3</v>
      </c>
      <c r="AA513" s="14" t="str">
        <f t="shared" si="131"/>
        <v>AtkExt</v>
      </c>
      <c r="AB513" s="14">
        <f t="shared" si="125"/>
        <v>274</v>
      </c>
      <c r="AC513" s="14" t="str">
        <f t="shared" si="132"/>
        <v>DefExt</v>
      </c>
      <c r="AD513" s="14">
        <f t="shared" si="133"/>
        <v>137</v>
      </c>
      <c r="AE513" s="14" t="str">
        <f t="shared" si="134"/>
        <v>HPExt</v>
      </c>
      <c r="AF513" s="27">
        <f t="shared" si="135"/>
        <v>823</v>
      </c>
      <c r="AG513" s="27" t="str">
        <f t="shared" si="136"/>
        <v>[x]</v>
      </c>
    </row>
    <row r="514" spans="16:33" ht="16.5" x14ac:dyDescent="0.2">
      <c r="P514" s="13">
        <v>458</v>
      </c>
      <c r="Q514" s="14">
        <f t="shared" si="121"/>
        <v>25</v>
      </c>
      <c r="R514" s="14">
        <f t="shared" si="122"/>
        <v>1606031</v>
      </c>
      <c r="S514" s="14" t="str">
        <f t="shared" si="126"/>
        <v>神器5碎片5等级2</v>
      </c>
      <c r="T514" s="29" t="s">
        <v>520</v>
      </c>
      <c r="U514" s="14">
        <f t="shared" si="123"/>
        <v>2</v>
      </c>
      <c r="V514" s="36">
        <f t="shared" si="127"/>
        <v>0.25800000000000001</v>
      </c>
      <c r="W514" s="17">
        <f t="shared" si="124"/>
        <v>5.1600000000000005E-3</v>
      </c>
      <c r="X514" s="14">
        <f t="shared" si="128"/>
        <v>1</v>
      </c>
      <c r="Y514" s="14">
        <f t="shared" si="129"/>
        <v>2</v>
      </c>
      <c r="Z514" s="14">
        <f t="shared" si="130"/>
        <v>3</v>
      </c>
      <c r="AA514" s="14" t="str">
        <f t="shared" si="131"/>
        <v>AtkExt</v>
      </c>
      <c r="AB514" s="14">
        <f t="shared" si="125"/>
        <v>350</v>
      </c>
      <c r="AC514" s="14" t="str">
        <f t="shared" si="132"/>
        <v>DefExt</v>
      </c>
      <c r="AD514" s="14">
        <f t="shared" si="133"/>
        <v>175</v>
      </c>
      <c r="AE514" s="14" t="str">
        <f t="shared" si="134"/>
        <v>HPExt</v>
      </c>
      <c r="AF514" s="27">
        <f t="shared" si="135"/>
        <v>1051</v>
      </c>
      <c r="AG514" s="27" t="str">
        <f t="shared" si="136"/>
        <v>[x]</v>
      </c>
    </row>
    <row r="515" spans="16:33" ht="16.5" x14ac:dyDescent="0.2">
      <c r="P515" s="13">
        <v>459</v>
      </c>
      <c r="Q515" s="14">
        <f t="shared" si="121"/>
        <v>25</v>
      </c>
      <c r="R515" s="14">
        <f t="shared" si="122"/>
        <v>1606031</v>
      </c>
      <c r="S515" s="14" t="str">
        <f t="shared" si="126"/>
        <v>神器5碎片5等级3</v>
      </c>
      <c r="T515" s="29" t="s">
        <v>520</v>
      </c>
      <c r="U515" s="14">
        <f t="shared" si="123"/>
        <v>3</v>
      </c>
      <c r="V515" s="36">
        <f t="shared" si="127"/>
        <v>0.31800000000000006</v>
      </c>
      <c r="W515" s="17">
        <f t="shared" si="124"/>
        <v>6.3600000000000011E-3</v>
      </c>
      <c r="X515" s="14">
        <f t="shared" si="128"/>
        <v>1</v>
      </c>
      <c r="Y515" s="14">
        <f t="shared" si="129"/>
        <v>2</v>
      </c>
      <c r="Z515" s="14">
        <f t="shared" si="130"/>
        <v>3</v>
      </c>
      <c r="AA515" s="14" t="str">
        <f t="shared" si="131"/>
        <v>AtkExt</v>
      </c>
      <c r="AB515" s="14">
        <f t="shared" si="125"/>
        <v>432</v>
      </c>
      <c r="AC515" s="14" t="str">
        <f t="shared" si="132"/>
        <v>DefExt</v>
      </c>
      <c r="AD515" s="14">
        <f t="shared" si="133"/>
        <v>215</v>
      </c>
      <c r="AE515" s="14" t="str">
        <f t="shared" si="134"/>
        <v>HPExt</v>
      </c>
      <c r="AF515" s="27">
        <f t="shared" si="135"/>
        <v>1296</v>
      </c>
      <c r="AG515" s="27" t="str">
        <f t="shared" si="136"/>
        <v>[x]</v>
      </c>
    </row>
    <row r="516" spans="16:33" ht="16.5" x14ac:dyDescent="0.2">
      <c r="P516" s="13">
        <v>460</v>
      </c>
      <c r="Q516" s="14">
        <f t="shared" si="121"/>
        <v>25</v>
      </c>
      <c r="R516" s="14">
        <f t="shared" si="122"/>
        <v>1606031</v>
      </c>
      <c r="S516" s="14" t="str">
        <f t="shared" si="126"/>
        <v>神器5碎片5等级4</v>
      </c>
      <c r="T516" s="29" t="s">
        <v>520</v>
      </c>
      <c r="U516" s="14">
        <f t="shared" si="123"/>
        <v>4</v>
      </c>
      <c r="V516" s="36">
        <f t="shared" si="127"/>
        <v>0.38200000000000001</v>
      </c>
      <c r="W516" s="17">
        <f t="shared" si="124"/>
        <v>7.6400000000000001E-3</v>
      </c>
      <c r="X516" s="14">
        <f t="shared" si="128"/>
        <v>1</v>
      </c>
      <c r="Y516" s="14">
        <f t="shared" si="129"/>
        <v>2</v>
      </c>
      <c r="Z516" s="14">
        <f t="shared" si="130"/>
        <v>3</v>
      </c>
      <c r="AA516" s="14" t="str">
        <f t="shared" si="131"/>
        <v>AtkExt</v>
      </c>
      <c r="AB516" s="14">
        <f t="shared" si="125"/>
        <v>518</v>
      </c>
      <c r="AC516" s="14" t="str">
        <f t="shared" si="132"/>
        <v>DefExt</v>
      </c>
      <c r="AD516" s="14">
        <f t="shared" si="133"/>
        <v>259</v>
      </c>
      <c r="AE516" s="14" t="str">
        <f t="shared" si="134"/>
        <v>HPExt</v>
      </c>
      <c r="AF516" s="27">
        <f t="shared" si="135"/>
        <v>1557</v>
      </c>
      <c r="AG516" s="27" t="str">
        <f t="shared" si="136"/>
        <v>[x]</v>
      </c>
    </row>
    <row r="517" spans="16:33" ht="16.5" x14ac:dyDescent="0.2">
      <c r="P517" s="13">
        <v>461</v>
      </c>
      <c r="Q517" s="14">
        <f t="shared" si="121"/>
        <v>25</v>
      </c>
      <c r="R517" s="14">
        <f t="shared" si="122"/>
        <v>1606031</v>
      </c>
      <c r="S517" s="14" t="str">
        <f t="shared" si="126"/>
        <v>神器5碎片5等级5</v>
      </c>
      <c r="T517" s="29" t="s">
        <v>520</v>
      </c>
      <c r="U517" s="14">
        <f t="shared" si="123"/>
        <v>5</v>
      </c>
      <c r="V517" s="36">
        <f t="shared" si="127"/>
        <v>0.45</v>
      </c>
      <c r="W517" s="17">
        <f t="shared" si="124"/>
        <v>9.0000000000000011E-3</v>
      </c>
      <c r="X517" s="14">
        <f t="shared" si="128"/>
        <v>1</v>
      </c>
      <c r="Y517" s="14">
        <f t="shared" si="129"/>
        <v>2</v>
      </c>
      <c r="Z517" s="14">
        <f t="shared" si="130"/>
        <v>3</v>
      </c>
      <c r="AA517" s="14" t="str">
        <f t="shared" si="131"/>
        <v>AtkExt</v>
      </c>
      <c r="AB517" s="14">
        <f t="shared" si="125"/>
        <v>611</v>
      </c>
      <c r="AC517" s="14" t="str">
        <f t="shared" si="132"/>
        <v>DefExt</v>
      </c>
      <c r="AD517" s="14">
        <f t="shared" si="133"/>
        <v>305</v>
      </c>
      <c r="AE517" s="14" t="str">
        <f t="shared" si="134"/>
        <v>HPExt</v>
      </c>
      <c r="AF517" s="27">
        <f t="shared" si="135"/>
        <v>1834</v>
      </c>
      <c r="AG517" s="27" t="str">
        <f t="shared" si="136"/>
        <v>[x]</v>
      </c>
    </row>
    <row r="518" spans="16:33" ht="16.5" x14ac:dyDescent="0.2">
      <c r="P518" s="13">
        <v>462</v>
      </c>
      <c r="Q518" s="14">
        <f t="shared" si="121"/>
        <v>25</v>
      </c>
      <c r="R518" s="14">
        <f t="shared" si="122"/>
        <v>1606031</v>
      </c>
      <c r="S518" s="14" t="str">
        <f t="shared" si="126"/>
        <v>神器5碎片5等级6</v>
      </c>
      <c r="T518" s="29" t="s">
        <v>520</v>
      </c>
      <c r="U518" s="14">
        <f t="shared" si="123"/>
        <v>6</v>
      </c>
      <c r="V518" s="36">
        <f t="shared" si="127"/>
        <v>0.52200000000000002</v>
      </c>
      <c r="W518" s="17">
        <f t="shared" si="124"/>
        <v>1.0440000000000001E-2</v>
      </c>
      <c r="X518" s="14">
        <f t="shared" si="128"/>
        <v>1</v>
      </c>
      <c r="Y518" s="14">
        <f t="shared" si="129"/>
        <v>2</v>
      </c>
      <c r="Z518" s="14">
        <f t="shared" si="130"/>
        <v>3</v>
      </c>
      <c r="AA518" s="14" t="str">
        <f t="shared" si="131"/>
        <v>AtkExt</v>
      </c>
      <c r="AB518" s="14">
        <f t="shared" si="125"/>
        <v>709</v>
      </c>
      <c r="AC518" s="14" t="str">
        <f t="shared" si="132"/>
        <v>DefExt</v>
      </c>
      <c r="AD518" s="14">
        <f t="shared" si="133"/>
        <v>354</v>
      </c>
      <c r="AE518" s="14" t="str">
        <f t="shared" si="134"/>
        <v>HPExt</v>
      </c>
      <c r="AF518" s="27">
        <f t="shared" si="135"/>
        <v>2128</v>
      </c>
      <c r="AG518" s="27" t="str">
        <f t="shared" si="136"/>
        <v>[x]</v>
      </c>
    </row>
    <row r="519" spans="16:33" ht="16.5" x14ac:dyDescent="0.2">
      <c r="P519" s="13">
        <v>463</v>
      </c>
      <c r="Q519" s="14">
        <f t="shared" si="121"/>
        <v>25</v>
      </c>
      <c r="R519" s="14">
        <f t="shared" si="122"/>
        <v>1606031</v>
      </c>
      <c r="S519" s="14" t="str">
        <f t="shared" si="126"/>
        <v>神器5碎片5等级7</v>
      </c>
      <c r="T519" s="29" t="s">
        <v>520</v>
      </c>
      <c r="U519" s="14">
        <f t="shared" si="123"/>
        <v>7</v>
      </c>
      <c r="V519" s="36">
        <f t="shared" si="127"/>
        <v>0.59799999999999998</v>
      </c>
      <c r="W519" s="17">
        <f t="shared" si="124"/>
        <v>1.196E-2</v>
      </c>
      <c r="X519" s="14">
        <f t="shared" si="128"/>
        <v>1</v>
      </c>
      <c r="Y519" s="14">
        <f t="shared" si="129"/>
        <v>2</v>
      </c>
      <c r="Z519" s="14">
        <f t="shared" si="130"/>
        <v>3</v>
      </c>
      <c r="AA519" s="14" t="str">
        <f t="shared" si="131"/>
        <v>AtkExt</v>
      </c>
      <c r="AB519" s="14">
        <f t="shared" si="125"/>
        <v>812</v>
      </c>
      <c r="AC519" s="14" t="str">
        <f t="shared" si="132"/>
        <v>DefExt</v>
      </c>
      <c r="AD519" s="14">
        <f t="shared" si="133"/>
        <v>406</v>
      </c>
      <c r="AE519" s="14" t="str">
        <f t="shared" si="134"/>
        <v>HPExt</v>
      </c>
      <c r="AF519" s="27">
        <f t="shared" si="135"/>
        <v>2438</v>
      </c>
      <c r="AG519" s="27" t="str">
        <f t="shared" si="136"/>
        <v>[x]</v>
      </c>
    </row>
    <row r="520" spans="16:33" ht="16.5" x14ac:dyDescent="0.2">
      <c r="P520" s="13">
        <v>464</v>
      </c>
      <c r="Q520" s="14">
        <f t="shared" si="121"/>
        <v>25</v>
      </c>
      <c r="R520" s="14">
        <f t="shared" si="122"/>
        <v>1606031</v>
      </c>
      <c r="S520" s="14" t="str">
        <f t="shared" si="126"/>
        <v>神器5碎片5等级8</v>
      </c>
      <c r="T520" s="29" t="s">
        <v>520</v>
      </c>
      <c r="U520" s="14">
        <f t="shared" si="123"/>
        <v>8</v>
      </c>
      <c r="V520" s="36">
        <f t="shared" si="127"/>
        <v>0.67800000000000005</v>
      </c>
      <c r="W520" s="17">
        <f t="shared" si="124"/>
        <v>1.3560000000000001E-2</v>
      </c>
      <c r="X520" s="14">
        <f t="shared" si="128"/>
        <v>1</v>
      </c>
      <c r="Y520" s="14">
        <f t="shared" si="129"/>
        <v>2</v>
      </c>
      <c r="Z520" s="14">
        <f t="shared" si="130"/>
        <v>3</v>
      </c>
      <c r="AA520" s="14" t="str">
        <f t="shared" si="131"/>
        <v>AtkExt</v>
      </c>
      <c r="AB520" s="14">
        <f t="shared" si="125"/>
        <v>921</v>
      </c>
      <c r="AC520" s="14" t="str">
        <f t="shared" si="132"/>
        <v>DefExt</v>
      </c>
      <c r="AD520" s="14">
        <f t="shared" si="133"/>
        <v>460</v>
      </c>
      <c r="AE520" s="14" t="str">
        <f t="shared" si="134"/>
        <v>HPExt</v>
      </c>
      <c r="AF520" s="27">
        <f t="shared" si="135"/>
        <v>2764</v>
      </c>
      <c r="AG520" s="27" t="str">
        <f t="shared" si="136"/>
        <v>[x]</v>
      </c>
    </row>
    <row r="521" spans="16:33" ht="16.5" x14ac:dyDescent="0.2">
      <c r="P521" s="13">
        <v>465</v>
      </c>
      <c r="Q521" s="14">
        <f t="shared" si="121"/>
        <v>25</v>
      </c>
      <c r="R521" s="14">
        <f t="shared" si="122"/>
        <v>1606031</v>
      </c>
      <c r="S521" s="14" t="str">
        <f t="shared" si="126"/>
        <v>神器5碎片5等级9</v>
      </c>
      <c r="T521" s="29" t="s">
        <v>520</v>
      </c>
      <c r="U521" s="14">
        <f t="shared" si="123"/>
        <v>9</v>
      </c>
      <c r="V521" s="36">
        <f t="shared" si="127"/>
        <v>0.76200000000000001</v>
      </c>
      <c r="W521" s="17">
        <f t="shared" si="124"/>
        <v>1.524E-2</v>
      </c>
      <c r="X521" s="14">
        <f t="shared" si="128"/>
        <v>1</v>
      </c>
      <c r="Y521" s="14">
        <f t="shared" si="129"/>
        <v>2</v>
      </c>
      <c r="Z521" s="14">
        <f t="shared" si="130"/>
        <v>3</v>
      </c>
      <c r="AA521" s="14" t="str">
        <f t="shared" si="131"/>
        <v>AtkExt</v>
      </c>
      <c r="AB521" s="14">
        <f t="shared" si="125"/>
        <v>1035</v>
      </c>
      <c r="AC521" s="14" t="str">
        <f t="shared" si="132"/>
        <v>DefExt</v>
      </c>
      <c r="AD521" s="14">
        <f t="shared" si="133"/>
        <v>517</v>
      </c>
      <c r="AE521" s="14" t="str">
        <f t="shared" si="134"/>
        <v>HPExt</v>
      </c>
      <c r="AF521" s="27">
        <f t="shared" si="135"/>
        <v>3107</v>
      </c>
      <c r="AG521" s="27" t="str">
        <f t="shared" si="136"/>
        <v>[x]</v>
      </c>
    </row>
    <row r="522" spans="16:33" ht="16.5" x14ac:dyDescent="0.2">
      <c r="P522" s="13">
        <v>466</v>
      </c>
      <c r="Q522" s="14">
        <f t="shared" si="121"/>
        <v>25</v>
      </c>
      <c r="R522" s="14">
        <f t="shared" si="122"/>
        <v>1606031</v>
      </c>
      <c r="S522" s="14" t="str">
        <f t="shared" si="126"/>
        <v>神器5碎片5等级10</v>
      </c>
      <c r="T522" s="29" t="s">
        <v>520</v>
      </c>
      <c r="U522" s="14">
        <f t="shared" si="123"/>
        <v>10</v>
      </c>
      <c r="V522" s="36">
        <f t="shared" si="127"/>
        <v>0.85000000000000009</v>
      </c>
      <c r="W522" s="17">
        <f t="shared" si="124"/>
        <v>1.7000000000000001E-2</v>
      </c>
      <c r="X522" s="14">
        <f t="shared" si="128"/>
        <v>1</v>
      </c>
      <c r="Y522" s="14">
        <f t="shared" si="129"/>
        <v>2</v>
      </c>
      <c r="Z522" s="14">
        <f t="shared" si="130"/>
        <v>3</v>
      </c>
      <c r="AA522" s="14" t="str">
        <f t="shared" si="131"/>
        <v>AtkExt</v>
      </c>
      <c r="AB522" s="14">
        <f t="shared" si="125"/>
        <v>1154</v>
      </c>
      <c r="AC522" s="14" t="str">
        <f t="shared" si="132"/>
        <v>DefExt</v>
      </c>
      <c r="AD522" s="14">
        <f t="shared" si="133"/>
        <v>577</v>
      </c>
      <c r="AE522" s="14" t="str">
        <f t="shared" si="134"/>
        <v>HPExt</v>
      </c>
      <c r="AF522" s="27">
        <f t="shared" si="135"/>
        <v>3465</v>
      </c>
      <c r="AG522" s="27" t="str">
        <f t="shared" si="136"/>
        <v>[x]</v>
      </c>
    </row>
    <row r="523" spans="16:33" ht="16.5" x14ac:dyDescent="0.2">
      <c r="P523" s="13">
        <v>467</v>
      </c>
      <c r="Q523" s="14">
        <f t="shared" si="121"/>
        <v>25</v>
      </c>
      <c r="R523" s="14">
        <f t="shared" si="122"/>
        <v>1606031</v>
      </c>
      <c r="S523" s="14" t="str">
        <f t="shared" si="126"/>
        <v>神器5碎片5等级11</v>
      </c>
      <c r="T523" s="29" t="s">
        <v>520</v>
      </c>
      <c r="U523" s="14">
        <f t="shared" si="123"/>
        <v>11</v>
      </c>
      <c r="V523" s="36">
        <f t="shared" si="127"/>
        <v>0.94200000000000006</v>
      </c>
      <c r="W523" s="17">
        <f t="shared" si="124"/>
        <v>1.8840000000000003E-2</v>
      </c>
      <c r="X523" s="14">
        <f t="shared" si="128"/>
        <v>1</v>
      </c>
      <c r="Y523" s="14">
        <f t="shared" si="129"/>
        <v>2</v>
      </c>
      <c r="Z523" s="14">
        <f t="shared" si="130"/>
        <v>3</v>
      </c>
      <c r="AA523" s="14" t="str">
        <f t="shared" si="131"/>
        <v>AtkExt</v>
      </c>
      <c r="AB523" s="14">
        <f t="shared" si="125"/>
        <v>1279</v>
      </c>
      <c r="AC523" s="14" t="str">
        <f t="shared" si="132"/>
        <v>DefExt</v>
      </c>
      <c r="AD523" s="14">
        <f t="shared" si="133"/>
        <v>639</v>
      </c>
      <c r="AE523" s="14" t="str">
        <f t="shared" si="134"/>
        <v>HPExt</v>
      </c>
      <c r="AF523" s="27">
        <f t="shared" si="135"/>
        <v>3840</v>
      </c>
      <c r="AG523" s="27" t="str">
        <f t="shared" si="136"/>
        <v>[x]</v>
      </c>
    </row>
    <row r="524" spans="16:33" ht="16.5" x14ac:dyDescent="0.2">
      <c r="P524" s="13">
        <v>468</v>
      </c>
      <c r="Q524" s="14">
        <f t="shared" si="121"/>
        <v>25</v>
      </c>
      <c r="R524" s="14">
        <f t="shared" si="122"/>
        <v>1606031</v>
      </c>
      <c r="S524" s="14" t="str">
        <f t="shared" si="126"/>
        <v>神器5碎片5等级12</v>
      </c>
      <c r="T524" s="29" t="s">
        <v>520</v>
      </c>
      <c r="U524" s="14">
        <f t="shared" si="123"/>
        <v>12</v>
      </c>
      <c r="V524" s="36">
        <f t="shared" si="127"/>
        <v>1.0380000000000003</v>
      </c>
      <c r="W524" s="17">
        <f t="shared" si="124"/>
        <v>2.0760000000000004E-2</v>
      </c>
      <c r="X524" s="14">
        <f t="shared" si="128"/>
        <v>1</v>
      </c>
      <c r="Y524" s="14">
        <f t="shared" si="129"/>
        <v>2</v>
      </c>
      <c r="Z524" s="14">
        <f t="shared" si="130"/>
        <v>3</v>
      </c>
      <c r="AA524" s="14" t="str">
        <f t="shared" si="131"/>
        <v>AtkExt</v>
      </c>
      <c r="AB524" s="14">
        <f t="shared" si="125"/>
        <v>1410</v>
      </c>
      <c r="AC524" s="14" t="str">
        <f t="shared" si="132"/>
        <v>DefExt</v>
      </c>
      <c r="AD524" s="14">
        <f t="shared" si="133"/>
        <v>704</v>
      </c>
      <c r="AE524" s="14" t="str">
        <f t="shared" si="134"/>
        <v>HPExt</v>
      </c>
      <c r="AF524" s="27">
        <f t="shared" si="135"/>
        <v>4232</v>
      </c>
      <c r="AG524" s="27" t="str">
        <f t="shared" si="136"/>
        <v>[x]</v>
      </c>
    </row>
    <row r="525" spans="16:33" ht="16.5" x14ac:dyDescent="0.2">
      <c r="P525" s="13">
        <v>469</v>
      </c>
      <c r="Q525" s="14">
        <f t="shared" si="121"/>
        <v>25</v>
      </c>
      <c r="R525" s="14">
        <f t="shared" si="122"/>
        <v>1606031</v>
      </c>
      <c r="S525" s="14" t="str">
        <f t="shared" si="126"/>
        <v>神器5碎片5等级13</v>
      </c>
      <c r="T525" s="29" t="s">
        <v>520</v>
      </c>
      <c r="U525" s="14">
        <f t="shared" si="123"/>
        <v>13</v>
      </c>
      <c r="V525" s="36">
        <f t="shared" si="127"/>
        <v>1.1380000000000001</v>
      </c>
      <c r="W525" s="17">
        <f t="shared" si="124"/>
        <v>2.2760000000000002E-2</v>
      </c>
      <c r="X525" s="14">
        <f t="shared" si="128"/>
        <v>1</v>
      </c>
      <c r="Y525" s="14">
        <f t="shared" si="129"/>
        <v>2</v>
      </c>
      <c r="Z525" s="14">
        <f t="shared" si="130"/>
        <v>3</v>
      </c>
      <c r="AA525" s="14" t="str">
        <f t="shared" si="131"/>
        <v>AtkExt</v>
      </c>
      <c r="AB525" s="14">
        <f t="shared" si="125"/>
        <v>1546</v>
      </c>
      <c r="AC525" s="14" t="str">
        <f t="shared" si="132"/>
        <v>DefExt</v>
      </c>
      <c r="AD525" s="14">
        <f t="shared" si="133"/>
        <v>772</v>
      </c>
      <c r="AE525" s="14" t="str">
        <f t="shared" si="134"/>
        <v>HPExt</v>
      </c>
      <c r="AF525" s="27">
        <f t="shared" si="135"/>
        <v>4640</v>
      </c>
      <c r="AG525" s="27" t="str">
        <f t="shared" si="136"/>
        <v>[x]</v>
      </c>
    </row>
    <row r="526" spans="16:33" ht="16.5" x14ac:dyDescent="0.2">
      <c r="P526" s="13">
        <v>470</v>
      </c>
      <c r="Q526" s="14">
        <f t="shared" si="121"/>
        <v>25</v>
      </c>
      <c r="R526" s="14">
        <f t="shared" si="122"/>
        <v>1606031</v>
      </c>
      <c r="S526" s="14" t="str">
        <f t="shared" si="126"/>
        <v>神器5碎片5等级14</v>
      </c>
      <c r="T526" s="29" t="s">
        <v>520</v>
      </c>
      <c r="U526" s="14">
        <f t="shared" si="123"/>
        <v>14</v>
      </c>
      <c r="V526" s="36">
        <f t="shared" si="127"/>
        <v>1.242</v>
      </c>
      <c r="W526" s="17">
        <f t="shared" si="124"/>
        <v>2.4840000000000001E-2</v>
      </c>
      <c r="X526" s="14">
        <f t="shared" si="128"/>
        <v>1</v>
      </c>
      <c r="Y526" s="14">
        <f t="shared" si="129"/>
        <v>2</v>
      </c>
      <c r="Z526" s="14">
        <f t="shared" si="130"/>
        <v>3</v>
      </c>
      <c r="AA526" s="14" t="str">
        <f t="shared" si="131"/>
        <v>AtkExt</v>
      </c>
      <c r="AB526" s="14">
        <f t="shared" si="125"/>
        <v>1687</v>
      </c>
      <c r="AC526" s="14" t="str">
        <f t="shared" si="132"/>
        <v>DefExt</v>
      </c>
      <c r="AD526" s="14">
        <f t="shared" si="133"/>
        <v>843</v>
      </c>
      <c r="AE526" s="14" t="str">
        <f t="shared" si="134"/>
        <v>HPExt</v>
      </c>
      <c r="AF526" s="27">
        <f t="shared" si="135"/>
        <v>5064</v>
      </c>
      <c r="AG526" s="27" t="str">
        <f t="shared" si="136"/>
        <v>[x]</v>
      </c>
    </row>
    <row r="527" spans="16:33" ht="16.5" x14ac:dyDescent="0.2">
      <c r="P527" s="13">
        <v>471</v>
      </c>
      <c r="Q527" s="14">
        <f t="shared" si="121"/>
        <v>25</v>
      </c>
      <c r="R527" s="14">
        <f t="shared" si="122"/>
        <v>1606031</v>
      </c>
      <c r="S527" s="14" t="str">
        <f t="shared" si="126"/>
        <v>神器5碎片5等级15</v>
      </c>
      <c r="T527" s="29" t="s">
        <v>520</v>
      </c>
      <c r="U527" s="14">
        <f t="shared" si="123"/>
        <v>15</v>
      </c>
      <c r="V527" s="36">
        <f t="shared" si="127"/>
        <v>1.35</v>
      </c>
      <c r="W527" s="17">
        <f t="shared" si="124"/>
        <v>2.7000000000000003E-2</v>
      </c>
      <c r="X527" s="14">
        <f t="shared" si="128"/>
        <v>1</v>
      </c>
      <c r="Y527" s="14">
        <f t="shared" si="129"/>
        <v>2</v>
      </c>
      <c r="Z527" s="14">
        <f t="shared" si="130"/>
        <v>3</v>
      </c>
      <c r="AA527" s="14" t="str">
        <f t="shared" si="131"/>
        <v>AtkExt</v>
      </c>
      <c r="AB527" s="14">
        <f t="shared" si="125"/>
        <v>1834</v>
      </c>
      <c r="AC527" s="14" t="str">
        <f t="shared" si="132"/>
        <v>DefExt</v>
      </c>
      <c r="AD527" s="14">
        <f t="shared" si="133"/>
        <v>916</v>
      </c>
      <c r="AE527" s="14" t="str">
        <f t="shared" si="134"/>
        <v>HPExt</v>
      </c>
      <c r="AF527" s="27">
        <f t="shared" si="135"/>
        <v>5504</v>
      </c>
      <c r="AG527" s="27" t="str">
        <f t="shared" si="136"/>
        <v>[x]</v>
      </c>
    </row>
    <row r="528" spans="16:33" ht="16.5" x14ac:dyDescent="0.2">
      <c r="P528" s="13">
        <v>472</v>
      </c>
      <c r="Q528" s="14">
        <f t="shared" si="121"/>
        <v>25</v>
      </c>
      <c r="R528" s="14">
        <f t="shared" si="122"/>
        <v>1606031</v>
      </c>
      <c r="S528" s="14" t="str">
        <f t="shared" si="126"/>
        <v>神器5碎片5等级16</v>
      </c>
      <c r="T528" s="29" t="s">
        <v>520</v>
      </c>
      <c r="U528" s="14">
        <f t="shared" si="123"/>
        <v>16</v>
      </c>
      <c r="V528" s="36">
        <f t="shared" si="127"/>
        <v>1.4620000000000002</v>
      </c>
      <c r="W528" s="17">
        <f t="shared" si="124"/>
        <v>2.9240000000000006E-2</v>
      </c>
      <c r="X528" s="14">
        <f t="shared" si="128"/>
        <v>1</v>
      </c>
      <c r="Y528" s="14">
        <f t="shared" si="129"/>
        <v>2</v>
      </c>
      <c r="Z528" s="14">
        <f t="shared" si="130"/>
        <v>3</v>
      </c>
      <c r="AA528" s="14" t="str">
        <f t="shared" si="131"/>
        <v>AtkExt</v>
      </c>
      <c r="AB528" s="14">
        <f t="shared" si="125"/>
        <v>1986</v>
      </c>
      <c r="AC528" s="14" t="str">
        <f t="shared" si="132"/>
        <v>DefExt</v>
      </c>
      <c r="AD528" s="14">
        <f t="shared" si="133"/>
        <v>992</v>
      </c>
      <c r="AE528" s="14" t="str">
        <f t="shared" si="134"/>
        <v>HPExt</v>
      </c>
      <c r="AF528" s="27">
        <f t="shared" si="135"/>
        <v>5961</v>
      </c>
      <c r="AG528" s="27" t="str">
        <f t="shared" si="136"/>
        <v>[x]</v>
      </c>
    </row>
    <row r="529" spans="16:33" ht="16.5" x14ac:dyDescent="0.2">
      <c r="P529" s="13">
        <v>473</v>
      </c>
      <c r="Q529" s="14">
        <f t="shared" si="121"/>
        <v>25</v>
      </c>
      <c r="R529" s="14">
        <f t="shared" si="122"/>
        <v>1606031</v>
      </c>
      <c r="S529" s="14" t="str">
        <f t="shared" si="126"/>
        <v>神器5碎片5等级17</v>
      </c>
      <c r="T529" s="29" t="s">
        <v>520</v>
      </c>
      <c r="U529" s="14">
        <f t="shared" si="123"/>
        <v>17</v>
      </c>
      <c r="V529" s="36">
        <f t="shared" si="127"/>
        <v>1.5779999999999998</v>
      </c>
      <c r="W529" s="17">
        <f t="shared" si="124"/>
        <v>3.1559999999999998E-2</v>
      </c>
      <c r="X529" s="14">
        <f t="shared" si="128"/>
        <v>1</v>
      </c>
      <c r="Y529" s="14">
        <f t="shared" si="129"/>
        <v>2</v>
      </c>
      <c r="Z529" s="14">
        <f t="shared" si="130"/>
        <v>3</v>
      </c>
      <c r="AA529" s="14" t="str">
        <f t="shared" si="131"/>
        <v>AtkExt</v>
      </c>
      <c r="AB529" s="14">
        <f t="shared" si="125"/>
        <v>2143</v>
      </c>
      <c r="AC529" s="14" t="str">
        <f t="shared" si="132"/>
        <v>DefExt</v>
      </c>
      <c r="AD529" s="14">
        <f t="shared" si="133"/>
        <v>1071</v>
      </c>
      <c r="AE529" s="14" t="str">
        <f t="shared" si="134"/>
        <v>HPExt</v>
      </c>
      <c r="AF529" s="27">
        <f t="shared" si="135"/>
        <v>6434</v>
      </c>
      <c r="AG529" s="27" t="str">
        <f t="shared" si="136"/>
        <v>[x]</v>
      </c>
    </row>
    <row r="530" spans="16:33" ht="16.5" x14ac:dyDescent="0.2">
      <c r="P530" s="13">
        <v>474</v>
      </c>
      <c r="Q530" s="14">
        <f t="shared" si="121"/>
        <v>25</v>
      </c>
      <c r="R530" s="14">
        <f t="shared" si="122"/>
        <v>1606031</v>
      </c>
      <c r="S530" s="14" t="str">
        <f t="shared" si="126"/>
        <v>神器5碎片5等级18</v>
      </c>
      <c r="T530" s="29" t="s">
        <v>520</v>
      </c>
      <c r="U530" s="14">
        <f t="shared" si="123"/>
        <v>18</v>
      </c>
      <c r="V530" s="36">
        <f t="shared" si="127"/>
        <v>1.698</v>
      </c>
      <c r="W530" s="17">
        <f t="shared" si="124"/>
        <v>3.3959999999999997E-2</v>
      </c>
      <c r="X530" s="14">
        <f t="shared" si="128"/>
        <v>1</v>
      </c>
      <c r="Y530" s="14">
        <f t="shared" si="129"/>
        <v>2</v>
      </c>
      <c r="Z530" s="14">
        <f t="shared" si="130"/>
        <v>3</v>
      </c>
      <c r="AA530" s="14" t="str">
        <f t="shared" si="131"/>
        <v>AtkExt</v>
      </c>
      <c r="AB530" s="14">
        <f t="shared" si="125"/>
        <v>2306</v>
      </c>
      <c r="AC530" s="14" t="str">
        <f t="shared" si="132"/>
        <v>DefExt</v>
      </c>
      <c r="AD530" s="14">
        <f t="shared" si="133"/>
        <v>1152</v>
      </c>
      <c r="AE530" s="14" t="str">
        <f t="shared" si="134"/>
        <v>HPExt</v>
      </c>
      <c r="AF530" s="27">
        <f t="shared" si="135"/>
        <v>6923</v>
      </c>
      <c r="AG530" s="27" t="str">
        <f t="shared" si="136"/>
        <v>[x]</v>
      </c>
    </row>
    <row r="531" spans="16:33" ht="16.5" x14ac:dyDescent="0.2">
      <c r="P531" s="13">
        <v>475</v>
      </c>
      <c r="Q531" s="14">
        <f t="shared" si="121"/>
        <v>25</v>
      </c>
      <c r="R531" s="14">
        <f t="shared" si="122"/>
        <v>1606031</v>
      </c>
      <c r="S531" s="14" t="str">
        <f t="shared" si="126"/>
        <v>神器5碎片5等级19</v>
      </c>
      <c r="T531" s="29" t="s">
        <v>520</v>
      </c>
      <c r="U531" s="14">
        <f t="shared" si="123"/>
        <v>19</v>
      </c>
      <c r="V531" s="36">
        <f t="shared" si="127"/>
        <v>1.8220000000000001</v>
      </c>
      <c r="W531" s="17">
        <f t="shared" si="124"/>
        <v>3.644E-2</v>
      </c>
      <c r="X531" s="14">
        <f t="shared" si="128"/>
        <v>1</v>
      </c>
      <c r="Y531" s="14">
        <f t="shared" si="129"/>
        <v>2</v>
      </c>
      <c r="Z531" s="14">
        <f t="shared" si="130"/>
        <v>3</v>
      </c>
      <c r="AA531" s="14" t="str">
        <f t="shared" si="131"/>
        <v>AtkExt</v>
      </c>
      <c r="AB531" s="14">
        <f t="shared" si="125"/>
        <v>2475</v>
      </c>
      <c r="AC531" s="14" t="str">
        <f t="shared" si="132"/>
        <v>DefExt</v>
      </c>
      <c r="AD531" s="14">
        <f t="shared" si="133"/>
        <v>1237</v>
      </c>
      <c r="AE531" s="14" t="str">
        <f t="shared" si="134"/>
        <v>HPExt</v>
      </c>
      <c r="AF531" s="27">
        <f t="shared" si="135"/>
        <v>7429</v>
      </c>
      <c r="AG531" s="27" t="str">
        <f t="shared" si="136"/>
        <v>[x]</v>
      </c>
    </row>
    <row r="532" spans="16:33" ht="16.5" x14ac:dyDescent="0.2">
      <c r="P532" s="13">
        <v>476</v>
      </c>
      <c r="Q532" s="14">
        <f t="shared" si="121"/>
        <v>25</v>
      </c>
      <c r="R532" s="14">
        <f t="shared" si="122"/>
        <v>1606031</v>
      </c>
      <c r="S532" s="14" t="str">
        <f t="shared" si="126"/>
        <v>神器5碎片5等级20</v>
      </c>
      <c r="T532" s="29" t="s">
        <v>520</v>
      </c>
      <c r="U532" s="14">
        <f t="shared" si="123"/>
        <v>20</v>
      </c>
      <c r="V532" s="36">
        <f t="shared" si="127"/>
        <v>1.95</v>
      </c>
      <c r="W532" s="17">
        <f t="shared" si="124"/>
        <v>3.9E-2</v>
      </c>
      <c r="X532" s="14">
        <f t="shared" si="128"/>
        <v>1</v>
      </c>
      <c r="Y532" s="14">
        <f t="shared" si="129"/>
        <v>2</v>
      </c>
      <c r="Z532" s="14">
        <f t="shared" si="130"/>
        <v>3</v>
      </c>
      <c r="AA532" s="14" t="str">
        <f t="shared" si="131"/>
        <v>AtkExt</v>
      </c>
      <c r="AB532" s="14">
        <f t="shared" si="125"/>
        <v>2649</v>
      </c>
      <c r="AC532" s="14" t="str">
        <f t="shared" si="132"/>
        <v>DefExt</v>
      </c>
      <c r="AD532" s="14">
        <f t="shared" si="133"/>
        <v>1323</v>
      </c>
      <c r="AE532" s="14" t="str">
        <f t="shared" si="134"/>
        <v>HPExt</v>
      </c>
      <c r="AF532" s="27">
        <f t="shared" si="135"/>
        <v>7951</v>
      </c>
      <c r="AG532" s="27" t="str">
        <f t="shared" si="136"/>
        <v>[x]</v>
      </c>
    </row>
    <row r="533" spans="16:33" ht="16.5" x14ac:dyDescent="0.2">
      <c r="P533" s="13">
        <v>477</v>
      </c>
      <c r="Q533" s="14">
        <f t="shared" si="121"/>
        <v>25</v>
      </c>
      <c r="R533" s="14">
        <f t="shared" si="122"/>
        <v>1606031</v>
      </c>
      <c r="S533" s="14" t="str">
        <f t="shared" si="126"/>
        <v>神器5碎片5等级21</v>
      </c>
      <c r="T533" s="29" t="s">
        <v>520</v>
      </c>
      <c r="U533" s="14">
        <f t="shared" si="123"/>
        <v>21</v>
      </c>
      <c r="V533" s="36">
        <f t="shared" si="127"/>
        <v>2.0819999999999999</v>
      </c>
      <c r="W533" s="17">
        <f t="shared" si="124"/>
        <v>4.1639999999999996E-2</v>
      </c>
      <c r="X533" s="14">
        <f t="shared" si="128"/>
        <v>1</v>
      </c>
      <c r="Y533" s="14">
        <f t="shared" si="129"/>
        <v>2</v>
      </c>
      <c r="Z533" s="14">
        <f t="shared" si="130"/>
        <v>3</v>
      </c>
      <c r="AA533" s="14" t="str">
        <f t="shared" si="131"/>
        <v>AtkExt</v>
      </c>
      <c r="AB533" s="14">
        <f t="shared" si="125"/>
        <v>2828</v>
      </c>
      <c r="AC533" s="14" t="str">
        <f t="shared" si="132"/>
        <v>DefExt</v>
      </c>
      <c r="AD533" s="14">
        <f t="shared" si="133"/>
        <v>1413</v>
      </c>
      <c r="AE533" s="14" t="str">
        <f t="shared" si="134"/>
        <v>HPExt</v>
      </c>
      <c r="AF533" s="27">
        <f t="shared" si="135"/>
        <v>8489</v>
      </c>
      <c r="AG533" s="27" t="str">
        <f t="shared" si="136"/>
        <v>[x]</v>
      </c>
    </row>
    <row r="534" spans="16:33" ht="16.5" x14ac:dyDescent="0.2">
      <c r="P534" s="13">
        <v>478</v>
      </c>
      <c r="Q534" s="14">
        <f t="shared" si="121"/>
        <v>26</v>
      </c>
      <c r="R534" s="14">
        <f t="shared" si="122"/>
        <v>1606032</v>
      </c>
      <c r="S534" s="14" t="str">
        <f t="shared" si="126"/>
        <v>神器5碎片6等级1</v>
      </c>
      <c r="T534" s="29" t="s">
        <v>520</v>
      </c>
      <c r="U534" s="14">
        <f t="shared" si="123"/>
        <v>1</v>
      </c>
      <c r="V534" s="36">
        <f t="shared" si="127"/>
        <v>0.20200000000000001</v>
      </c>
      <c r="W534" s="17">
        <f t="shared" si="124"/>
        <v>6.0600000000000003E-3</v>
      </c>
      <c r="X534" s="14">
        <f t="shared" si="128"/>
        <v>2</v>
      </c>
      <c r="Y534" s="14">
        <f t="shared" si="129"/>
        <v>0</v>
      </c>
      <c r="Z534" s="14">
        <f t="shared" si="130"/>
        <v>0</v>
      </c>
      <c r="AA534" s="14" t="str">
        <f t="shared" si="131"/>
        <v>DefExt</v>
      </c>
      <c r="AB534" s="14">
        <f t="shared" si="125"/>
        <v>617</v>
      </c>
      <c r="AC534" s="14" t="str">
        <f t="shared" si="132"/>
        <v>[x]</v>
      </c>
      <c r="AD534" s="14" t="str">
        <f t="shared" si="133"/>
        <v>[x]</v>
      </c>
      <c r="AE534" s="14" t="str">
        <f t="shared" si="134"/>
        <v>[x]</v>
      </c>
      <c r="AF534" s="27" t="str">
        <f t="shared" si="135"/>
        <v>[x]</v>
      </c>
      <c r="AG534" s="27">
        <f t="shared" si="136"/>
        <v>2</v>
      </c>
    </row>
    <row r="535" spans="16:33" ht="16.5" x14ac:dyDescent="0.2">
      <c r="P535" s="13">
        <v>479</v>
      </c>
      <c r="Q535" s="14">
        <f t="shared" si="121"/>
        <v>26</v>
      </c>
      <c r="R535" s="14">
        <f t="shared" si="122"/>
        <v>1606032</v>
      </c>
      <c r="S535" s="14" t="str">
        <f t="shared" si="126"/>
        <v>神器5碎片6等级2</v>
      </c>
      <c r="T535" s="29" t="s">
        <v>520</v>
      </c>
      <c r="U535" s="14">
        <f t="shared" si="123"/>
        <v>2</v>
      </c>
      <c r="V535" s="36">
        <f t="shared" si="127"/>
        <v>0.25800000000000001</v>
      </c>
      <c r="W535" s="17">
        <f t="shared" si="124"/>
        <v>7.7400000000000004E-3</v>
      </c>
      <c r="X535" s="14">
        <f t="shared" si="128"/>
        <v>2</v>
      </c>
      <c r="Y535" s="14">
        <f t="shared" si="129"/>
        <v>0</v>
      </c>
      <c r="Z535" s="14">
        <f t="shared" si="130"/>
        <v>0</v>
      </c>
      <c r="AA535" s="14" t="str">
        <f t="shared" si="131"/>
        <v>DefExt</v>
      </c>
      <c r="AB535" s="14">
        <f t="shared" si="125"/>
        <v>788</v>
      </c>
      <c r="AC535" s="14" t="str">
        <f t="shared" si="132"/>
        <v>[x]</v>
      </c>
      <c r="AD535" s="14" t="str">
        <f t="shared" si="133"/>
        <v>[x]</v>
      </c>
      <c r="AE535" s="14" t="str">
        <f t="shared" si="134"/>
        <v>[x]</v>
      </c>
      <c r="AF535" s="27" t="str">
        <f t="shared" si="135"/>
        <v>[x]</v>
      </c>
      <c r="AG535" s="27">
        <f t="shared" si="136"/>
        <v>4</v>
      </c>
    </row>
    <row r="536" spans="16:33" ht="16.5" x14ac:dyDescent="0.2">
      <c r="P536" s="13">
        <v>480</v>
      </c>
      <c r="Q536" s="14">
        <f t="shared" si="121"/>
        <v>26</v>
      </c>
      <c r="R536" s="14">
        <f t="shared" si="122"/>
        <v>1606032</v>
      </c>
      <c r="S536" s="14" t="str">
        <f t="shared" si="126"/>
        <v>神器5碎片6等级3</v>
      </c>
      <c r="T536" s="29" t="s">
        <v>520</v>
      </c>
      <c r="U536" s="14">
        <f t="shared" si="123"/>
        <v>3</v>
      </c>
      <c r="V536" s="36">
        <f t="shared" si="127"/>
        <v>0.31800000000000006</v>
      </c>
      <c r="W536" s="17">
        <f t="shared" si="124"/>
        <v>9.5400000000000016E-3</v>
      </c>
      <c r="X536" s="14">
        <f t="shared" si="128"/>
        <v>2</v>
      </c>
      <c r="Y536" s="14">
        <f t="shared" si="129"/>
        <v>0</v>
      </c>
      <c r="Z536" s="14">
        <f t="shared" si="130"/>
        <v>0</v>
      </c>
      <c r="AA536" s="14" t="str">
        <f t="shared" si="131"/>
        <v>DefExt</v>
      </c>
      <c r="AB536" s="14">
        <f t="shared" si="125"/>
        <v>971</v>
      </c>
      <c r="AC536" s="14" t="str">
        <f t="shared" si="132"/>
        <v>[x]</v>
      </c>
      <c r="AD536" s="14" t="str">
        <f t="shared" si="133"/>
        <v>[x]</v>
      </c>
      <c r="AE536" s="14" t="str">
        <f t="shared" si="134"/>
        <v>[x]</v>
      </c>
      <c r="AF536" s="27" t="str">
        <f t="shared" si="135"/>
        <v>[x]</v>
      </c>
      <c r="AG536" s="27">
        <f t="shared" si="136"/>
        <v>6</v>
      </c>
    </row>
    <row r="537" spans="16:33" ht="16.5" x14ac:dyDescent="0.2">
      <c r="P537" s="13">
        <v>481</v>
      </c>
      <c r="Q537" s="14">
        <f t="shared" si="121"/>
        <v>26</v>
      </c>
      <c r="R537" s="14">
        <f t="shared" si="122"/>
        <v>1606032</v>
      </c>
      <c r="S537" s="14" t="str">
        <f t="shared" si="126"/>
        <v>神器5碎片6等级4</v>
      </c>
      <c r="T537" s="29" t="s">
        <v>520</v>
      </c>
      <c r="U537" s="14">
        <f t="shared" si="123"/>
        <v>4</v>
      </c>
      <c r="V537" s="36">
        <f t="shared" si="127"/>
        <v>0.38200000000000001</v>
      </c>
      <c r="W537" s="17">
        <f t="shared" si="124"/>
        <v>1.146E-2</v>
      </c>
      <c r="X537" s="14">
        <f t="shared" si="128"/>
        <v>2</v>
      </c>
      <c r="Y537" s="14">
        <f t="shared" si="129"/>
        <v>0</v>
      </c>
      <c r="Z537" s="14">
        <f t="shared" si="130"/>
        <v>0</v>
      </c>
      <c r="AA537" s="14" t="str">
        <f t="shared" si="131"/>
        <v>DefExt</v>
      </c>
      <c r="AB537" s="14">
        <f t="shared" si="125"/>
        <v>1167</v>
      </c>
      <c r="AC537" s="14" t="str">
        <f t="shared" si="132"/>
        <v>[x]</v>
      </c>
      <c r="AD537" s="14" t="str">
        <f t="shared" si="133"/>
        <v>[x]</v>
      </c>
      <c r="AE537" s="14" t="str">
        <f t="shared" si="134"/>
        <v>[x]</v>
      </c>
      <c r="AF537" s="27" t="str">
        <f t="shared" si="135"/>
        <v>[x]</v>
      </c>
      <c r="AG537" s="27">
        <f t="shared" si="136"/>
        <v>8</v>
      </c>
    </row>
    <row r="538" spans="16:33" ht="16.5" x14ac:dyDescent="0.2">
      <c r="P538" s="13">
        <v>482</v>
      </c>
      <c r="Q538" s="14">
        <f t="shared" si="121"/>
        <v>26</v>
      </c>
      <c r="R538" s="14">
        <f t="shared" si="122"/>
        <v>1606032</v>
      </c>
      <c r="S538" s="14" t="str">
        <f t="shared" si="126"/>
        <v>神器5碎片6等级5</v>
      </c>
      <c r="T538" s="29" t="s">
        <v>520</v>
      </c>
      <c r="U538" s="14">
        <f t="shared" si="123"/>
        <v>5</v>
      </c>
      <c r="V538" s="36">
        <f t="shared" si="127"/>
        <v>0.45</v>
      </c>
      <c r="W538" s="17">
        <f t="shared" si="124"/>
        <v>1.35E-2</v>
      </c>
      <c r="X538" s="14">
        <f t="shared" si="128"/>
        <v>2</v>
      </c>
      <c r="Y538" s="14">
        <f t="shared" si="129"/>
        <v>0</v>
      </c>
      <c r="Z538" s="14">
        <f t="shared" si="130"/>
        <v>0</v>
      </c>
      <c r="AA538" s="14" t="str">
        <f t="shared" si="131"/>
        <v>DefExt</v>
      </c>
      <c r="AB538" s="14">
        <f t="shared" si="125"/>
        <v>1374</v>
      </c>
      <c r="AC538" s="14" t="str">
        <f t="shared" si="132"/>
        <v>[x]</v>
      </c>
      <c r="AD538" s="14" t="str">
        <f t="shared" si="133"/>
        <v>[x]</v>
      </c>
      <c r="AE538" s="14" t="str">
        <f t="shared" si="134"/>
        <v>[x]</v>
      </c>
      <c r="AF538" s="27" t="str">
        <f t="shared" si="135"/>
        <v>[x]</v>
      </c>
      <c r="AG538" s="27">
        <f t="shared" si="136"/>
        <v>10</v>
      </c>
    </row>
    <row r="539" spans="16:33" ht="16.5" x14ac:dyDescent="0.2">
      <c r="P539" s="13">
        <v>483</v>
      </c>
      <c r="Q539" s="14">
        <f t="shared" si="121"/>
        <v>26</v>
      </c>
      <c r="R539" s="14">
        <f t="shared" si="122"/>
        <v>1606032</v>
      </c>
      <c r="S539" s="14" t="str">
        <f t="shared" si="126"/>
        <v>神器5碎片6等级6</v>
      </c>
      <c r="T539" s="29" t="s">
        <v>520</v>
      </c>
      <c r="U539" s="14">
        <f t="shared" si="123"/>
        <v>6</v>
      </c>
      <c r="V539" s="36">
        <f t="shared" si="127"/>
        <v>0.52200000000000002</v>
      </c>
      <c r="W539" s="17">
        <f t="shared" si="124"/>
        <v>1.566E-2</v>
      </c>
      <c r="X539" s="14">
        <f t="shared" si="128"/>
        <v>2</v>
      </c>
      <c r="Y539" s="14">
        <f t="shared" si="129"/>
        <v>0</v>
      </c>
      <c r="Z539" s="14">
        <f t="shared" si="130"/>
        <v>0</v>
      </c>
      <c r="AA539" s="14" t="str">
        <f t="shared" si="131"/>
        <v>DefExt</v>
      </c>
      <c r="AB539" s="14">
        <f t="shared" si="125"/>
        <v>1594</v>
      </c>
      <c r="AC539" s="14" t="str">
        <f t="shared" si="132"/>
        <v>[x]</v>
      </c>
      <c r="AD539" s="14" t="str">
        <f t="shared" si="133"/>
        <v>[x]</v>
      </c>
      <c r="AE539" s="14" t="str">
        <f t="shared" si="134"/>
        <v>[x]</v>
      </c>
      <c r="AF539" s="27" t="str">
        <f t="shared" si="135"/>
        <v>[x]</v>
      </c>
      <c r="AG539" s="27">
        <f t="shared" si="136"/>
        <v>12</v>
      </c>
    </row>
    <row r="540" spans="16:33" ht="16.5" x14ac:dyDescent="0.2">
      <c r="P540" s="13">
        <v>484</v>
      </c>
      <c r="Q540" s="14">
        <f t="shared" si="121"/>
        <v>26</v>
      </c>
      <c r="R540" s="14">
        <f t="shared" si="122"/>
        <v>1606032</v>
      </c>
      <c r="S540" s="14" t="str">
        <f t="shared" si="126"/>
        <v>神器5碎片6等级7</v>
      </c>
      <c r="T540" s="29" t="s">
        <v>520</v>
      </c>
      <c r="U540" s="14">
        <f t="shared" si="123"/>
        <v>7</v>
      </c>
      <c r="V540" s="36">
        <f t="shared" si="127"/>
        <v>0.59799999999999998</v>
      </c>
      <c r="W540" s="17">
        <f t="shared" si="124"/>
        <v>1.7939999999999998E-2</v>
      </c>
      <c r="X540" s="14">
        <f t="shared" si="128"/>
        <v>2</v>
      </c>
      <c r="Y540" s="14">
        <f t="shared" si="129"/>
        <v>0</v>
      </c>
      <c r="Z540" s="14">
        <f t="shared" si="130"/>
        <v>0</v>
      </c>
      <c r="AA540" s="14" t="str">
        <f t="shared" si="131"/>
        <v>DefExt</v>
      </c>
      <c r="AB540" s="14">
        <f t="shared" si="125"/>
        <v>1827</v>
      </c>
      <c r="AC540" s="14" t="str">
        <f t="shared" si="132"/>
        <v>[x]</v>
      </c>
      <c r="AD540" s="14" t="str">
        <f t="shared" si="133"/>
        <v>[x]</v>
      </c>
      <c r="AE540" s="14" t="str">
        <f t="shared" si="134"/>
        <v>[x]</v>
      </c>
      <c r="AF540" s="27" t="str">
        <f t="shared" si="135"/>
        <v>[x]</v>
      </c>
      <c r="AG540" s="27">
        <f t="shared" si="136"/>
        <v>14</v>
      </c>
    </row>
    <row r="541" spans="16:33" ht="16.5" x14ac:dyDescent="0.2">
      <c r="P541" s="13">
        <v>485</v>
      </c>
      <c r="Q541" s="14">
        <f t="shared" si="121"/>
        <v>26</v>
      </c>
      <c r="R541" s="14">
        <f t="shared" si="122"/>
        <v>1606032</v>
      </c>
      <c r="S541" s="14" t="str">
        <f t="shared" si="126"/>
        <v>神器5碎片6等级8</v>
      </c>
      <c r="T541" s="29" t="s">
        <v>520</v>
      </c>
      <c r="U541" s="14">
        <f t="shared" si="123"/>
        <v>8</v>
      </c>
      <c r="V541" s="36">
        <f t="shared" si="127"/>
        <v>0.67800000000000005</v>
      </c>
      <c r="W541" s="17">
        <f t="shared" si="124"/>
        <v>2.034E-2</v>
      </c>
      <c r="X541" s="14">
        <f t="shared" si="128"/>
        <v>2</v>
      </c>
      <c r="Y541" s="14">
        <f t="shared" si="129"/>
        <v>0</v>
      </c>
      <c r="Z541" s="14">
        <f t="shared" si="130"/>
        <v>0</v>
      </c>
      <c r="AA541" s="14" t="str">
        <f t="shared" si="131"/>
        <v>DefExt</v>
      </c>
      <c r="AB541" s="14">
        <f t="shared" si="125"/>
        <v>2071</v>
      </c>
      <c r="AC541" s="14" t="str">
        <f t="shared" si="132"/>
        <v>[x]</v>
      </c>
      <c r="AD541" s="14" t="str">
        <f t="shared" si="133"/>
        <v>[x]</v>
      </c>
      <c r="AE541" s="14" t="str">
        <f t="shared" si="134"/>
        <v>[x]</v>
      </c>
      <c r="AF541" s="27" t="str">
        <f t="shared" si="135"/>
        <v>[x]</v>
      </c>
      <c r="AG541" s="27">
        <f t="shared" si="136"/>
        <v>16</v>
      </c>
    </row>
    <row r="542" spans="16:33" ht="16.5" x14ac:dyDescent="0.2">
      <c r="P542" s="13">
        <v>486</v>
      </c>
      <c r="Q542" s="14">
        <f t="shared" si="121"/>
        <v>26</v>
      </c>
      <c r="R542" s="14">
        <f t="shared" si="122"/>
        <v>1606032</v>
      </c>
      <c r="S542" s="14" t="str">
        <f t="shared" si="126"/>
        <v>神器5碎片6等级9</v>
      </c>
      <c r="T542" s="29" t="s">
        <v>520</v>
      </c>
      <c r="U542" s="14">
        <f t="shared" si="123"/>
        <v>9</v>
      </c>
      <c r="V542" s="36">
        <f t="shared" si="127"/>
        <v>0.76200000000000001</v>
      </c>
      <c r="W542" s="17">
        <f t="shared" si="124"/>
        <v>2.2859999999999998E-2</v>
      </c>
      <c r="X542" s="14">
        <f t="shared" si="128"/>
        <v>2</v>
      </c>
      <c r="Y542" s="14">
        <f t="shared" si="129"/>
        <v>0</v>
      </c>
      <c r="Z542" s="14">
        <f t="shared" si="130"/>
        <v>0</v>
      </c>
      <c r="AA542" s="14" t="str">
        <f t="shared" si="131"/>
        <v>DefExt</v>
      </c>
      <c r="AB542" s="14">
        <f t="shared" si="125"/>
        <v>2328</v>
      </c>
      <c r="AC542" s="14" t="str">
        <f t="shared" si="132"/>
        <v>[x]</v>
      </c>
      <c r="AD542" s="14" t="str">
        <f t="shared" si="133"/>
        <v>[x]</v>
      </c>
      <c r="AE542" s="14" t="str">
        <f t="shared" si="134"/>
        <v>[x]</v>
      </c>
      <c r="AF542" s="27" t="str">
        <f t="shared" si="135"/>
        <v>[x]</v>
      </c>
      <c r="AG542" s="27">
        <f t="shared" si="136"/>
        <v>18</v>
      </c>
    </row>
    <row r="543" spans="16:33" ht="16.5" x14ac:dyDescent="0.2">
      <c r="P543" s="13">
        <v>487</v>
      </c>
      <c r="Q543" s="14">
        <f t="shared" si="121"/>
        <v>26</v>
      </c>
      <c r="R543" s="14">
        <f t="shared" si="122"/>
        <v>1606032</v>
      </c>
      <c r="S543" s="14" t="str">
        <f t="shared" si="126"/>
        <v>神器5碎片6等级10</v>
      </c>
      <c r="T543" s="29" t="s">
        <v>520</v>
      </c>
      <c r="U543" s="14">
        <f t="shared" si="123"/>
        <v>10</v>
      </c>
      <c r="V543" s="36">
        <f t="shared" si="127"/>
        <v>0.85000000000000009</v>
      </c>
      <c r="W543" s="17">
        <f t="shared" si="124"/>
        <v>2.5500000000000002E-2</v>
      </c>
      <c r="X543" s="14">
        <f t="shared" si="128"/>
        <v>2</v>
      </c>
      <c r="Y543" s="14">
        <f t="shared" si="129"/>
        <v>0</v>
      </c>
      <c r="Z543" s="14">
        <f t="shared" si="130"/>
        <v>0</v>
      </c>
      <c r="AA543" s="14" t="str">
        <f t="shared" si="131"/>
        <v>DefExt</v>
      </c>
      <c r="AB543" s="14">
        <f t="shared" si="125"/>
        <v>2596</v>
      </c>
      <c r="AC543" s="14" t="str">
        <f t="shared" si="132"/>
        <v>[x]</v>
      </c>
      <c r="AD543" s="14" t="str">
        <f t="shared" si="133"/>
        <v>[x]</v>
      </c>
      <c r="AE543" s="14" t="str">
        <f t="shared" si="134"/>
        <v>[x]</v>
      </c>
      <c r="AF543" s="27" t="str">
        <f t="shared" si="135"/>
        <v>[x]</v>
      </c>
      <c r="AG543" s="27">
        <f t="shared" si="136"/>
        <v>20</v>
      </c>
    </row>
    <row r="544" spans="16:33" ht="16.5" x14ac:dyDescent="0.2">
      <c r="P544" s="13">
        <v>488</v>
      </c>
      <c r="Q544" s="14">
        <f t="shared" si="121"/>
        <v>26</v>
      </c>
      <c r="R544" s="14">
        <f t="shared" si="122"/>
        <v>1606032</v>
      </c>
      <c r="S544" s="14" t="str">
        <f t="shared" si="126"/>
        <v>神器5碎片6等级11</v>
      </c>
      <c r="T544" s="29" t="s">
        <v>520</v>
      </c>
      <c r="U544" s="14">
        <f t="shared" si="123"/>
        <v>11</v>
      </c>
      <c r="V544" s="36">
        <f t="shared" si="127"/>
        <v>0.94200000000000006</v>
      </c>
      <c r="W544" s="17">
        <f t="shared" si="124"/>
        <v>2.826E-2</v>
      </c>
      <c r="X544" s="14">
        <f t="shared" si="128"/>
        <v>2</v>
      </c>
      <c r="Y544" s="14">
        <f t="shared" si="129"/>
        <v>0</v>
      </c>
      <c r="Z544" s="14">
        <f t="shared" si="130"/>
        <v>0</v>
      </c>
      <c r="AA544" s="14" t="str">
        <f t="shared" si="131"/>
        <v>DefExt</v>
      </c>
      <c r="AB544" s="14">
        <f t="shared" si="125"/>
        <v>2878</v>
      </c>
      <c r="AC544" s="14" t="str">
        <f t="shared" si="132"/>
        <v>[x]</v>
      </c>
      <c r="AD544" s="14" t="str">
        <f t="shared" si="133"/>
        <v>[x]</v>
      </c>
      <c r="AE544" s="14" t="str">
        <f t="shared" si="134"/>
        <v>[x]</v>
      </c>
      <c r="AF544" s="27" t="str">
        <f t="shared" si="135"/>
        <v>[x]</v>
      </c>
      <c r="AG544" s="27">
        <f t="shared" si="136"/>
        <v>22</v>
      </c>
    </row>
    <row r="545" spans="16:33" ht="16.5" x14ac:dyDescent="0.2">
      <c r="P545" s="13">
        <v>489</v>
      </c>
      <c r="Q545" s="14">
        <f t="shared" si="121"/>
        <v>26</v>
      </c>
      <c r="R545" s="14">
        <f t="shared" si="122"/>
        <v>1606032</v>
      </c>
      <c r="S545" s="14" t="str">
        <f t="shared" si="126"/>
        <v>神器5碎片6等级12</v>
      </c>
      <c r="T545" s="29" t="s">
        <v>520</v>
      </c>
      <c r="U545" s="14">
        <f t="shared" si="123"/>
        <v>12</v>
      </c>
      <c r="V545" s="36">
        <f t="shared" si="127"/>
        <v>1.0380000000000003</v>
      </c>
      <c r="W545" s="17">
        <f t="shared" si="124"/>
        <v>3.1140000000000008E-2</v>
      </c>
      <c r="X545" s="14">
        <f t="shared" si="128"/>
        <v>2</v>
      </c>
      <c r="Y545" s="14">
        <f t="shared" si="129"/>
        <v>0</v>
      </c>
      <c r="Z545" s="14">
        <f t="shared" si="130"/>
        <v>0</v>
      </c>
      <c r="AA545" s="14" t="str">
        <f t="shared" si="131"/>
        <v>DefExt</v>
      </c>
      <c r="AB545" s="14">
        <f t="shared" si="125"/>
        <v>3171</v>
      </c>
      <c r="AC545" s="14" t="str">
        <f t="shared" si="132"/>
        <v>[x]</v>
      </c>
      <c r="AD545" s="14" t="str">
        <f t="shared" si="133"/>
        <v>[x]</v>
      </c>
      <c r="AE545" s="14" t="str">
        <f t="shared" si="134"/>
        <v>[x]</v>
      </c>
      <c r="AF545" s="27" t="str">
        <f t="shared" si="135"/>
        <v>[x]</v>
      </c>
      <c r="AG545" s="27">
        <f t="shared" si="136"/>
        <v>24</v>
      </c>
    </row>
    <row r="546" spans="16:33" ht="16.5" x14ac:dyDescent="0.2">
      <c r="P546" s="13">
        <v>490</v>
      </c>
      <c r="Q546" s="14">
        <f t="shared" si="121"/>
        <v>26</v>
      </c>
      <c r="R546" s="14">
        <f t="shared" si="122"/>
        <v>1606032</v>
      </c>
      <c r="S546" s="14" t="str">
        <f t="shared" si="126"/>
        <v>神器5碎片6等级13</v>
      </c>
      <c r="T546" s="29" t="s">
        <v>520</v>
      </c>
      <c r="U546" s="14">
        <f t="shared" si="123"/>
        <v>13</v>
      </c>
      <c r="V546" s="36">
        <f t="shared" si="127"/>
        <v>1.1380000000000001</v>
      </c>
      <c r="W546" s="17">
        <f t="shared" si="124"/>
        <v>3.4140000000000004E-2</v>
      </c>
      <c r="X546" s="14">
        <f t="shared" si="128"/>
        <v>2</v>
      </c>
      <c r="Y546" s="14">
        <f t="shared" si="129"/>
        <v>0</v>
      </c>
      <c r="Z546" s="14">
        <f t="shared" si="130"/>
        <v>0</v>
      </c>
      <c r="AA546" s="14" t="str">
        <f t="shared" si="131"/>
        <v>DefExt</v>
      </c>
      <c r="AB546" s="14">
        <f t="shared" si="125"/>
        <v>3476</v>
      </c>
      <c r="AC546" s="14" t="str">
        <f t="shared" si="132"/>
        <v>[x]</v>
      </c>
      <c r="AD546" s="14" t="str">
        <f t="shared" si="133"/>
        <v>[x]</v>
      </c>
      <c r="AE546" s="14" t="str">
        <f t="shared" si="134"/>
        <v>[x]</v>
      </c>
      <c r="AF546" s="27" t="str">
        <f t="shared" si="135"/>
        <v>[x]</v>
      </c>
      <c r="AG546" s="27">
        <f t="shared" si="136"/>
        <v>26</v>
      </c>
    </row>
    <row r="547" spans="16:33" ht="16.5" x14ac:dyDescent="0.2">
      <c r="P547" s="13">
        <v>491</v>
      </c>
      <c r="Q547" s="14">
        <f t="shared" si="121"/>
        <v>26</v>
      </c>
      <c r="R547" s="14">
        <f t="shared" si="122"/>
        <v>1606032</v>
      </c>
      <c r="S547" s="14" t="str">
        <f t="shared" si="126"/>
        <v>神器5碎片6等级14</v>
      </c>
      <c r="T547" s="29" t="s">
        <v>520</v>
      </c>
      <c r="U547" s="14">
        <f t="shared" si="123"/>
        <v>14</v>
      </c>
      <c r="V547" s="36">
        <f t="shared" si="127"/>
        <v>1.242</v>
      </c>
      <c r="W547" s="17">
        <f t="shared" si="124"/>
        <v>3.7260000000000001E-2</v>
      </c>
      <c r="X547" s="14">
        <f t="shared" si="128"/>
        <v>2</v>
      </c>
      <c r="Y547" s="14">
        <f t="shared" si="129"/>
        <v>0</v>
      </c>
      <c r="Z547" s="14">
        <f t="shared" si="130"/>
        <v>0</v>
      </c>
      <c r="AA547" s="14" t="str">
        <f t="shared" si="131"/>
        <v>DefExt</v>
      </c>
      <c r="AB547" s="14">
        <f t="shared" si="125"/>
        <v>3794</v>
      </c>
      <c r="AC547" s="14" t="str">
        <f t="shared" si="132"/>
        <v>[x]</v>
      </c>
      <c r="AD547" s="14" t="str">
        <f t="shared" si="133"/>
        <v>[x]</v>
      </c>
      <c r="AE547" s="14" t="str">
        <f t="shared" si="134"/>
        <v>[x]</v>
      </c>
      <c r="AF547" s="27" t="str">
        <f t="shared" si="135"/>
        <v>[x]</v>
      </c>
      <c r="AG547" s="27">
        <f t="shared" si="136"/>
        <v>28</v>
      </c>
    </row>
    <row r="548" spans="16:33" ht="16.5" x14ac:dyDescent="0.2">
      <c r="P548" s="13">
        <v>492</v>
      </c>
      <c r="Q548" s="14">
        <f t="shared" si="121"/>
        <v>26</v>
      </c>
      <c r="R548" s="14">
        <f t="shared" si="122"/>
        <v>1606032</v>
      </c>
      <c r="S548" s="14" t="str">
        <f t="shared" si="126"/>
        <v>神器5碎片6等级15</v>
      </c>
      <c r="T548" s="29" t="s">
        <v>520</v>
      </c>
      <c r="U548" s="14">
        <f t="shared" si="123"/>
        <v>15</v>
      </c>
      <c r="V548" s="36">
        <f t="shared" si="127"/>
        <v>1.35</v>
      </c>
      <c r="W548" s="17">
        <f t="shared" si="124"/>
        <v>4.0500000000000001E-2</v>
      </c>
      <c r="X548" s="14">
        <f t="shared" si="128"/>
        <v>2</v>
      </c>
      <c r="Y548" s="14">
        <f t="shared" si="129"/>
        <v>0</v>
      </c>
      <c r="Z548" s="14">
        <f t="shared" si="130"/>
        <v>0</v>
      </c>
      <c r="AA548" s="14" t="str">
        <f t="shared" si="131"/>
        <v>DefExt</v>
      </c>
      <c r="AB548" s="14">
        <f t="shared" si="125"/>
        <v>4124</v>
      </c>
      <c r="AC548" s="14" t="str">
        <f t="shared" si="132"/>
        <v>[x]</v>
      </c>
      <c r="AD548" s="14" t="str">
        <f t="shared" si="133"/>
        <v>[x]</v>
      </c>
      <c r="AE548" s="14" t="str">
        <f t="shared" si="134"/>
        <v>[x]</v>
      </c>
      <c r="AF548" s="27" t="str">
        <f t="shared" si="135"/>
        <v>[x]</v>
      </c>
      <c r="AG548" s="27">
        <f t="shared" si="136"/>
        <v>30</v>
      </c>
    </row>
    <row r="549" spans="16:33" ht="16.5" x14ac:dyDescent="0.2">
      <c r="P549" s="13">
        <v>493</v>
      </c>
      <c r="Q549" s="14">
        <f t="shared" si="121"/>
        <v>26</v>
      </c>
      <c r="R549" s="14">
        <f t="shared" si="122"/>
        <v>1606032</v>
      </c>
      <c r="S549" s="14" t="str">
        <f t="shared" si="126"/>
        <v>神器5碎片6等级16</v>
      </c>
      <c r="T549" s="29" t="s">
        <v>520</v>
      </c>
      <c r="U549" s="14">
        <f t="shared" si="123"/>
        <v>16</v>
      </c>
      <c r="V549" s="36">
        <f t="shared" si="127"/>
        <v>1.4620000000000002</v>
      </c>
      <c r="W549" s="17">
        <f t="shared" si="124"/>
        <v>4.3860000000000003E-2</v>
      </c>
      <c r="X549" s="14">
        <f t="shared" si="128"/>
        <v>2</v>
      </c>
      <c r="Y549" s="14">
        <f t="shared" si="129"/>
        <v>0</v>
      </c>
      <c r="Z549" s="14">
        <f t="shared" si="130"/>
        <v>0</v>
      </c>
      <c r="AA549" s="14" t="str">
        <f t="shared" si="131"/>
        <v>DefExt</v>
      </c>
      <c r="AB549" s="14">
        <f t="shared" si="125"/>
        <v>4466</v>
      </c>
      <c r="AC549" s="14" t="str">
        <f t="shared" si="132"/>
        <v>[x]</v>
      </c>
      <c r="AD549" s="14" t="str">
        <f t="shared" si="133"/>
        <v>[x]</v>
      </c>
      <c r="AE549" s="14" t="str">
        <f t="shared" si="134"/>
        <v>[x]</v>
      </c>
      <c r="AF549" s="27" t="str">
        <f t="shared" si="135"/>
        <v>[x]</v>
      </c>
      <c r="AG549" s="27">
        <f t="shared" si="136"/>
        <v>32</v>
      </c>
    </row>
    <row r="550" spans="16:33" ht="16.5" x14ac:dyDescent="0.2">
      <c r="P550" s="13">
        <v>494</v>
      </c>
      <c r="Q550" s="14">
        <f t="shared" si="121"/>
        <v>26</v>
      </c>
      <c r="R550" s="14">
        <f t="shared" si="122"/>
        <v>1606032</v>
      </c>
      <c r="S550" s="14" t="str">
        <f t="shared" si="126"/>
        <v>神器5碎片6等级17</v>
      </c>
      <c r="T550" s="29" t="s">
        <v>520</v>
      </c>
      <c r="U550" s="14">
        <f t="shared" si="123"/>
        <v>17</v>
      </c>
      <c r="V550" s="36">
        <f t="shared" si="127"/>
        <v>1.5779999999999998</v>
      </c>
      <c r="W550" s="17">
        <f t="shared" si="124"/>
        <v>4.7339999999999993E-2</v>
      </c>
      <c r="X550" s="14">
        <f t="shared" si="128"/>
        <v>2</v>
      </c>
      <c r="Y550" s="14">
        <f t="shared" si="129"/>
        <v>0</v>
      </c>
      <c r="Z550" s="14">
        <f t="shared" si="130"/>
        <v>0</v>
      </c>
      <c r="AA550" s="14" t="str">
        <f t="shared" si="131"/>
        <v>DefExt</v>
      </c>
      <c r="AB550" s="14">
        <f t="shared" si="125"/>
        <v>4821</v>
      </c>
      <c r="AC550" s="14" t="str">
        <f t="shared" si="132"/>
        <v>[x]</v>
      </c>
      <c r="AD550" s="14" t="str">
        <f t="shared" si="133"/>
        <v>[x]</v>
      </c>
      <c r="AE550" s="14" t="str">
        <f t="shared" si="134"/>
        <v>[x]</v>
      </c>
      <c r="AF550" s="27" t="str">
        <f t="shared" si="135"/>
        <v>[x]</v>
      </c>
      <c r="AG550" s="27">
        <f t="shared" si="136"/>
        <v>34</v>
      </c>
    </row>
    <row r="551" spans="16:33" ht="16.5" x14ac:dyDescent="0.2">
      <c r="P551" s="13">
        <v>495</v>
      </c>
      <c r="Q551" s="14">
        <f t="shared" si="121"/>
        <v>26</v>
      </c>
      <c r="R551" s="14">
        <f t="shared" si="122"/>
        <v>1606032</v>
      </c>
      <c r="S551" s="14" t="str">
        <f t="shared" si="126"/>
        <v>神器5碎片6等级18</v>
      </c>
      <c r="T551" s="29" t="s">
        <v>520</v>
      </c>
      <c r="U551" s="14">
        <f t="shared" si="123"/>
        <v>18</v>
      </c>
      <c r="V551" s="36">
        <f t="shared" si="127"/>
        <v>1.698</v>
      </c>
      <c r="W551" s="17">
        <f t="shared" si="124"/>
        <v>5.0939999999999999E-2</v>
      </c>
      <c r="X551" s="14">
        <f t="shared" si="128"/>
        <v>2</v>
      </c>
      <c r="Y551" s="14">
        <f t="shared" si="129"/>
        <v>0</v>
      </c>
      <c r="Z551" s="14">
        <f t="shared" si="130"/>
        <v>0</v>
      </c>
      <c r="AA551" s="14" t="str">
        <f t="shared" si="131"/>
        <v>DefExt</v>
      </c>
      <c r="AB551" s="14">
        <f t="shared" si="125"/>
        <v>5187</v>
      </c>
      <c r="AC551" s="14" t="str">
        <f t="shared" si="132"/>
        <v>[x]</v>
      </c>
      <c r="AD551" s="14" t="str">
        <f t="shared" si="133"/>
        <v>[x]</v>
      </c>
      <c r="AE551" s="14" t="str">
        <f t="shared" si="134"/>
        <v>[x]</v>
      </c>
      <c r="AF551" s="27" t="str">
        <f t="shared" si="135"/>
        <v>[x]</v>
      </c>
      <c r="AG551" s="27">
        <f t="shared" si="136"/>
        <v>36</v>
      </c>
    </row>
    <row r="552" spans="16:33" ht="16.5" x14ac:dyDescent="0.2">
      <c r="P552" s="13">
        <v>496</v>
      </c>
      <c r="Q552" s="14">
        <f t="shared" si="121"/>
        <v>26</v>
      </c>
      <c r="R552" s="14">
        <f t="shared" si="122"/>
        <v>1606032</v>
      </c>
      <c r="S552" s="14" t="str">
        <f t="shared" si="126"/>
        <v>神器5碎片6等级19</v>
      </c>
      <c r="T552" s="29" t="s">
        <v>520</v>
      </c>
      <c r="U552" s="14">
        <f t="shared" si="123"/>
        <v>19</v>
      </c>
      <c r="V552" s="36">
        <f t="shared" si="127"/>
        <v>1.8220000000000001</v>
      </c>
      <c r="W552" s="17">
        <f t="shared" si="124"/>
        <v>5.466E-2</v>
      </c>
      <c r="X552" s="14">
        <f t="shared" si="128"/>
        <v>2</v>
      </c>
      <c r="Y552" s="14">
        <f t="shared" si="129"/>
        <v>0</v>
      </c>
      <c r="Z552" s="14">
        <f t="shared" si="130"/>
        <v>0</v>
      </c>
      <c r="AA552" s="14" t="str">
        <f t="shared" si="131"/>
        <v>DefExt</v>
      </c>
      <c r="AB552" s="14">
        <f t="shared" si="125"/>
        <v>5566</v>
      </c>
      <c r="AC552" s="14" t="str">
        <f t="shared" si="132"/>
        <v>[x]</v>
      </c>
      <c r="AD552" s="14" t="str">
        <f t="shared" si="133"/>
        <v>[x]</v>
      </c>
      <c r="AE552" s="14" t="str">
        <f t="shared" si="134"/>
        <v>[x]</v>
      </c>
      <c r="AF552" s="27" t="str">
        <f t="shared" si="135"/>
        <v>[x]</v>
      </c>
      <c r="AG552" s="27">
        <f t="shared" si="136"/>
        <v>38</v>
      </c>
    </row>
    <row r="553" spans="16:33" ht="16.5" x14ac:dyDescent="0.2">
      <c r="P553" s="13">
        <v>497</v>
      </c>
      <c r="Q553" s="14">
        <f t="shared" si="121"/>
        <v>26</v>
      </c>
      <c r="R553" s="14">
        <f t="shared" si="122"/>
        <v>1606032</v>
      </c>
      <c r="S553" s="14" t="str">
        <f t="shared" si="126"/>
        <v>神器5碎片6等级20</v>
      </c>
      <c r="T553" s="29" t="s">
        <v>520</v>
      </c>
      <c r="U553" s="14">
        <f t="shared" si="123"/>
        <v>20</v>
      </c>
      <c r="V553" s="36">
        <f t="shared" si="127"/>
        <v>1.95</v>
      </c>
      <c r="W553" s="17">
        <f t="shared" si="124"/>
        <v>5.8499999999999996E-2</v>
      </c>
      <c r="X553" s="14">
        <f t="shared" si="128"/>
        <v>2</v>
      </c>
      <c r="Y553" s="14">
        <f t="shared" si="129"/>
        <v>0</v>
      </c>
      <c r="Z553" s="14">
        <f t="shared" si="130"/>
        <v>0</v>
      </c>
      <c r="AA553" s="14" t="str">
        <f t="shared" si="131"/>
        <v>DefExt</v>
      </c>
      <c r="AB553" s="14">
        <f t="shared" si="125"/>
        <v>5957</v>
      </c>
      <c r="AC553" s="14" t="str">
        <f t="shared" si="132"/>
        <v>[x]</v>
      </c>
      <c r="AD553" s="14" t="str">
        <f t="shared" si="133"/>
        <v>[x]</v>
      </c>
      <c r="AE553" s="14" t="str">
        <f t="shared" si="134"/>
        <v>[x]</v>
      </c>
      <c r="AF553" s="27" t="str">
        <f t="shared" si="135"/>
        <v>[x]</v>
      </c>
      <c r="AG553" s="27">
        <f t="shared" si="136"/>
        <v>40</v>
      </c>
    </row>
    <row r="554" spans="16:33" ht="16.5" x14ac:dyDescent="0.2">
      <c r="P554" s="13">
        <v>498</v>
      </c>
      <c r="Q554" s="14">
        <f t="shared" si="121"/>
        <v>26</v>
      </c>
      <c r="R554" s="14">
        <f t="shared" si="122"/>
        <v>1606032</v>
      </c>
      <c r="S554" s="14" t="str">
        <f t="shared" si="126"/>
        <v>神器5碎片6等级21</v>
      </c>
      <c r="T554" s="29" t="s">
        <v>520</v>
      </c>
      <c r="U554" s="14">
        <f t="shared" si="123"/>
        <v>21</v>
      </c>
      <c r="V554" s="36">
        <f t="shared" si="127"/>
        <v>2.0819999999999999</v>
      </c>
      <c r="W554" s="17">
        <f t="shared" si="124"/>
        <v>6.2459999999999995E-2</v>
      </c>
      <c r="X554" s="14">
        <f t="shared" si="128"/>
        <v>2</v>
      </c>
      <c r="Y554" s="14">
        <f t="shared" si="129"/>
        <v>0</v>
      </c>
      <c r="Z554" s="14">
        <f t="shared" si="130"/>
        <v>0</v>
      </c>
      <c r="AA554" s="14" t="str">
        <f t="shared" si="131"/>
        <v>DefExt</v>
      </c>
      <c r="AB554" s="14">
        <f t="shared" si="125"/>
        <v>6360</v>
      </c>
      <c r="AC554" s="14" t="str">
        <f t="shared" si="132"/>
        <v>[x]</v>
      </c>
      <c r="AD554" s="14" t="str">
        <f t="shared" si="133"/>
        <v>[x]</v>
      </c>
      <c r="AE554" s="14" t="str">
        <f t="shared" si="134"/>
        <v>[x]</v>
      </c>
      <c r="AF554" s="27" t="str">
        <f t="shared" si="135"/>
        <v>[x]</v>
      </c>
      <c r="AG554" s="27">
        <f t="shared" si="136"/>
        <v>42</v>
      </c>
    </row>
    <row r="555" spans="16:33" ht="16.5" x14ac:dyDescent="0.2">
      <c r="P555" s="13">
        <v>499</v>
      </c>
      <c r="Q555" s="14">
        <f t="shared" si="121"/>
        <v>27</v>
      </c>
      <c r="R555" s="14">
        <f t="shared" si="122"/>
        <v>1606035</v>
      </c>
      <c r="S555" s="14" t="str">
        <f t="shared" si="126"/>
        <v>神器6碎片1等级1</v>
      </c>
      <c r="T555" s="29" t="s">
        <v>520</v>
      </c>
      <c r="U555" s="14">
        <f t="shared" si="123"/>
        <v>1</v>
      </c>
      <c r="V555" s="36">
        <f t="shared" si="127"/>
        <v>0.20200000000000001</v>
      </c>
      <c r="W555" s="17">
        <f t="shared" si="124"/>
        <v>4.0400000000000002E-3</v>
      </c>
      <c r="X555" s="14">
        <f t="shared" si="128"/>
        <v>1</v>
      </c>
      <c r="Y555" s="14">
        <f t="shared" si="129"/>
        <v>2</v>
      </c>
      <c r="Z555" s="14">
        <f t="shared" si="130"/>
        <v>0</v>
      </c>
      <c r="AA555" s="14" t="str">
        <f t="shared" si="131"/>
        <v>AtkExt</v>
      </c>
      <c r="AB555" s="14">
        <f t="shared" si="125"/>
        <v>548</v>
      </c>
      <c r="AC555" s="14" t="str">
        <f t="shared" si="132"/>
        <v>DefExt</v>
      </c>
      <c r="AD555" s="14">
        <f t="shared" si="133"/>
        <v>137</v>
      </c>
      <c r="AE555" s="14" t="str">
        <f t="shared" si="134"/>
        <v>[x]</v>
      </c>
      <c r="AF555" s="27" t="str">
        <f t="shared" si="135"/>
        <v>[x]</v>
      </c>
      <c r="AG555" s="27" t="str">
        <f t="shared" si="136"/>
        <v>[x]</v>
      </c>
    </row>
    <row r="556" spans="16:33" ht="16.5" x14ac:dyDescent="0.2">
      <c r="P556" s="13">
        <v>500</v>
      </c>
      <c r="Q556" s="14">
        <f t="shared" si="121"/>
        <v>27</v>
      </c>
      <c r="R556" s="14">
        <f t="shared" si="122"/>
        <v>1606035</v>
      </c>
      <c r="S556" s="14" t="str">
        <f t="shared" si="126"/>
        <v>神器6碎片1等级2</v>
      </c>
      <c r="T556" s="29" t="s">
        <v>520</v>
      </c>
      <c r="U556" s="14">
        <f t="shared" si="123"/>
        <v>2</v>
      </c>
      <c r="V556" s="36">
        <f t="shared" si="127"/>
        <v>0.25800000000000001</v>
      </c>
      <c r="W556" s="17">
        <f t="shared" si="124"/>
        <v>5.1600000000000005E-3</v>
      </c>
      <c r="X556" s="14">
        <f t="shared" si="128"/>
        <v>1</v>
      </c>
      <c r="Y556" s="14">
        <f t="shared" si="129"/>
        <v>2</v>
      </c>
      <c r="Z556" s="14">
        <f t="shared" si="130"/>
        <v>0</v>
      </c>
      <c r="AA556" s="14" t="str">
        <f t="shared" si="131"/>
        <v>AtkExt</v>
      </c>
      <c r="AB556" s="14">
        <f t="shared" si="125"/>
        <v>701</v>
      </c>
      <c r="AC556" s="14" t="str">
        <f t="shared" si="132"/>
        <v>DefExt</v>
      </c>
      <c r="AD556" s="14">
        <f t="shared" si="133"/>
        <v>175</v>
      </c>
      <c r="AE556" s="14" t="str">
        <f t="shared" si="134"/>
        <v>[x]</v>
      </c>
      <c r="AF556" s="27" t="str">
        <f t="shared" si="135"/>
        <v>[x]</v>
      </c>
      <c r="AG556" s="27" t="str">
        <f t="shared" si="136"/>
        <v>[x]</v>
      </c>
    </row>
    <row r="557" spans="16:33" ht="16.5" x14ac:dyDescent="0.2">
      <c r="P557" s="13">
        <v>501</v>
      </c>
      <c r="Q557" s="14">
        <f t="shared" si="121"/>
        <v>27</v>
      </c>
      <c r="R557" s="14">
        <f t="shared" si="122"/>
        <v>1606035</v>
      </c>
      <c r="S557" s="14" t="str">
        <f t="shared" si="126"/>
        <v>神器6碎片1等级3</v>
      </c>
      <c r="T557" s="29" t="s">
        <v>520</v>
      </c>
      <c r="U557" s="14">
        <f t="shared" si="123"/>
        <v>3</v>
      </c>
      <c r="V557" s="36">
        <f t="shared" si="127"/>
        <v>0.31800000000000006</v>
      </c>
      <c r="W557" s="17">
        <f t="shared" si="124"/>
        <v>6.3600000000000011E-3</v>
      </c>
      <c r="X557" s="14">
        <f t="shared" si="128"/>
        <v>1</v>
      </c>
      <c r="Y557" s="14">
        <f t="shared" si="129"/>
        <v>2</v>
      </c>
      <c r="Z557" s="14">
        <f t="shared" si="130"/>
        <v>0</v>
      </c>
      <c r="AA557" s="14" t="str">
        <f t="shared" si="131"/>
        <v>AtkExt</v>
      </c>
      <c r="AB557" s="14">
        <f t="shared" si="125"/>
        <v>864</v>
      </c>
      <c r="AC557" s="14" t="str">
        <f t="shared" si="132"/>
        <v>DefExt</v>
      </c>
      <c r="AD557" s="14">
        <f t="shared" si="133"/>
        <v>215</v>
      </c>
      <c r="AE557" s="14" t="str">
        <f t="shared" si="134"/>
        <v>[x]</v>
      </c>
      <c r="AF557" s="27" t="str">
        <f t="shared" si="135"/>
        <v>[x]</v>
      </c>
      <c r="AG557" s="27" t="str">
        <f t="shared" si="136"/>
        <v>[x]</v>
      </c>
    </row>
    <row r="558" spans="16:33" ht="16.5" x14ac:dyDescent="0.2">
      <c r="P558" s="13">
        <v>502</v>
      </c>
      <c r="Q558" s="14">
        <f t="shared" si="121"/>
        <v>27</v>
      </c>
      <c r="R558" s="14">
        <f t="shared" si="122"/>
        <v>1606035</v>
      </c>
      <c r="S558" s="14" t="str">
        <f t="shared" si="126"/>
        <v>神器6碎片1等级4</v>
      </c>
      <c r="T558" s="29" t="s">
        <v>520</v>
      </c>
      <c r="U558" s="14">
        <f t="shared" si="123"/>
        <v>4</v>
      </c>
      <c r="V558" s="36">
        <f t="shared" si="127"/>
        <v>0.38200000000000001</v>
      </c>
      <c r="W558" s="17">
        <f t="shared" si="124"/>
        <v>7.6400000000000001E-3</v>
      </c>
      <c r="X558" s="14">
        <f t="shared" si="128"/>
        <v>1</v>
      </c>
      <c r="Y558" s="14">
        <f t="shared" si="129"/>
        <v>2</v>
      </c>
      <c r="Z558" s="14">
        <f t="shared" si="130"/>
        <v>0</v>
      </c>
      <c r="AA558" s="14" t="str">
        <f t="shared" si="131"/>
        <v>AtkExt</v>
      </c>
      <c r="AB558" s="14">
        <f t="shared" si="125"/>
        <v>1037</v>
      </c>
      <c r="AC558" s="14" t="str">
        <f t="shared" si="132"/>
        <v>DefExt</v>
      </c>
      <c r="AD558" s="14">
        <f t="shared" si="133"/>
        <v>259</v>
      </c>
      <c r="AE558" s="14" t="str">
        <f t="shared" si="134"/>
        <v>[x]</v>
      </c>
      <c r="AF558" s="27" t="str">
        <f t="shared" si="135"/>
        <v>[x]</v>
      </c>
      <c r="AG558" s="27" t="str">
        <f t="shared" si="136"/>
        <v>[x]</v>
      </c>
    </row>
    <row r="559" spans="16:33" ht="16.5" x14ac:dyDescent="0.2">
      <c r="P559" s="13">
        <v>503</v>
      </c>
      <c r="Q559" s="14">
        <f t="shared" si="121"/>
        <v>27</v>
      </c>
      <c r="R559" s="14">
        <f t="shared" si="122"/>
        <v>1606035</v>
      </c>
      <c r="S559" s="14" t="str">
        <f t="shared" si="126"/>
        <v>神器6碎片1等级5</v>
      </c>
      <c r="T559" s="29" t="s">
        <v>520</v>
      </c>
      <c r="U559" s="14">
        <f t="shared" si="123"/>
        <v>5</v>
      </c>
      <c r="V559" s="36">
        <f t="shared" si="127"/>
        <v>0.45</v>
      </c>
      <c r="W559" s="17">
        <f t="shared" si="124"/>
        <v>9.0000000000000011E-3</v>
      </c>
      <c r="X559" s="14">
        <f t="shared" si="128"/>
        <v>1</v>
      </c>
      <c r="Y559" s="14">
        <f t="shared" si="129"/>
        <v>2</v>
      </c>
      <c r="Z559" s="14">
        <f t="shared" si="130"/>
        <v>0</v>
      </c>
      <c r="AA559" s="14" t="str">
        <f t="shared" si="131"/>
        <v>AtkExt</v>
      </c>
      <c r="AB559" s="14">
        <f t="shared" si="125"/>
        <v>1222</v>
      </c>
      <c r="AC559" s="14" t="str">
        <f t="shared" si="132"/>
        <v>DefExt</v>
      </c>
      <c r="AD559" s="14">
        <f t="shared" si="133"/>
        <v>305</v>
      </c>
      <c r="AE559" s="14" t="str">
        <f t="shared" si="134"/>
        <v>[x]</v>
      </c>
      <c r="AF559" s="27" t="str">
        <f t="shared" si="135"/>
        <v>[x]</v>
      </c>
      <c r="AG559" s="27" t="str">
        <f t="shared" si="136"/>
        <v>[x]</v>
      </c>
    </row>
    <row r="560" spans="16:33" ht="16.5" x14ac:dyDescent="0.2">
      <c r="P560" s="13">
        <v>504</v>
      </c>
      <c r="Q560" s="14">
        <f t="shared" si="121"/>
        <v>27</v>
      </c>
      <c r="R560" s="14">
        <f t="shared" si="122"/>
        <v>1606035</v>
      </c>
      <c r="S560" s="14" t="str">
        <f t="shared" si="126"/>
        <v>神器6碎片1等级6</v>
      </c>
      <c r="T560" s="29" t="s">
        <v>520</v>
      </c>
      <c r="U560" s="14">
        <f t="shared" si="123"/>
        <v>6</v>
      </c>
      <c r="V560" s="36">
        <f t="shared" si="127"/>
        <v>0.52200000000000002</v>
      </c>
      <c r="W560" s="17">
        <f t="shared" si="124"/>
        <v>1.0440000000000001E-2</v>
      </c>
      <c r="X560" s="14">
        <f t="shared" si="128"/>
        <v>1</v>
      </c>
      <c r="Y560" s="14">
        <f t="shared" si="129"/>
        <v>2</v>
      </c>
      <c r="Z560" s="14">
        <f t="shared" si="130"/>
        <v>0</v>
      </c>
      <c r="AA560" s="14" t="str">
        <f t="shared" si="131"/>
        <v>AtkExt</v>
      </c>
      <c r="AB560" s="14">
        <f t="shared" si="125"/>
        <v>1418</v>
      </c>
      <c r="AC560" s="14" t="str">
        <f t="shared" si="132"/>
        <v>DefExt</v>
      </c>
      <c r="AD560" s="14">
        <f t="shared" si="133"/>
        <v>354</v>
      </c>
      <c r="AE560" s="14" t="str">
        <f t="shared" si="134"/>
        <v>[x]</v>
      </c>
      <c r="AF560" s="27" t="str">
        <f t="shared" si="135"/>
        <v>[x]</v>
      </c>
      <c r="AG560" s="27" t="str">
        <f t="shared" si="136"/>
        <v>[x]</v>
      </c>
    </row>
    <row r="561" spans="16:33" ht="16.5" x14ac:dyDescent="0.2">
      <c r="P561" s="13">
        <v>505</v>
      </c>
      <c r="Q561" s="14">
        <f t="shared" si="121"/>
        <v>27</v>
      </c>
      <c r="R561" s="14">
        <f t="shared" si="122"/>
        <v>1606035</v>
      </c>
      <c r="S561" s="14" t="str">
        <f t="shared" si="126"/>
        <v>神器6碎片1等级7</v>
      </c>
      <c r="T561" s="29" t="s">
        <v>520</v>
      </c>
      <c r="U561" s="14">
        <f t="shared" si="123"/>
        <v>7</v>
      </c>
      <c r="V561" s="36">
        <f t="shared" si="127"/>
        <v>0.59799999999999998</v>
      </c>
      <c r="W561" s="17">
        <f t="shared" si="124"/>
        <v>1.196E-2</v>
      </c>
      <c r="X561" s="14">
        <f t="shared" si="128"/>
        <v>1</v>
      </c>
      <c r="Y561" s="14">
        <f t="shared" si="129"/>
        <v>2</v>
      </c>
      <c r="Z561" s="14">
        <f t="shared" si="130"/>
        <v>0</v>
      </c>
      <c r="AA561" s="14" t="str">
        <f t="shared" si="131"/>
        <v>AtkExt</v>
      </c>
      <c r="AB561" s="14">
        <f t="shared" si="125"/>
        <v>1624</v>
      </c>
      <c r="AC561" s="14" t="str">
        <f t="shared" si="132"/>
        <v>DefExt</v>
      </c>
      <c r="AD561" s="14">
        <f t="shared" si="133"/>
        <v>406</v>
      </c>
      <c r="AE561" s="14" t="str">
        <f t="shared" si="134"/>
        <v>[x]</v>
      </c>
      <c r="AF561" s="27" t="str">
        <f t="shared" si="135"/>
        <v>[x]</v>
      </c>
      <c r="AG561" s="27" t="str">
        <f t="shared" si="136"/>
        <v>[x]</v>
      </c>
    </row>
    <row r="562" spans="16:33" ht="16.5" x14ac:dyDescent="0.2">
      <c r="P562" s="13">
        <v>506</v>
      </c>
      <c r="Q562" s="14">
        <f t="shared" si="121"/>
        <v>27</v>
      </c>
      <c r="R562" s="14">
        <f t="shared" si="122"/>
        <v>1606035</v>
      </c>
      <c r="S562" s="14" t="str">
        <f t="shared" si="126"/>
        <v>神器6碎片1等级8</v>
      </c>
      <c r="T562" s="29" t="s">
        <v>520</v>
      </c>
      <c r="U562" s="14">
        <f t="shared" si="123"/>
        <v>8</v>
      </c>
      <c r="V562" s="36">
        <f t="shared" si="127"/>
        <v>0.67800000000000005</v>
      </c>
      <c r="W562" s="17">
        <f t="shared" si="124"/>
        <v>1.3560000000000001E-2</v>
      </c>
      <c r="X562" s="14">
        <f t="shared" si="128"/>
        <v>1</v>
      </c>
      <c r="Y562" s="14">
        <f t="shared" si="129"/>
        <v>2</v>
      </c>
      <c r="Z562" s="14">
        <f t="shared" si="130"/>
        <v>0</v>
      </c>
      <c r="AA562" s="14" t="str">
        <f t="shared" si="131"/>
        <v>AtkExt</v>
      </c>
      <c r="AB562" s="14">
        <f t="shared" si="125"/>
        <v>1842</v>
      </c>
      <c r="AC562" s="14" t="str">
        <f t="shared" si="132"/>
        <v>DefExt</v>
      </c>
      <c r="AD562" s="14">
        <f t="shared" si="133"/>
        <v>460</v>
      </c>
      <c r="AE562" s="14" t="str">
        <f t="shared" si="134"/>
        <v>[x]</v>
      </c>
      <c r="AF562" s="27" t="str">
        <f t="shared" si="135"/>
        <v>[x]</v>
      </c>
      <c r="AG562" s="27" t="str">
        <f t="shared" si="136"/>
        <v>[x]</v>
      </c>
    </row>
    <row r="563" spans="16:33" ht="16.5" x14ac:dyDescent="0.2">
      <c r="P563" s="13">
        <v>507</v>
      </c>
      <c r="Q563" s="14">
        <f t="shared" si="121"/>
        <v>27</v>
      </c>
      <c r="R563" s="14">
        <f t="shared" si="122"/>
        <v>1606035</v>
      </c>
      <c r="S563" s="14" t="str">
        <f t="shared" si="126"/>
        <v>神器6碎片1等级9</v>
      </c>
      <c r="T563" s="29" t="s">
        <v>520</v>
      </c>
      <c r="U563" s="14">
        <f t="shared" si="123"/>
        <v>9</v>
      </c>
      <c r="V563" s="36">
        <f t="shared" si="127"/>
        <v>0.76200000000000001</v>
      </c>
      <c r="W563" s="17">
        <f t="shared" si="124"/>
        <v>1.524E-2</v>
      </c>
      <c r="X563" s="14">
        <f t="shared" si="128"/>
        <v>1</v>
      </c>
      <c r="Y563" s="14">
        <f t="shared" si="129"/>
        <v>2</v>
      </c>
      <c r="Z563" s="14">
        <f t="shared" si="130"/>
        <v>0</v>
      </c>
      <c r="AA563" s="14" t="str">
        <f t="shared" si="131"/>
        <v>AtkExt</v>
      </c>
      <c r="AB563" s="14">
        <f t="shared" si="125"/>
        <v>2070</v>
      </c>
      <c r="AC563" s="14" t="str">
        <f t="shared" si="132"/>
        <v>DefExt</v>
      </c>
      <c r="AD563" s="14">
        <f t="shared" si="133"/>
        <v>517</v>
      </c>
      <c r="AE563" s="14" t="str">
        <f t="shared" si="134"/>
        <v>[x]</v>
      </c>
      <c r="AF563" s="27" t="str">
        <f t="shared" si="135"/>
        <v>[x]</v>
      </c>
      <c r="AG563" s="27" t="str">
        <f t="shared" si="136"/>
        <v>[x]</v>
      </c>
    </row>
    <row r="564" spans="16:33" ht="16.5" x14ac:dyDescent="0.2">
      <c r="P564" s="13">
        <v>508</v>
      </c>
      <c r="Q564" s="14">
        <f t="shared" si="121"/>
        <v>27</v>
      </c>
      <c r="R564" s="14">
        <f t="shared" si="122"/>
        <v>1606035</v>
      </c>
      <c r="S564" s="14" t="str">
        <f t="shared" si="126"/>
        <v>神器6碎片1等级10</v>
      </c>
      <c r="T564" s="29" t="s">
        <v>520</v>
      </c>
      <c r="U564" s="14">
        <f t="shared" si="123"/>
        <v>10</v>
      </c>
      <c r="V564" s="36">
        <f t="shared" si="127"/>
        <v>0.85000000000000009</v>
      </c>
      <c r="W564" s="17">
        <f t="shared" si="124"/>
        <v>1.7000000000000001E-2</v>
      </c>
      <c r="X564" s="14">
        <f t="shared" si="128"/>
        <v>1</v>
      </c>
      <c r="Y564" s="14">
        <f t="shared" si="129"/>
        <v>2</v>
      </c>
      <c r="Z564" s="14">
        <f t="shared" si="130"/>
        <v>0</v>
      </c>
      <c r="AA564" s="14" t="str">
        <f t="shared" si="131"/>
        <v>AtkExt</v>
      </c>
      <c r="AB564" s="14">
        <f t="shared" si="125"/>
        <v>2309</v>
      </c>
      <c r="AC564" s="14" t="str">
        <f t="shared" si="132"/>
        <v>DefExt</v>
      </c>
      <c r="AD564" s="14">
        <f t="shared" si="133"/>
        <v>577</v>
      </c>
      <c r="AE564" s="14" t="str">
        <f t="shared" si="134"/>
        <v>[x]</v>
      </c>
      <c r="AF564" s="27" t="str">
        <f t="shared" si="135"/>
        <v>[x]</v>
      </c>
      <c r="AG564" s="27" t="str">
        <f t="shared" si="136"/>
        <v>[x]</v>
      </c>
    </row>
    <row r="565" spans="16:33" ht="16.5" x14ac:dyDescent="0.2">
      <c r="P565" s="13">
        <v>509</v>
      </c>
      <c r="Q565" s="14">
        <f t="shared" si="121"/>
        <v>27</v>
      </c>
      <c r="R565" s="14">
        <f t="shared" si="122"/>
        <v>1606035</v>
      </c>
      <c r="S565" s="14" t="str">
        <f t="shared" si="126"/>
        <v>神器6碎片1等级11</v>
      </c>
      <c r="T565" s="29" t="s">
        <v>520</v>
      </c>
      <c r="U565" s="14">
        <f t="shared" si="123"/>
        <v>11</v>
      </c>
      <c r="V565" s="36">
        <f t="shared" si="127"/>
        <v>0.94200000000000006</v>
      </c>
      <c r="W565" s="17">
        <f t="shared" si="124"/>
        <v>1.8840000000000003E-2</v>
      </c>
      <c r="X565" s="14">
        <f t="shared" si="128"/>
        <v>1</v>
      </c>
      <c r="Y565" s="14">
        <f t="shared" si="129"/>
        <v>2</v>
      </c>
      <c r="Z565" s="14">
        <f t="shared" si="130"/>
        <v>0</v>
      </c>
      <c r="AA565" s="14" t="str">
        <f t="shared" si="131"/>
        <v>AtkExt</v>
      </c>
      <c r="AB565" s="14">
        <f t="shared" si="125"/>
        <v>2559</v>
      </c>
      <c r="AC565" s="14" t="str">
        <f t="shared" si="132"/>
        <v>DefExt</v>
      </c>
      <c r="AD565" s="14">
        <f t="shared" si="133"/>
        <v>639</v>
      </c>
      <c r="AE565" s="14" t="str">
        <f t="shared" si="134"/>
        <v>[x]</v>
      </c>
      <c r="AF565" s="27" t="str">
        <f t="shared" si="135"/>
        <v>[x]</v>
      </c>
      <c r="AG565" s="27" t="str">
        <f t="shared" si="136"/>
        <v>[x]</v>
      </c>
    </row>
    <row r="566" spans="16:33" ht="16.5" x14ac:dyDescent="0.2">
      <c r="P566" s="13">
        <v>510</v>
      </c>
      <c r="Q566" s="14">
        <f t="shared" si="121"/>
        <v>27</v>
      </c>
      <c r="R566" s="14">
        <f t="shared" si="122"/>
        <v>1606035</v>
      </c>
      <c r="S566" s="14" t="str">
        <f t="shared" si="126"/>
        <v>神器6碎片1等级12</v>
      </c>
      <c r="T566" s="29" t="s">
        <v>520</v>
      </c>
      <c r="U566" s="14">
        <f t="shared" si="123"/>
        <v>12</v>
      </c>
      <c r="V566" s="36">
        <f t="shared" si="127"/>
        <v>1.0380000000000003</v>
      </c>
      <c r="W566" s="17">
        <f t="shared" si="124"/>
        <v>2.0760000000000004E-2</v>
      </c>
      <c r="X566" s="14">
        <f t="shared" si="128"/>
        <v>1</v>
      </c>
      <c r="Y566" s="14">
        <f t="shared" si="129"/>
        <v>2</v>
      </c>
      <c r="Z566" s="14">
        <f t="shared" si="130"/>
        <v>0</v>
      </c>
      <c r="AA566" s="14" t="str">
        <f t="shared" si="131"/>
        <v>AtkExt</v>
      </c>
      <c r="AB566" s="14">
        <f t="shared" si="125"/>
        <v>2820</v>
      </c>
      <c r="AC566" s="14" t="str">
        <f t="shared" si="132"/>
        <v>DefExt</v>
      </c>
      <c r="AD566" s="14">
        <f t="shared" si="133"/>
        <v>704</v>
      </c>
      <c r="AE566" s="14" t="str">
        <f t="shared" si="134"/>
        <v>[x]</v>
      </c>
      <c r="AF566" s="27" t="str">
        <f t="shared" si="135"/>
        <v>[x]</v>
      </c>
      <c r="AG566" s="27" t="str">
        <f t="shared" si="136"/>
        <v>[x]</v>
      </c>
    </row>
    <row r="567" spans="16:33" ht="16.5" x14ac:dyDescent="0.2">
      <c r="P567" s="13">
        <v>511</v>
      </c>
      <c r="Q567" s="14">
        <f t="shared" si="121"/>
        <v>27</v>
      </c>
      <c r="R567" s="14">
        <f t="shared" si="122"/>
        <v>1606035</v>
      </c>
      <c r="S567" s="14" t="str">
        <f t="shared" si="126"/>
        <v>神器6碎片1等级13</v>
      </c>
      <c r="T567" s="29" t="s">
        <v>520</v>
      </c>
      <c r="U567" s="14">
        <f t="shared" si="123"/>
        <v>13</v>
      </c>
      <c r="V567" s="36">
        <f t="shared" si="127"/>
        <v>1.1380000000000001</v>
      </c>
      <c r="W567" s="17">
        <f t="shared" si="124"/>
        <v>2.2760000000000002E-2</v>
      </c>
      <c r="X567" s="14">
        <f t="shared" si="128"/>
        <v>1</v>
      </c>
      <c r="Y567" s="14">
        <f t="shared" si="129"/>
        <v>2</v>
      </c>
      <c r="Z567" s="14">
        <f t="shared" si="130"/>
        <v>0</v>
      </c>
      <c r="AA567" s="14" t="str">
        <f t="shared" si="131"/>
        <v>AtkExt</v>
      </c>
      <c r="AB567" s="14">
        <f t="shared" si="125"/>
        <v>3092</v>
      </c>
      <c r="AC567" s="14" t="str">
        <f t="shared" si="132"/>
        <v>DefExt</v>
      </c>
      <c r="AD567" s="14">
        <f t="shared" si="133"/>
        <v>772</v>
      </c>
      <c r="AE567" s="14" t="str">
        <f t="shared" si="134"/>
        <v>[x]</v>
      </c>
      <c r="AF567" s="27" t="str">
        <f t="shared" si="135"/>
        <v>[x]</v>
      </c>
      <c r="AG567" s="27" t="str">
        <f t="shared" si="136"/>
        <v>[x]</v>
      </c>
    </row>
    <row r="568" spans="16:33" ht="16.5" x14ac:dyDescent="0.2">
      <c r="P568" s="13">
        <v>512</v>
      </c>
      <c r="Q568" s="14">
        <f t="shared" si="121"/>
        <v>27</v>
      </c>
      <c r="R568" s="14">
        <f t="shared" si="122"/>
        <v>1606035</v>
      </c>
      <c r="S568" s="14" t="str">
        <f t="shared" si="126"/>
        <v>神器6碎片1等级14</v>
      </c>
      <c r="T568" s="29" t="s">
        <v>520</v>
      </c>
      <c r="U568" s="14">
        <f t="shared" si="123"/>
        <v>14</v>
      </c>
      <c r="V568" s="36">
        <f t="shared" si="127"/>
        <v>1.242</v>
      </c>
      <c r="W568" s="17">
        <f t="shared" si="124"/>
        <v>2.4840000000000001E-2</v>
      </c>
      <c r="X568" s="14">
        <f t="shared" si="128"/>
        <v>1</v>
      </c>
      <c r="Y568" s="14">
        <f t="shared" si="129"/>
        <v>2</v>
      </c>
      <c r="Z568" s="14">
        <f t="shared" si="130"/>
        <v>0</v>
      </c>
      <c r="AA568" s="14" t="str">
        <f t="shared" si="131"/>
        <v>AtkExt</v>
      </c>
      <c r="AB568" s="14">
        <f t="shared" si="125"/>
        <v>3374</v>
      </c>
      <c r="AC568" s="14" t="str">
        <f t="shared" si="132"/>
        <v>DefExt</v>
      </c>
      <c r="AD568" s="14">
        <f t="shared" si="133"/>
        <v>843</v>
      </c>
      <c r="AE568" s="14" t="str">
        <f t="shared" si="134"/>
        <v>[x]</v>
      </c>
      <c r="AF568" s="27" t="str">
        <f t="shared" si="135"/>
        <v>[x]</v>
      </c>
      <c r="AG568" s="27" t="str">
        <f t="shared" si="136"/>
        <v>[x]</v>
      </c>
    </row>
    <row r="569" spans="16:33" ht="16.5" x14ac:dyDescent="0.2">
      <c r="P569" s="13">
        <v>513</v>
      </c>
      <c r="Q569" s="14">
        <f t="shared" ref="Q569:Q632" si="137">MATCH(P569-1,$X$4:$X$46,1)</f>
        <v>27</v>
      </c>
      <c r="R569" s="14">
        <f t="shared" ref="R569:R632" si="138">INDEX($S$5:$S$46,Q569)</f>
        <v>1606035</v>
      </c>
      <c r="S569" s="14" t="str">
        <f t="shared" si="126"/>
        <v>神器6碎片1等级15</v>
      </c>
      <c r="T569" s="29" t="s">
        <v>520</v>
      </c>
      <c r="U569" s="14">
        <f t="shared" ref="U569:U632" si="139">P569-INDEX($X$4:$X$46,Q569)</f>
        <v>15</v>
      </c>
      <c r="V569" s="36">
        <f t="shared" si="127"/>
        <v>1.35</v>
      </c>
      <c r="W569" s="17">
        <f t="shared" ref="W569:W632" si="140">INDEX($V$5:$V$46,Q569)*V569</f>
        <v>2.7000000000000003E-2</v>
      </c>
      <c r="X569" s="14">
        <f t="shared" si="128"/>
        <v>1</v>
      </c>
      <c r="Y569" s="14">
        <f t="shared" si="129"/>
        <v>2</v>
      </c>
      <c r="Z569" s="14">
        <f t="shared" si="130"/>
        <v>0</v>
      </c>
      <c r="AA569" s="14" t="str">
        <f t="shared" si="131"/>
        <v>AtkExt</v>
      </c>
      <c r="AB569" s="14">
        <f t="shared" ref="AB569:AB632" si="141">INT(INDEX($E$4:$G$4,X569)*W569*INDEX($Y$5:$AA$46,Q569,X569))</f>
        <v>3668</v>
      </c>
      <c r="AC569" s="14" t="str">
        <f t="shared" si="132"/>
        <v>DefExt</v>
      </c>
      <c r="AD569" s="14">
        <f t="shared" si="133"/>
        <v>916</v>
      </c>
      <c r="AE569" s="14" t="str">
        <f t="shared" si="134"/>
        <v>[x]</v>
      </c>
      <c r="AF569" s="27" t="str">
        <f t="shared" si="135"/>
        <v>[x]</v>
      </c>
      <c r="AG569" s="27" t="str">
        <f t="shared" si="136"/>
        <v>[x]</v>
      </c>
    </row>
    <row r="570" spans="16:33" ht="16.5" x14ac:dyDescent="0.2">
      <c r="P570" s="13">
        <v>514</v>
      </c>
      <c r="Q570" s="14">
        <f t="shared" si="137"/>
        <v>27</v>
      </c>
      <c r="R570" s="14">
        <f t="shared" si="138"/>
        <v>1606035</v>
      </c>
      <c r="S570" s="14" t="str">
        <f t="shared" ref="S570:S633" si="142">INDEX($P$5:$P$46,Q570)&amp;"碎片"&amp;INDEX($R$5:$R$46,Q570)&amp;"等级"&amp;U570</f>
        <v>神器6碎片1等级16</v>
      </c>
      <c r="T570" s="29" t="s">
        <v>520</v>
      </c>
      <c r="U570" s="14">
        <f t="shared" si="139"/>
        <v>16</v>
      </c>
      <c r="V570" s="36">
        <f t="shared" ref="V570:V633" si="143">15%+U570*5%+U570*U570*0.2%</f>
        <v>1.4620000000000002</v>
      </c>
      <c r="W570" s="17">
        <f t="shared" si="140"/>
        <v>2.9240000000000006E-2</v>
      </c>
      <c r="X570" s="14">
        <f t="shared" ref="X570:X633" si="144">INDEX($AB$5:$AB$46,Q570)</f>
        <v>1</v>
      </c>
      <c r="Y570" s="14">
        <f t="shared" ref="Y570:Y633" si="145">INDEX(AC$5:AC$46,$Q570)</f>
        <v>2</v>
      </c>
      <c r="Z570" s="14">
        <f t="shared" ref="Z570:Z633" si="146">INDEX(AD$5:AD$46,$Q570)</f>
        <v>0</v>
      </c>
      <c r="AA570" s="14" t="str">
        <f t="shared" ref="AA570:AA633" si="147">INDEX($Y$3:$AA$3,X570)</f>
        <v>AtkExt</v>
      </c>
      <c r="AB570" s="14">
        <f t="shared" si="141"/>
        <v>3972</v>
      </c>
      <c r="AC570" s="14" t="str">
        <f t="shared" ref="AC570:AC633" si="148">IF(Y570&gt;0,INDEX($Y$3:$AA$3,Y570),"[x]")</f>
        <v>DefExt</v>
      </c>
      <c r="AD570" s="14">
        <f t="shared" ref="AD570:AD633" si="149">IF(Y570&gt;0,INT(INDEX($E$4:$G$4,Y570)*W570*INDEX($Y$5:$AA$46,Q570,Y570)),"[x]")</f>
        <v>992</v>
      </c>
      <c r="AE570" s="14" t="str">
        <f t="shared" ref="AE570:AE633" si="150">IF(Z570&gt;0,INDEX($Y$3:$AA$3,Z570),"[x]")</f>
        <v>[x]</v>
      </c>
      <c r="AF570" s="27" t="str">
        <f t="shared" ref="AF570:AF633" si="151">IF(Z570&gt;0,INT(INDEX($E$4:$G$4,Z570)*W570*INDEX($Y$5:$AA$46,Q570,Z570)),"[x]")</f>
        <v>[x]</v>
      </c>
      <c r="AG570" s="27" t="str">
        <f t="shared" ref="AG570:AG633" si="152">IF(INDEX($AE$5:$AE$46,Q570)&gt;0,INDEX($AE$5:$AE$46,Q570)*U570,"[x]")</f>
        <v>[x]</v>
      </c>
    </row>
    <row r="571" spans="16:33" ht="16.5" x14ac:dyDescent="0.2">
      <c r="P571" s="13">
        <v>515</v>
      </c>
      <c r="Q571" s="14">
        <f t="shared" si="137"/>
        <v>27</v>
      </c>
      <c r="R571" s="14">
        <f t="shared" si="138"/>
        <v>1606035</v>
      </c>
      <c r="S571" s="14" t="str">
        <f t="shared" si="142"/>
        <v>神器6碎片1等级17</v>
      </c>
      <c r="T571" s="29" t="s">
        <v>520</v>
      </c>
      <c r="U571" s="14">
        <f t="shared" si="139"/>
        <v>17</v>
      </c>
      <c r="V571" s="36">
        <f t="shared" si="143"/>
        <v>1.5779999999999998</v>
      </c>
      <c r="W571" s="17">
        <f t="shared" si="140"/>
        <v>3.1559999999999998E-2</v>
      </c>
      <c r="X571" s="14">
        <f t="shared" si="144"/>
        <v>1</v>
      </c>
      <c r="Y571" s="14">
        <f t="shared" si="145"/>
        <v>2</v>
      </c>
      <c r="Z571" s="14">
        <f t="shared" si="146"/>
        <v>0</v>
      </c>
      <c r="AA571" s="14" t="str">
        <f t="shared" si="147"/>
        <v>AtkExt</v>
      </c>
      <c r="AB571" s="14">
        <f t="shared" si="141"/>
        <v>4287</v>
      </c>
      <c r="AC571" s="14" t="str">
        <f t="shared" si="148"/>
        <v>DefExt</v>
      </c>
      <c r="AD571" s="14">
        <f t="shared" si="149"/>
        <v>1071</v>
      </c>
      <c r="AE571" s="14" t="str">
        <f t="shared" si="150"/>
        <v>[x]</v>
      </c>
      <c r="AF571" s="27" t="str">
        <f t="shared" si="151"/>
        <v>[x]</v>
      </c>
      <c r="AG571" s="27" t="str">
        <f t="shared" si="152"/>
        <v>[x]</v>
      </c>
    </row>
    <row r="572" spans="16:33" ht="16.5" x14ac:dyDescent="0.2">
      <c r="P572" s="13">
        <v>516</v>
      </c>
      <c r="Q572" s="14">
        <f t="shared" si="137"/>
        <v>27</v>
      </c>
      <c r="R572" s="14">
        <f t="shared" si="138"/>
        <v>1606035</v>
      </c>
      <c r="S572" s="14" t="str">
        <f t="shared" si="142"/>
        <v>神器6碎片1等级18</v>
      </c>
      <c r="T572" s="29" t="s">
        <v>520</v>
      </c>
      <c r="U572" s="14">
        <f t="shared" si="139"/>
        <v>18</v>
      </c>
      <c r="V572" s="36">
        <f t="shared" si="143"/>
        <v>1.698</v>
      </c>
      <c r="W572" s="17">
        <f t="shared" si="140"/>
        <v>3.3959999999999997E-2</v>
      </c>
      <c r="X572" s="14">
        <f t="shared" si="144"/>
        <v>1</v>
      </c>
      <c r="Y572" s="14">
        <f t="shared" si="145"/>
        <v>2</v>
      </c>
      <c r="Z572" s="14">
        <f t="shared" si="146"/>
        <v>0</v>
      </c>
      <c r="AA572" s="14" t="str">
        <f t="shared" si="147"/>
        <v>AtkExt</v>
      </c>
      <c r="AB572" s="14">
        <f t="shared" si="141"/>
        <v>4613</v>
      </c>
      <c r="AC572" s="14" t="str">
        <f t="shared" si="148"/>
        <v>DefExt</v>
      </c>
      <c r="AD572" s="14">
        <f t="shared" si="149"/>
        <v>1152</v>
      </c>
      <c r="AE572" s="14" t="str">
        <f t="shared" si="150"/>
        <v>[x]</v>
      </c>
      <c r="AF572" s="27" t="str">
        <f t="shared" si="151"/>
        <v>[x]</v>
      </c>
      <c r="AG572" s="27" t="str">
        <f t="shared" si="152"/>
        <v>[x]</v>
      </c>
    </row>
    <row r="573" spans="16:33" ht="16.5" x14ac:dyDescent="0.2">
      <c r="P573" s="13">
        <v>517</v>
      </c>
      <c r="Q573" s="14">
        <f t="shared" si="137"/>
        <v>27</v>
      </c>
      <c r="R573" s="14">
        <f t="shared" si="138"/>
        <v>1606035</v>
      </c>
      <c r="S573" s="14" t="str">
        <f t="shared" si="142"/>
        <v>神器6碎片1等级19</v>
      </c>
      <c r="T573" s="29" t="s">
        <v>520</v>
      </c>
      <c r="U573" s="14">
        <f t="shared" si="139"/>
        <v>19</v>
      </c>
      <c r="V573" s="36">
        <f t="shared" si="143"/>
        <v>1.8220000000000001</v>
      </c>
      <c r="W573" s="17">
        <f t="shared" si="140"/>
        <v>3.644E-2</v>
      </c>
      <c r="X573" s="14">
        <f t="shared" si="144"/>
        <v>1</v>
      </c>
      <c r="Y573" s="14">
        <f t="shared" si="145"/>
        <v>2</v>
      </c>
      <c r="Z573" s="14">
        <f t="shared" si="146"/>
        <v>0</v>
      </c>
      <c r="AA573" s="14" t="str">
        <f t="shared" si="147"/>
        <v>AtkExt</v>
      </c>
      <c r="AB573" s="14">
        <f t="shared" si="141"/>
        <v>4950</v>
      </c>
      <c r="AC573" s="14" t="str">
        <f t="shared" si="148"/>
        <v>DefExt</v>
      </c>
      <c r="AD573" s="14">
        <f t="shared" si="149"/>
        <v>1237</v>
      </c>
      <c r="AE573" s="14" t="str">
        <f t="shared" si="150"/>
        <v>[x]</v>
      </c>
      <c r="AF573" s="27" t="str">
        <f t="shared" si="151"/>
        <v>[x]</v>
      </c>
      <c r="AG573" s="27" t="str">
        <f t="shared" si="152"/>
        <v>[x]</v>
      </c>
    </row>
    <row r="574" spans="16:33" ht="16.5" x14ac:dyDescent="0.2">
      <c r="P574" s="13">
        <v>518</v>
      </c>
      <c r="Q574" s="14">
        <f t="shared" si="137"/>
        <v>27</v>
      </c>
      <c r="R574" s="14">
        <f t="shared" si="138"/>
        <v>1606035</v>
      </c>
      <c r="S574" s="14" t="str">
        <f t="shared" si="142"/>
        <v>神器6碎片1等级20</v>
      </c>
      <c r="T574" s="29" t="s">
        <v>520</v>
      </c>
      <c r="U574" s="14">
        <f t="shared" si="139"/>
        <v>20</v>
      </c>
      <c r="V574" s="36">
        <f t="shared" si="143"/>
        <v>1.95</v>
      </c>
      <c r="W574" s="17">
        <f t="shared" si="140"/>
        <v>3.9E-2</v>
      </c>
      <c r="X574" s="14">
        <f t="shared" si="144"/>
        <v>1</v>
      </c>
      <c r="Y574" s="14">
        <f t="shared" si="145"/>
        <v>2</v>
      </c>
      <c r="Z574" s="14">
        <f t="shared" si="146"/>
        <v>0</v>
      </c>
      <c r="AA574" s="14" t="str">
        <f t="shared" si="147"/>
        <v>AtkExt</v>
      </c>
      <c r="AB574" s="14">
        <f t="shared" si="141"/>
        <v>5298</v>
      </c>
      <c r="AC574" s="14" t="str">
        <f t="shared" si="148"/>
        <v>DefExt</v>
      </c>
      <c r="AD574" s="14">
        <f t="shared" si="149"/>
        <v>1323</v>
      </c>
      <c r="AE574" s="14" t="str">
        <f t="shared" si="150"/>
        <v>[x]</v>
      </c>
      <c r="AF574" s="27" t="str">
        <f t="shared" si="151"/>
        <v>[x]</v>
      </c>
      <c r="AG574" s="27" t="str">
        <f t="shared" si="152"/>
        <v>[x]</v>
      </c>
    </row>
    <row r="575" spans="16:33" ht="16.5" x14ac:dyDescent="0.2">
      <c r="P575" s="13">
        <v>519</v>
      </c>
      <c r="Q575" s="14">
        <f t="shared" si="137"/>
        <v>27</v>
      </c>
      <c r="R575" s="14">
        <f t="shared" si="138"/>
        <v>1606035</v>
      </c>
      <c r="S575" s="14" t="str">
        <f t="shared" si="142"/>
        <v>神器6碎片1等级21</v>
      </c>
      <c r="T575" s="29" t="s">
        <v>520</v>
      </c>
      <c r="U575" s="14">
        <f t="shared" si="139"/>
        <v>21</v>
      </c>
      <c r="V575" s="36">
        <f t="shared" si="143"/>
        <v>2.0819999999999999</v>
      </c>
      <c r="W575" s="17">
        <f t="shared" si="140"/>
        <v>4.1639999999999996E-2</v>
      </c>
      <c r="X575" s="14">
        <f t="shared" si="144"/>
        <v>1</v>
      </c>
      <c r="Y575" s="14">
        <f t="shared" si="145"/>
        <v>2</v>
      </c>
      <c r="Z575" s="14">
        <f t="shared" si="146"/>
        <v>0</v>
      </c>
      <c r="AA575" s="14" t="str">
        <f t="shared" si="147"/>
        <v>AtkExt</v>
      </c>
      <c r="AB575" s="14">
        <f t="shared" si="141"/>
        <v>5657</v>
      </c>
      <c r="AC575" s="14" t="str">
        <f t="shared" si="148"/>
        <v>DefExt</v>
      </c>
      <c r="AD575" s="14">
        <f t="shared" si="149"/>
        <v>1413</v>
      </c>
      <c r="AE575" s="14" t="str">
        <f t="shared" si="150"/>
        <v>[x]</v>
      </c>
      <c r="AF575" s="27" t="str">
        <f t="shared" si="151"/>
        <v>[x]</v>
      </c>
      <c r="AG575" s="27" t="str">
        <f t="shared" si="152"/>
        <v>[x]</v>
      </c>
    </row>
    <row r="576" spans="16:33" ht="16.5" x14ac:dyDescent="0.2">
      <c r="P576" s="13">
        <v>520</v>
      </c>
      <c r="Q576" s="14">
        <f t="shared" si="137"/>
        <v>28</v>
      </c>
      <c r="R576" s="14">
        <f t="shared" si="138"/>
        <v>1606036</v>
      </c>
      <c r="S576" s="14" t="str">
        <f t="shared" si="142"/>
        <v>神器6碎片2等级1</v>
      </c>
      <c r="T576" s="29" t="s">
        <v>520</v>
      </c>
      <c r="U576" s="14">
        <f t="shared" si="139"/>
        <v>1</v>
      </c>
      <c r="V576" s="36">
        <f t="shared" si="143"/>
        <v>0.20200000000000001</v>
      </c>
      <c r="W576" s="17">
        <f t="shared" si="140"/>
        <v>4.0400000000000002E-3</v>
      </c>
      <c r="X576" s="14">
        <f t="shared" si="144"/>
        <v>2</v>
      </c>
      <c r="Y576" s="14">
        <f t="shared" si="145"/>
        <v>3</v>
      </c>
      <c r="Z576" s="14">
        <f t="shared" si="146"/>
        <v>0</v>
      </c>
      <c r="AA576" s="14" t="str">
        <f t="shared" si="147"/>
        <v>DefExt</v>
      </c>
      <c r="AB576" s="14">
        <f t="shared" si="141"/>
        <v>274</v>
      </c>
      <c r="AC576" s="14" t="str">
        <f t="shared" si="148"/>
        <v>HPExt</v>
      </c>
      <c r="AD576" s="14">
        <f t="shared" si="149"/>
        <v>823</v>
      </c>
      <c r="AE576" s="14" t="str">
        <f t="shared" si="150"/>
        <v>[x]</v>
      </c>
      <c r="AF576" s="27" t="str">
        <f t="shared" si="151"/>
        <v>[x]</v>
      </c>
      <c r="AG576" s="27" t="str">
        <f t="shared" si="152"/>
        <v>[x]</v>
      </c>
    </row>
    <row r="577" spans="16:33" ht="16.5" x14ac:dyDescent="0.2">
      <c r="P577" s="13">
        <v>521</v>
      </c>
      <c r="Q577" s="14">
        <f t="shared" si="137"/>
        <v>28</v>
      </c>
      <c r="R577" s="14">
        <f t="shared" si="138"/>
        <v>1606036</v>
      </c>
      <c r="S577" s="14" t="str">
        <f t="shared" si="142"/>
        <v>神器6碎片2等级2</v>
      </c>
      <c r="T577" s="29" t="s">
        <v>520</v>
      </c>
      <c r="U577" s="14">
        <f t="shared" si="139"/>
        <v>2</v>
      </c>
      <c r="V577" s="36">
        <f t="shared" si="143"/>
        <v>0.25800000000000001</v>
      </c>
      <c r="W577" s="17">
        <f t="shared" si="140"/>
        <v>5.1600000000000005E-3</v>
      </c>
      <c r="X577" s="14">
        <f t="shared" si="144"/>
        <v>2</v>
      </c>
      <c r="Y577" s="14">
        <f t="shared" si="145"/>
        <v>3</v>
      </c>
      <c r="Z577" s="14">
        <f t="shared" si="146"/>
        <v>0</v>
      </c>
      <c r="AA577" s="14" t="str">
        <f t="shared" si="147"/>
        <v>DefExt</v>
      </c>
      <c r="AB577" s="14">
        <f t="shared" si="141"/>
        <v>350</v>
      </c>
      <c r="AC577" s="14" t="str">
        <f t="shared" si="148"/>
        <v>HPExt</v>
      </c>
      <c r="AD577" s="14">
        <f t="shared" si="149"/>
        <v>1051</v>
      </c>
      <c r="AE577" s="14" t="str">
        <f t="shared" si="150"/>
        <v>[x]</v>
      </c>
      <c r="AF577" s="27" t="str">
        <f t="shared" si="151"/>
        <v>[x]</v>
      </c>
      <c r="AG577" s="27" t="str">
        <f t="shared" si="152"/>
        <v>[x]</v>
      </c>
    </row>
    <row r="578" spans="16:33" ht="16.5" x14ac:dyDescent="0.2">
      <c r="P578" s="13">
        <v>522</v>
      </c>
      <c r="Q578" s="14">
        <f t="shared" si="137"/>
        <v>28</v>
      </c>
      <c r="R578" s="14">
        <f t="shared" si="138"/>
        <v>1606036</v>
      </c>
      <c r="S578" s="14" t="str">
        <f t="shared" si="142"/>
        <v>神器6碎片2等级3</v>
      </c>
      <c r="T578" s="29" t="s">
        <v>520</v>
      </c>
      <c r="U578" s="14">
        <f t="shared" si="139"/>
        <v>3</v>
      </c>
      <c r="V578" s="36">
        <f t="shared" si="143"/>
        <v>0.31800000000000006</v>
      </c>
      <c r="W578" s="17">
        <f t="shared" si="140"/>
        <v>6.3600000000000011E-3</v>
      </c>
      <c r="X578" s="14">
        <f t="shared" si="144"/>
        <v>2</v>
      </c>
      <c r="Y578" s="14">
        <f t="shared" si="145"/>
        <v>3</v>
      </c>
      <c r="Z578" s="14">
        <f t="shared" si="146"/>
        <v>0</v>
      </c>
      <c r="AA578" s="14" t="str">
        <f t="shared" si="147"/>
        <v>DefExt</v>
      </c>
      <c r="AB578" s="14">
        <f t="shared" si="141"/>
        <v>431</v>
      </c>
      <c r="AC578" s="14" t="str">
        <f t="shared" si="148"/>
        <v>HPExt</v>
      </c>
      <c r="AD578" s="14">
        <f t="shared" si="149"/>
        <v>1296</v>
      </c>
      <c r="AE578" s="14" t="str">
        <f t="shared" si="150"/>
        <v>[x]</v>
      </c>
      <c r="AF578" s="27" t="str">
        <f t="shared" si="151"/>
        <v>[x]</v>
      </c>
      <c r="AG578" s="27" t="str">
        <f t="shared" si="152"/>
        <v>[x]</v>
      </c>
    </row>
    <row r="579" spans="16:33" ht="16.5" x14ac:dyDescent="0.2">
      <c r="P579" s="13">
        <v>523</v>
      </c>
      <c r="Q579" s="14">
        <f t="shared" si="137"/>
        <v>28</v>
      </c>
      <c r="R579" s="14">
        <f t="shared" si="138"/>
        <v>1606036</v>
      </c>
      <c r="S579" s="14" t="str">
        <f t="shared" si="142"/>
        <v>神器6碎片2等级4</v>
      </c>
      <c r="T579" s="29" t="s">
        <v>520</v>
      </c>
      <c r="U579" s="14">
        <f t="shared" si="139"/>
        <v>4</v>
      </c>
      <c r="V579" s="36">
        <f t="shared" si="143"/>
        <v>0.38200000000000001</v>
      </c>
      <c r="W579" s="17">
        <f t="shared" si="140"/>
        <v>7.6400000000000001E-3</v>
      </c>
      <c r="X579" s="14">
        <f t="shared" si="144"/>
        <v>2</v>
      </c>
      <c r="Y579" s="14">
        <f t="shared" si="145"/>
        <v>3</v>
      </c>
      <c r="Z579" s="14">
        <f t="shared" si="146"/>
        <v>0</v>
      </c>
      <c r="AA579" s="14" t="str">
        <f t="shared" si="147"/>
        <v>DefExt</v>
      </c>
      <c r="AB579" s="14">
        <f t="shared" si="141"/>
        <v>518</v>
      </c>
      <c r="AC579" s="14" t="str">
        <f t="shared" si="148"/>
        <v>HPExt</v>
      </c>
      <c r="AD579" s="14">
        <f t="shared" si="149"/>
        <v>1557</v>
      </c>
      <c r="AE579" s="14" t="str">
        <f t="shared" si="150"/>
        <v>[x]</v>
      </c>
      <c r="AF579" s="27" t="str">
        <f t="shared" si="151"/>
        <v>[x]</v>
      </c>
      <c r="AG579" s="27" t="str">
        <f t="shared" si="152"/>
        <v>[x]</v>
      </c>
    </row>
    <row r="580" spans="16:33" ht="16.5" x14ac:dyDescent="0.2">
      <c r="P580" s="13">
        <v>524</v>
      </c>
      <c r="Q580" s="14">
        <f t="shared" si="137"/>
        <v>28</v>
      </c>
      <c r="R580" s="14">
        <f t="shared" si="138"/>
        <v>1606036</v>
      </c>
      <c r="S580" s="14" t="str">
        <f t="shared" si="142"/>
        <v>神器6碎片2等级5</v>
      </c>
      <c r="T580" s="29" t="s">
        <v>520</v>
      </c>
      <c r="U580" s="14">
        <f t="shared" si="139"/>
        <v>5</v>
      </c>
      <c r="V580" s="36">
        <f t="shared" si="143"/>
        <v>0.45</v>
      </c>
      <c r="W580" s="17">
        <f t="shared" si="140"/>
        <v>9.0000000000000011E-3</v>
      </c>
      <c r="X580" s="14">
        <f t="shared" si="144"/>
        <v>2</v>
      </c>
      <c r="Y580" s="14">
        <f t="shared" si="145"/>
        <v>3</v>
      </c>
      <c r="Z580" s="14">
        <f t="shared" si="146"/>
        <v>0</v>
      </c>
      <c r="AA580" s="14" t="str">
        <f t="shared" si="147"/>
        <v>DefExt</v>
      </c>
      <c r="AB580" s="14">
        <f t="shared" si="141"/>
        <v>611</v>
      </c>
      <c r="AC580" s="14" t="str">
        <f t="shared" si="148"/>
        <v>HPExt</v>
      </c>
      <c r="AD580" s="14">
        <f t="shared" si="149"/>
        <v>1834</v>
      </c>
      <c r="AE580" s="14" t="str">
        <f t="shared" si="150"/>
        <v>[x]</v>
      </c>
      <c r="AF580" s="27" t="str">
        <f t="shared" si="151"/>
        <v>[x]</v>
      </c>
      <c r="AG580" s="27" t="str">
        <f t="shared" si="152"/>
        <v>[x]</v>
      </c>
    </row>
    <row r="581" spans="16:33" ht="16.5" x14ac:dyDescent="0.2">
      <c r="P581" s="13">
        <v>525</v>
      </c>
      <c r="Q581" s="14">
        <f t="shared" si="137"/>
        <v>28</v>
      </c>
      <c r="R581" s="14">
        <f t="shared" si="138"/>
        <v>1606036</v>
      </c>
      <c r="S581" s="14" t="str">
        <f t="shared" si="142"/>
        <v>神器6碎片2等级6</v>
      </c>
      <c r="T581" s="29" t="s">
        <v>520</v>
      </c>
      <c r="U581" s="14">
        <f t="shared" si="139"/>
        <v>6</v>
      </c>
      <c r="V581" s="36">
        <f t="shared" si="143"/>
        <v>0.52200000000000002</v>
      </c>
      <c r="W581" s="17">
        <f t="shared" si="140"/>
        <v>1.0440000000000001E-2</v>
      </c>
      <c r="X581" s="14">
        <f t="shared" si="144"/>
        <v>2</v>
      </c>
      <c r="Y581" s="14">
        <f t="shared" si="145"/>
        <v>3</v>
      </c>
      <c r="Z581" s="14">
        <f t="shared" si="146"/>
        <v>0</v>
      </c>
      <c r="AA581" s="14" t="str">
        <f t="shared" si="147"/>
        <v>DefExt</v>
      </c>
      <c r="AB581" s="14">
        <f t="shared" si="141"/>
        <v>708</v>
      </c>
      <c r="AC581" s="14" t="str">
        <f t="shared" si="148"/>
        <v>HPExt</v>
      </c>
      <c r="AD581" s="14">
        <f t="shared" si="149"/>
        <v>2128</v>
      </c>
      <c r="AE581" s="14" t="str">
        <f t="shared" si="150"/>
        <v>[x]</v>
      </c>
      <c r="AF581" s="27" t="str">
        <f t="shared" si="151"/>
        <v>[x]</v>
      </c>
      <c r="AG581" s="27" t="str">
        <f t="shared" si="152"/>
        <v>[x]</v>
      </c>
    </row>
    <row r="582" spans="16:33" ht="16.5" x14ac:dyDescent="0.2">
      <c r="P582" s="13">
        <v>526</v>
      </c>
      <c r="Q582" s="14">
        <f t="shared" si="137"/>
        <v>28</v>
      </c>
      <c r="R582" s="14">
        <f t="shared" si="138"/>
        <v>1606036</v>
      </c>
      <c r="S582" s="14" t="str">
        <f t="shared" si="142"/>
        <v>神器6碎片2等级7</v>
      </c>
      <c r="T582" s="29" t="s">
        <v>520</v>
      </c>
      <c r="U582" s="14">
        <f t="shared" si="139"/>
        <v>7</v>
      </c>
      <c r="V582" s="36">
        <f t="shared" si="143"/>
        <v>0.59799999999999998</v>
      </c>
      <c r="W582" s="17">
        <f t="shared" si="140"/>
        <v>1.196E-2</v>
      </c>
      <c r="X582" s="14">
        <f t="shared" si="144"/>
        <v>2</v>
      </c>
      <c r="Y582" s="14">
        <f t="shared" si="145"/>
        <v>3</v>
      </c>
      <c r="Z582" s="14">
        <f t="shared" si="146"/>
        <v>0</v>
      </c>
      <c r="AA582" s="14" t="str">
        <f t="shared" si="147"/>
        <v>DefExt</v>
      </c>
      <c r="AB582" s="14">
        <f t="shared" si="141"/>
        <v>812</v>
      </c>
      <c r="AC582" s="14" t="str">
        <f t="shared" si="148"/>
        <v>HPExt</v>
      </c>
      <c r="AD582" s="14">
        <f t="shared" si="149"/>
        <v>2438</v>
      </c>
      <c r="AE582" s="14" t="str">
        <f t="shared" si="150"/>
        <v>[x]</v>
      </c>
      <c r="AF582" s="27" t="str">
        <f t="shared" si="151"/>
        <v>[x]</v>
      </c>
      <c r="AG582" s="27" t="str">
        <f t="shared" si="152"/>
        <v>[x]</v>
      </c>
    </row>
    <row r="583" spans="16:33" ht="16.5" x14ac:dyDescent="0.2">
      <c r="P583" s="13">
        <v>527</v>
      </c>
      <c r="Q583" s="14">
        <f t="shared" si="137"/>
        <v>28</v>
      </c>
      <c r="R583" s="14">
        <f t="shared" si="138"/>
        <v>1606036</v>
      </c>
      <c r="S583" s="14" t="str">
        <f t="shared" si="142"/>
        <v>神器6碎片2等级8</v>
      </c>
      <c r="T583" s="29" t="s">
        <v>520</v>
      </c>
      <c r="U583" s="14">
        <f t="shared" si="139"/>
        <v>8</v>
      </c>
      <c r="V583" s="36">
        <f t="shared" si="143"/>
        <v>0.67800000000000005</v>
      </c>
      <c r="W583" s="17">
        <f t="shared" si="140"/>
        <v>1.3560000000000001E-2</v>
      </c>
      <c r="X583" s="14">
        <f t="shared" si="144"/>
        <v>2</v>
      </c>
      <c r="Y583" s="14">
        <f t="shared" si="145"/>
        <v>3</v>
      </c>
      <c r="Z583" s="14">
        <f t="shared" si="146"/>
        <v>0</v>
      </c>
      <c r="AA583" s="14" t="str">
        <f t="shared" si="147"/>
        <v>DefExt</v>
      </c>
      <c r="AB583" s="14">
        <f t="shared" si="141"/>
        <v>920</v>
      </c>
      <c r="AC583" s="14" t="str">
        <f t="shared" si="148"/>
        <v>HPExt</v>
      </c>
      <c r="AD583" s="14">
        <f t="shared" si="149"/>
        <v>2764</v>
      </c>
      <c r="AE583" s="14" t="str">
        <f t="shared" si="150"/>
        <v>[x]</v>
      </c>
      <c r="AF583" s="27" t="str">
        <f t="shared" si="151"/>
        <v>[x]</v>
      </c>
      <c r="AG583" s="27" t="str">
        <f t="shared" si="152"/>
        <v>[x]</v>
      </c>
    </row>
    <row r="584" spans="16:33" ht="16.5" x14ac:dyDescent="0.2">
      <c r="P584" s="13">
        <v>528</v>
      </c>
      <c r="Q584" s="14">
        <f t="shared" si="137"/>
        <v>28</v>
      </c>
      <c r="R584" s="14">
        <f t="shared" si="138"/>
        <v>1606036</v>
      </c>
      <c r="S584" s="14" t="str">
        <f t="shared" si="142"/>
        <v>神器6碎片2等级9</v>
      </c>
      <c r="T584" s="29" t="s">
        <v>520</v>
      </c>
      <c r="U584" s="14">
        <f t="shared" si="139"/>
        <v>9</v>
      </c>
      <c r="V584" s="36">
        <f t="shared" si="143"/>
        <v>0.76200000000000001</v>
      </c>
      <c r="W584" s="17">
        <f t="shared" si="140"/>
        <v>1.524E-2</v>
      </c>
      <c r="X584" s="14">
        <f t="shared" si="144"/>
        <v>2</v>
      </c>
      <c r="Y584" s="14">
        <f t="shared" si="145"/>
        <v>3</v>
      </c>
      <c r="Z584" s="14">
        <f t="shared" si="146"/>
        <v>0</v>
      </c>
      <c r="AA584" s="14" t="str">
        <f t="shared" si="147"/>
        <v>DefExt</v>
      </c>
      <c r="AB584" s="14">
        <f t="shared" si="141"/>
        <v>1034</v>
      </c>
      <c r="AC584" s="14" t="str">
        <f t="shared" si="148"/>
        <v>HPExt</v>
      </c>
      <c r="AD584" s="14">
        <f t="shared" si="149"/>
        <v>3107</v>
      </c>
      <c r="AE584" s="14" t="str">
        <f t="shared" si="150"/>
        <v>[x]</v>
      </c>
      <c r="AF584" s="27" t="str">
        <f t="shared" si="151"/>
        <v>[x]</v>
      </c>
      <c r="AG584" s="27" t="str">
        <f t="shared" si="152"/>
        <v>[x]</v>
      </c>
    </row>
    <row r="585" spans="16:33" ht="16.5" x14ac:dyDescent="0.2">
      <c r="P585" s="13">
        <v>529</v>
      </c>
      <c r="Q585" s="14">
        <f t="shared" si="137"/>
        <v>28</v>
      </c>
      <c r="R585" s="14">
        <f t="shared" si="138"/>
        <v>1606036</v>
      </c>
      <c r="S585" s="14" t="str">
        <f t="shared" si="142"/>
        <v>神器6碎片2等级10</v>
      </c>
      <c r="T585" s="29" t="s">
        <v>520</v>
      </c>
      <c r="U585" s="14">
        <f t="shared" si="139"/>
        <v>10</v>
      </c>
      <c r="V585" s="36">
        <f t="shared" si="143"/>
        <v>0.85000000000000009</v>
      </c>
      <c r="W585" s="17">
        <f t="shared" si="140"/>
        <v>1.7000000000000001E-2</v>
      </c>
      <c r="X585" s="14">
        <f t="shared" si="144"/>
        <v>2</v>
      </c>
      <c r="Y585" s="14">
        <f t="shared" si="145"/>
        <v>3</v>
      </c>
      <c r="Z585" s="14">
        <f t="shared" si="146"/>
        <v>0</v>
      </c>
      <c r="AA585" s="14" t="str">
        <f t="shared" si="147"/>
        <v>DefExt</v>
      </c>
      <c r="AB585" s="14">
        <f t="shared" si="141"/>
        <v>1154</v>
      </c>
      <c r="AC585" s="14" t="str">
        <f t="shared" si="148"/>
        <v>HPExt</v>
      </c>
      <c r="AD585" s="14">
        <f t="shared" si="149"/>
        <v>3465</v>
      </c>
      <c r="AE585" s="14" t="str">
        <f t="shared" si="150"/>
        <v>[x]</v>
      </c>
      <c r="AF585" s="27" t="str">
        <f t="shared" si="151"/>
        <v>[x]</v>
      </c>
      <c r="AG585" s="27" t="str">
        <f t="shared" si="152"/>
        <v>[x]</v>
      </c>
    </row>
    <row r="586" spans="16:33" ht="16.5" x14ac:dyDescent="0.2">
      <c r="P586" s="13">
        <v>530</v>
      </c>
      <c r="Q586" s="14">
        <f t="shared" si="137"/>
        <v>28</v>
      </c>
      <c r="R586" s="14">
        <f t="shared" si="138"/>
        <v>1606036</v>
      </c>
      <c r="S586" s="14" t="str">
        <f t="shared" si="142"/>
        <v>神器6碎片2等级11</v>
      </c>
      <c r="T586" s="29" t="s">
        <v>520</v>
      </c>
      <c r="U586" s="14">
        <f t="shared" si="139"/>
        <v>11</v>
      </c>
      <c r="V586" s="36">
        <f t="shared" si="143"/>
        <v>0.94200000000000006</v>
      </c>
      <c r="W586" s="17">
        <f t="shared" si="140"/>
        <v>1.8840000000000003E-2</v>
      </c>
      <c r="X586" s="14">
        <f t="shared" si="144"/>
        <v>2</v>
      </c>
      <c r="Y586" s="14">
        <f t="shared" si="145"/>
        <v>3</v>
      </c>
      <c r="Z586" s="14">
        <f t="shared" si="146"/>
        <v>0</v>
      </c>
      <c r="AA586" s="14" t="str">
        <f t="shared" si="147"/>
        <v>DefExt</v>
      </c>
      <c r="AB586" s="14">
        <f t="shared" si="141"/>
        <v>1279</v>
      </c>
      <c r="AC586" s="14" t="str">
        <f t="shared" si="148"/>
        <v>HPExt</v>
      </c>
      <c r="AD586" s="14">
        <f t="shared" si="149"/>
        <v>3840</v>
      </c>
      <c r="AE586" s="14" t="str">
        <f t="shared" si="150"/>
        <v>[x]</v>
      </c>
      <c r="AF586" s="27" t="str">
        <f t="shared" si="151"/>
        <v>[x]</v>
      </c>
      <c r="AG586" s="27" t="str">
        <f t="shared" si="152"/>
        <v>[x]</v>
      </c>
    </row>
    <row r="587" spans="16:33" ht="16.5" x14ac:dyDescent="0.2">
      <c r="P587" s="13">
        <v>531</v>
      </c>
      <c r="Q587" s="14">
        <f t="shared" si="137"/>
        <v>28</v>
      </c>
      <c r="R587" s="14">
        <f t="shared" si="138"/>
        <v>1606036</v>
      </c>
      <c r="S587" s="14" t="str">
        <f t="shared" si="142"/>
        <v>神器6碎片2等级12</v>
      </c>
      <c r="T587" s="29" t="s">
        <v>520</v>
      </c>
      <c r="U587" s="14">
        <f t="shared" si="139"/>
        <v>12</v>
      </c>
      <c r="V587" s="36">
        <f t="shared" si="143"/>
        <v>1.0380000000000003</v>
      </c>
      <c r="W587" s="17">
        <f t="shared" si="140"/>
        <v>2.0760000000000004E-2</v>
      </c>
      <c r="X587" s="14">
        <f t="shared" si="144"/>
        <v>2</v>
      </c>
      <c r="Y587" s="14">
        <f t="shared" si="145"/>
        <v>3</v>
      </c>
      <c r="Z587" s="14">
        <f t="shared" si="146"/>
        <v>0</v>
      </c>
      <c r="AA587" s="14" t="str">
        <f t="shared" si="147"/>
        <v>DefExt</v>
      </c>
      <c r="AB587" s="14">
        <f t="shared" si="141"/>
        <v>1409</v>
      </c>
      <c r="AC587" s="14" t="str">
        <f t="shared" si="148"/>
        <v>HPExt</v>
      </c>
      <c r="AD587" s="14">
        <f t="shared" si="149"/>
        <v>4232</v>
      </c>
      <c r="AE587" s="14" t="str">
        <f t="shared" si="150"/>
        <v>[x]</v>
      </c>
      <c r="AF587" s="27" t="str">
        <f t="shared" si="151"/>
        <v>[x]</v>
      </c>
      <c r="AG587" s="27" t="str">
        <f t="shared" si="152"/>
        <v>[x]</v>
      </c>
    </row>
    <row r="588" spans="16:33" ht="16.5" x14ac:dyDescent="0.2">
      <c r="P588" s="13">
        <v>532</v>
      </c>
      <c r="Q588" s="14">
        <f t="shared" si="137"/>
        <v>28</v>
      </c>
      <c r="R588" s="14">
        <f t="shared" si="138"/>
        <v>1606036</v>
      </c>
      <c r="S588" s="14" t="str">
        <f t="shared" si="142"/>
        <v>神器6碎片2等级13</v>
      </c>
      <c r="T588" s="29" t="s">
        <v>520</v>
      </c>
      <c r="U588" s="14">
        <f t="shared" si="139"/>
        <v>13</v>
      </c>
      <c r="V588" s="36">
        <f t="shared" si="143"/>
        <v>1.1380000000000001</v>
      </c>
      <c r="W588" s="17">
        <f t="shared" si="140"/>
        <v>2.2760000000000002E-2</v>
      </c>
      <c r="X588" s="14">
        <f t="shared" si="144"/>
        <v>2</v>
      </c>
      <c r="Y588" s="14">
        <f t="shared" si="145"/>
        <v>3</v>
      </c>
      <c r="Z588" s="14">
        <f t="shared" si="146"/>
        <v>0</v>
      </c>
      <c r="AA588" s="14" t="str">
        <f t="shared" si="147"/>
        <v>DefExt</v>
      </c>
      <c r="AB588" s="14">
        <f t="shared" si="141"/>
        <v>1545</v>
      </c>
      <c r="AC588" s="14" t="str">
        <f t="shared" si="148"/>
        <v>HPExt</v>
      </c>
      <c r="AD588" s="14">
        <f t="shared" si="149"/>
        <v>4640</v>
      </c>
      <c r="AE588" s="14" t="str">
        <f t="shared" si="150"/>
        <v>[x]</v>
      </c>
      <c r="AF588" s="27" t="str">
        <f t="shared" si="151"/>
        <v>[x]</v>
      </c>
      <c r="AG588" s="27" t="str">
        <f t="shared" si="152"/>
        <v>[x]</v>
      </c>
    </row>
    <row r="589" spans="16:33" ht="16.5" x14ac:dyDescent="0.2">
      <c r="P589" s="13">
        <v>533</v>
      </c>
      <c r="Q589" s="14">
        <f t="shared" si="137"/>
        <v>28</v>
      </c>
      <c r="R589" s="14">
        <f t="shared" si="138"/>
        <v>1606036</v>
      </c>
      <c r="S589" s="14" t="str">
        <f t="shared" si="142"/>
        <v>神器6碎片2等级14</v>
      </c>
      <c r="T589" s="29" t="s">
        <v>520</v>
      </c>
      <c r="U589" s="14">
        <f t="shared" si="139"/>
        <v>14</v>
      </c>
      <c r="V589" s="36">
        <f t="shared" si="143"/>
        <v>1.242</v>
      </c>
      <c r="W589" s="17">
        <f t="shared" si="140"/>
        <v>2.4840000000000001E-2</v>
      </c>
      <c r="X589" s="14">
        <f t="shared" si="144"/>
        <v>2</v>
      </c>
      <c r="Y589" s="14">
        <f t="shared" si="145"/>
        <v>3</v>
      </c>
      <c r="Z589" s="14">
        <f t="shared" si="146"/>
        <v>0</v>
      </c>
      <c r="AA589" s="14" t="str">
        <f t="shared" si="147"/>
        <v>DefExt</v>
      </c>
      <c r="AB589" s="14">
        <f t="shared" si="141"/>
        <v>1686</v>
      </c>
      <c r="AC589" s="14" t="str">
        <f t="shared" si="148"/>
        <v>HPExt</v>
      </c>
      <c r="AD589" s="14">
        <f t="shared" si="149"/>
        <v>5064</v>
      </c>
      <c r="AE589" s="14" t="str">
        <f t="shared" si="150"/>
        <v>[x]</v>
      </c>
      <c r="AF589" s="27" t="str">
        <f t="shared" si="151"/>
        <v>[x]</v>
      </c>
      <c r="AG589" s="27" t="str">
        <f t="shared" si="152"/>
        <v>[x]</v>
      </c>
    </row>
    <row r="590" spans="16:33" ht="16.5" x14ac:dyDescent="0.2">
      <c r="P590" s="13">
        <v>534</v>
      </c>
      <c r="Q590" s="14">
        <f t="shared" si="137"/>
        <v>28</v>
      </c>
      <c r="R590" s="14">
        <f t="shared" si="138"/>
        <v>1606036</v>
      </c>
      <c r="S590" s="14" t="str">
        <f t="shared" si="142"/>
        <v>神器6碎片2等级15</v>
      </c>
      <c r="T590" s="29" t="s">
        <v>520</v>
      </c>
      <c r="U590" s="14">
        <f t="shared" si="139"/>
        <v>15</v>
      </c>
      <c r="V590" s="36">
        <f t="shared" si="143"/>
        <v>1.35</v>
      </c>
      <c r="W590" s="17">
        <f t="shared" si="140"/>
        <v>2.7000000000000003E-2</v>
      </c>
      <c r="X590" s="14">
        <f t="shared" si="144"/>
        <v>2</v>
      </c>
      <c r="Y590" s="14">
        <f t="shared" si="145"/>
        <v>3</v>
      </c>
      <c r="Z590" s="14">
        <f t="shared" si="146"/>
        <v>0</v>
      </c>
      <c r="AA590" s="14" t="str">
        <f t="shared" si="147"/>
        <v>DefExt</v>
      </c>
      <c r="AB590" s="14">
        <f t="shared" si="141"/>
        <v>1833</v>
      </c>
      <c r="AC590" s="14" t="str">
        <f t="shared" si="148"/>
        <v>HPExt</v>
      </c>
      <c r="AD590" s="14">
        <f t="shared" si="149"/>
        <v>5504</v>
      </c>
      <c r="AE590" s="14" t="str">
        <f t="shared" si="150"/>
        <v>[x]</v>
      </c>
      <c r="AF590" s="27" t="str">
        <f t="shared" si="151"/>
        <v>[x]</v>
      </c>
      <c r="AG590" s="27" t="str">
        <f t="shared" si="152"/>
        <v>[x]</v>
      </c>
    </row>
    <row r="591" spans="16:33" ht="16.5" x14ac:dyDescent="0.2">
      <c r="P591" s="13">
        <v>535</v>
      </c>
      <c r="Q591" s="14">
        <f t="shared" si="137"/>
        <v>28</v>
      </c>
      <c r="R591" s="14">
        <f t="shared" si="138"/>
        <v>1606036</v>
      </c>
      <c r="S591" s="14" t="str">
        <f t="shared" si="142"/>
        <v>神器6碎片2等级16</v>
      </c>
      <c r="T591" s="29" t="s">
        <v>520</v>
      </c>
      <c r="U591" s="14">
        <f t="shared" si="139"/>
        <v>16</v>
      </c>
      <c r="V591" s="36">
        <f t="shared" si="143"/>
        <v>1.4620000000000002</v>
      </c>
      <c r="W591" s="17">
        <f t="shared" si="140"/>
        <v>2.9240000000000006E-2</v>
      </c>
      <c r="X591" s="14">
        <f t="shared" si="144"/>
        <v>2</v>
      </c>
      <c r="Y591" s="14">
        <f t="shared" si="145"/>
        <v>3</v>
      </c>
      <c r="Z591" s="14">
        <f t="shared" si="146"/>
        <v>0</v>
      </c>
      <c r="AA591" s="14" t="str">
        <f t="shared" si="147"/>
        <v>DefExt</v>
      </c>
      <c r="AB591" s="14">
        <f t="shared" si="141"/>
        <v>1985</v>
      </c>
      <c r="AC591" s="14" t="str">
        <f t="shared" si="148"/>
        <v>HPExt</v>
      </c>
      <c r="AD591" s="14">
        <f t="shared" si="149"/>
        <v>5961</v>
      </c>
      <c r="AE591" s="14" t="str">
        <f t="shared" si="150"/>
        <v>[x]</v>
      </c>
      <c r="AF591" s="27" t="str">
        <f t="shared" si="151"/>
        <v>[x]</v>
      </c>
      <c r="AG591" s="27" t="str">
        <f t="shared" si="152"/>
        <v>[x]</v>
      </c>
    </row>
    <row r="592" spans="16:33" ht="16.5" x14ac:dyDescent="0.2">
      <c r="P592" s="13">
        <v>536</v>
      </c>
      <c r="Q592" s="14">
        <f t="shared" si="137"/>
        <v>28</v>
      </c>
      <c r="R592" s="14">
        <f t="shared" si="138"/>
        <v>1606036</v>
      </c>
      <c r="S592" s="14" t="str">
        <f t="shared" si="142"/>
        <v>神器6碎片2等级17</v>
      </c>
      <c r="T592" s="29" t="s">
        <v>520</v>
      </c>
      <c r="U592" s="14">
        <f t="shared" si="139"/>
        <v>17</v>
      </c>
      <c r="V592" s="36">
        <f t="shared" si="143"/>
        <v>1.5779999999999998</v>
      </c>
      <c r="W592" s="17">
        <f t="shared" si="140"/>
        <v>3.1559999999999998E-2</v>
      </c>
      <c r="X592" s="14">
        <f t="shared" si="144"/>
        <v>2</v>
      </c>
      <c r="Y592" s="14">
        <f t="shared" si="145"/>
        <v>3</v>
      </c>
      <c r="Z592" s="14">
        <f t="shared" si="146"/>
        <v>0</v>
      </c>
      <c r="AA592" s="14" t="str">
        <f t="shared" si="147"/>
        <v>DefExt</v>
      </c>
      <c r="AB592" s="14">
        <f t="shared" si="141"/>
        <v>2142</v>
      </c>
      <c r="AC592" s="14" t="str">
        <f t="shared" si="148"/>
        <v>HPExt</v>
      </c>
      <c r="AD592" s="14">
        <f t="shared" si="149"/>
        <v>6434</v>
      </c>
      <c r="AE592" s="14" t="str">
        <f t="shared" si="150"/>
        <v>[x]</v>
      </c>
      <c r="AF592" s="27" t="str">
        <f t="shared" si="151"/>
        <v>[x]</v>
      </c>
      <c r="AG592" s="27" t="str">
        <f t="shared" si="152"/>
        <v>[x]</v>
      </c>
    </row>
    <row r="593" spans="16:33" ht="16.5" x14ac:dyDescent="0.2">
      <c r="P593" s="13">
        <v>537</v>
      </c>
      <c r="Q593" s="14">
        <f t="shared" si="137"/>
        <v>28</v>
      </c>
      <c r="R593" s="14">
        <f t="shared" si="138"/>
        <v>1606036</v>
      </c>
      <c r="S593" s="14" t="str">
        <f t="shared" si="142"/>
        <v>神器6碎片2等级18</v>
      </c>
      <c r="T593" s="29" t="s">
        <v>520</v>
      </c>
      <c r="U593" s="14">
        <f t="shared" si="139"/>
        <v>18</v>
      </c>
      <c r="V593" s="36">
        <f t="shared" si="143"/>
        <v>1.698</v>
      </c>
      <c r="W593" s="17">
        <f t="shared" si="140"/>
        <v>3.3959999999999997E-2</v>
      </c>
      <c r="X593" s="14">
        <f t="shared" si="144"/>
        <v>2</v>
      </c>
      <c r="Y593" s="14">
        <f t="shared" si="145"/>
        <v>3</v>
      </c>
      <c r="Z593" s="14">
        <f t="shared" si="146"/>
        <v>0</v>
      </c>
      <c r="AA593" s="14" t="str">
        <f t="shared" si="147"/>
        <v>DefExt</v>
      </c>
      <c r="AB593" s="14">
        <f t="shared" si="141"/>
        <v>2305</v>
      </c>
      <c r="AC593" s="14" t="str">
        <f t="shared" si="148"/>
        <v>HPExt</v>
      </c>
      <c r="AD593" s="14">
        <f t="shared" si="149"/>
        <v>6923</v>
      </c>
      <c r="AE593" s="14" t="str">
        <f t="shared" si="150"/>
        <v>[x]</v>
      </c>
      <c r="AF593" s="27" t="str">
        <f t="shared" si="151"/>
        <v>[x]</v>
      </c>
      <c r="AG593" s="27" t="str">
        <f t="shared" si="152"/>
        <v>[x]</v>
      </c>
    </row>
    <row r="594" spans="16:33" ht="16.5" x14ac:dyDescent="0.2">
      <c r="P594" s="13">
        <v>538</v>
      </c>
      <c r="Q594" s="14">
        <f t="shared" si="137"/>
        <v>28</v>
      </c>
      <c r="R594" s="14">
        <f t="shared" si="138"/>
        <v>1606036</v>
      </c>
      <c r="S594" s="14" t="str">
        <f t="shared" si="142"/>
        <v>神器6碎片2等级19</v>
      </c>
      <c r="T594" s="29" t="s">
        <v>520</v>
      </c>
      <c r="U594" s="14">
        <f t="shared" si="139"/>
        <v>19</v>
      </c>
      <c r="V594" s="36">
        <f t="shared" si="143"/>
        <v>1.8220000000000001</v>
      </c>
      <c r="W594" s="17">
        <f t="shared" si="140"/>
        <v>3.644E-2</v>
      </c>
      <c r="X594" s="14">
        <f t="shared" si="144"/>
        <v>2</v>
      </c>
      <c r="Y594" s="14">
        <f t="shared" si="145"/>
        <v>3</v>
      </c>
      <c r="Z594" s="14">
        <f t="shared" si="146"/>
        <v>0</v>
      </c>
      <c r="AA594" s="14" t="str">
        <f t="shared" si="147"/>
        <v>DefExt</v>
      </c>
      <c r="AB594" s="14">
        <f t="shared" si="141"/>
        <v>2474</v>
      </c>
      <c r="AC594" s="14" t="str">
        <f t="shared" si="148"/>
        <v>HPExt</v>
      </c>
      <c r="AD594" s="14">
        <f t="shared" si="149"/>
        <v>7429</v>
      </c>
      <c r="AE594" s="14" t="str">
        <f t="shared" si="150"/>
        <v>[x]</v>
      </c>
      <c r="AF594" s="27" t="str">
        <f t="shared" si="151"/>
        <v>[x]</v>
      </c>
      <c r="AG594" s="27" t="str">
        <f t="shared" si="152"/>
        <v>[x]</v>
      </c>
    </row>
    <row r="595" spans="16:33" ht="16.5" x14ac:dyDescent="0.2">
      <c r="P595" s="13">
        <v>539</v>
      </c>
      <c r="Q595" s="14">
        <f t="shared" si="137"/>
        <v>28</v>
      </c>
      <c r="R595" s="14">
        <f t="shared" si="138"/>
        <v>1606036</v>
      </c>
      <c r="S595" s="14" t="str">
        <f t="shared" si="142"/>
        <v>神器6碎片2等级20</v>
      </c>
      <c r="T595" s="29" t="s">
        <v>520</v>
      </c>
      <c r="U595" s="14">
        <f t="shared" si="139"/>
        <v>20</v>
      </c>
      <c r="V595" s="36">
        <f t="shared" si="143"/>
        <v>1.95</v>
      </c>
      <c r="W595" s="17">
        <f t="shared" si="140"/>
        <v>3.9E-2</v>
      </c>
      <c r="X595" s="14">
        <f t="shared" si="144"/>
        <v>2</v>
      </c>
      <c r="Y595" s="14">
        <f t="shared" si="145"/>
        <v>3</v>
      </c>
      <c r="Z595" s="14">
        <f t="shared" si="146"/>
        <v>0</v>
      </c>
      <c r="AA595" s="14" t="str">
        <f t="shared" si="147"/>
        <v>DefExt</v>
      </c>
      <c r="AB595" s="14">
        <f t="shared" si="141"/>
        <v>2647</v>
      </c>
      <c r="AC595" s="14" t="str">
        <f t="shared" si="148"/>
        <v>HPExt</v>
      </c>
      <c r="AD595" s="14">
        <f t="shared" si="149"/>
        <v>7951</v>
      </c>
      <c r="AE595" s="14" t="str">
        <f t="shared" si="150"/>
        <v>[x]</v>
      </c>
      <c r="AF595" s="27" t="str">
        <f t="shared" si="151"/>
        <v>[x]</v>
      </c>
      <c r="AG595" s="27" t="str">
        <f t="shared" si="152"/>
        <v>[x]</v>
      </c>
    </row>
    <row r="596" spans="16:33" ht="16.5" x14ac:dyDescent="0.2">
      <c r="P596" s="13">
        <v>540</v>
      </c>
      <c r="Q596" s="14">
        <f t="shared" si="137"/>
        <v>28</v>
      </c>
      <c r="R596" s="14">
        <f t="shared" si="138"/>
        <v>1606036</v>
      </c>
      <c r="S596" s="14" t="str">
        <f t="shared" si="142"/>
        <v>神器6碎片2等级21</v>
      </c>
      <c r="T596" s="29" t="s">
        <v>520</v>
      </c>
      <c r="U596" s="14">
        <f t="shared" si="139"/>
        <v>21</v>
      </c>
      <c r="V596" s="36">
        <f t="shared" si="143"/>
        <v>2.0819999999999999</v>
      </c>
      <c r="W596" s="17">
        <f t="shared" si="140"/>
        <v>4.1639999999999996E-2</v>
      </c>
      <c r="X596" s="14">
        <f t="shared" si="144"/>
        <v>2</v>
      </c>
      <c r="Y596" s="14">
        <f t="shared" si="145"/>
        <v>3</v>
      </c>
      <c r="Z596" s="14">
        <f t="shared" si="146"/>
        <v>0</v>
      </c>
      <c r="AA596" s="14" t="str">
        <f t="shared" si="147"/>
        <v>DefExt</v>
      </c>
      <c r="AB596" s="14">
        <f t="shared" si="141"/>
        <v>2827</v>
      </c>
      <c r="AC596" s="14" t="str">
        <f t="shared" si="148"/>
        <v>HPExt</v>
      </c>
      <c r="AD596" s="14">
        <f t="shared" si="149"/>
        <v>8489</v>
      </c>
      <c r="AE596" s="14" t="str">
        <f t="shared" si="150"/>
        <v>[x]</v>
      </c>
      <c r="AF596" s="27" t="str">
        <f t="shared" si="151"/>
        <v>[x]</v>
      </c>
      <c r="AG596" s="27" t="str">
        <f t="shared" si="152"/>
        <v>[x]</v>
      </c>
    </row>
    <row r="597" spans="16:33" ht="16.5" x14ac:dyDescent="0.2">
      <c r="P597" s="13">
        <v>541</v>
      </c>
      <c r="Q597" s="14">
        <f t="shared" si="137"/>
        <v>29</v>
      </c>
      <c r="R597" s="14">
        <f t="shared" si="138"/>
        <v>1606037</v>
      </c>
      <c r="S597" s="14" t="str">
        <f t="shared" si="142"/>
        <v>神器6碎片3等级1</v>
      </c>
      <c r="T597" s="29" t="s">
        <v>520</v>
      </c>
      <c r="U597" s="14">
        <f t="shared" si="139"/>
        <v>1</v>
      </c>
      <c r="V597" s="36">
        <f t="shared" si="143"/>
        <v>0.20200000000000001</v>
      </c>
      <c r="W597" s="17">
        <f t="shared" si="140"/>
        <v>4.0400000000000002E-3</v>
      </c>
      <c r="X597" s="14">
        <f t="shared" si="144"/>
        <v>1</v>
      </c>
      <c r="Y597" s="14">
        <f t="shared" si="145"/>
        <v>2</v>
      </c>
      <c r="Z597" s="14">
        <f t="shared" si="146"/>
        <v>3</v>
      </c>
      <c r="AA597" s="14" t="str">
        <f t="shared" si="147"/>
        <v>AtkExt</v>
      </c>
      <c r="AB597" s="14">
        <f t="shared" si="141"/>
        <v>274</v>
      </c>
      <c r="AC597" s="14" t="str">
        <f t="shared" si="148"/>
        <v>DefExt</v>
      </c>
      <c r="AD597" s="14">
        <f t="shared" si="149"/>
        <v>137</v>
      </c>
      <c r="AE597" s="14" t="str">
        <f t="shared" si="150"/>
        <v>HPExt</v>
      </c>
      <c r="AF597" s="27">
        <f t="shared" si="151"/>
        <v>823</v>
      </c>
      <c r="AG597" s="27" t="str">
        <f t="shared" si="152"/>
        <v>[x]</v>
      </c>
    </row>
    <row r="598" spans="16:33" ht="16.5" x14ac:dyDescent="0.2">
      <c r="P598" s="13">
        <v>542</v>
      </c>
      <c r="Q598" s="14">
        <f t="shared" si="137"/>
        <v>29</v>
      </c>
      <c r="R598" s="14">
        <f t="shared" si="138"/>
        <v>1606037</v>
      </c>
      <c r="S598" s="14" t="str">
        <f t="shared" si="142"/>
        <v>神器6碎片3等级2</v>
      </c>
      <c r="T598" s="29" t="s">
        <v>520</v>
      </c>
      <c r="U598" s="14">
        <f t="shared" si="139"/>
        <v>2</v>
      </c>
      <c r="V598" s="36">
        <f t="shared" si="143"/>
        <v>0.25800000000000001</v>
      </c>
      <c r="W598" s="17">
        <f t="shared" si="140"/>
        <v>5.1600000000000005E-3</v>
      </c>
      <c r="X598" s="14">
        <f t="shared" si="144"/>
        <v>1</v>
      </c>
      <c r="Y598" s="14">
        <f t="shared" si="145"/>
        <v>2</v>
      </c>
      <c r="Z598" s="14">
        <f t="shared" si="146"/>
        <v>3</v>
      </c>
      <c r="AA598" s="14" t="str">
        <f t="shared" si="147"/>
        <v>AtkExt</v>
      </c>
      <c r="AB598" s="14">
        <f t="shared" si="141"/>
        <v>350</v>
      </c>
      <c r="AC598" s="14" t="str">
        <f t="shared" si="148"/>
        <v>DefExt</v>
      </c>
      <c r="AD598" s="14">
        <f t="shared" si="149"/>
        <v>175</v>
      </c>
      <c r="AE598" s="14" t="str">
        <f t="shared" si="150"/>
        <v>HPExt</v>
      </c>
      <c r="AF598" s="27">
        <f t="shared" si="151"/>
        <v>1051</v>
      </c>
      <c r="AG598" s="27" t="str">
        <f t="shared" si="152"/>
        <v>[x]</v>
      </c>
    </row>
    <row r="599" spans="16:33" ht="16.5" x14ac:dyDescent="0.2">
      <c r="P599" s="13">
        <v>543</v>
      </c>
      <c r="Q599" s="14">
        <f t="shared" si="137"/>
        <v>29</v>
      </c>
      <c r="R599" s="14">
        <f t="shared" si="138"/>
        <v>1606037</v>
      </c>
      <c r="S599" s="14" t="str">
        <f t="shared" si="142"/>
        <v>神器6碎片3等级3</v>
      </c>
      <c r="T599" s="29" t="s">
        <v>520</v>
      </c>
      <c r="U599" s="14">
        <f t="shared" si="139"/>
        <v>3</v>
      </c>
      <c r="V599" s="36">
        <f t="shared" si="143"/>
        <v>0.31800000000000006</v>
      </c>
      <c r="W599" s="17">
        <f t="shared" si="140"/>
        <v>6.3600000000000011E-3</v>
      </c>
      <c r="X599" s="14">
        <f t="shared" si="144"/>
        <v>1</v>
      </c>
      <c r="Y599" s="14">
        <f t="shared" si="145"/>
        <v>2</v>
      </c>
      <c r="Z599" s="14">
        <f t="shared" si="146"/>
        <v>3</v>
      </c>
      <c r="AA599" s="14" t="str">
        <f t="shared" si="147"/>
        <v>AtkExt</v>
      </c>
      <c r="AB599" s="14">
        <f t="shared" si="141"/>
        <v>432</v>
      </c>
      <c r="AC599" s="14" t="str">
        <f t="shared" si="148"/>
        <v>DefExt</v>
      </c>
      <c r="AD599" s="14">
        <f t="shared" si="149"/>
        <v>215</v>
      </c>
      <c r="AE599" s="14" t="str">
        <f t="shared" si="150"/>
        <v>HPExt</v>
      </c>
      <c r="AF599" s="27">
        <f t="shared" si="151"/>
        <v>1296</v>
      </c>
      <c r="AG599" s="27" t="str">
        <f t="shared" si="152"/>
        <v>[x]</v>
      </c>
    </row>
    <row r="600" spans="16:33" ht="16.5" x14ac:dyDescent="0.2">
      <c r="P600" s="13">
        <v>544</v>
      </c>
      <c r="Q600" s="14">
        <f t="shared" si="137"/>
        <v>29</v>
      </c>
      <c r="R600" s="14">
        <f t="shared" si="138"/>
        <v>1606037</v>
      </c>
      <c r="S600" s="14" t="str">
        <f t="shared" si="142"/>
        <v>神器6碎片3等级4</v>
      </c>
      <c r="T600" s="29" t="s">
        <v>520</v>
      </c>
      <c r="U600" s="14">
        <f t="shared" si="139"/>
        <v>4</v>
      </c>
      <c r="V600" s="36">
        <f t="shared" si="143"/>
        <v>0.38200000000000001</v>
      </c>
      <c r="W600" s="17">
        <f t="shared" si="140"/>
        <v>7.6400000000000001E-3</v>
      </c>
      <c r="X600" s="14">
        <f t="shared" si="144"/>
        <v>1</v>
      </c>
      <c r="Y600" s="14">
        <f t="shared" si="145"/>
        <v>2</v>
      </c>
      <c r="Z600" s="14">
        <f t="shared" si="146"/>
        <v>3</v>
      </c>
      <c r="AA600" s="14" t="str">
        <f t="shared" si="147"/>
        <v>AtkExt</v>
      </c>
      <c r="AB600" s="14">
        <f t="shared" si="141"/>
        <v>518</v>
      </c>
      <c r="AC600" s="14" t="str">
        <f t="shared" si="148"/>
        <v>DefExt</v>
      </c>
      <c r="AD600" s="14">
        <f t="shared" si="149"/>
        <v>259</v>
      </c>
      <c r="AE600" s="14" t="str">
        <f t="shared" si="150"/>
        <v>HPExt</v>
      </c>
      <c r="AF600" s="27">
        <f t="shared" si="151"/>
        <v>1557</v>
      </c>
      <c r="AG600" s="27" t="str">
        <f t="shared" si="152"/>
        <v>[x]</v>
      </c>
    </row>
    <row r="601" spans="16:33" ht="16.5" x14ac:dyDescent="0.2">
      <c r="P601" s="13">
        <v>545</v>
      </c>
      <c r="Q601" s="14">
        <f t="shared" si="137"/>
        <v>29</v>
      </c>
      <c r="R601" s="14">
        <f t="shared" si="138"/>
        <v>1606037</v>
      </c>
      <c r="S601" s="14" t="str">
        <f t="shared" si="142"/>
        <v>神器6碎片3等级5</v>
      </c>
      <c r="T601" s="29" t="s">
        <v>520</v>
      </c>
      <c r="U601" s="14">
        <f t="shared" si="139"/>
        <v>5</v>
      </c>
      <c r="V601" s="36">
        <f t="shared" si="143"/>
        <v>0.45</v>
      </c>
      <c r="W601" s="17">
        <f t="shared" si="140"/>
        <v>9.0000000000000011E-3</v>
      </c>
      <c r="X601" s="14">
        <f t="shared" si="144"/>
        <v>1</v>
      </c>
      <c r="Y601" s="14">
        <f t="shared" si="145"/>
        <v>2</v>
      </c>
      <c r="Z601" s="14">
        <f t="shared" si="146"/>
        <v>3</v>
      </c>
      <c r="AA601" s="14" t="str">
        <f t="shared" si="147"/>
        <v>AtkExt</v>
      </c>
      <c r="AB601" s="14">
        <f t="shared" si="141"/>
        <v>611</v>
      </c>
      <c r="AC601" s="14" t="str">
        <f t="shared" si="148"/>
        <v>DefExt</v>
      </c>
      <c r="AD601" s="14">
        <f t="shared" si="149"/>
        <v>305</v>
      </c>
      <c r="AE601" s="14" t="str">
        <f t="shared" si="150"/>
        <v>HPExt</v>
      </c>
      <c r="AF601" s="27">
        <f t="shared" si="151"/>
        <v>1834</v>
      </c>
      <c r="AG601" s="27" t="str">
        <f t="shared" si="152"/>
        <v>[x]</v>
      </c>
    </row>
    <row r="602" spans="16:33" ht="16.5" x14ac:dyDescent="0.2">
      <c r="P602" s="13">
        <v>546</v>
      </c>
      <c r="Q602" s="14">
        <f t="shared" si="137"/>
        <v>29</v>
      </c>
      <c r="R602" s="14">
        <f t="shared" si="138"/>
        <v>1606037</v>
      </c>
      <c r="S602" s="14" t="str">
        <f t="shared" si="142"/>
        <v>神器6碎片3等级6</v>
      </c>
      <c r="T602" s="29" t="s">
        <v>520</v>
      </c>
      <c r="U602" s="14">
        <f t="shared" si="139"/>
        <v>6</v>
      </c>
      <c r="V602" s="36">
        <f t="shared" si="143"/>
        <v>0.52200000000000002</v>
      </c>
      <c r="W602" s="17">
        <f t="shared" si="140"/>
        <v>1.0440000000000001E-2</v>
      </c>
      <c r="X602" s="14">
        <f t="shared" si="144"/>
        <v>1</v>
      </c>
      <c r="Y602" s="14">
        <f t="shared" si="145"/>
        <v>2</v>
      </c>
      <c r="Z602" s="14">
        <f t="shared" si="146"/>
        <v>3</v>
      </c>
      <c r="AA602" s="14" t="str">
        <f t="shared" si="147"/>
        <v>AtkExt</v>
      </c>
      <c r="AB602" s="14">
        <f t="shared" si="141"/>
        <v>709</v>
      </c>
      <c r="AC602" s="14" t="str">
        <f t="shared" si="148"/>
        <v>DefExt</v>
      </c>
      <c r="AD602" s="14">
        <f t="shared" si="149"/>
        <v>354</v>
      </c>
      <c r="AE602" s="14" t="str">
        <f t="shared" si="150"/>
        <v>HPExt</v>
      </c>
      <c r="AF602" s="27">
        <f t="shared" si="151"/>
        <v>2128</v>
      </c>
      <c r="AG602" s="27" t="str">
        <f t="shared" si="152"/>
        <v>[x]</v>
      </c>
    </row>
    <row r="603" spans="16:33" ht="16.5" x14ac:dyDescent="0.2">
      <c r="P603" s="13">
        <v>547</v>
      </c>
      <c r="Q603" s="14">
        <f t="shared" si="137"/>
        <v>29</v>
      </c>
      <c r="R603" s="14">
        <f t="shared" si="138"/>
        <v>1606037</v>
      </c>
      <c r="S603" s="14" t="str">
        <f t="shared" si="142"/>
        <v>神器6碎片3等级7</v>
      </c>
      <c r="T603" s="29" t="s">
        <v>520</v>
      </c>
      <c r="U603" s="14">
        <f t="shared" si="139"/>
        <v>7</v>
      </c>
      <c r="V603" s="36">
        <f t="shared" si="143"/>
        <v>0.59799999999999998</v>
      </c>
      <c r="W603" s="17">
        <f t="shared" si="140"/>
        <v>1.196E-2</v>
      </c>
      <c r="X603" s="14">
        <f t="shared" si="144"/>
        <v>1</v>
      </c>
      <c r="Y603" s="14">
        <f t="shared" si="145"/>
        <v>2</v>
      </c>
      <c r="Z603" s="14">
        <f t="shared" si="146"/>
        <v>3</v>
      </c>
      <c r="AA603" s="14" t="str">
        <f t="shared" si="147"/>
        <v>AtkExt</v>
      </c>
      <c r="AB603" s="14">
        <f t="shared" si="141"/>
        <v>812</v>
      </c>
      <c r="AC603" s="14" t="str">
        <f t="shared" si="148"/>
        <v>DefExt</v>
      </c>
      <c r="AD603" s="14">
        <f t="shared" si="149"/>
        <v>406</v>
      </c>
      <c r="AE603" s="14" t="str">
        <f t="shared" si="150"/>
        <v>HPExt</v>
      </c>
      <c r="AF603" s="27">
        <f t="shared" si="151"/>
        <v>2438</v>
      </c>
      <c r="AG603" s="27" t="str">
        <f t="shared" si="152"/>
        <v>[x]</v>
      </c>
    </row>
    <row r="604" spans="16:33" ht="16.5" x14ac:dyDescent="0.2">
      <c r="P604" s="13">
        <v>548</v>
      </c>
      <c r="Q604" s="14">
        <f t="shared" si="137"/>
        <v>29</v>
      </c>
      <c r="R604" s="14">
        <f t="shared" si="138"/>
        <v>1606037</v>
      </c>
      <c r="S604" s="14" t="str">
        <f t="shared" si="142"/>
        <v>神器6碎片3等级8</v>
      </c>
      <c r="T604" s="29" t="s">
        <v>520</v>
      </c>
      <c r="U604" s="14">
        <f t="shared" si="139"/>
        <v>8</v>
      </c>
      <c r="V604" s="36">
        <f t="shared" si="143"/>
        <v>0.67800000000000005</v>
      </c>
      <c r="W604" s="17">
        <f t="shared" si="140"/>
        <v>1.3560000000000001E-2</v>
      </c>
      <c r="X604" s="14">
        <f t="shared" si="144"/>
        <v>1</v>
      </c>
      <c r="Y604" s="14">
        <f t="shared" si="145"/>
        <v>2</v>
      </c>
      <c r="Z604" s="14">
        <f t="shared" si="146"/>
        <v>3</v>
      </c>
      <c r="AA604" s="14" t="str">
        <f t="shared" si="147"/>
        <v>AtkExt</v>
      </c>
      <c r="AB604" s="14">
        <f t="shared" si="141"/>
        <v>921</v>
      </c>
      <c r="AC604" s="14" t="str">
        <f t="shared" si="148"/>
        <v>DefExt</v>
      </c>
      <c r="AD604" s="14">
        <f t="shared" si="149"/>
        <v>460</v>
      </c>
      <c r="AE604" s="14" t="str">
        <f t="shared" si="150"/>
        <v>HPExt</v>
      </c>
      <c r="AF604" s="27">
        <f t="shared" si="151"/>
        <v>2764</v>
      </c>
      <c r="AG604" s="27" t="str">
        <f t="shared" si="152"/>
        <v>[x]</v>
      </c>
    </row>
    <row r="605" spans="16:33" ht="16.5" x14ac:dyDescent="0.2">
      <c r="P605" s="13">
        <v>549</v>
      </c>
      <c r="Q605" s="14">
        <f t="shared" si="137"/>
        <v>29</v>
      </c>
      <c r="R605" s="14">
        <f t="shared" si="138"/>
        <v>1606037</v>
      </c>
      <c r="S605" s="14" t="str">
        <f t="shared" si="142"/>
        <v>神器6碎片3等级9</v>
      </c>
      <c r="T605" s="29" t="s">
        <v>520</v>
      </c>
      <c r="U605" s="14">
        <f t="shared" si="139"/>
        <v>9</v>
      </c>
      <c r="V605" s="36">
        <f t="shared" si="143"/>
        <v>0.76200000000000001</v>
      </c>
      <c r="W605" s="17">
        <f t="shared" si="140"/>
        <v>1.524E-2</v>
      </c>
      <c r="X605" s="14">
        <f t="shared" si="144"/>
        <v>1</v>
      </c>
      <c r="Y605" s="14">
        <f t="shared" si="145"/>
        <v>2</v>
      </c>
      <c r="Z605" s="14">
        <f t="shared" si="146"/>
        <v>3</v>
      </c>
      <c r="AA605" s="14" t="str">
        <f t="shared" si="147"/>
        <v>AtkExt</v>
      </c>
      <c r="AB605" s="14">
        <f t="shared" si="141"/>
        <v>1035</v>
      </c>
      <c r="AC605" s="14" t="str">
        <f t="shared" si="148"/>
        <v>DefExt</v>
      </c>
      <c r="AD605" s="14">
        <f t="shared" si="149"/>
        <v>517</v>
      </c>
      <c r="AE605" s="14" t="str">
        <f t="shared" si="150"/>
        <v>HPExt</v>
      </c>
      <c r="AF605" s="27">
        <f t="shared" si="151"/>
        <v>3107</v>
      </c>
      <c r="AG605" s="27" t="str">
        <f t="shared" si="152"/>
        <v>[x]</v>
      </c>
    </row>
    <row r="606" spans="16:33" ht="16.5" x14ac:dyDescent="0.2">
      <c r="P606" s="13">
        <v>550</v>
      </c>
      <c r="Q606" s="14">
        <f t="shared" si="137"/>
        <v>29</v>
      </c>
      <c r="R606" s="14">
        <f t="shared" si="138"/>
        <v>1606037</v>
      </c>
      <c r="S606" s="14" t="str">
        <f t="shared" si="142"/>
        <v>神器6碎片3等级10</v>
      </c>
      <c r="T606" s="29" t="s">
        <v>520</v>
      </c>
      <c r="U606" s="14">
        <f t="shared" si="139"/>
        <v>10</v>
      </c>
      <c r="V606" s="36">
        <f t="shared" si="143"/>
        <v>0.85000000000000009</v>
      </c>
      <c r="W606" s="17">
        <f t="shared" si="140"/>
        <v>1.7000000000000001E-2</v>
      </c>
      <c r="X606" s="14">
        <f t="shared" si="144"/>
        <v>1</v>
      </c>
      <c r="Y606" s="14">
        <f t="shared" si="145"/>
        <v>2</v>
      </c>
      <c r="Z606" s="14">
        <f t="shared" si="146"/>
        <v>3</v>
      </c>
      <c r="AA606" s="14" t="str">
        <f t="shared" si="147"/>
        <v>AtkExt</v>
      </c>
      <c r="AB606" s="14">
        <f t="shared" si="141"/>
        <v>1154</v>
      </c>
      <c r="AC606" s="14" t="str">
        <f t="shared" si="148"/>
        <v>DefExt</v>
      </c>
      <c r="AD606" s="14">
        <f t="shared" si="149"/>
        <v>577</v>
      </c>
      <c r="AE606" s="14" t="str">
        <f t="shared" si="150"/>
        <v>HPExt</v>
      </c>
      <c r="AF606" s="27">
        <f t="shared" si="151"/>
        <v>3465</v>
      </c>
      <c r="AG606" s="27" t="str">
        <f t="shared" si="152"/>
        <v>[x]</v>
      </c>
    </row>
    <row r="607" spans="16:33" ht="16.5" x14ac:dyDescent="0.2">
      <c r="P607" s="13">
        <v>551</v>
      </c>
      <c r="Q607" s="14">
        <f t="shared" si="137"/>
        <v>29</v>
      </c>
      <c r="R607" s="14">
        <f t="shared" si="138"/>
        <v>1606037</v>
      </c>
      <c r="S607" s="14" t="str">
        <f t="shared" si="142"/>
        <v>神器6碎片3等级11</v>
      </c>
      <c r="T607" s="29" t="s">
        <v>520</v>
      </c>
      <c r="U607" s="14">
        <f t="shared" si="139"/>
        <v>11</v>
      </c>
      <c r="V607" s="36">
        <f t="shared" si="143"/>
        <v>0.94200000000000006</v>
      </c>
      <c r="W607" s="17">
        <f t="shared" si="140"/>
        <v>1.8840000000000003E-2</v>
      </c>
      <c r="X607" s="14">
        <f t="shared" si="144"/>
        <v>1</v>
      </c>
      <c r="Y607" s="14">
        <f t="shared" si="145"/>
        <v>2</v>
      </c>
      <c r="Z607" s="14">
        <f t="shared" si="146"/>
        <v>3</v>
      </c>
      <c r="AA607" s="14" t="str">
        <f t="shared" si="147"/>
        <v>AtkExt</v>
      </c>
      <c r="AB607" s="14">
        <f t="shared" si="141"/>
        <v>1279</v>
      </c>
      <c r="AC607" s="14" t="str">
        <f t="shared" si="148"/>
        <v>DefExt</v>
      </c>
      <c r="AD607" s="14">
        <f t="shared" si="149"/>
        <v>639</v>
      </c>
      <c r="AE607" s="14" t="str">
        <f t="shared" si="150"/>
        <v>HPExt</v>
      </c>
      <c r="AF607" s="27">
        <f t="shared" si="151"/>
        <v>3840</v>
      </c>
      <c r="AG607" s="27" t="str">
        <f t="shared" si="152"/>
        <v>[x]</v>
      </c>
    </row>
    <row r="608" spans="16:33" ht="16.5" x14ac:dyDescent="0.2">
      <c r="P608" s="13">
        <v>552</v>
      </c>
      <c r="Q608" s="14">
        <f t="shared" si="137"/>
        <v>29</v>
      </c>
      <c r="R608" s="14">
        <f t="shared" si="138"/>
        <v>1606037</v>
      </c>
      <c r="S608" s="14" t="str">
        <f t="shared" si="142"/>
        <v>神器6碎片3等级12</v>
      </c>
      <c r="T608" s="29" t="s">
        <v>520</v>
      </c>
      <c r="U608" s="14">
        <f t="shared" si="139"/>
        <v>12</v>
      </c>
      <c r="V608" s="36">
        <f t="shared" si="143"/>
        <v>1.0380000000000003</v>
      </c>
      <c r="W608" s="17">
        <f t="shared" si="140"/>
        <v>2.0760000000000004E-2</v>
      </c>
      <c r="X608" s="14">
        <f t="shared" si="144"/>
        <v>1</v>
      </c>
      <c r="Y608" s="14">
        <f t="shared" si="145"/>
        <v>2</v>
      </c>
      <c r="Z608" s="14">
        <f t="shared" si="146"/>
        <v>3</v>
      </c>
      <c r="AA608" s="14" t="str">
        <f t="shared" si="147"/>
        <v>AtkExt</v>
      </c>
      <c r="AB608" s="14">
        <f t="shared" si="141"/>
        <v>1410</v>
      </c>
      <c r="AC608" s="14" t="str">
        <f t="shared" si="148"/>
        <v>DefExt</v>
      </c>
      <c r="AD608" s="14">
        <f t="shared" si="149"/>
        <v>704</v>
      </c>
      <c r="AE608" s="14" t="str">
        <f t="shared" si="150"/>
        <v>HPExt</v>
      </c>
      <c r="AF608" s="27">
        <f t="shared" si="151"/>
        <v>4232</v>
      </c>
      <c r="AG608" s="27" t="str">
        <f t="shared" si="152"/>
        <v>[x]</v>
      </c>
    </row>
    <row r="609" spans="16:33" ht="16.5" x14ac:dyDescent="0.2">
      <c r="P609" s="13">
        <v>553</v>
      </c>
      <c r="Q609" s="14">
        <f t="shared" si="137"/>
        <v>29</v>
      </c>
      <c r="R609" s="14">
        <f t="shared" si="138"/>
        <v>1606037</v>
      </c>
      <c r="S609" s="14" t="str">
        <f t="shared" si="142"/>
        <v>神器6碎片3等级13</v>
      </c>
      <c r="T609" s="29" t="s">
        <v>520</v>
      </c>
      <c r="U609" s="14">
        <f t="shared" si="139"/>
        <v>13</v>
      </c>
      <c r="V609" s="36">
        <f t="shared" si="143"/>
        <v>1.1380000000000001</v>
      </c>
      <c r="W609" s="17">
        <f t="shared" si="140"/>
        <v>2.2760000000000002E-2</v>
      </c>
      <c r="X609" s="14">
        <f t="shared" si="144"/>
        <v>1</v>
      </c>
      <c r="Y609" s="14">
        <f t="shared" si="145"/>
        <v>2</v>
      </c>
      <c r="Z609" s="14">
        <f t="shared" si="146"/>
        <v>3</v>
      </c>
      <c r="AA609" s="14" t="str">
        <f t="shared" si="147"/>
        <v>AtkExt</v>
      </c>
      <c r="AB609" s="14">
        <f t="shared" si="141"/>
        <v>1546</v>
      </c>
      <c r="AC609" s="14" t="str">
        <f t="shared" si="148"/>
        <v>DefExt</v>
      </c>
      <c r="AD609" s="14">
        <f t="shared" si="149"/>
        <v>772</v>
      </c>
      <c r="AE609" s="14" t="str">
        <f t="shared" si="150"/>
        <v>HPExt</v>
      </c>
      <c r="AF609" s="27">
        <f t="shared" si="151"/>
        <v>4640</v>
      </c>
      <c r="AG609" s="27" t="str">
        <f t="shared" si="152"/>
        <v>[x]</v>
      </c>
    </row>
    <row r="610" spans="16:33" ht="16.5" x14ac:dyDescent="0.2">
      <c r="P610" s="13">
        <v>554</v>
      </c>
      <c r="Q610" s="14">
        <f t="shared" si="137"/>
        <v>29</v>
      </c>
      <c r="R610" s="14">
        <f t="shared" si="138"/>
        <v>1606037</v>
      </c>
      <c r="S610" s="14" t="str">
        <f t="shared" si="142"/>
        <v>神器6碎片3等级14</v>
      </c>
      <c r="T610" s="29" t="s">
        <v>520</v>
      </c>
      <c r="U610" s="14">
        <f t="shared" si="139"/>
        <v>14</v>
      </c>
      <c r="V610" s="36">
        <f t="shared" si="143"/>
        <v>1.242</v>
      </c>
      <c r="W610" s="17">
        <f t="shared" si="140"/>
        <v>2.4840000000000001E-2</v>
      </c>
      <c r="X610" s="14">
        <f t="shared" si="144"/>
        <v>1</v>
      </c>
      <c r="Y610" s="14">
        <f t="shared" si="145"/>
        <v>2</v>
      </c>
      <c r="Z610" s="14">
        <f t="shared" si="146"/>
        <v>3</v>
      </c>
      <c r="AA610" s="14" t="str">
        <f t="shared" si="147"/>
        <v>AtkExt</v>
      </c>
      <c r="AB610" s="14">
        <f t="shared" si="141"/>
        <v>1687</v>
      </c>
      <c r="AC610" s="14" t="str">
        <f t="shared" si="148"/>
        <v>DefExt</v>
      </c>
      <c r="AD610" s="14">
        <f t="shared" si="149"/>
        <v>843</v>
      </c>
      <c r="AE610" s="14" t="str">
        <f t="shared" si="150"/>
        <v>HPExt</v>
      </c>
      <c r="AF610" s="27">
        <f t="shared" si="151"/>
        <v>5064</v>
      </c>
      <c r="AG610" s="27" t="str">
        <f t="shared" si="152"/>
        <v>[x]</v>
      </c>
    </row>
    <row r="611" spans="16:33" ht="16.5" x14ac:dyDescent="0.2">
      <c r="P611" s="13">
        <v>555</v>
      </c>
      <c r="Q611" s="14">
        <f t="shared" si="137"/>
        <v>29</v>
      </c>
      <c r="R611" s="14">
        <f t="shared" si="138"/>
        <v>1606037</v>
      </c>
      <c r="S611" s="14" t="str">
        <f t="shared" si="142"/>
        <v>神器6碎片3等级15</v>
      </c>
      <c r="T611" s="29" t="s">
        <v>520</v>
      </c>
      <c r="U611" s="14">
        <f t="shared" si="139"/>
        <v>15</v>
      </c>
      <c r="V611" s="36">
        <f t="shared" si="143"/>
        <v>1.35</v>
      </c>
      <c r="W611" s="17">
        <f t="shared" si="140"/>
        <v>2.7000000000000003E-2</v>
      </c>
      <c r="X611" s="14">
        <f t="shared" si="144"/>
        <v>1</v>
      </c>
      <c r="Y611" s="14">
        <f t="shared" si="145"/>
        <v>2</v>
      </c>
      <c r="Z611" s="14">
        <f t="shared" si="146"/>
        <v>3</v>
      </c>
      <c r="AA611" s="14" t="str">
        <f t="shared" si="147"/>
        <v>AtkExt</v>
      </c>
      <c r="AB611" s="14">
        <f t="shared" si="141"/>
        <v>1834</v>
      </c>
      <c r="AC611" s="14" t="str">
        <f t="shared" si="148"/>
        <v>DefExt</v>
      </c>
      <c r="AD611" s="14">
        <f t="shared" si="149"/>
        <v>916</v>
      </c>
      <c r="AE611" s="14" t="str">
        <f t="shared" si="150"/>
        <v>HPExt</v>
      </c>
      <c r="AF611" s="27">
        <f t="shared" si="151"/>
        <v>5504</v>
      </c>
      <c r="AG611" s="27" t="str">
        <f t="shared" si="152"/>
        <v>[x]</v>
      </c>
    </row>
    <row r="612" spans="16:33" ht="16.5" x14ac:dyDescent="0.2">
      <c r="P612" s="13">
        <v>556</v>
      </c>
      <c r="Q612" s="14">
        <f t="shared" si="137"/>
        <v>29</v>
      </c>
      <c r="R612" s="14">
        <f t="shared" si="138"/>
        <v>1606037</v>
      </c>
      <c r="S612" s="14" t="str">
        <f t="shared" si="142"/>
        <v>神器6碎片3等级16</v>
      </c>
      <c r="T612" s="29" t="s">
        <v>520</v>
      </c>
      <c r="U612" s="14">
        <f t="shared" si="139"/>
        <v>16</v>
      </c>
      <c r="V612" s="36">
        <f t="shared" si="143"/>
        <v>1.4620000000000002</v>
      </c>
      <c r="W612" s="17">
        <f t="shared" si="140"/>
        <v>2.9240000000000006E-2</v>
      </c>
      <c r="X612" s="14">
        <f t="shared" si="144"/>
        <v>1</v>
      </c>
      <c r="Y612" s="14">
        <f t="shared" si="145"/>
        <v>2</v>
      </c>
      <c r="Z612" s="14">
        <f t="shared" si="146"/>
        <v>3</v>
      </c>
      <c r="AA612" s="14" t="str">
        <f t="shared" si="147"/>
        <v>AtkExt</v>
      </c>
      <c r="AB612" s="14">
        <f t="shared" si="141"/>
        <v>1986</v>
      </c>
      <c r="AC612" s="14" t="str">
        <f t="shared" si="148"/>
        <v>DefExt</v>
      </c>
      <c r="AD612" s="14">
        <f t="shared" si="149"/>
        <v>992</v>
      </c>
      <c r="AE612" s="14" t="str">
        <f t="shared" si="150"/>
        <v>HPExt</v>
      </c>
      <c r="AF612" s="27">
        <f t="shared" si="151"/>
        <v>5961</v>
      </c>
      <c r="AG612" s="27" t="str">
        <f t="shared" si="152"/>
        <v>[x]</v>
      </c>
    </row>
    <row r="613" spans="16:33" ht="16.5" x14ac:dyDescent="0.2">
      <c r="P613" s="13">
        <v>557</v>
      </c>
      <c r="Q613" s="14">
        <f t="shared" si="137"/>
        <v>29</v>
      </c>
      <c r="R613" s="14">
        <f t="shared" si="138"/>
        <v>1606037</v>
      </c>
      <c r="S613" s="14" t="str">
        <f t="shared" si="142"/>
        <v>神器6碎片3等级17</v>
      </c>
      <c r="T613" s="29" t="s">
        <v>520</v>
      </c>
      <c r="U613" s="14">
        <f t="shared" si="139"/>
        <v>17</v>
      </c>
      <c r="V613" s="36">
        <f t="shared" si="143"/>
        <v>1.5779999999999998</v>
      </c>
      <c r="W613" s="17">
        <f t="shared" si="140"/>
        <v>3.1559999999999998E-2</v>
      </c>
      <c r="X613" s="14">
        <f t="shared" si="144"/>
        <v>1</v>
      </c>
      <c r="Y613" s="14">
        <f t="shared" si="145"/>
        <v>2</v>
      </c>
      <c r="Z613" s="14">
        <f t="shared" si="146"/>
        <v>3</v>
      </c>
      <c r="AA613" s="14" t="str">
        <f t="shared" si="147"/>
        <v>AtkExt</v>
      </c>
      <c r="AB613" s="14">
        <f t="shared" si="141"/>
        <v>2143</v>
      </c>
      <c r="AC613" s="14" t="str">
        <f t="shared" si="148"/>
        <v>DefExt</v>
      </c>
      <c r="AD613" s="14">
        <f t="shared" si="149"/>
        <v>1071</v>
      </c>
      <c r="AE613" s="14" t="str">
        <f t="shared" si="150"/>
        <v>HPExt</v>
      </c>
      <c r="AF613" s="27">
        <f t="shared" si="151"/>
        <v>6434</v>
      </c>
      <c r="AG613" s="27" t="str">
        <f t="shared" si="152"/>
        <v>[x]</v>
      </c>
    </row>
    <row r="614" spans="16:33" ht="16.5" x14ac:dyDescent="0.2">
      <c r="P614" s="13">
        <v>558</v>
      </c>
      <c r="Q614" s="14">
        <f t="shared" si="137"/>
        <v>29</v>
      </c>
      <c r="R614" s="14">
        <f t="shared" si="138"/>
        <v>1606037</v>
      </c>
      <c r="S614" s="14" t="str">
        <f t="shared" si="142"/>
        <v>神器6碎片3等级18</v>
      </c>
      <c r="T614" s="29" t="s">
        <v>520</v>
      </c>
      <c r="U614" s="14">
        <f t="shared" si="139"/>
        <v>18</v>
      </c>
      <c r="V614" s="36">
        <f t="shared" si="143"/>
        <v>1.698</v>
      </c>
      <c r="W614" s="17">
        <f t="shared" si="140"/>
        <v>3.3959999999999997E-2</v>
      </c>
      <c r="X614" s="14">
        <f t="shared" si="144"/>
        <v>1</v>
      </c>
      <c r="Y614" s="14">
        <f t="shared" si="145"/>
        <v>2</v>
      </c>
      <c r="Z614" s="14">
        <f t="shared" si="146"/>
        <v>3</v>
      </c>
      <c r="AA614" s="14" t="str">
        <f t="shared" si="147"/>
        <v>AtkExt</v>
      </c>
      <c r="AB614" s="14">
        <f t="shared" si="141"/>
        <v>2306</v>
      </c>
      <c r="AC614" s="14" t="str">
        <f t="shared" si="148"/>
        <v>DefExt</v>
      </c>
      <c r="AD614" s="14">
        <f t="shared" si="149"/>
        <v>1152</v>
      </c>
      <c r="AE614" s="14" t="str">
        <f t="shared" si="150"/>
        <v>HPExt</v>
      </c>
      <c r="AF614" s="27">
        <f t="shared" si="151"/>
        <v>6923</v>
      </c>
      <c r="AG614" s="27" t="str">
        <f t="shared" si="152"/>
        <v>[x]</v>
      </c>
    </row>
    <row r="615" spans="16:33" ht="16.5" x14ac:dyDescent="0.2">
      <c r="P615" s="13">
        <v>559</v>
      </c>
      <c r="Q615" s="14">
        <f t="shared" si="137"/>
        <v>29</v>
      </c>
      <c r="R615" s="14">
        <f t="shared" si="138"/>
        <v>1606037</v>
      </c>
      <c r="S615" s="14" t="str">
        <f t="shared" si="142"/>
        <v>神器6碎片3等级19</v>
      </c>
      <c r="T615" s="29" t="s">
        <v>520</v>
      </c>
      <c r="U615" s="14">
        <f t="shared" si="139"/>
        <v>19</v>
      </c>
      <c r="V615" s="36">
        <f t="shared" si="143"/>
        <v>1.8220000000000001</v>
      </c>
      <c r="W615" s="17">
        <f t="shared" si="140"/>
        <v>3.644E-2</v>
      </c>
      <c r="X615" s="14">
        <f t="shared" si="144"/>
        <v>1</v>
      </c>
      <c r="Y615" s="14">
        <f t="shared" si="145"/>
        <v>2</v>
      </c>
      <c r="Z615" s="14">
        <f t="shared" si="146"/>
        <v>3</v>
      </c>
      <c r="AA615" s="14" t="str">
        <f t="shared" si="147"/>
        <v>AtkExt</v>
      </c>
      <c r="AB615" s="14">
        <f t="shared" si="141"/>
        <v>2475</v>
      </c>
      <c r="AC615" s="14" t="str">
        <f t="shared" si="148"/>
        <v>DefExt</v>
      </c>
      <c r="AD615" s="14">
        <f t="shared" si="149"/>
        <v>1237</v>
      </c>
      <c r="AE615" s="14" t="str">
        <f t="shared" si="150"/>
        <v>HPExt</v>
      </c>
      <c r="AF615" s="27">
        <f t="shared" si="151"/>
        <v>7429</v>
      </c>
      <c r="AG615" s="27" t="str">
        <f t="shared" si="152"/>
        <v>[x]</v>
      </c>
    </row>
    <row r="616" spans="16:33" ht="16.5" x14ac:dyDescent="0.2">
      <c r="P616" s="13">
        <v>560</v>
      </c>
      <c r="Q616" s="14">
        <f t="shared" si="137"/>
        <v>29</v>
      </c>
      <c r="R616" s="14">
        <f t="shared" si="138"/>
        <v>1606037</v>
      </c>
      <c r="S616" s="14" t="str">
        <f t="shared" si="142"/>
        <v>神器6碎片3等级20</v>
      </c>
      <c r="T616" s="29" t="s">
        <v>520</v>
      </c>
      <c r="U616" s="14">
        <f t="shared" si="139"/>
        <v>20</v>
      </c>
      <c r="V616" s="36">
        <f t="shared" si="143"/>
        <v>1.95</v>
      </c>
      <c r="W616" s="17">
        <f t="shared" si="140"/>
        <v>3.9E-2</v>
      </c>
      <c r="X616" s="14">
        <f t="shared" si="144"/>
        <v>1</v>
      </c>
      <c r="Y616" s="14">
        <f t="shared" si="145"/>
        <v>2</v>
      </c>
      <c r="Z616" s="14">
        <f t="shared" si="146"/>
        <v>3</v>
      </c>
      <c r="AA616" s="14" t="str">
        <f t="shared" si="147"/>
        <v>AtkExt</v>
      </c>
      <c r="AB616" s="14">
        <f t="shared" si="141"/>
        <v>2649</v>
      </c>
      <c r="AC616" s="14" t="str">
        <f t="shared" si="148"/>
        <v>DefExt</v>
      </c>
      <c r="AD616" s="14">
        <f t="shared" si="149"/>
        <v>1323</v>
      </c>
      <c r="AE616" s="14" t="str">
        <f t="shared" si="150"/>
        <v>HPExt</v>
      </c>
      <c r="AF616" s="27">
        <f t="shared" si="151"/>
        <v>7951</v>
      </c>
      <c r="AG616" s="27" t="str">
        <f t="shared" si="152"/>
        <v>[x]</v>
      </c>
    </row>
    <row r="617" spans="16:33" ht="16.5" x14ac:dyDescent="0.2">
      <c r="P617" s="13">
        <v>561</v>
      </c>
      <c r="Q617" s="14">
        <f t="shared" si="137"/>
        <v>29</v>
      </c>
      <c r="R617" s="14">
        <f t="shared" si="138"/>
        <v>1606037</v>
      </c>
      <c r="S617" s="14" t="str">
        <f t="shared" si="142"/>
        <v>神器6碎片3等级21</v>
      </c>
      <c r="T617" s="29" t="s">
        <v>520</v>
      </c>
      <c r="U617" s="14">
        <f t="shared" si="139"/>
        <v>21</v>
      </c>
      <c r="V617" s="36">
        <f t="shared" si="143"/>
        <v>2.0819999999999999</v>
      </c>
      <c r="W617" s="17">
        <f t="shared" si="140"/>
        <v>4.1639999999999996E-2</v>
      </c>
      <c r="X617" s="14">
        <f t="shared" si="144"/>
        <v>1</v>
      </c>
      <c r="Y617" s="14">
        <f t="shared" si="145"/>
        <v>2</v>
      </c>
      <c r="Z617" s="14">
        <f t="shared" si="146"/>
        <v>3</v>
      </c>
      <c r="AA617" s="14" t="str">
        <f t="shared" si="147"/>
        <v>AtkExt</v>
      </c>
      <c r="AB617" s="14">
        <f t="shared" si="141"/>
        <v>2828</v>
      </c>
      <c r="AC617" s="14" t="str">
        <f t="shared" si="148"/>
        <v>DefExt</v>
      </c>
      <c r="AD617" s="14">
        <f t="shared" si="149"/>
        <v>1413</v>
      </c>
      <c r="AE617" s="14" t="str">
        <f t="shared" si="150"/>
        <v>HPExt</v>
      </c>
      <c r="AF617" s="27">
        <f t="shared" si="151"/>
        <v>8489</v>
      </c>
      <c r="AG617" s="27" t="str">
        <f t="shared" si="152"/>
        <v>[x]</v>
      </c>
    </row>
    <row r="618" spans="16:33" ht="16.5" x14ac:dyDescent="0.2">
      <c r="P618" s="13">
        <v>562</v>
      </c>
      <c r="Q618" s="14">
        <f t="shared" si="137"/>
        <v>30</v>
      </c>
      <c r="R618" s="14">
        <f t="shared" si="138"/>
        <v>1606038</v>
      </c>
      <c r="S618" s="14" t="str">
        <f t="shared" si="142"/>
        <v>神器6碎片4等级1</v>
      </c>
      <c r="T618" s="29" t="s">
        <v>520</v>
      </c>
      <c r="U618" s="14">
        <f t="shared" si="139"/>
        <v>1</v>
      </c>
      <c r="V618" s="36">
        <f t="shared" si="143"/>
        <v>0.20200000000000001</v>
      </c>
      <c r="W618" s="17">
        <f t="shared" si="140"/>
        <v>6.0600000000000003E-3</v>
      </c>
      <c r="X618" s="14">
        <f t="shared" si="144"/>
        <v>1</v>
      </c>
      <c r="Y618" s="14">
        <f t="shared" si="145"/>
        <v>2</v>
      </c>
      <c r="Z618" s="14">
        <f t="shared" si="146"/>
        <v>0</v>
      </c>
      <c r="AA618" s="14" t="str">
        <f t="shared" si="147"/>
        <v>AtkExt</v>
      </c>
      <c r="AB618" s="14">
        <f t="shared" si="141"/>
        <v>411</v>
      </c>
      <c r="AC618" s="14" t="str">
        <f t="shared" si="148"/>
        <v>DefExt</v>
      </c>
      <c r="AD618" s="14">
        <f t="shared" si="149"/>
        <v>411</v>
      </c>
      <c r="AE618" s="14" t="str">
        <f t="shared" si="150"/>
        <v>[x]</v>
      </c>
      <c r="AF618" s="27" t="str">
        <f t="shared" si="151"/>
        <v>[x]</v>
      </c>
      <c r="AG618" s="27" t="str">
        <f t="shared" si="152"/>
        <v>[x]</v>
      </c>
    </row>
    <row r="619" spans="16:33" ht="16.5" x14ac:dyDescent="0.2">
      <c r="P619" s="13">
        <v>563</v>
      </c>
      <c r="Q619" s="14">
        <f t="shared" si="137"/>
        <v>30</v>
      </c>
      <c r="R619" s="14">
        <f t="shared" si="138"/>
        <v>1606038</v>
      </c>
      <c r="S619" s="14" t="str">
        <f t="shared" si="142"/>
        <v>神器6碎片4等级2</v>
      </c>
      <c r="T619" s="29" t="s">
        <v>520</v>
      </c>
      <c r="U619" s="14">
        <f t="shared" si="139"/>
        <v>2</v>
      </c>
      <c r="V619" s="36">
        <f t="shared" si="143"/>
        <v>0.25800000000000001</v>
      </c>
      <c r="W619" s="17">
        <f t="shared" si="140"/>
        <v>7.7400000000000004E-3</v>
      </c>
      <c r="X619" s="14">
        <f t="shared" si="144"/>
        <v>1</v>
      </c>
      <c r="Y619" s="14">
        <f t="shared" si="145"/>
        <v>2</v>
      </c>
      <c r="Z619" s="14">
        <f t="shared" si="146"/>
        <v>0</v>
      </c>
      <c r="AA619" s="14" t="str">
        <f t="shared" si="147"/>
        <v>AtkExt</v>
      </c>
      <c r="AB619" s="14">
        <f t="shared" si="141"/>
        <v>525</v>
      </c>
      <c r="AC619" s="14" t="str">
        <f t="shared" si="148"/>
        <v>DefExt</v>
      </c>
      <c r="AD619" s="14">
        <f t="shared" si="149"/>
        <v>525</v>
      </c>
      <c r="AE619" s="14" t="str">
        <f t="shared" si="150"/>
        <v>[x]</v>
      </c>
      <c r="AF619" s="27" t="str">
        <f t="shared" si="151"/>
        <v>[x]</v>
      </c>
      <c r="AG619" s="27" t="str">
        <f t="shared" si="152"/>
        <v>[x]</v>
      </c>
    </row>
    <row r="620" spans="16:33" ht="16.5" x14ac:dyDescent="0.2">
      <c r="P620" s="13">
        <v>564</v>
      </c>
      <c r="Q620" s="14">
        <f t="shared" si="137"/>
        <v>30</v>
      </c>
      <c r="R620" s="14">
        <f t="shared" si="138"/>
        <v>1606038</v>
      </c>
      <c r="S620" s="14" t="str">
        <f t="shared" si="142"/>
        <v>神器6碎片4等级3</v>
      </c>
      <c r="T620" s="29" t="s">
        <v>520</v>
      </c>
      <c r="U620" s="14">
        <f t="shared" si="139"/>
        <v>3</v>
      </c>
      <c r="V620" s="36">
        <f t="shared" si="143"/>
        <v>0.31800000000000006</v>
      </c>
      <c r="W620" s="17">
        <f t="shared" si="140"/>
        <v>9.5400000000000016E-3</v>
      </c>
      <c r="X620" s="14">
        <f t="shared" si="144"/>
        <v>1</v>
      </c>
      <c r="Y620" s="14">
        <f t="shared" si="145"/>
        <v>2</v>
      </c>
      <c r="Z620" s="14">
        <f t="shared" si="146"/>
        <v>0</v>
      </c>
      <c r="AA620" s="14" t="str">
        <f t="shared" si="147"/>
        <v>AtkExt</v>
      </c>
      <c r="AB620" s="14">
        <f t="shared" si="141"/>
        <v>648</v>
      </c>
      <c r="AC620" s="14" t="str">
        <f t="shared" si="148"/>
        <v>DefExt</v>
      </c>
      <c r="AD620" s="14">
        <f t="shared" si="149"/>
        <v>647</v>
      </c>
      <c r="AE620" s="14" t="str">
        <f t="shared" si="150"/>
        <v>[x]</v>
      </c>
      <c r="AF620" s="27" t="str">
        <f t="shared" si="151"/>
        <v>[x]</v>
      </c>
      <c r="AG620" s="27" t="str">
        <f t="shared" si="152"/>
        <v>[x]</v>
      </c>
    </row>
    <row r="621" spans="16:33" ht="16.5" x14ac:dyDescent="0.2">
      <c r="P621" s="13">
        <v>565</v>
      </c>
      <c r="Q621" s="14">
        <f t="shared" si="137"/>
        <v>30</v>
      </c>
      <c r="R621" s="14">
        <f t="shared" si="138"/>
        <v>1606038</v>
      </c>
      <c r="S621" s="14" t="str">
        <f t="shared" si="142"/>
        <v>神器6碎片4等级4</v>
      </c>
      <c r="T621" s="29" t="s">
        <v>520</v>
      </c>
      <c r="U621" s="14">
        <f t="shared" si="139"/>
        <v>4</v>
      </c>
      <c r="V621" s="36">
        <f t="shared" si="143"/>
        <v>0.38200000000000001</v>
      </c>
      <c r="W621" s="17">
        <f t="shared" si="140"/>
        <v>1.146E-2</v>
      </c>
      <c r="X621" s="14">
        <f t="shared" si="144"/>
        <v>1</v>
      </c>
      <c r="Y621" s="14">
        <f t="shared" si="145"/>
        <v>2</v>
      </c>
      <c r="Z621" s="14">
        <f t="shared" si="146"/>
        <v>0</v>
      </c>
      <c r="AA621" s="14" t="str">
        <f t="shared" si="147"/>
        <v>AtkExt</v>
      </c>
      <c r="AB621" s="14">
        <f t="shared" si="141"/>
        <v>778</v>
      </c>
      <c r="AC621" s="14" t="str">
        <f t="shared" si="148"/>
        <v>DefExt</v>
      </c>
      <c r="AD621" s="14">
        <f t="shared" si="149"/>
        <v>778</v>
      </c>
      <c r="AE621" s="14" t="str">
        <f t="shared" si="150"/>
        <v>[x]</v>
      </c>
      <c r="AF621" s="27" t="str">
        <f t="shared" si="151"/>
        <v>[x]</v>
      </c>
      <c r="AG621" s="27" t="str">
        <f t="shared" si="152"/>
        <v>[x]</v>
      </c>
    </row>
    <row r="622" spans="16:33" ht="16.5" x14ac:dyDescent="0.2">
      <c r="P622" s="13">
        <v>566</v>
      </c>
      <c r="Q622" s="14">
        <f t="shared" si="137"/>
        <v>30</v>
      </c>
      <c r="R622" s="14">
        <f t="shared" si="138"/>
        <v>1606038</v>
      </c>
      <c r="S622" s="14" t="str">
        <f t="shared" si="142"/>
        <v>神器6碎片4等级5</v>
      </c>
      <c r="T622" s="29" t="s">
        <v>520</v>
      </c>
      <c r="U622" s="14">
        <f t="shared" si="139"/>
        <v>5</v>
      </c>
      <c r="V622" s="36">
        <f t="shared" si="143"/>
        <v>0.45</v>
      </c>
      <c r="W622" s="17">
        <f t="shared" si="140"/>
        <v>1.35E-2</v>
      </c>
      <c r="X622" s="14">
        <f t="shared" si="144"/>
        <v>1</v>
      </c>
      <c r="Y622" s="14">
        <f t="shared" si="145"/>
        <v>2</v>
      </c>
      <c r="Z622" s="14">
        <f t="shared" si="146"/>
        <v>0</v>
      </c>
      <c r="AA622" s="14" t="str">
        <f t="shared" si="147"/>
        <v>AtkExt</v>
      </c>
      <c r="AB622" s="14">
        <f t="shared" si="141"/>
        <v>917</v>
      </c>
      <c r="AC622" s="14" t="str">
        <f t="shared" si="148"/>
        <v>DefExt</v>
      </c>
      <c r="AD622" s="14">
        <f t="shared" si="149"/>
        <v>916</v>
      </c>
      <c r="AE622" s="14" t="str">
        <f t="shared" si="150"/>
        <v>[x]</v>
      </c>
      <c r="AF622" s="27" t="str">
        <f t="shared" si="151"/>
        <v>[x]</v>
      </c>
      <c r="AG622" s="27" t="str">
        <f t="shared" si="152"/>
        <v>[x]</v>
      </c>
    </row>
    <row r="623" spans="16:33" ht="16.5" x14ac:dyDescent="0.2">
      <c r="P623" s="13">
        <v>567</v>
      </c>
      <c r="Q623" s="14">
        <f t="shared" si="137"/>
        <v>30</v>
      </c>
      <c r="R623" s="14">
        <f t="shared" si="138"/>
        <v>1606038</v>
      </c>
      <c r="S623" s="14" t="str">
        <f t="shared" si="142"/>
        <v>神器6碎片4等级6</v>
      </c>
      <c r="T623" s="29" t="s">
        <v>520</v>
      </c>
      <c r="U623" s="14">
        <f t="shared" si="139"/>
        <v>6</v>
      </c>
      <c r="V623" s="36">
        <f t="shared" si="143"/>
        <v>0.52200000000000002</v>
      </c>
      <c r="W623" s="17">
        <f t="shared" si="140"/>
        <v>1.566E-2</v>
      </c>
      <c r="X623" s="14">
        <f t="shared" si="144"/>
        <v>1</v>
      </c>
      <c r="Y623" s="14">
        <f t="shared" si="145"/>
        <v>2</v>
      </c>
      <c r="Z623" s="14">
        <f t="shared" si="146"/>
        <v>0</v>
      </c>
      <c r="AA623" s="14" t="str">
        <f t="shared" si="147"/>
        <v>AtkExt</v>
      </c>
      <c r="AB623" s="14">
        <f t="shared" si="141"/>
        <v>1063</v>
      </c>
      <c r="AC623" s="14" t="str">
        <f t="shared" si="148"/>
        <v>DefExt</v>
      </c>
      <c r="AD623" s="14">
        <f t="shared" si="149"/>
        <v>1063</v>
      </c>
      <c r="AE623" s="14" t="str">
        <f t="shared" si="150"/>
        <v>[x]</v>
      </c>
      <c r="AF623" s="27" t="str">
        <f t="shared" si="151"/>
        <v>[x]</v>
      </c>
      <c r="AG623" s="27" t="str">
        <f t="shared" si="152"/>
        <v>[x]</v>
      </c>
    </row>
    <row r="624" spans="16:33" ht="16.5" x14ac:dyDescent="0.2">
      <c r="P624" s="13">
        <v>568</v>
      </c>
      <c r="Q624" s="14">
        <f t="shared" si="137"/>
        <v>30</v>
      </c>
      <c r="R624" s="14">
        <f t="shared" si="138"/>
        <v>1606038</v>
      </c>
      <c r="S624" s="14" t="str">
        <f t="shared" si="142"/>
        <v>神器6碎片4等级7</v>
      </c>
      <c r="T624" s="29" t="s">
        <v>520</v>
      </c>
      <c r="U624" s="14">
        <f t="shared" si="139"/>
        <v>7</v>
      </c>
      <c r="V624" s="36">
        <f t="shared" si="143"/>
        <v>0.59799999999999998</v>
      </c>
      <c r="W624" s="17">
        <f t="shared" si="140"/>
        <v>1.7939999999999998E-2</v>
      </c>
      <c r="X624" s="14">
        <f t="shared" si="144"/>
        <v>1</v>
      </c>
      <c r="Y624" s="14">
        <f t="shared" si="145"/>
        <v>2</v>
      </c>
      <c r="Z624" s="14">
        <f t="shared" si="146"/>
        <v>0</v>
      </c>
      <c r="AA624" s="14" t="str">
        <f t="shared" si="147"/>
        <v>AtkExt</v>
      </c>
      <c r="AB624" s="14">
        <f t="shared" si="141"/>
        <v>1218</v>
      </c>
      <c r="AC624" s="14" t="str">
        <f t="shared" si="148"/>
        <v>DefExt</v>
      </c>
      <c r="AD624" s="14">
        <f t="shared" si="149"/>
        <v>1218</v>
      </c>
      <c r="AE624" s="14" t="str">
        <f t="shared" si="150"/>
        <v>[x]</v>
      </c>
      <c r="AF624" s="27" t="str">
        <f t="shared" si="151"/>
        <v>[x]</v>
      </c>
      <c r="AG624" s="27" t="str">
        <f t="shared" si="152"/>
        <v>[x]</v>
      </c>
    </row>
    <row r="625" spans="16:33" ht="16.5" x14ac:dyDescent="0.2">
      <c r="P625" s="13">
        <v>569</v>
      </c>
      <c r="Q625" s="14">
        <f t="shared" si="137"/>
        <v>30</v>
      </c>
      <c r="R625" s="14">
        <f t="shared" si="138"/>
        <v>1606038</v>
      </c>
      <c r="S625" s="14" t="str">
        <f t="shared" si="142"/>
        <v>神器6碎片4等级8</v>
      </c>
      <c r="T625" s="29" t="s">
        <v>520</v>
      </c>
      <c r="U625" s="14">
        <f t="shared" si="139"/>
        <v>8</v>
      </c>
      <c r="V625" s="36">
        <f t="shared" si="143"/>
        <v>0.67800000000000005</v>
      </c>
      <c r="W625" s="17">
        <f t="shared" si="140"/>
        <v>2.034E-2</v>
      </c>
      <c r="X625" s="14">
        <f t="shared" si="144"/>
        <v>1</v>
      </c>
      <c r="Y625" s="14">
        <f t="shared" si="145"/>
        <v>2</v>
      </c>
      <c r="Z625" s="14">
        <f t="shared" si="146"/>
        <v>0</v>
      </c>
      <c r="AA625" s="14" t="str">
        <f t="shared" si="147"/>
        <v>AtkExt</v>
      </c>
      <c r="AB625" s="14">
        <f t="shared" si="141"/>
        <v>1381</v>
      </c>
      <c r="AC625" s="14" t="str">
        <f t="shared" si="148"/>
        <v>DefExt</v>
      </c>
      <c r="AD625" s="14">
        <f t="shared" si="149"/>
        <v>1380</v>
      </c>
      <c r="AE625" s="14" t="str">
        <f t="shared" si="150"/>
        <v>[x]</v>
      </c>
      <c r="AF625" s="27" t="str">
        <f t="shared" si="151"/>
        <v>[x]</v>
      </c>
      <c r="AG625" s="27" t="str">
        <f t="shared" si="152"/>
        <v>[x]</v>
      </c>
    </row>
    <row r="626" spans="16:33" ht="16.5" x14ac:dyDescent="0.2">
      <c r="P626" s="13">
        <v>570</v>
      </c>
      <c r="Q626" s="14">
        <f t="shared" si="137"/>
        <v>30</v>
      </c>
      <c r="R626" s="14">
        <f t="shared" si="138"/>
        <v>1606038</v>
      </c>
      <c r="S626" s="14" t="str">
        <f t="shared" si="142"/>
        <v>神器6碎片4等级9</v>
      </c>
      <c r="T626" s="29" t="s">
        <v>520</v>
      </c>
      <c r="U626" s="14">
        <f t="shared" si="139"/>
        <v>9</v>
      </c>
      <c r="V626" s="36">
        <f t="shared" si="143"/>
        <v>0.76200000000000001</v>
      </c>
      <c r="W626" s="17">
        <f t="shared" si="140"/>
        <v>2.2859999999999998E-2</v>
      </c>
      <c r="X626" s="14">
        <f t="shared" si="144"/>
        <v>1</v>
      </c>
      <c r="Y626" s="14">
        <f t="shared" si="145"/>
        <v>2</v>
      </c>
      <c r="Z626" s="14">
        <f t="shared" si="146"/>
        <v>0</v>
      </c>
      <c r="AA626" s="14" t="str">
        <f t="shared" si="147"/>
        <v>AtkExt</v>
      </c>
      <c r="AB626" s="14">
        <f t="shared" si="141"/>
        <v>1552</v>
      </c>
      <c r="AC626" s="14" t="str">
        <f t="shared" si="148"/>
        <v>DefExt</v>
      </c>
      <c r="AD626" s="14">
        <f t="shared" si="149"/>
        <v>1552</v>
      </c>
      <c r="AE626" s="14" t="str">
        <f t="shared" si="150"/>
        <v>[x]</v>
      </c>
      <c r="AF626" s="27" t="str">
        <f t="shared" si="151"/>
        <v>[x]</v>
      </c>
      <c r="AG626" s="27" t="str">
        <f t="shared" si="152"/>
        <v>[x]</v>
      </c>
    </row>
    <row r="627" spans="16:33" ht="16.5" x14ac:dyDescent="0.2">
      <c r="P627" s="13">
        <v>571</v>
      </c>
      <c r="Q627" s="14">
        <f t="shared" si="137"/>
        <v>30</v>
      </c>
      <c r="R627" s="14">
        <f t="shared" si="138"/>
        <v>1606038</v>
      </c>
      <c r="S627" s="14" t="str">
        <f t="shared" si="142"/>
        <v>神器6碎片4等级10</v>
      </c>
      <c r="T627" s="29" t="s">
        <v>520</v>
      </c>
      <c r="U627" s="14">
        <f t="shared" si="139"/>
        <v>10</v>
      </c>
      <c r="V627" s="36">
        <f t="shared" si="143"/>
        <v>0.85000000000000009</v>
      </c>
      <c r="W627" s="17">
        <f t="shared" si="140"/>
        <v>2.5500000000000002E-2</v>
      </c>
      <c r="X627" s="14">
        <f t="shared" si="144"/>
        <v>1</v>
      </c>
      <c r="Y627" s="14">
        <f t="shared" si="145"/>
        <v>2</v>
      </c>
      <c r="Z627" s="14">
        <f t="shared" si="146"/>
        <v>0</v>
      </c>
      <c r="AA627" s="14" t="str">
        <f t="shared" si="147"/>
        <v>AtkExt</v>
      </c>
      <c r="AB627" s="14">
        <f t="shared" si="141"/>
        <v>1732</v>
      </c>
      <c r="AC627" s="14" t="str">
        <f t="shared" si="148"/>
        <v>DefExt</v>
      </c>
      <c r="AD627" s="14">
        <f t="shared" si="149"/>
        <v>1731</v>
      </c>
      <c r="AE627" s="14" t="str">
        <f t="shared" si="150"/>
        <v>[x]</v>
      </c>
      <c r="AF627" s="27" t="str">
        <f t="shared" si="151"/>
        <v>[x]</v>
      </c>
      <c r="AG627" s="27" t="str">
        <f t="shared" si="152"/>
        <v>[x]</v>
      </c>
    </row>
    <row r="628" spans="16:33" ht="16.5" x14ac:dyDescent="0.2">
      <c r="P628" s="13">
        <v>572</v>
      </c>
      <c r="Q628" s="14">
        <f t="shared" si="137"/>
        <v>30</v>
      </c>
      <c r="R628" s="14">
        <f t="shared" si="138"/>
        <v>1606038</v>
      </c>
      <c r="S628" s="14" t="str">
        <f t="shared" si="142"/>
        <v>神器6碎片4等级11</v>
      </c>
      <c r="T628" s="29" t="s">
        <v>520</v>
      </c>
      <c r="U628" s="14">
        <f t="shared" si="139"/>
        <v>11</v>
      </c>
      <c r="V628" s="36">
        <f t="shared" si="143"/>
        <v>0.94200000000000006</v>
      </c>
      <c r="W628" s="17">
        <f t="shared" si="140"/>
        <v>2.826E-2</v>
      </c>
      <c r="X628" s="14">
        <f t="shared" si="144"/>
        <v>1</v>
      </c>
      <c r="Y628" s="14">
        <f t="shared" si="145"/>
        <v>2</v>
      </c>
      <c r="Z628" s="14">
        <f t="shared" si="146"/>
        <v>0</v>
      </c>
      <c r="AA628" s="14" t="str">
        <f t="shared" si="147"/>
        <v>AtkExt</v>
      </c>
      <c r="AB628" s="14">
        <f t="shared" si="141"/>
        <v>1919</v>
      </c>
      <c r="AC628" s="14" t="str">
        <f t="shared" si="148"/>
        <v>DefExt</v>
      </c>
      <c r="AD628" s="14">
        <f t="shared" si="149"/>
        <v>1918</v>
      </c>
      <c r="AE628" s="14" t="str">
        <f t="shared" si="150"/>
        <v>[x]</v>
      </c>
      <c r="AF628" s="27" t="str">
        <f t="shared" si="151"/>
        <v>[x]</v>
      </c>
      <c r="AG628" s="27" t="str">
        <f t="shared" si="152"/>
        <v>[x]</v>
      </c>
    </row>
    <row r="629" spans="16:33" ht="16.5" x14ac:dyDescent="0.2">
      <c r="P629" s="13">
        <v>573</v>
      </c>
      <c r="Q629" s="14">
        <f t="shared" si="137"/>
        <v>30</v>
      </c>
      <c r="R629" s="14">
        <f t="shared" si="138"/>
        <v>1606038</v>
      </c>
      <c r="S629" s="14" t="str">
        <f t="shared" si="142"/>
        <v>神器6碎片4等级12</v>
      </c>
      <c r="T629" s="29" t="s">
        <v>520</v>
      </c>
      <c r="U629" s="14">
        <f t="shared" si="139"/>
        <v>12</v>
      </c>
      <c r="V629" s="36">
        <f t="shared" si="143"/>
        <v>1.0380000000000003</v>
      </c>
      <c r="W629" s="17">
        <f t="shared" si="140"/>
        <v>3.1140000000000008E-2</v>
      </c>
      <c r="X629" s="14">
        <f t="shared" si="144"/>
        <v>1</v>
      </c>
      <c r="Y629" s="14">
        <f t="shared" si="145"/>
        <v>2</v>
      </c>
      <c r="Z629" s="14">
        <f t="shared" si="146"/>
        <v>0</v>
      </c>
      <c r="AA629" s="14" t="str">
        <f t="shared" si="147"/>
        <v>AtkExt</v>
      </c>
      <c r="AB629" s="14">
        <f t="shared" si="141"/>
        <v>2115</v>
      </c>
      <c r="AC629" s="14" t="str">
        <f t="shared" si="148"/>
        <v>DefExt</v>
      </c>
      <c r="AD629" s="14">
        <f t="shared" si="149"/>
        <v>2114</v>
      </c>
      <c r="AE629" s="14" t="str">
        <f t="shared" si="150"/>
        <v>[x]</v>
      </c>
      <c r="AF629" s="27" t="str">
        <f t="shared" si="151"/>
        <v>[x]</v>
      </c>
      <c r="AG629" s="27" t="str">
        <f t="shared" si="152"/>
        <v>[x]</v>
      </c>
    </row>
    <row r="630" spans="16:33" ht="16.5" x14ac:dyDescent="0.2">
      <c r="P630" s="13">
        <v>574</v>
      </c>
      <c r="Q630" s="14">
        <f t="shared" si="137"/>
        <v>30</v>
      </c>
      <c r="R630" s="14">
        <f t="shared" si="138"/>
        <v>1606038</v>
      </c>
      <c r="S630" s="14" t="str">
        <f t="shared" si="142"/>
        <v>神器6碎片4等级13</v>
      </c>
      <c r="T630" s="29" t="s">
        <v>520</v>
      </c>
      <c r="U630" s="14">
        <f t="shared" si="139"/>
        <v>13</v>
      </c>
      <c r="V630" s="36">
        <f t="shared" si="143"/>
        <v>1.1380000000000001</v>
      </c>
      <c r="W630" s="17">
        <f t="shared" si="140"/>
        <v>3.4140000000000004E-2</v>
      </c>
      <c r="X630" s="14">
        <f t="shared" si="144"/>
        <v>1</v>
      </c>
      <c r="Y630" s="14">
        <f t="shared" si="145"/>
        <v>2</v>
      </c>
      <c r="Z630" s="14">
        <f t="shared" si="146"/>
        <v>0</v>
      </c>
      <c r="AA630" s="14" t="str">
        <f t="shared" si="147"/>
        <v>AtkExt</v>
      </c>
      <c r="AB630" s="14">
        <f t="shared" si="141"/>
        <v>2319</v>
      </c>
      <c r="AC630" s="14" t="str">
        <f t="shared" si="148"/>
        <v>DefExt</v>
      </c>
      <c r="AD630" s="14">
        <f t="shared" si="149"/>
        <v>2317</v>
      </c>
      <c r="AE630" s="14" t="str">
        <f t="shared" si="150"/>
        <v>[x]</v>
      </c>
      <c r="AF630" s="27" t="str">
        <f t="shared" si="151"/>
        <v>[x]</v>
      </c>
      <c r="AG630" s="27" t="str">
        <f t="shared" si="152"/>
        <v>[x]</v>
      </c>
    </row>
    <row r="631" spans="16:33" ht="16.5" x14ac:dyDescent="0.2">
      <c r="P631" s="13">
        <v>575</v>
      </c>
      <c r="Q631" s="14">
        <f t="shared" si="137"/>
        <v>30</v>
      </c>
      <c r="R631" s="14">
        <f t="shared" si="138"/>
        <v>1606038</v>
      </c>
      <c r="S631" s="14" t="str">
        <f t="shared" si="142"/>
        <v>神器6碎片4等级14</v>
      </c>
      <c r="T631" s="29" t="s">
        <v>520</v>
      </c>
      <c r="U631" s="14">
        <f t="shared" si="139"/>
        <v>14</v>
      </c>
      <c r="V631" s="36">
        <f t="shared" si="143"/>
        <v>1.242</v>
      </c>
      <c r="W631" s="17">
        <f t="shared" si="140"/>
        <v>3.7260000000000001E-2</v>
      </c>
      <c r="X631" s="14">
        <f t="shared" si="144"/>
        <v>1</v>
      </c>
      <c r="Y631" s="14">
        <f t="shared" si="145"/>
        <v>2</v>
      </c>
      <c r="Z631" s="14">
        <f t="shared" si="146"/>
        <v>0</v>
      </c>
      <c r="AA631" s="14" t="str">
        <f t="shared" si="147"/>
        <v>AtkExt</v>
      </c>
      <c r="AB631" s="14">
        <f t="shared" si="141"/>
        <v>2530</v>
      </c>
      <c r="AC631" s="14" t="str">
        <f t="shared" si="148"/>
        <v>DefExt</v>
      </c>
      <c r="AD631" s="14">
        <f t="shared" si="149"/>
        <v>2529</v>
      </c>
      <c r="AE631" s="14" t="str">
        <f t="shared" si="150"/>
        <v>[x]</v>
      </c>
      <c r="AF631" s="27" t="str">
        <f t="shared" si="151"/>
        <v>[x]</v>
      </c>
      <c r="AG631" s="27" t="str">
        <f t="shared" si="152"/>
        <v>[x]</v>
      </c>
    </row>
    <row r="632" spans="16:33" ht="16.5" x14ac:dyDescent="0.2">
      <c r="P632" s="13">
        <v>576</v>
      </c>
      <c r="Q632" s="14">
        <f t="shared" si="137"/>
        <v>30</v>
      </c>
      <c r="R632" s="14">
        <f t="shared" si="138"/>
        <v>1606038</v>
      </c>
      <c r="S632" s="14" t="str">
        <f t="shared" si="142"/>
        <v>神器6碎片4等级15</v>
      </c>
      <c r="T632" s="29" t="s">
        <v>520</v>
      </c>
      <c r="U632" s="14">
        <f t="shared" si="139"/>
        <v>15</v>
      </c>
      <c r="V632" s="36">
        <f t="shared" si="143"/>
        <v>1.35</v>
      </c>
      <c r="W632" s="17">
        <f t="shared" si="140"/>
        <v>4.0500000000000001E-2</v>
      </c>
      <c r="X632" s="14">
        <f t="shared" si="144"/>
        <v>1</v>
      </c>
      <c r="Y632" s="14">
        <f t="shared" si="145"/>
        <v>2</v>
      </c>
      <c r="Z632" s="14">
        <f t="shared" si="146"/>
        <v>0</v>
      </c>
      <c r="AA632" s="14" t="str">
        <f t="shared" si="147"/>
        <v>AtkExt</v>
      </c>
      <c r="AB632" s="14">
        <f t="shared" si="141"/>
        <v>2751</v>
      </c>
      <c r="AC632" s="14" t="str">
        <f t="shared" si="148"/>
        <v>DefExt</v>
      </c>
      <c r="AD632" s="14">
        <f t="shared" si="149"/>
        <v>2749</v>
      </c>
      <c r="AE632" s="14" t="str">
        <f t="shared" si="150"/>
        <v>[x]</v>
      </c>
      <c r="AF632" s="27" t="str">
        <f t="shared" si="151"/>
        <v>[x]</v>
      </c>
      <c r="AG632" s="27" t="str">
        <f t="shared" si="152"/>
        <v>[x]</v>
      </c>
    </row>
    <row r="633" spans="16:33" ht="16.5" x14ac:dyDescent="0.2">
      <c r="P633" s="13">
        <v>577</v>
      </c>
      <c r="Q633" s="14">
        <f t="shared" ref="Q633:Q696" si="153">MATCH(P633-1,$X$4:$X$46,1)</f>
        <v>30</v>
      </c>
      <c r="R633" s="14">
        <f t="shared" ref="R633:R696" si="154">INDEX($S$5:$S$46,Q633)</f>
        <v>1606038</v>
      </c>
      <c r="S633" s="14" t="str">
        <f t="shared" si="142"/>
        <v>神器6碎片4等级16</v>
      </c>
      <c r="T633" s="29" t="s">
        <v>520</v>
      </c>
      <c r="U633" s="14">
        <f t="shared" ref="U633:U696" si="155">P633-INDEX($X$4:$X$46,Q633)</f>
        <v>16</v>
      </c>
      <c r="V633" s="36">
        <f t="shared" si="143"/>
        <v>1.4620000000000002</v>
      </c>
      <c r="W633" s="17">
        <f t="shared" ref="W633:W696" si="156">INDEX($V$5:$V$46,Q633)*V633</f>
        <v>4.3860000000000003E-2</v>
      </c>
      <c r="X633" s="14">
        <f t="shared" si="144"/>
        <v>1</v>
      </c>
      <c r="Y633" s="14">
        <f t="shared" si="145"/>
        <v>2</v>
      </c>
      <c r="Z633" s="14">
        <f t="shared" si="146"/>
        <v>0</v>
      </c>
      <c r="AA633" s="14" t="str">
        <f t="shared" si="147"/>
        <v>AtkExt</v>
      </c>
      <c r="AB633" s="14">
        <f t="shared" ref="AB633:AB696" si="157">INT(INDEX($E$4:$G$4,X633)*W633*INDEX($Y$5:$AA$46,Q633,X633))</f>
        <v>2979</v>
      </c>
      <c r="AC633" s="14" t="str">
        <f t="shared" si="148"/>
        <v>DefExt</v>
      </c>
      <c r="AD633" s="14">
        <f t="shared" si="149"/>
        <v>2977</v>
      </c>
      <c r="AE633" s="14" t="str">
        <f t="shared" si="150"/>
        <v>[x]</v>
      </c>
      <c r="AF633" s="27" t="str">
        <f t="shared" si="151"/>
        <v>[x]</v>
      </c>
      <c r="AG633" s="27" t="str">
        <f t="shared" si="152"/>
        <v>[x]</v>
      </c>
    </row>
    <row r="634" spans="16:33" ht="16.5" x14ac:dyDescent="0.2">
      <c r="P634" s="13">
        <v>578</v>
      </c>
      <c r="Q634" s="14">
        <f t="shared" si="153"/>
        <v>30</v>
      </c>
      <c r="R634" s="14">
        <f t="shared" si="154"/>
        <v>1606038</v>
      </c>
      <c r="S634" s="14" t="str">
        <f t="shared" ref="S634:S697" si="158">INDEX($P$5:$P$46,Q634)&amp;"碎片"&amp;INDEX($R$5:$R$46,Q634)&amp;"等级"&amp;U634</f>
        <v>神器6碎片4等级17</v>
      </c>
      <c r="T634" s="29" t="s">
        <v>520</v>
      </c>
      <c r="U634" s="14">
        <f t="shared" si="155"/>
        <v>17</v>
      </c>
      <c r="V634" s="36">
        <f t="shared" ref="V634:V697" si="159">15%+U634*5%+U634*U634*0.2%</f>
        <v>1.5779999999999998</v>
      </c>
      <c r="W634" s="17">
        <f t="shared" si="156"/>
        <v>4.7339999999999993E-2</v>
      </c>
      <c r="X634" s="14">
        <f t="shared" ref="X634:X697" si="160">INDEX($AB$5:$AB$46,Q634)</f>
        <v>1</v>
      </c>
      <c r="Y634" s="14">
        <f t="shared" ref="Y634:Y697" si="161">INDEX(AC$5:AC$46,$Q634)</f>
        <v>2</v>
      </c>
      <c r="Z634" s="14">
        <f t="shared" ref="Z634:Z697" si="162">INDEX(AD$5:AD$46,$Q634)</f>
        <v>0</v>
      </c>
      <c r="AA634" s="14" t="str">
        <f t="shared" ref="AA634:AA697" si="163">INDEX($Y$3:$AA$3,X634)</f>
        <v>AtkExt</v>
      </c>
      <c r="AB634" s="14">
        <f t="shared" si="157"/>
        <v>3215</v>
      </c>
      <c r="AC634" s="14" t="str">
        <f t="shared" ref="AC634:AC697" si="164">IF(Y634&gt;0,INDEX($Y$3:$AA$3,Y634),"[x]")</f>
        <v>DefExt</v>
      </c>
      <c r="AD634" s="14">
        <f t="shared" ref="AD634:AD697" si="165">IF(Y634&gt;0,INT(INDEX($E$4:$G$4,Y634)*W634*INDEX($Y$5:$AA$46,Q634,Y634)),"[x]")</f>
        <v>3214</v>
      </c>
      <c r="AE634" s="14" t="str">
        <f t="shared" ref="AE634:AE697" si="166">IF(Z634&gt;0,INDEX($Y$3:$AA$3,Z634),"[x]")</f>
        <v>[x]</v>
      </c>
      <c r="AF634" s="27" t="str">
        <f t="shared" ref="AF634:AF697" si="167">IF(Z634&gt;0,INT(INDEX($E$4:$G$4,Z634)*W634*INDEX($Y$5:$AA$46,Q634,Z634)),"[x]")</f>
        <v>[x]</v>
      </c>
      <c r="AG634" s="27" t="str">
        <f t="shared" ref="AG634:AG697" si="168">IF(INDEX($AE$5:$AE$46,Q634)&gt;0,INDEX($AE$5:$AE$46,Q634)*U634,"[x]")</f>
        <v>[x]</v>
      </c>
    </row>
    <row r="635" spans="16:33" ht="16.5" x14ac:dyDescent="0.2">
      <c r="P635" s="13">
        <v>579</v>
      </c>
      <c r="Q635" s="14">
        <f t="shared" si="153"/>
        <v>30</v>
      </c>
      <c r="R635" s="14">
        <f t="shared" si="154"/>
        <v>1606038</v>
      </c>
      <c r="S635" s="14" t="str">
        <f t="shared" si="158"/>
        <v>神器6碎片4等级18</v>
      </c>
      <c r="T635" s="29" t="s">
        <v>520</v>
      </c>
      <c r="U635" s="14">
        <f t="shared" si="155"/>
        <v>18</v>
      </c>
      <c r="V635" s="36">
        <f t="shared" si="159"/>
        <v>1.698</v>
      </c>
      <c r="W635" s="17">
        <f t="shared" si="156"/>
        <v>5.0939999999999999E-2</v>
      </c>
      <c r="X635" s="14">
        <f t="shared" si="160"/>
        <v>1</v>
      </c>
      <c r="Y635" s="14">
        <f t="shared" si="161"/>
        <v>2</v>
      </c>
      <c r="Z635" s="14">
        <f t="shared" si="162"/>
        <v>0</v>
      </c>
      <c r="AA635" s="14" t="str">
        <f t="shared" si="163"/>
        <v>AtkExt</v>
      </c>
      <c r="AB635" s="14">
        <f t="shared" si="157"/>
        <v>3460</v>
      </c>
      <c r="AC635" s="14" t="str">
        <f t="shared" si="164"/>
        <v>DefExt</v>
      </c>
      <c r="AD635" s="14">
        <f t="shared" si="165"/>
        <v>3458</v>
      </c>
      <c r="AE635" s="14" t="str">
        <f t="shared" si="166"/>
        <v>[x]</v>
      </c>
      <c r="AF635" s="27" t="str">
        <f t="shared" si="167"/>
        <v>[x]</v>
      </c>
      <c r="AG635" s="27" t="str">
        <f t="shared" si="168"/>
        <v>[x]</v>
      </c>
    </row>
    <row r="636" spans="16:33" ht="16.5" x14ac:dyDescent="0.2">
      <c r="P636" s="13">
        <v>580</v>
      </c>
      <c r="Q636" s="14">
        <f t="shared" si="153"/>
        <v>30</v>
      </c>
      <c r="R636" s="14">
        <f t="shared" si="154"/>
        <v>1606038</v>
      </c>
      <c r="S636" s="14" t="str">
        <f t="shared" si="158"/>
        <v>神器6碎片4等级19</v>
      </c>
      <c r="T636" s="29" t="s">
        <v>520</v>
      </c>
      <c r="U636" s="14">
        <f t="shared" si="155"/>
        <v>19</v>
      </c>
      <c r="V636" s="36">
        <f t="shared" si="159"/>
        <v>1.8220000000000001</v>
      </c>
      <c r="W636" s="17">
        <f t="shared" si="156"/>
        <v>5.466E-2</v>
      </c>
      <c r="X636" s="14">
        <f t="shared" si="160"/>
        <v>1</v>
      </c>
      <c r="Y636" s="14">
        <f t="shared" si="161"/>
        <v>2</v>
      </c>
      <c r="Z636" s="14">
        <f t="shared" si="162"/>
        <v>0</v>
      </c>
      <c r="AA636" s="14" t="str">
        <f t="shared" si="163"/>
        <v>AtkExt</v>
      </c>
      <c r="AB636" s="14">
        <f t="shared" si="157"/>
        <v>3712</v>
      </c>
      <c r="AC636" s="14" t="str">
        <f t="shared" si="164"/>
        <v>DefExt</v>
      </c>
      <c r="AD636" s="14">
        <f t="shared" si="165"/>
        <v>3711</v>
      </c>
      <c r="AE636" s="14" t="str">
        <f t="shared" si="166"/>
        <v>[x]</v>
      </c>
      <c r="AF636" s="27" t="str">
        <f t="shared" si="167"/>
        <v>[x]</v>
      </c>
      <c r="AG636" s="27" t="str">
        <f t="shared" si="168"/>
        <v>[x]</v>
      </c>
    </row>
    <row r="637" spans="16:33" ht="16.5" x14ac:dyDescent="0.2">
      <c r="P637" s="13">
        <v>581</v>
      </c>
      <c r="Q637" s="14">
        <f t="shared" si="153"/>
        <v>30</v>
      </c>
      <c r="R637" s="14">
        <f t="shared" si="154"/>
        <v>1606038</v>
      </c>
      <c r="S637" s="14" t="str">
        <f t="shared" si="158"/>
        <v>神器6碎片4等级20</v>
      </c>
      <c r="T637" s="29" t="s">
        <v>520</v>
      </c>
      <c r="U637" s="14">
        <f t="shared" si="155"/>
        <v>20</v>
      </c>
      <c r="V637" s="36">
        <f t="shared" si="159"/>
        <v>1.95</v>
      </c>
      <c r="W637" s="17">
        <f t="shared" si="156"/>
        <v>5.8499999999999996E-2</v>
      </c>
      <c r="X637" s="14">
        <f t="shared" si="160"/>
        <v>1</v>
      </c>
      <c r="Y637" s="14">
        <f t="shared" si="161"/>
        <v>2</v>
      </c>
      <c r="Z637" s="14">
        <f t="shared" si="162"/>
        <v>0</v>
      </c>
      <c r="AA637" s="14" t="str">
        <f t="shared" si="163"/>
        <v>AtkExt</v>
      </c>
      <c r="AB637" s="14">
        <f t="shared" si="157"/>
        <v>3973</v>
      </c>
      <c r="AC637" s="14" t="str">
        <f t="shared" si="164"/>
        <v>DefExt</v>
      </c>
      <c r="AD637" s="14">
        <f t="shared" si="165"/>
        <v>3971</v>
      </c>
      <c r="AE637" s="14" t="str">
        <f t="shared" si="166"/>
        <v>[x]</v>
      </c>
      <c r="AF637" s="27" t="str">
        <f t="shared" si="167"/>
        <v>[x]</v>
      </c>
      <c r="AG637" s="27" t="str">
        <f t="shared" si="168"/>
        <v>[x]</v>
      </c>
    </row>
    <row r="638" spans="16:33" ht="16.5" x14ac:dyDescent="0.2">
      <c r="P638" s="13">
        <v>582</v>
      </c>
      <c r="Q638" s="14">
        <f t="shared" si="153"/>
        <v>30</v>
      </c>
      <c r="R638" s="14">
        <f t="shared" si="154"/>
        <v>1606038</v>
      </c>
      <c r="S638" s="14" t="str">
        <f t="shared" si="158"/>
        <v>神器6碎片4等级21</v>
      </c>
      <c r="T638" s="29" t="s">
        <v>520</v>
      </c>
      <c r="U638" s="14">
        <f t="shared" si="155"/>
        <v>21</v>
      </c>
      <c r="V638" s="36">
        <f t="shared" si="159"/>
        <v>2.0819999999999999</v>
      </c>
      <c r="W638" s="17">
        <f t="shared" si="156"/>
        <v>6.2459999999999995E-2</v>
      </c>
      <c r="X638" s="14">
        <f t="shared" si="160"/>
        <v>1</v>
      </c>
      <c r="Y638" s="14">
        <f t="shared" si="161"/>
        <v>2</v>
      </c>
      <c r="Z638" s="14">
        <f t="shared" si="162"/>
        <v>0</v>
      </c>
      <c r="AA638" s="14" t="str">
        <f t="shared" si="163"/>
        <v>AtkExt</v>
      </c>
      <c r="AB638" s="14">
        <f t="shared" si="157"/>
        <v>4242</v>
      </c>
      <c r="AC638" s="14" t="str">
        <f t="shared" si="164"/>
        <v>DefExt</v>
      </c>
      <c r="AD638" s="14">
        <f t="shared" si="165"/>
        <v>4240</v>
      </c>
      <c r="AE638" s="14" t="str">
        <f t="shared" si="166"/>
        <v>[x]</v>
      </c>
      <c r="AF638" s="27" t="str">
        <f t="shared" si="167"/>
        <v>[x]</v>
      </c>
      <c r="AG638" s="27" t="str">
        <f t="shared" si="168"/>
        <v>[x]</v>
      </c>
    </row>
    <row r="639" spans="16:33" ht="16.5" x14ac:dyDescent="0.2">
      <c r="P639" s="13">
        <v>583</v>
      </c>
      <c r="Q639" s="14">
        <f t="shared" si="153"/>
        <v>31</v>
      </c>
      <c r="R639" s="14">
        <f t="shared" si="154"/>
        <v>1606039</v>
      </c>
      <c r="S639" s="14" t="str">
        <f t="shared" si="158"/>
        <v>神器6碎片5等级1</v>
      </c>
      <c r="T639" s="29" t="s">
        <v>520</v>
      </c>
      <c r="U639" s="14">
        <f t="shared" si="155"/>
        <v>1</v>
      </c>
      <c r="V639" s="36">
        <f t="shared" si="159"/>
        <v>0.20200000000000001</v>
      </c>
      <c r="W639" s="17">
        <f t="shared" si="156"/>
        <v>6.0600000000000003E-3</v>
      </c>
      <c r="X639" s="14">
        <f t="shared" si="160"/>
        <v>1</v>
      </c>
      <c r="Y639" s="14">
        <f t="shared" si="161"/>
        <v>3</v>
      </c>
      <c r="Z639" s="14">
        <f t="shared" si="162"/>
        <v>0</v>
      </c>
      <c r="AA639" s="14" t="str">
        <f t="shared" si="163"/>
        <v>AtkExt</v>
      </c>
      <c r="AB639" s="14">
        <f t="shared" si="157"/>
        <v>411</v>
      </c>
      <c r="AC639" s="14" t="str">
        <f t="shared" si="164"/>
        <v>HPExt</v>
      </c>
      <c r="AD639" s="14">
        <f t="shared" si="165"/>
        <v>2470</v>
      </c>
      <c r="AE639" s="14" t="str">
        <f t="shared" si="166"/>
        <v>[x]</v>
      </c>
      <c r="AF639" s="27" t="str">
        <f t="shared" si="167"/>
        <v>[x]</v>
      </c>
      <c r="AG639" s="27" t="str">
        <f t="shared" si="168"/>
        <v>[x]</v>
      </c>
    </row>
    <row r="640" spans="16:33" ht="16.5" x14ac:dyDescent="0.2">
      <c r="P640" s="13">
        <v>584</v>
      </c>
      <c r="Q640" s="14">
        <f t="shared" si="153"/>
        <v>31</v>
      </c>
      <c r="R640" s="14">
        <f t="shared" si="154"/>
        <v>1606039</v>
      </c>
      <c r="S640" s="14" t="str">
        <f t="shared" si="158"/>
        <v>神器6碎片5等级2</v>
      </c>
      <c r="T640" s="29" t="s">
        <v>520</v>
      </c>
      <c r="U640" s="14">
        <f t="shared" si="155"/>
        <v>2</v>
      </c>
      <c r="V640" s="36">
        <f t="shared" si="159"/>
        <v>0.25800000000000001</v>
      </c>
      <c r="W640" s="17">
        <f t="shared" si="156"/>
        <v>7.7400000000000004E-3</v>
      </c>
      <c r="X640" s="14">
        <f t="shared" si="160"/>
        <v>1</v>
      </c>
      <c r="Y640" s="14">
        <f t="shared" si="161"/>
        <v>3</v>
      </c>
      <c r="Z640" s="14">
        <f t="shared" si="162"/>
        <v>0</v>
      </c>
      <c r="AA640" s="14" t="str">
        <f t="shared" si="163"/>
        <v>AtkExt</v>
      </c>
      <c r="AB640" s="14">
        <f t="shared" si="157"/>
        <v>525</v>
      </c>
      <c r="AC640" s="14" t="str">
        <f t="shared" si="164"/>
        <v>HPExt</v>
      </c>
      <c r="AD640" s="14">
        <f t="shared" si="165"/>
        <v>3155</v>
      </c>
      <c r="AE640" s="14" t="str">
        <f t="shared" si="166"/>
        <v>[x]</v>
      </c>
      <c r="AF640" s="27" t="str">
        <f t="shared" si="167"/>
        <v>[x]</v>
      </c>
      <c r="AG640" s="27" t="str">
        <f t="shared" si="168"/>
        <v>[x]</v>
      </c>
    </row>
    <row r="641" spans="16:33" ht="16.5" x14ac:dyDescent="0.2">
      <c r="P641" s="13">
        <v>585</v>
      </c>
      <c r="Q641" s="14">
        <f t="shared" si="153"/>
        <v>31</v>
      </c>
      <c r="R641" s="14">
        <f t="shared" si="154"/>
        <v>1606039</v>
      </c>
      <c r="S641" s="14" t="str">
        <f t="shared" si="158"/>
        <v>神器6碎片5等级3</v>
      </c>
      <c r="T641" s="29" t="s">
        <v>520</v>
      </c>
      <c r="U641" s="14">
        <f t="shared" si="155"/>
        <v>3</v>
      </c>
      <c r="V641" s="36">
        <f t="shared" si="159"/>
        <v>0.31800000000000006</v>
      </c>
      <c r="W641" s="17">
        <f t="shared" si="156"/>
        <v>9.5400000000000016E-3</v>
      </c>
      <c r="X641" s="14">
        <f t="shared" si="160"/>
        <v>1</v>
      </c>
      <c r="Y641" s="14">
        <f t="shared" si="161"/>
        <v>3</v>
      </c>
      <c r="Z641" s="14">
        <f t="shared" si="162"/>
        <v>0</v>
      </c>
      <c r="AA641" s="14" t="str">
        <f t="shared" si="163"/>
        <v>AtkExt</v>
      </c>
      <c r="AB641" s="14">
        <f t="shared" si="157"/>
        <v>648</v>
      </c>
      <c r="AC641" s="14" t="str">
        <f t="shared" si="164"/>
        <v>HPExt</v>
      </c>
      <c r="AD641" s="14">
        <f t="shared" si="165"/>
        <v>3889</v>
      </c>
      <c r="AE641" s="14" t="str">
        <f t="shared" si="166"/>
        <v>[x]</v>
      </c>
      <c r="AF641" s="27" t="str">
        <f t="shared" si="167"/>
        <v>[x]</v>
      </c>
      <c r="AG641" s="27" t="str">
        <f t="shared" si="168"/>
        <v>[x]</v>
      </c>
    </row>
    <row r="642" spans="16:33" ht="16.5" x14ac:dyDescent="0.2">
      <c r="P642" s="13">
        <v>586</v>
      </c>
      <c r="Q642" s="14">
        <f t="shared" si="153"/>
        <v>31</v>
      </c>
      <c r="R642" s="14">
        <f t="shared" si="154"/>
        <v>1606039</v>
      </c>
      <c r="S642" s="14" t="str">
        <f t="shared" si="158"/>
        <v>神器6碎片5等级4</v>
      </c>
      <c r="T642" s="29" t="s">
        <v>520</v>
      </c>
      <c r="U642" s="14">
        <f t="shared" si="155"/>
        <v>4</v>
      </c>
      <c r="V642" s="36">
        <f t="shared" si="159"/>
        <v>0.38200000000000001</v>
      </c>
      <c r="W642" s="17">
        <f t="shared" si="156"/>
        <v>1.146E-2</v>
      </c>
      <c r="X642" s="14">
        <f t="shared" si="160"/>
        <v>1</v>
      </c>
      <c r="Y642" s="14">
        <f t="shared" si="161"/>
        <v>3</v>
      </c>
      <c r="Z642" s="14">
        <f t="shared" si="162"/>
        <v>0</v>
      </c>
      <c r="AA642" s="14" t="str">
        <f t="shared" si="163"/>
        <v>AtkExt</v>
      </c>
      <c r="AB642" s="14">
        <f t="shared" si="157"/>
        <v>778</v>
      </c>
      <c r="AC642" s="14" t="str">
        <f t="shared" si="164"/>
        <v>HPExt</v>
      </c>
      <c r="AD642" s="14">
        <f t="shared" si="165"/>
        <v>4672</v>
      </c>
      <c r="AE642" s="14" t="str">
        <f t="shared" si="166"/>
        <v>[x]</v>
      </c>
      <c r="AF642" s="27" t="str">
        <f t="shared" si="167"/>
        <v>[x]</v>
      </c>
      <c r="AG642" s="27" t="str">
        <f t="shared" si="168"/>
        <v>[x]</v>
      </c>
    </row>
    <row r="643" spans="16:33" ht="16.5" x14ac:dyDescent="0.2">
      <c r="P643" s="13">
        <v>587</v>
      </c>
      <c r="Q643" s="14">
        <f t="shared" si="153"/>
        <v>31</v>
      </c>
      <c r="R643" s="14">
        <f t="shared" si="154"/>
        <v>1606039</v>
      </c>
      <c r="S643" s="14" t="str">
        <f t="shared" si="158"/>
        <v>神器6碎片5等级5</v>
      </c>
      <c r="T643" s="29" t="s">
        <v>520</v>
      </c>
      <c r="U643" s="14">
        <f t="shared" si="155"/>
        <v>5</v>
      </c>
      <c r="V643" s="36">
        <f t="shared" si="159"/>
        <v>0.45</v>
      </c>
      <c r="W643" s="17">
        <f t="shared" si="156"/>
        <v>1.35E-2</v>
      </c>
      <c r="X643" s="14">
        <f t="shared" si="160"/>
        <v>1</v>
      </c>
      <c r="Y643" s="14">
        <f t="shared" si="161"/>
        <v>3</v>
      </c>
      <c r="Z643" s="14">
        <f t="shared" si="162"/>
        <v>0</v>
      </c>
      <c r="AA643" s="14" t="str">
        <f t="shared" si="163"/>
        <v>AtkExt</v>
      </c>
      <c r="AB643" s="14">
        <f t="shared" si="157"/>
        <v>917</v>
      </c>
      <c r="AC643" s="14" t="str">
        <f t="shared" si="164"/>
        <v>HPExt</v>
      </c>
      <c r="AD643" s="14">
        <f t="shared" si="165"/>
        <v>5504</v>
      </c>
      <c r="AE643" s="14" t="str">
        <f t="shared" si="166"/>
        <v>[x]</v>
      </c>
      <c r="AF643" s="27" t="str">
        <f t="shared" si="167"/>
        <v>[x]</v>
      </c>
      <c r="AG643" s="27" t="str">
        <f t="shared" si="168"/>
        <v>[x]</v>
      </c>
    </row>
    <row r="644" spans="16:33" ht="16.5" x14ac:dyDescent="0.2">
      <c r="P644" s="13">
        <v>588</v>
      </c>
      <c r="Q644" s="14">
        <f t="shared" si="153"/>
        <v>31</v>
      </c>
      <c r="R644" s="14">
        <f t="shared" si="154"/>
        <v>1606039</v>
      </c>
      <c r="S644" s="14" t="str">
        <f t="shared" si="158"/>
        <v>神器6碎片5等级6</v>
      </c>
      <c r="T644" s="29" t="s">
        <v>520</v>
      </c>
      <c r="U644" s="14">
        <f t="shared" si="155"/>
        <v>6</v>
      </c>
      <c r="V644" s="36">
        <f t="shared" si="159"/>
        <v>0.52200000000000002</v>
      </c>
      <c r="W644" s="17">
        <f t="shared" si="156"/>
        <v>1.566E-2</v>
      </c>
      <c r="X644" s="14">
        <f t="shared" si="160"/>
        <v>1</v>
      </c>
      <c r="Y644" s="14">
        <f t="shared" si="161"/>
        <v>3</v>
      </c>
      <c r="Z644" s="14">
        <f t="shared" si="162"/>
        <v>0</v>
      </c>
      <c r="AA644" s="14" t="str">
        <f t="shared" si="163"/>
        <v>AtkExt</v>
      </c>
      <c r="AB644" s="14">
        <f t="shared" si="157"/>
        <v>1063</v>
      </c>
      <c r="AC644" s="14" t="str">
        <f t="shared" si="164"/>
        <v>HPExt</v>
      </c>
      <c r="AD644" s="14">
        <f t="shared" si="165"/>
        <v>6385</v>
      </c>
      <c r="AE644" s="14" t="str">
        <f t="shared" si="166"/>
        <v>[x]</v>
      </c>
      <c r="AF644" s="27" t="str">
        <f t="shared" si="167"/>
        <v>[x]</v>
      </c>
      <c r="AG644" s="27" t="str">
        <f t="shared" si="168"/>
        <v>[x]</v>
      </c>
    </row>
    <row r="645" spans="16:33" ht="16.5" x14ac:dyDescent="0.2">
      <c r="P645" s="13">
        <v>589</v>
      </c>
      <c r="Q645" s="14">
        <f t="shared" si="153"/>
        <v>31</v>
      </c>
      <c r="R645" s="14">
        <f t="shared" si="154"/>
        <v>1606039</v>
      </c>
      <c r="S645" s="14" t="str">
        <f t="shared" si="158"/>
        <v>神器6碎片5等级7</v>
      </c>
      <c r="T645" s="29" t="s">
        <v>520</v>
      </c>
      <c r="U645" s="14">
        <f t="shared" si="155"/>
        <v>7</v>
      </c>
      <c r="V645" s="36">
        <f t="shared" si="159"/>
        <v>0.59799999999999998</v>
      </c>
      <c r="W645" s="17">
        <f t="shared" si="156"/>
        <v>1.7939999999999998E-2</v>
      </c>
      <c r="X645" s="14">
        <f t="shared" si="160"/>
        <v>1</v>
      </c>
      <c r="Y645" s="14">
        <f t="shared" si="161"/>
        <v>3</v>
      </c>
      <c r="Z645" s="14">
        <f t="shared" si="162"/>
        <v>0</v>
      </c>
      <c r="AA645" s="14" t="str">
        <f t="shared" si="163"/>
        <v>AtkExt</v>
      </c>
      <c r="AB645" s="14">
        <f t="shared" si="157"/>
        <v>1218</v>
      </c>
      <c r="AC645" s="14" t="str">
        <f t="shared" si="164"/>
        <v>HPExt</v>
      </c>
      <c r="AD645" s="14">
        <f t="shared" si="165"/>
        <v>7314</v>
      </c>
      <c r="AE645" s="14" t="str">
        <f t="shared" si="166"/>
        <v>[x]</v>
      </c>
      <c r="AF645" s="27" t="str">
        <f t="shared" si="167"/>
        <v>[x]</v>
      </c>
      <c r="AG645" s="27" t="str">
        <f t="shared" si="168"/>
        <v>[x]</v>
      </c>
    </row>
    <row r="646" spans="16:33" ht="16.5" x14ac:dyDescent="0.2">
      <c r="P646" s="13">
        <v>590</v>
      </c>
      <c r="Q646" s="14">
        <f t="shared" si="153"/>
        <v>31</v>
      </c>
      <c r="R646" s="14">
        <f t="shared" si="154"/>
        <v>1606039</v>
      </c>
      <c r="S646" s="14" t="str">
        <f t="shared" si="158"/>
        <v>神器6碎片5等级8</v>
      </c>
      <c r="T646" s="29" t="s">
        <v>520</v>
      </c>
      <c r="U646" s="14">
        <f t="shared" si="155"/>
        <v>8</v>
      </c>
      <c r="V646" s="36">
        <f t="shared" si="159"/>
        <v>0.67800000000000005</v>
      </c>
      <c r="W646" s="17">
        <f t="shared" si="156"/>
        <v>2.034E-2</v>
      </c>
      <c r="X646" s="14">
        <f t="shared" si="160"/>
        <v>1</v>
      </c>
      <c r="Y646" s="14">
        <f t="shared" si="161"/>
        <v>3</v>
      </c>
      <c r="Z646" s="14">
        <f t="shared" si="162"/>
        <v>0</v>
      </c>
      <c r="AA646" s="14" t="str">
        <f t="shared" si="163"/>
        <v>AtkExt</v>
      </c>
      <c r="AB646" s="14">
        <f t="shared" si="157"/>
        <v>1381</v>
      </c>
      <c r="AC646" s="14" t="str">
        <f t="shared" si="164"/>
        <v>HPExt</v>
      </c>
      <c r="AD646" s="14">
        <f t="shared" si="165"/>
        <v>8293</v>
      </c>
      <c r="AE646" s="14" t="str">
        <f t="shared" si="166"/>
        <v>[x]</v>
      </c>
      <c r="AF646" s="27" t="str">
        <f t="shared" si="167"/>
        <v>[x]</v>
      </c>
      <c r="AG646" s="27" t="str">
        <f t="shared" si="168"/>
        <v>[x]</v>
      </c>
    </row>
    <row r="647" spans="16:33" ht="16.5" x14ac:dyDescent="0.2">
      <c r="P647" s="13">
        <v>591</v>
      </c>
      <c r="Q647" s="14">
        <f t="shared" si="153"/>
        <v>31</v>
      </c>
      <c r="R647" s="14">
        <f t="shared" si="154"/>
        <v>1606039</v>
      </c>
      <c r="S647" s="14" t="str">
        <f t="shared" si="158"/>
        <v>神器6碎片5等级9</v>
      </c>
      <c r="T647" s="29" t="s">
        <v>520</v>
      </c>
      <c r="U647" s="14">
        <f t="shared" si="155"/>
        <v>9</v>
      </c>
      <c r="V647" s="36">
        <f t="shared" si="159"/>
        <v>0.76200000000000001</v>
      </c>
      <c r="W647" s="17">
        <f t="shared" si="156"/>
        <v>2.2859999999999998E-2</v>
      </c>
      <c r="X647" s="14">
        <f t="shared" si="160"/>
        <v>1</v>
      </c>
      <c r="Y647" s="14">
        <f t="shared" si="161"/>
        <v>3</v>
      </c>
      <c r="Z647" s="14">
        <f t="shared" si="162"/>
        <v>0</v>
      </c>
      <c r="AA647" s="14" t="str">
        <f t="shared" si="163"/>
        <v>AtkExt</v>
      </c>
      <c r="AB647" s="14">
        <f t="shared" si="157"/>
        <v>1552</v>
      </c>
      <c r="AC647" s="14" t="str">
        <f t="shared" si="164"/>
        <v>HPExt</v>
      </c>
      <c r="AD647" s="14">
        <f t="shared" si="165"/>
        <v>9321</v>
      </c>
      <c r="AE647" s="14" t="str">
        <f t="shared" si="166"/>
        <v>[x]</v>
      </c>
      <c r="AF647" s="27" t="str">
        <f t="shared" si="167"/>
        <v>[x]</v>
      </c>
      <c r="AG647" s="27" t="str">
        <f t="shared" si="168"/>
        <v>[x]</v>
      </c>
    </row>
    <row r="648" spans="16:33" ht="16.5" x14ac:dyDescent="0.2">
      <c r="P648" s="13">
        <v>592</v>
      </c>
      <c r="Q648" s="14">
        <f t="shared" si="153"/>
        <v>31</v>
      </c>
      <c r="R648" s="14">
        <f t="shared" si="154"/>
        <v>1606039</v>
      </c>
      <c r="S648" s="14" t="str">
        <f t="shared" si="158"/>
        <v>神器6碎片5等级10</v>
      </c>
      <c r="T648" s="29" t="s">
        <v>520</v>
      </c>
      <c r="U648" s="14">
        <f t="shared" si="155"/>
        <v>10</v>
      </c>
      <c r="V648" s="36">
        <f t="shared" si="159"/>
        <v>0.85000000000000009</v>
      </c>
      <c r="W648" s="17">
        <f t="shared" si="156"/>
        <v>2.5500000000000002E-2</v>
      </c>
      <c r="X648" s="14">
        <f t="shared" si="160"/>
        <v>1</v>
      </c>
      <c r="Y648" s="14">
        <f t="shared" si="161"/>
        <v>3</v>
      </c>
      <c r="Z648" s="14">
        <f t="shared" si="162"/>
        <v>0</v>
      </c>
      <c r="AA648" s="14" t="str">
        <f t="shared" si="163"/>
        <v>AtkExt</v>
      </c>
      <c r="AB648" s="14">
        <f t="shared" si="157"/>
        <v>1732</v>
      </c>
      <c r="AC648" s="14" t="str">
        <f t="shared" si="164"/>
        <v>HPExt</v>
      </c>
      <c r="AD648" s="14">
        <f t="shared" si="165"/>
        <v>10397</v>
      </c>
      <c r="AE648" s="14" t="str">
        <f t="shared" si="166"/>
        <v>[x]</v>
      </c>
      <c r="AF648" s="27" t="str">
        <f t="shared" si="167"/>
        <v>[x]</v>
      </c>
      <c r="AG648" s="27" t="str">
        <f t="shared" si="168"/>
        <v>[x]</v>
      </c>
    </row>
    <row r="649" spans="16:33" ht="16.5" x14ac:dyDescent="0.2">
      <c r="P649" s="13">
        <v>593</v>
      </c>
      <c r="Q649" s="14">
        <f t="shared" si="153"/>
        <v>31</v>
      </c>
      <c r="R649" s="14">
        <f t="shared" si="154"/>
        <v>1606039</v>
      </c>
      <c r="S649" s="14" t="str">
        <f t="shared" si="158"/>
        <v>神器6碎片5等级11</v>
      </c>
      <c r="T649" s="29" t="s">
        <v>520</v>
      </c>
      <c r="U649" s="14">
        <f t="shared" si="155"/>
        <v>11</v>
      </c>
      <c r="V649" s="36">
        <f t="shared" si="159"/>
        <v>0.94200000000000006</v>
      </c>
      <c r="W649" s="17">
        <f t="shared" si="156"/>
        <v>2.826E-2</v>
      </c>
      <c r="X649" s="14">
        <f t="shared" si="160"/>
        <v>1</v>
      </c>
      <c r="Y649" s="14">
        <f t="shared" si="161"/>
        <v>3</v>
      </c>
      <c r="Z649" s="14">
        <f t="shared" si="162"/>
        <v>0</v>
      </c>
      <c r="AA649" s="14" t="str">
        <f t="shared" si="163"/>
        <v>AtkExt</v>
      </c>
      <c r="AB649" s="14">
        <f t="shared" si="157"/>
        <v>1919</v>
      </c>
      <c r="AC649" s="14" t="str">
        <f t="shared" si="164"/>
        <v>HPExt</v>
      </c>
      <c r="AD649" s="14">
        <f t="shared" si="165"/>
        <v>11522</v>
      </c>
      <c r="AE649" s="14" t="str">
        <f t="shared" si="166"/>
        <v>[x]</v>
      </c>
      <c r="AF649" s="27" t="str">
        <f t="shared" si="167"/>
        <v>[x]</v>
      </c>
      <c r="AG649" s="27" t="str">
        <f t="shared" si="168"/>
        <v>[x]</v>
      </c>
    </row>
    <row r="650" spans="16:33" ht="16.5" x14ac:dyDescent="0.2">
      <c r="P650" s="13">
        <v>594</v>
      </c>
      <c r="Q650" s="14">
        <f t="shared" si="153"/>
        <v>31</v>
      </c>
      <c r="R650" s="14">
        <f t="shared" si="154"/>
        <v>1606039</v>
      </c>
      <c r="S650" s="14" t="str">
        <f t="shared" si="158"/>
        <v>神器6碎片5等级12</v>
      </c>
      <c r="T650" s="29" t="s">
        <v>520</v>
      </c>
      <c r="U650" s="14">
        <f t="shared" si="155"/>
        <v>12</v>
      </c>
      <c r="V650" s="36">
        <f t="shared" si="159"/>
        <v>1.0380000000000003</v>
      </c>
      <c r="W650" s="17">
        <f t="shared" si="156"/>
        <v>3.1140000000000008E-2</v>
      </c>
      <c r="X650" s="14">
        <f t="shared" si="160"/>
        <v>1</v>
      </c>
      <c r="Y650" s="14">
        <f t="shared" si="161"/>
        <v>3</v>
      </c>
      <c r="Z650" s="14">
        <f t="shared" si="162"/>
        <v>0</v>
      </c>
      <c r="AA650" s="14" t="str">
        <f t="shared" si="163"/>
        <v>AtkExt</v>
      </c>
      <c r="AB650" s="14">
        <f t="shared" si="157"/>
        <v>2115</v>
      </c>
      <c r="AC650" s="14" t="str">
        <f t="shared" si="164"/>
        <v>HPExt</v>
      </c>
      <c r="AD650" s="14">
        <f t="shared" si="165"/>
        <v>12697</v>
      </c>
      <c r="AE650" s="14" t="str">
        <f t="shared" si="166"/>
        <v>[x]</v>
      </c>
      <c r="AF650" s="27" t="str">
        <f t="shared" si="167"/>
        <v>[x]</v>
      </c>
      <c r="AG650" s="27" t="str">
        <f t="shared" si="168"/>
        <v>[x]</v>
      </c>
    </row>
    <row r="651" spans="16:33" ht="16.5" x14ac:dyDescent="0.2">
      <c r="P651" s="13">
        <v>595</v>
      </c>
      <c r="Q651" s="14">
        <f t="shared" si="153"/>
        <v>31</v>
      </c>
      <c r="R651" s="14">
        <f t="shared" si="154"/>
        <v>1606039</v>
      </c>
      <c r="S651" s="14" t="str">
        <f t="shared" si="158"/>
        <v>神器6碎片5等级13</v>
      </c>
      <c r="T651" s="29" t="s">
        <v>520</v>
      </c>
      <c r="U651" s="14">
        <f t="shared" si="155"/>
        <v>13</v>
      </c>
      <c r="V651" s="36">
        <f t="shared" si="159"/>
        <v>1.1380000000000001</v>
      </c>
      <c r="W651" s="17">
        <f t="shared" si="156"/>
        <v>3.4140000000000004E-2</v>
      </c>
      <c r="X651" s="14">
        <f t="shared" si="160"/>
        <v>1</v>
      </c>
      <c r="Y651" s="14">
        <f t="shared" si="161"/>
        <v>3</v>
      </c>
      <c r="Z651" s="14">
        <f t="shared" si="162"/>
        <v>0</v>
      </c>
      <c r="AA651" s="14" t="str">
        <f t="shared" si="163"/>
        <v>AtkExt</v>
      </c>
      <c r="AB651" s="14">
        <f t="shared" si="157"/>
        <v>2319</v>
      </c>
      <c r="AC651" s="14" t="str">
        <f t="shared" si="164"/>
        <v>HPExt</v>
      </c>
      <c r="AD651" s="14">
        <f t="shared" si="165"/>
        <v>13920</v>
      </c>
      <c r="AE651" s="14" t="str">
        <f t="shared" si="166"/>
        <v>[x]</v>
      </c>
      <c r="AF651" s="27" t="str">
        <f t="shared" si="167"/>
        <v>[x]</v>
      </c>
      <c r="AG651" s="27" t="str">
        <f t="shared" si="168"/>
        <v>[x]</v>
      </c>
    </row>
    <row r="652" spans="16:33" ht="16.5" x14ac:dyDescent="0.2">
      <c r="P652" s="13">
        <v>596</v>
      </c>
      <c r="Q652" s="14">
        <f t="shared" si="153"/>
        <v>31</v>
      </c>
      <c r="R652" s="14">
        <f t="shared" si="154"/>
        <v>1606039</v>
      </c>
      <c r="S652" s="14" t="str">
        <f t="shared" si="158"/>
        <v>神器6碎片5等级14</v>
      </c>
      <c r="T652" s="29" t="s">
        <v>520</v>
      </c>
      <c r="U652" s="14">
        <f t="shared" si="155"/>
        <v>14</v>
      </c>
      <c r="V652" s="36">
        <f t="shared" si="159"/>
        <v>1.242</v>
      </c>
      <c r="W652" s="17">
        <f t="shared" si="156"/>
        <v>3.7260000000000001E-2</v>
      </c>
      <c r="X652" s="14">
        <f t="shared" si="160"/>
        <v>1</v>
      </c>
      <c r="Y652" s="14">
        <f t="shared" si="161"/>
        <v>3</v>
      </c>
      <c r="Z652" s="14">
        <f t="shared" si="162"/>
        <v>0</v>
      </c>
      <c r="AA652" s="14" t="str">
        <f t="shared" si="163"/>
        <v>AtkExt</v>
      </c>
      <c r="AB652" s="14">
        <f t="shared" si="157"/>
        <v>2530</v>
      </c>
      <c r="AC652" s="14" t="str">
        <f t="shared" si="164"/>
        <v>HPExt</v>
      </c>
      <c r="AD652" s="14">
        <f t="shared" si="165"/>
        <v>15192</v>
      </c>
      <c r="AE652" s="14" t="str">
        <f t="shared" si="166"/>
        <v>[x]</v>
      </c>
      <c r="AF652" s="27" t="str">
        <f t="shared" si="167"/>
        <v>[x]</v>
      </c>
      <c r="AG652" s="27" t="str">
        <f t="shared" si="168"/>
        <v>[x]</v>
      </c>
    </row>
    <row r="653" spans="16:33" ht="16.5" x14ac:dyDescent="0.2">
      <c r="P653" s="13">
        <v>597</v>
      </c>
      <c r="Q653" s="14">
        <f t="shared" si="153"/>
        <v>31</v>
      </c>
      <c r="R653" s="14">
        <f t="shared" si="154"/>
        <v>1606039</v>
      </c>
      <c r="S653" s="14" t="str">
        <f t="shared" si="158"/>
        <v>神器6碎片5等级15</v>
      </c>
      <c r="T653" s="29" t="s">
        <v>520</v>
      </c>
      <c r="U653" s="14">
        <f t="shared" si="155"/>
        <v>15</v>
      </c>
      <c r="V653" s="36">
        <f t="shared" si="159"/>
        <v>1.35</v>
      </c>
      <c r="W653" s="17">
        <f t="shared" si="156"/>
        <v>4.0500000000000001E-2</v>
      </c>
      <c r="X653" s="14">
        <f t="shared" si="160"/>
        <v>1</v>
      </c>
      <c r="Y653" s="14">
        <f t="shared" si="161"/>
        <v>3</v>
      </c>
      <c r="Z653" s="14">
        <f t="shared" si="162"/>
        <v>0</v>
      </c>
      <c r="AA653" s="14" t="str">
        <f t="shared" si="163"/>
        <v>AtkExt</v>
      </c>
      <c r="AB653" s="14">
        <f t="shared" si="157"/>
        <v>2751</v>
      </c>
      <c r="AC653" s="14" t="str">
        <f t="shared" si="164"/>
        <v>HPExt</v>
      </c>
      <c r="AD653" s="14">
        <f t="shared" si="165"/>
        <v>16513</v>
      </c>
      <c r="AE653" s="14" t="str">
        <f t="shared" si="166"/>
        <v>[x]</v>
      </c>
      <c r="AF653" s="27" t="str">
        <f t="shared" si="167"/>
        <v>[x]</v>
      </c>
      <c r="AG653" s="27" t="str">
        <f t="shared" si="168"/>
        <v>[x]</v>
      </c>
    </row>
    <row r="654" spans="16:33" ht="16.5" x14ac:dyDescent="0.2">
      <c r="P654" s="13">
        <v>598</v>
      </c>
      <c r="Q654" s="14">
        <f t="shared" si="153"/>
        <v>31</v>
      </c>
      <c r="R654" s="14">
        <f t="shared" si="154"/>
        <v>1606039</v>
      </c>
      <c r="S654" s="14" t="str">
        <f t="shared" si="158"/>
        <v>神器6碎片5等级16</v>
      </c>
      <c r="T654" s="29" t="s">
        <v>520</v>
      </c>
      <c r="U654" s="14">
        <f t="shared" si="155"/>
        <v>16</v>
      </c>
      <c r="V654" s="36">
        <f t="shared" si="159"/>
        <v>1.4620000000000002</v>
      </c>
      <c r="W654" s="17">
        <f t="shared" si="156"/>
        <v>4.3860000000000003E-2</v>
      </c>
      <c r="X654" s="14">
        <f t="shared" si="160"/>
        <v>1</v>
      </c>
      <c r="Y654" s="14">
        <f t="shared" si="161"/>
        <v>3</v>
      </c>
      <c r="Z654" s="14">
        <f t="shared" si="162"/>
        <v>0</v>
      </c>
      <c r="AA654" s="14" t="str">
        <f t="shared" si="163"/>
        <v>AtkExt</v>
      </c>
      <c r="AB654" s="14">
        <f t="shared" si="157"/>
        <v>2979</v>
      </c>
      <c r="AC654" s="14" t="str">
        <f t="shared" si="164"/>
        <v>HPExt</v>
      </c>
      <c r="AD654" s="14">
        <f t="shared" si="165"/>
        <v>17883</v>
      </c>
      <c r="AE654" s="14" t="str">
        <f t="shared" si="166"/>
        <v>[x]</v>
      </c>
      <c r="AF654" s="27" t="str">
        <f t="shared" si="167"/>
        <v>[x]</v>
      </c>
      <c r="AG654" s="27" t="str">
        <f t="shared" si="168"/>
        <v>[x]</v>
      </c>
    </row>
    <row r="655" spans="16:33" ht="16.5" x14ac:dyDescent="0.2">
      <c r="P655" s="13">
        <v>599</v>
      </c>
      <c r="Q655" s="14">
        <f t="shared" si="153"/>
        <v>31</v>
      </c>
      <c r="R655" s="14">
        <f t="shared" si="154"/>
        <v>1606039</v>
      </c>
      <c r="S655" s="14" t="str">
        <f t="shared" si="158"/>
        <v>神器6碎片5等级17</v>
      </c>
      <c r="T655" s="29" t="s">
        <v>520</v>
      </c>
      <c r="U655" s="14">
        <f t="shared" si="155"/>
        <v>17</v>
      </c>
      <c r="V655" s="36">
        <f t="shared" si="159"/>
        <v>1.5779999999999998</v>
      </c>
      <c r="W655" s="17">
        <f t="shared" si="156"/>
        <v>4.7339999999999993E-2</v>
      </c>
      <c r="X655" s="14">
        <f t="shared" si="160"/>
        <v>1</v>
      </c>
      <c r="Y655" s="14">
        <f t="shared" si="161"/>
        <v>3</v>
      </c>
      <c r="Z655" s="14">
        <f t="shared" si="162"/>
        <v>0</v>
      </c>
      <c r="AA655" s="14" t="str">
        <f t="shared" si="163"/>
        <v>AtkExt</v>
      </c>
      <c r="AB655" s="14">
        <f t="shared" si="157"/>
        <v>3215</v>
      </c>
      <c r="AC655" s="14" t="str">
        <f t="shared" si="164"/>
        <v>HPExt</v>
      </c>
      <c r="AD655" s="14">
        <f t="shared" si="165"/>
        <v>19302</v>
      </c>
      <c r="AE655" s="14" t="str">
        <f t="shared" si="166"/>
        <v>[x]</v>
      </c>
      <c r="AF655" s="27" t="str">
        <f t="shared" si="167"/>
        <v>[x]</v>
      </c>
      <c r="AG655" s="27" t="str">
        <f t="shared" si="168"/>
        <v>[x]</v>
      </c>
    </row>
    <row r="656" spans="16:33" ht="16.5" x14ac:dyDescent="0.2">
      <c r="P656" s="13">
        <v>600</v>
      </c>
      <c r="Q656" s="14">
        <f t="shared" si="153"/>
        <v>31</v>
      </c>
      <c r="R656" s="14">
        <f t="shared" si="154"/>
        <v>1606039</v>
      </c>
      <c r="S656" s="14" t="str">
        <f t="shared" si="158"/>
        <v>神器6碎片5等级18</v>
      </c>
      <c r="T656" s="29" t="s">
        <v>520</v>
      </c>
      <c r="U656" s="14">
        <f t="shared" si="155"/>
        <v>18</v>
      </c>
      <c r="V656" s="36">
        <f t="shared" si="159"/>
        <v>1.698</v>
      </c>
      <c r="W656" s="17">
        <f t="shared" si="156"/>
        <v>5.0939999999999999E-2</v>
      </c>
      <c r="X656" s="14">
        <f t="shared" si="160"/>
        <v>1</v>
      </c>
      <c r="Y656" s="14">
        <f t="shared" si="161"/>
        <v>3</v>
      </c>
      <c r="Z656" s="14">
        <f t="shared" si="162"/>
        <v>0</v>
      </c>
      <c r="AA656" s="14" t="str">
        <f t="shared" si="163"/>
        <v>AtkExt</v>
      </c>
      <c r="AB656" s="14">
        <f t="shared" si="157"/>
        <v>3460</v>
      </c>
      <c r="AC656" s="14" t="str">
        <f t="shared" si="164"/>
        <v>HPExt</v>
      </c>
      <c r="AD656" s="14">
        <f t="shared" si="165"/>
        <v>20770</v>
      </c>
      <c r="AE656" s="14" t="str">
        <f t="shared" si="166"/>
        <v>[x]</v>
      </c>
      <c r="AF656" s="27" t="str">
        <f t="shared" si="167"/>
        <v>[x]</v>
      </c>
      <c r="AG656" s="27" t="str">
        <f t="shared" si="168"/>
        <v>[x]</v>
      </c>
    </row>
    <row r="657" spans="16:33" ht="16.5" x14ac:dyDescent="0.2">
      <c r="P657" s="13">
        <v>601</v>
      </c>
      <c r="Q657" s="14">
        <f t="shared" si="153"/>
        <v>31</v>
      </c>
      <c r="R657" s="14">
        <f t="shared" si="154"/>
        <v>1606039</v>
      </c>
      <c r="S657" s="14" t="str">
        <f t="shared" si="158"/>
        <v>神器6碎片5等级19</v>
      </c>
      <c r="T657" s="29" t="s">
        <v>520</v>
      </c>
      <c r="U657" s="14">
        <f t="shared" si="155"/>
        <v>19</v>
      </c>
      <c r="V657" s="36">
        <f t="shared" si="159"/>
        <v>1.8220000000000001</v>
      </c>
      <c r="W657" s="17">
        <f t="shared" si="156"/>
        <v>5.466E-2</v>
      </c>
      <c r="X657" s="14">
        <f t="shared" si="160"/>
        <v>1</v>
      </c>
      <c r="Y657" s="14">
        <f t="shared" si="161"/>
        <v>3</v>
      </c>
      <c r="Z657" s="14">
        <f t="shared" si="162"/>
        <v>0</v>
      </c>
      <c r="AA657" s="14" t="str">
        <f t="shared" si="163"/>
        <v>AtkExt</v>
      </c>
      <c r="AB657" s="14">
        <f t="shared" si="157"/>
        <v>3712</v>
      </c>
      <c r="AC657" s="14" t="str">
        <f t="shared" si="164"/>
        <v>HPExt</v>
      </c>
      <c r="AD657" s="14">
        <f t="shared" si="165"/>
        <v>22287</v>
      </c>
      <c r="AE657" s="14" t="str">
        <f t="shared" si="166"/>
        <v>[x]</v>
      </c>
      <c r="AF657" s="27" t="str">
        <f t="shared" si="167"/>
        <v>[x]</v>
      </c>
      <c r="AG657" s="27" t="str">
        <f t="shared" si="168"/>
        <v>[x]</v>
      </c>
    </row>
    <row r="658" spans="16:33" ht="16.5" x14ac:dyDescent="0.2">
      <c r="P658" s="13">
        <v>602</v>
      </c>
      <c r="Q658" s="14">
        <f t="shared" si="153"/>
        <v>31</v>
      </c>
      <c r="R658" s="14">
        <f t="shared" si="154"/>
        <v>1606039</v>
      </c>
      <c r="S658" s="14" t="str">
        <f t="shared" si="158"/>
        <v>神器6碎片5等级20</v>
      </c>
      <c r="T658" s="29" t="s">
        <v>520</v>
      </c>
      <c r="U658" s="14">
        <f t="shared" si="155"/>
        <v>20</v>
      </c>
      <c r="V658" s="36">
        <f t="shared" si="159"/>
        <v>1.95</v>
      </c>
      <c r="W658" s="17">
        <f t="shared" si="156"/>
        <v>5.8499999999999996E-2</v>
      </c>
      <c r="X658" s="14">
        <f t="shared" si="160"/>
        <v>1</v>
      </c>
      <c r="Y658" s="14">
        <f t="shared" si="161"/>
        <v>3</v>
      </c>
      <c r="Z658" s="14">
        <f t="shared" si="162"/>
        <v>0</v>
      </c>
      <c r="AA658" s="14" t="str">
        <f t="shared" si="163"/>
        <v>AtkExt</v>
      </c>
      <c r="AB658" s="14">
        <f t="shared" si="157"/>
        <v>3973</v>
      </c>
      <c r="AC658" s="14" t="str">
        <f t="shared" si="164"/>
        <v>HPExt</v>
      </c>
      <c r="AD658" s="14">
        <f t="shared" si="165"/>
        <v>23853</v>
      </c>
      <c r="AE658" s="14" t="str">
        <f t="shared" si="166"/>
        <v>[x]</v>
      </c>
      <c r="AF658" s="27" t="str">
        <f t="shared" si="167"/>
        <v>[x]</v>
      </c>
      <c r="AG658" s="27" t="str">
        <f t="shared" si="168"/>
        <v>[x]</v>
      </c>
    </row>
    <row r="659" spans="16:33" ht="16.5" x14ac:dyDescent="0.2">
      <c r="P659" s="13">
        <v>603</v>
      </c>
      <c r="Q659" s="14">
        <f t="shared" si="153"/>
        <v>31</v>
      </c>
      <c r="R659" s="14">
        <f t="shared" si="154"/>
        <v>1606039</v>
      </c>
      <c r="S659" s="14" t="str">
        <f t="shared" si="158"/>
        <v>神器6碎片5等级21</v>
      </c>
      <c r="T659" s="29" t="s">
        <v>520</v>
      </c>
      <c r="U659" s="14">
        <f t="shared" si="155"/>
        <v>21</v>
      </c>
      <c r="V659" s="36">
        <f t="shared" si="159"/>
        <v>2.0819999999999999</v>
      </c>
      <c r="W659" s="17">
        <f t="shared" si="156"/>
        <v>6.2459999999999995E-2</v>
      </c>
      <c r="X659" s="14">
        <f t="shared" si="160"/>
        <v>1</v>
      </c>
      <c r="Y659" s="14">
        <f t="shared" si="161"/>
        <v>3</v>
      </c>
      <c r="Z659" s="14">
        <f t="shared" si="162"/>
        <v>0</v>
      </c>
      <c r="AA659" s="14" t="str">
        <f t="shared" si="163"/>
        <v>AtkExt</v>
      </c>
      <c r="AB659" s="14">
        <f t="shared" si="157"/>
        <v>4242</v>
      </c>
      <c r="AC659" s="14" t="str">
        <f t="shared" si="164"/>
        <v>HPExt</v>
      </c>
      <c r="AD659" s="14">
        <f t="shared" si="165"/>
        <v>25467</v>
      </c>
      <c r="AE659" s="14" t="str">
        <f t="shared" si="166"/>
        <v>[x]</v>
      </c>
      <c r="AF659" s="27" t="str">
        <f t="shared" si="167"/>
        <v>[x]</v>
      </c>
      <c r="AG659" s="27" t="str">
        <f t="shared" si="168"/>
        <v>[x]</v>
      </c>
    </row>
    <row r="660" spans="16:33" ht="16.5" x14ac:dyDescent="0.2">
      <c r="P660" s="13">
        <v>604</v>
      </c>
      <c r="Q660" s="14">
        <f t="shared" si="153"/>
        <v>32</v>
      </c>
      <c r="R660" s="14">
        <f t="shared" si="154"/>
        <v>1606040</v>
      </c>
      <c r="S660" s="14" t="str">
        <f t="shared" si="158"/>
        <v>神器6碎片6等级1</v>
      </c>
      <c r="T660" s="29" t="s">
        <v>520</v>
      </c>
      <c r="U660" s="14">
        <f t="shared" si="155"/>
        <v>1</v>
      </c>
      <c r="V660" s="36">
        <f t="shared" si="159"/>
        <v>0.20200000000000001</v>
      </c>
      <c r="W660" s="17">
        <f t="shared" si="156"/>
        <v>6.0600000000000003E-3</v>
      </c>
      <c r="X660" s="14">
        <f t="shared" si="160"/>
        <v>1</v>
      </c>
      <c r="Y660" s="14">
        <f t="shared" si="161"/>
        <v>2</v>
      </c>
      <c r="Z660" s="14">
        <f t="shared" si="162"/>
        <v>3</v>
      </c>
      <c r="AA660" s="14" t="str">
        <f t="shared" si="163"/>
        <v>AtkExt</v>
      </c>
      <c r="AB660" s="14">
        <f t="shared" si="157"/>
        <v>411</v>
      </c>
      <c r="AC660" s="14" t="str">
        <f t="shared" si="164"/>
        <v>DefExt</v>
      </c>
      <c r="AD660" s="14">
        <f t="shared" si="165"/>
        <v>205</v>
      </c>
      <c r="AE660" s="14" t="str">
        <f t="shared" si="166"/>
        <v>HPExt</v>
      </c>
      <c r="AF660" s="27">
        <f t="shared" si="167"/>
        <v>1235</v>
      </c>
      <c r="AG660" s="27" t="str">
        <f t="shared" si="168"/>
        <v>[x]</v>
      </c>
    </row>
    <row r="661" spans="16:33" ht="16.5" x14ac:dyDescent="0.2">
      <c r="P661" s="13">
        <v>605</v>
      </c>
      <c r="Q661" s="14">
        <f t="shared" si="153"/>
        <v>32</v>
      </c>
      <c r="R661" s="14">
        <f t="shared" si="154"/>
        <v>1606040</v>
      </c>
      <c r="S661" s="14" t="str">
        <f t="shared" si="158"/>
        <v>神器6碎片6等级2</v>
      </c>
      <c r="T661" s="29" t="s">
        <v>520</v>
      </c>
      <c r="U661" s="14">
        <f t="shared" si="155"/>
        <v>2</v>
      </c>
      <c r="V661" s="36">
        <f t="shared" si="159"/>
        <v>0.25800000000000001</v>
      </c>
      <c r="W661" s="17">
        <f t="shared" si="156"/>
        <v>7.7400000000000004E-3</v>
      </c>
      <c r="X661" s="14">
        <f t="shared" si="160"/>
        <v>1</v>
      </c>
      <c r="Y661" s="14">
        <f t="shared" si="161"/>
        <v>2</v>
      </c>
      <c r="Z661" s="14">
        <f t="shared" si="162"/>
        <v>3</v>
      </c>
      <c r="AA661" s="14" t="str">
        <f t="shared" si="163"/>
        <v>AtkExt</v>
      </c>
      <c r="AB661" s="14">
        <f t="shared" si="157"/>
        <v>525</v>
      </c>
      <c r="AC661" s="14" t="str">
        <f t="shared" si="164"/>
        <v>DefExt</v>
      </c>
      <c r="AD661" s="14">
        <f t="shared" si="165"/>
        <v>262</v>
      </c>
      <c r="AE661" s="14" t="str">
        <f t="shared" si="166"/>
        <v>HPExt</v>
      </c>
      <c r="AF661" s="27">
        <f t="shared" si="167"/>
        <v>1577</v>
      </c>
      <c r="AG661" s="27" t="str">
        <f t="shared" si="168"/>
        <v>[x]</v>
      </c>
    </row>
    <row r="662" spans="16:33" ht="16.5" x14ac:dyDescent="0.2">
      <c r="P662" s="13">
        <v>606</v>
      </c>
      <c r="Q662" s="14">
        <f t="shared" si="153"/>
        <v>32</v>
      </c>
      <c r="R662" s="14">
        <f t="shared" si="154"/>
        <v>1606040</v>
      </c>
      <c r="S662" s="14" t="str">
        <f t="shared" si="158"/>
        <v>神器6碎片6等级3</v>
      </c>
      <c r="T662" s="29" t="s">
        <v>520</v>
      </c>
      <c r="U662" s="14">
        <f t="shared" si="155"/>
        <v>3</v>
      </c>
      <c r="V662" s="36">
        <f t="shared" si="159"/>
        <v>0.31800000000000006</v>
      </c>
      <c r="W662" s="17">
        <f t="shared" si="156"/>
        <v>9.5400000000000016E-3</v>
      </c>
      <c r="X662" s="14">
        <f t="shared" si="160"/>
        <v>1</v>
      </c>
      <c r="Y662" s="14">
        <f t="shared" si="161"/>
        <v>2</v>
      </c>
      <c r="Z662" s="14">
        <f t="shared" si="162"/>
        <v>3</v>
      </c>
      <c r="AA662" s="14" t="str">
        <f t="shared" si="163"/>
        <v>AtkExt</v>
      </c>
      <c r="AB662" s="14">
        <f t="shared" si="157"/>
        <v>648</v>
      </c>
      <c r="AC662" s="14" t="str">
        <f t="shared" si="164"/>
        <v>DefExt</v>
      </c>
      <c r="AD662" s="14">
        <f t="shared" si="165"/>
        <v>323</v>
      </c>
      <c r="AE662" s="14" t="str">
        <f t="shared" si="166"/>
        <v>HPExt</v>
      </c>
      <c r="AF662" s="27">
        <f t="shared" si="167"/>
        <v>1944</v>
      </c>
      <c r="AG662" s="27" t="str">
        <f t="shared" si="168"/>
        <v>[x]</v>
      </c>
    </row>
    <row r="663" spans="16:33" ht="16.5" x14ac:dyDescent="0.2">
      <c r="P663" s="13">
        <v>607</v>
      </c>
      <c r="Q663" s="14">
        <f t="shared" si="153"/>
        <v>32</v>
      </c>
      <c r="R663" s="14">
        <f t="shared" si="154"/>
        <v>1606040</v>
      </c>
      <c r="S663" s="14" t="str">
        <f t="shared" si="158"/>
        <v>神器6碎片6等级4</v>
      </c>
      <c r="T663" s="29" t="s">
        <v>520</v>
      </c>
      <c r="U663" s="14">
        <f t="shared" si="155"/>
        <v>4</v>
      </c>
      <c r="V663" s="36">
        <f t="shared" si="159"/>
        <v>0.38200000000000001</v>
      </c>
      <c r="W663" s="17">
        <f t="shared" si="156"/>
        <v>1.146E-2</v>
      </c>
      <c r="X663" s="14">
        <f t="shared" si="160"/>
        <v>1</v>
      </c>
      <c r="Y663" s="14">
        <f t="shared" si="161"/>
        <v>2</v>
      </c>
      <c r="Z663" s="14">
        <f t="shared" si="162"/>
        <v>3</v>
      </c>
      <c r="AA663" s="14" t="str">
        <f t="shared" si="163"/>
        <v>AtkExt</v>
      </c>
      <c r="AB663" s="14">
        <f t="shared" si="157"/>
        <v>778</v>
      </c>
      <c r="AC663" s="14" t="str">
        <f t="shared" si="164"/>
        <v>DefExt</v>
      </c>
      <c r="AD663" s="14">
        <f t="shared" si="165"/>
        <v>389</v>
      </c>
      <c r="AE663" s="14" t="str">
        <f t="shared" si="166"/>
        <v>HPExt</v>
      </c>
      <c r="AF663" s="27">
        <f t="shared" si="167"/>
        <v>2336</v>
      </c>
      <c r="AG663" s="27" t="str">
        <f t="shared" si="168"/>
        <v>[x]</v>
      </c>
    </row>
    <row r="664" spans="16:33" ht="16.5" x14ac:dyDescent="0.2">
      <c r="P664" s="13">
        <v>608</v>
      </c>
      <c r="Q664" s="14">
        <f t="shared" si="153"/>
        <v>32</v>
      </c>
      <c r="R664" s="14">
        <f t="shared" si="154"/>
        <v>1606040</v>
      </c>
      <c r="S664" s="14" t="str">
        <f t="shared" si="158"/>
        <v>神器6碎片6等级5</v>
      </c>
      <c r="T664" s="29" t="s">
        <v>520</v>
      </c>
      <c r="U664" s="14">
        <f t="shared" si="155"/>
        <v>5</v>
      </c>
      <c r="V664" s="36">
        <f t="shared" si="159"/>
        <v>0.45</v>
      </c>
      <c r="W664" s="17">
        <f t="shared" si="156"/>
        <v>1.35E-2</v>
      </c>
      <c r="X664" s="14">
        <f t="shared" si="160"/>
        <v>1</v>
      </c>
      <c r="Y664" s="14">
        <f t="shared" si="161"/>
        <v>2</v>
      </c>
      <c r="Z664" s="14">
        <f t="shared" si="162"/>
        <v>3</v>
      </c>
      <c r="AA664" s="14" t="str">
        <f t="shared" si="163"/>
        <v>AtkExt</v>
      </c>
      <c r="AB664" s="14">
        <f t="shared" si="157"/>
        <v>917</v>
      </c>
      <c r="AC664" s="14" t="str">
        <f t="shared" si="164"/>
        <v>DefExt</v>
      </c>
      <c r="AD664" s="14">
        <f t="shared" si="165"/>
        <v>458</v>
      </c>
      <c r="AE664" s="14" t="str">
        <f t="shared" si="166"/>
        <v>HPExt</v>
      </c>
      <c r="AF664" s="27">
        <f t="shared" si="167"/>
        <v>2752</v>
      </c>
      <c r="AG664" s="27" t="str">
        <f t="shared" si="168"/>
        <v>[x]</v>
      </c>
    </row>
    <row r="665" spans="16:33" ht="16.5" x14ac:dyDescent="0.2">
      <c r="P665" s="13">
        <v>609</v>
      </c>
      <c r="Q665" s="14">
        <f t="shared" si="153"/>
        <v>32</v>
      </c>
      <c r="R665" s="14">
        <f t="shared" si="154"/>
        <v>1606040</v>
      </c>
      <c r="S665" s="14" t="str">
        <f t="shared" si="158"/>
        <v>神器6碎片6等级6</v>
      </c>
      <c r="T665" s="29" t="s">
        <v>520</v>
      </c>
      <c r="U665" s="14">
        <f t="shared" si="155"/>
        <v>6</v>
      </c>
      <c r="V665" s="36">
        <f t="shared" si="159"/>
        <v>0.52200000000000002</v>
      </c>
      <c r="W665" s="17">
        <f t="shared" si="156"/>
        <v>1.566E-2</v>
      </c>
      <c r="X665" s="14">
        <f t="shared" si="160"/>
        <v>1</v>
      </c>
      <c r="Y665" s="14">
        <f t="shared" si="161"/>
        <v>2</v>
      </c>
      <c r="Z665" s="14">
        <f t="shared" si="162"/>
        <v>3</v>
      </c>
      <c r="AA665" s="14" t="str">
        <f t="shared" si="163"/>
        <v>AtkExt</v>
      </c>
      <c r="AB665" s="14">
        <f t="shared" si="157"/>
        <v>1063</v>
      </c>
      <c r="AC665" s="14" t="str">
        <f t="shared" si="164"/>
        <v>DefExt</v>
      </c>
      <c r="AD665" s="14">
        <f t="shared" si="165"/>
        <v>531</v>
      </c>
      <c r="AE665" s="14" t="str">
        <f t="shared" si="166"/>
        <v>HPExt</v>
      </c>
      <c r="AF665" s="27">
        <f t="shared" si="167"/>
        <v>3192</v>
      </c>
      <c r="AG665" s="27" t="str">
        <f t="shared" si="168"/>
        <v>[x]</v>
      </c>
    </row>
    <row r="666" spans="16:33" ht="16.5" x14ac:dyDescent="0.2">
      <c r="P666" s="13">
        <v>610</v>
      </c>
      <c r="Q666" s="14">
        <f t="shared" si="153"/>
        <v>32</v>
      </c>
      <c r="R666" s="14">
        <f t="shared" si="154"/>
        <v>1606040</v>
      </c>
      <c r="S666" s="14" t="str">
        <f t="shared" si="158"/>
        <v>神器6碎片6等级7</v>
      </c>
      <c r="T666" s="29" t="s">
        <v>520</v>
      </c>
      <c r="U666" s="14">
        <f t="shared" si="155"/>
        <v>7</v>
      </c>
      <c r="V666" s="36">
        <f t="shared" si="159"/>
        <v>0.59799999999999998</v>
      </c>
      <c r="W666" s="17">
        <f t="shared" si="156"/>
        <v>1.7939999999999998E-2</v>
      </c>
      <c r="X666" s="14">
        <f t="shared" si="160"/>
        <v>1</v>
      </c>
      <c r="Y666" s="14">
        <f t="shared" si="161"/>
        <v>2</v>
      </c>
      <c r="Z666" s="14">
        <f t="shared" si="162"/>
        <v>3</v>
      </c>
      <c r="AA666" s="14" t="str">
        <f t="shared" si="163"/>
        <v>AtkExt</v>
      </c>
      <c r="AB666" s="14">
        <f t="shared" si="157"/>
        <v>1218</v>
      </c>
      <c r="AC666" s="14" t="str">
        <f t="shared" si="164"/>
        <v>DefExt</v>
      </c>
      <c r="AD666" s="14">
        <f t="shared" si="165"/>
        <v>609</v>
      </c>
      <c r="AE666" s="14" t="str">
        <f t="shared" si="166"/>
        <v>HPExt</v>
      </c>
      <c r="AF666" s="27">
        <f t="shared" si="167"/>
        <v>3657</v>
      </c>
      <c r="AG666" s="27" t="str">
        <f t="shared" si="168"/>
        <v>[x]</v>
      </c>
    </row>
    <row r="667" spans="16:33" ht="16.5" x14ac:dyDescent="0.2">
      <c r="P667" s="13">
        <v>611</v>
      </c>
      <c r="Q667" s="14">
        <f t="shared" si="153"/>
        <v>32</v>
      </c>
      <c r="R667" s="14">
        <f t="shared" si="154"/>
        <v>1606040</v>
      </c>
      <c r="S667" s="14" t="str">
        <f t="shared" si="158"/>
        <v>神器6碎片6等级8</v>
      </c>
      <c r="T667" s="29" t="s">
        <v>520</v>
      </c>
      <c r="U667" s="14">
        <f t="shared" si="155"/>
        <v>8</v>
      </c>
      <c r="V667" s="36">
        <f t="shared" si="159"/>
        <v>0.67800000000000005</v>
      </c>
      <c r="W667" s="17">
        <f t="shared" si="156"/>
        <v>2.034E-2</v>
      </c>
      <c r="X667" s="14">
        <f t="shared" si="160"/>
        <v>1</v>
      </c>
      <c r="Y667" s="14">
        <f t="shared" si="161"/>
        <v>2</v>
      </c>
      <c r="Z667" s="14">
        <f t="shared" si="162"/>
        <v>3</v>
      </c>
      <c r="AA667" s="14" t="str">
        <f t="shared" si="163"/>
        <v>AtkExt</v>
      </c>
      <c r="AB667" s="14">
        <f t="shared" si="157"/>
        <v>1381</v>
      </c>
      <c r="AC667" s="14" t="str">
        <f t="shared" si="164"/>
        <v>DefExt</v>
      </c>
      <c r="AD667" s="14">
        <f t="shared" si="165"/>
        <v>690</v>
      </c>
      <c r="AE667" s="14" t="str">
        <f t="shared" si="166"/>
        <v>HPExt</v>
      </c>
      <c r="AF667" s="27">
        <f t="shared" si="167"/>
        <v>4146</v>
      </c>
      <c r="AG667" s="27" t="str">
        <f t="shared" si="168"/>
        <v>[x]</v>
      </c>
    </row>
    <row r="668" spans="16:33" ht="16.5" x14ac:dyDescent="0.2">
      <c r="P668" s="13">
        <v>612</v>
      </c>
      <c r="Q668" s="14">
        <f t="shared" si="153"/>
        <v>32</v>
      </c>
      <c r="R668" s="14">
        <f t="shared" si="154"/>
        <v>1606040</v>
      </c>
      <c r="S668" s="14" t="str">
        <f t="shared" si="158"/>
        <v>神器6碎片6等级9</v>
      </c>
      <c r="T668" s="29" t="s">
        <v>520</v>
      </c>
      <c r="U668" s="14">
        <f t="shared" si="155"/>
        <v>9</v>
      </c>
      <c r="V668" s="36">
        <f t="shared" si="159"/>
        <v>0.76200000000000001</v>
      </c>
      <c r="W668" s="17">
        <f t="shared" si="156"/>
        <v>2.2859999999999998E-2</v>
      </c>
      <c r="X668" s="14">
        <f t="shared" si="160"/>
        <v>1</v>
      </c>
      <c r="Y668" s="14">
        <f t="shared" si="161"/>
        <v>2</v>
      </c>
      <c r="Z668" s="14">
        <f t="shared" si="162"/>
        <v>3</v>
      </c>
      <c r="AA668" s="14" t="str">
        <f t="shared" si="163"/>
        <v>AtkExt</v>
      </c>
      <c r="AB668" s="14">
        <f t="shared" si="157"/>
        <v>1552</v>
      </c>
      <c r="AC668" s="14" t="str">
        <f t="shared" si="164"/>
        <v>DefExt</v>
      </c>
      <c r="AD668" s="14">
        <f t="shared" si="165"/>
        <v>776</v>
      </c>
      <c r="AE668" s="14" t="str">
        <f t="shared" si="166"/>
        <v>HPExt</v>
      </c>
      <c r="AF668" s="27">
        <f t="shared" si="167"/>
        <v>4660</v>
      </c>
      <c r="AG668" s="27" t="str">
        <f t="shared" si="168"/>
        <v>[x]</v>
      </c>
    </row>
    <row r="669" spans="16:33" ht="16.5" x14ac:dyDescent="0.2">
      <c r="P669" s="13">
        <v>613</v>
      </c>
      <c r="Q669" s="14">
        <f t="shared" si="153"/>
        <v>32</v>
      </c>
      <c r="R669" s="14">
        <f t="shared" si="154"/>
        <v>1606040</v>
      </c>
      <c r="S669" s="14" t="str">
        <f t="shared" si="158"/>
        <v>神器6碎片6等级10</v>
      </c>
      <c r="T669" s="29" t="s">
        <v>520</v>
      </c>
      <c r="U669" s="14">
        <f t="shared" si="155"/>
        <v>10</v>
      </c>
      <c r="V669" s="36">
        <f t="shared" si="159"/>
        <v>0.85000000000000009</v>
      </c>
      <c r="W669" s="17">
        <f t="shared" si="156"/>
        <v>2.5500000000000002E-2</v>
      </c>
      <c r="X669" s="14">
        <f t="shared" si="160"/>
        <v>1</v>
      </c>
      <c r="Y669" s="14">
        <f t="shared" si="161"/>
        <v>2</v>
      </c>
      <c r="Z669" s="14">
        <f t="shared" si="162"/>
        <v>3</v>
      </c>
      <c r="AA669" s="14" t="str">
        <f t="shared" si="163"/>
        <v>AtkExt</v>
      </c>
      <c r="AB669" s="14">
        <f t="shared" si="157"/>
        <v>1732</v>
      </c>
      <c r="AC669" s="14" t="str">
        <f t="shared" si="164"/>
        <v>DefExt</v>
      </c>
      <c r="AD669" s="14">
        <f t="shared" si="165"/>
        <v>865</v>
      </c>
      <c r="AE669" s="14" t="str">
        <f t="shared" si="166"/>
        <v>HPExt</v>
      </c>
      <c r="AF669" s="27">
        <f t="shared" si="167"/>
        <v>5198</v>
      </c>
      <c r="AG669" s="27" t="str">
        <f t="shared" si="168"/>
        <v>[x]</v>
      </c>
    </row>
    <row r="670" spans="16:33" ht="16.5" x14ac:dyDescent="0.2">
      <c r="P670" s="13">
        <v>614</v>
      </c>
      <c r="Q670" s="14">
        <f t="shared" si="153"/>
        <v>32</v>
      </c>
      <c r="R670" s="14">
        <f t="shared" si="154"/>
        <v>1606040</v>
      </c>
      <c r="S670" s="14" t="str">
        <f t="shared" si="158"/>
        <v>神器6碎片6等级11</v>
      </c>
      <c r="T670" s="29" t="s">
        <v>520</v>
      </c>
      <c r="U670" s="14">
        <f t="shared" si="155"/>
        <v>11</v>
      </c>
      <c r="V670" s="36">
        <f t="shared" si="159"/>
        <v>0.94200000000000006</v>
      </c>
      <c r="W670" s="17">
        <f t="shared" si="156"/>
        <v>2.826E-2</v>
      </c>
      <c r="X670" s="14">
        <f t="shared" si="160"/>
        <v>1</v>
      </c>
      <c r="Y670" s="14">
        <f t="shared" si="161"/>
        <v>2</v>
      </c>
      <c r="Z670" s="14">
        <f t="shared" si="162"/>
        <v>3</v>
      </c>
      <c r="AA670" s="14" t="str">
        <f t="shared" si="163"/>
        <v>AtkExt</v>
      </c>
      <c r="AB670" s="14">
        <f t="shared" si="157"/>
        <v>1919</v>
      </c>
      <c r="AC670" s="14" t="str">
        <f t="shared" si="164"/>
        <v>DefExt</v>
      </c>
      <c r="AD670" s="14">
        <f t="shared" si="165"/>
        <v>959</v>
      </c>
      <c r="AE670" s="14" t="str">
        <f t="shared" si="166"/>
        <v>HPExt</v>
      </c>
      <c r="AF670" s="27">
        <f t="shared" si="167"/>
        <v>5761</v>
      </c>
      <c r="AG670" s="27" t="str">
        <f t="shared" si="168"/>
        <v>[x]</v>
      </c>
    </row>
    <row r="671" spans="16:33" ht="16.5" x14ac:dyDescent="0.2">
      <c r="P671" s="13">
        <v>615</v>
      </c>
      <c r="Q671" s="14">
        <f t="shared" si="153"/>
        <v>32</v>
      </c>
      <c r="R671" s="14">
        <f t="shared" si="154"/>
        <v>1606040</v>
      </c>
      <c r="S671" s="14" t="str">
        <f t="shared" si="158"/>
        <v>神器6碎片6等级12</v>
      </c>
      <c r="T671" s="29" t="s">
        <v>520</v>
      </c>
      <c r="U671" s="14">
        <f t="shared" si="155"/>
        <v>12</v>
      </c>
      <c r="V671" s="36">
        <f t="shared" si="159"/>
        <v>1.0380000000000003</v>
      </c>
      <c r="W671" s="17">
        <f t="shared" si="156"/>
        <v>3.1140000000000008E-2</v>
      </c>
      <c r="X671" s="14">
        <f t="shared" si="160"/>
        <v>1</v>
      </c>
      <c r="Y671" s="14">
        <f t="shared" si="161"/>
        <v>2</v>
      </c>
      <c r="Z671" s="14">
        <f t="shared" si="162"/>
        <v>3</v>
      </c>
      <c r="AA671" s="14" t="str">
        <f t="shared" si="163"/>
        <v>AtkExt</v>
      </c>
      <c r="AB671" s="14">
        <f t="shared" si="157"/>
        <v>2115</v>
      </c>
      <c r="AC671" s="14" t="str">
        <f t="shared" si="164"/>
        <v>DefExt</v>
      </c>
      <c r="AD671" s="14">
        <f t="shared" si="165"/>
        <v>1057</v>
      </c>
      <c r="AE671" s="14" t="str">
        <f t="shared" si="166"/>
        <v>HPExt</v>
      </c>
      <c r="AF671" s="27">
        <f t="shared" si="167"/>
        <v>6348</v>
      </c>
      <c r="AG671" s="27" t="str">
        <f t="shared" si="168"/>
        <v>[x]</v>
      </c>
    </row>
    <row r="672" spans="16:33" ht="16.5" x14ac:dyDescent="0.2">
      <c r="P672" s="13">
        <v>616</v>
      </c>
      <c r="Q672" s="14">
        <f t="shared" si="153"/>
        <v>32</v>
      </c>
      <c r="R672" s="14">
        <f t="shared" si="154"/>
        <v>1606040</v>
      </c>
      <c r="S672" s="14" t="str">
        <f t="shared" si="158"/>
        <v>神器6碎片6等级13</v>
      </c>
      <c r="T672" s="29" t="s">
        <v>520</v>
      </c>
      <c r="U672" s="14">
        <f t="shared" si="155"/>
        <v>13</v>
      </c>
      <c r="V672" s="36">
        <f t="shared" si="159"/>
        <v>1.1380000000000001</v>
      </c>
      <c r="W672" s="17">
        <f t="shared" si="156"/>
        <v>3.4140000000000004E-2</v>
      </c>
      <c r="X672" s="14">
        <f t="shared" si="160"/>
        <v>1</v>
      </c>
      <c r="Y672" s="14">
        <f t="shared" si="161"/>
        <v>2</v>
      </c>
      <c r="Z672" s="14">
        <f t="shared" si="162"/>
        <v>3</v>
      </c>
      <c r="AA672" s="14" t="str">
        <f t="shared" si="163"/>
        <v>AtkExt</v>
      </c>
      <c r="AB672" s="14">
        <f t="shared" si="157"/>
        <v>2319</v>
      </c>
      <c r="AC672" s="14" t="str">
        <f t="shared" si="164"/>
        <v>DefExt</v>
      </c>
      <c r="AD672" s="14">
        <f t="shared" si="165"/>
        <v>1158</v>
      </c>
      <c r="AE672" s="14" t="str">
        <f t="shared" si="166"/>
        <v>HPExt</v>
      </c>
      <c r="AF672" s="27">
        <f t="shared" si="167"/>
        <v>6960</v>
      </c>
      <c r="AG672" s="27" t="str">
        <f t="shared" si="168"/>
        <v>[x]</v>
      </c>
    </row>
    <row r="673" spans="16:33" ht="16.5" x14ac:dyDescent="0.2">
      <c r="P673" s="13">
        <v>617</v>
      </c>
      <c r="Q673" s="14">
        <f t="shared" si="153"/>
        <v>32</v>
      </c>
      <c r="R673" s="14">
        <f t="shared" si="154"/>
        <v>1606040</v>
      </c>
      <c r="S673" s="14" t="str">
        <f t="shared" si="158"/>
        <v>神器6碎片6等级14</v>
      </c>
      <c r="T673" s="29" t="s">
        <v>520</v>
      </c>
      <c r="U673" s="14">
        <f t="shared" si="155"/>
        <v>14</v>
      </c>
      <c r="V673" s="36">
        <f t="shared" si="159"/>
        <v>1.242</v>
      </c>
      <c r="W673" s="17">
        <f t="shared" si="156"/>
        <v>3.7260000000000001E-2</v>
      </c>
      <c r="X673" s="14">
        <f t="shared" si="160"/>
        <v>1</v>
      </c>
      <c r="Y673" s="14">
        <f t="shared" si="161"/>
        <v>2</v>
      </c>
      <c r="Z673" s="14">
        <f t="shared" si="162"/>
        <v>3</v>
      </c>
      <c r="AA673" s="14" t="str">
        <f t="shared" si="163"/>
        <v>AtkExt</v>
      </c>
      <c r="AB673" s="14">
        <f t="shared" si="157"/>
        <v>2530</v>
      </c>
      <c r="AC673" s="14" t="str">
        <f t="shared" si="164"/>
        <v>DefExt</v>
      </c>
      <c r="AD673" s="14">
        <f t="shared" si="165"/>
        <v>1264</v>
      </c>
      <c r="AE673" s="14" t="str">
        <f t="shared" si="166"/>
        <v>HPExt</v>
      </c>
      <c r="AF673" s="27">
        <f t="shared" si="167"/>
        <v>7596</v>
      </c>
      <c r="AG673" s="27" t="str">
        <f t="shared" si="168"/>
        <v>[x]</v>
      </c>
    </row>
    <row r="674" spans="16:33" ht="16.5" x14ac:dyDescent="0.2">
      <c r="P674" s="13">
        <v>618</v>
      </c>
      <c r="Q674" s="14">
        <f t="shared" si="153"/>
        <v>32</v>
      </c>
      <c r="R674" s="14">
        <f t="shared" si="154"/>
        <v>1606040</v>
      </c>
      <c r="S674" s="14" t="str">
        <f t="shared" si="158"/>
        <v>神器6碎片6等级15</v>
      </c>
      <c r="T674" s="29" t="s">
        <v>520</v>
      </c>
      <c r="U674" s="14">
        <f t="shared" si="155"/>
        <v>15</v>
      </c>
      <c r="V674" s="36">
        <f t="shared" si="159"/>
        <v>1.35</v>
      </c>
      <c r="W674" s="17">
        <f t="shared" si="156"/>
        <v>4.0500000000000001E-2</v>
      </c>
      <c r="X674" s="14">
        <f t="shared" si="160"/>
        <v>1</v>
      </c>
      <c r="Y674" s="14">
        <f t="shared" si="161"/>
        <v>2</v>
      </c>
      <c r="Z674" s="14">
        <f t="shared" si="162"/>
        <v>3</v>
      </c>
      <c r="AA674" s="14" t="str">
        <f t="shared" si="163"/>
        <v>AtkExt</v>
      </c>
      <c r="AB674" s="14">
        <f t="shared" si="157"/>
        <v>2751</v>
      </c>
      <c r="AC674" s="14" t="str">
        <f t="shared" si="164"/>
        <v>DefExt</v>
      </c>
      <c r="AD674" s="14">
        <f t="shared" si="165"/>
        <v>1374</v>
      </c>
      <c r="AE674" s="14" t="str">
        <f t="shared" si="166"/>
        <v>HPExt</v>
      </c>
      <c r="AF674" s="27">
        <f t="shared" si="167"/>
        <v>8256</v>
      </c>
      <c r="AG674" s="27" t="str">
        <f t="shared" si="168"/>
        <v>[x]</v>
      </c>
    </row>
    <row r="675" spans="16:33" ht="16.5" x14ac:dyDescent="0.2">
      <c r="P675" s="13">
        <v>619</v>
      </c>
      <c r="Q675" s="14">
        <f t="shared" si="153"/>
        <v>32</v>
      </c>
      <c r="R675" s="14">
        <f t="shared" si="154"/>
        <v>1606040</v>
      </c>
      <c r="S675" s="14" t="str">
        <f t="shared" si="158"/>
        <v>神器6碎片6等级16</v>
      </c>
      <c r="T675" s="29" t="s">
        <v>520</v>
      </c>
      <c r="U675" s="14">
        <f t="shared" si="155"/>
        <v>16</v>
      </c>
      <c r="V675" s="36">
        <f t="shared" si="159"/>
        <v>1.4620000000000002</v>
      </c>
      <c r="W675" s="17">
        <f t="shared" si="156"/>
        <v>4.3860000000000003E-2</v>
      </c>
      <c r="X675" s="14">
        <f t="shared" si="160"/>
        <v>1</v>
      </c>
      <c r="Y675" s="14">
        <f t="shared" si="161"/>
        <v>2</v>
      </c>
      <c r="Z675" s="14">
        <f t="shared" si="162"/>
        <v>3</v>
      </c>
      <c r="AA675" s="14" t="str">
        <f t="shared" si="163"/>
        <v>AtkExt</v>
      </c>
      <c r="AB675" s="14">
        <f t="shared" si="157"/>
        <v>2979</v>
      </c>
      <c r="AC675" s="14" t="str">
        <f t="shared" si="164"/>
        <v>DefExt</v>
      </c>
      <c r="AD675" s="14">
        <f t="shared" si="165"/>
        <v>1488</v>
      </c>
      <c r="AE675" s="14" t="str">
        <f t="shared" si="166"/>
        <v>HPExt</v>
      </c>
      <c r="AF675" s="27">
        <f t="shared" si="167"/>
        <v>8941</v>
      </c>
      <c r="AG675" s="27" t="str">
        <f t="shared" si="168"/>
        <v>[x]</v>
      </c>
    </row>
    <row r="676" spans="16:33" ht="16.5" x14ac:dyDescent="0.2">
      <c r="P676" s="13">
        <v>620</v>
      </c>
      <c r="Q676" s="14">
        <f t="shared" si="153"/>
        <v>32</v>
      </c>
      <c r="R676" s="14">
        <f t="shared" si="154"/>
        <v>1606040</v>
      </c>
      <c r="S676" s="14" t="str">
        <f t="shared" si="158"/>
        <v>神器6碎片6等级17</v>
      </c>
      <c r="T676" s="29" t="s">
        <v>520</v>
      </c>
      <c r="U676" s="14">
        <f t="shared" si="155"/>
        <v>17</v>
      </c>
      <c r="V676" s="36">
        <f t="shared" si="159"/>
        <v>1.5779999999999998</v>
      </c>
      <c r="W676" s="17">
        <f t="shared" si="156"/>
        <v>4.7339999999999993E-2</v>
      </c>
      <c r="X676" s="14">
        <f t="shared" si="160"/>
        <v>1</v>
      </c>
      <c r="Y676" s="14">
        <f t="shared" si="161"/>
        <v>2</v>
      </c>
      <c r="Z676" s="14">
        <f t="shared" si="162"/>
        <v>3</v>
      </c>
      <c r="AA676" s="14" t="str">
        <f t="shared" si="163"/>
        <v>AtkExt</v>
      </c>
      <c r="AB676" s="14">
        <f t="shared" si="157"/>
        <v>3215</v>
      </c>
      <c r="AC676" s="14" t="str">
        <f t="shared" si="164"/>
        <v>DefExt</v>
      </c>
      <c r="AD676" s="14">
        <f t="shared" si="165"/>
        <v>1607</v>
      </c>
      <c r="AE676" s="14" t="str">
        <f t="shared" si="166"/>
        <v>HPExt</v>
      </c>
      <c r="AF676" s="27">
        <f t="shared" si="167"/>
        <v>9651</v>
      </c>
      <c r="AG676" s="27" t="str">
        <f t="shared" si="168"/>
        <v>[x]</v>
      </c>
    </row>
    <row r="677" spans="16:33" ht="16.5" x14ac:dyDescent="0.2">
      <c r="P677" s="13">
        <v>621</v>
      </c>
      <c r="Q677" s="14">
        <f t="shared" si="153"/>
        <v>32</v>
      </c>
      <c r="R677" s="14">
        <f t="shared" si="154"/>
        <v>1606040</v>
      </c>
      <c r="S677" s="14" t="str">
        <f t="shared" si="158"/>
        <v>神器6碎片6等级18</v>
      </c>
      <c r="T677" s="29" t="s">
        <v>520</v>
      </c>
      <c r="U677" s="14">
        <f t="shared" si="155"/>
        <v>18</v>
      </c>
      <c r="V677" s="36">
        <f t="shared" si="159"/>
        <v>1.698</v>
      </c>
      <c r="W677" s="17">
        <f t="shared" si="156"/>
        <v>5.0939999999999999E-2</v>
      </c>
      <c r="X677" s="14">
        <f t="shared" si="160"/>
        <v>1</v>
      </c>
      <c r="Y677" s="14">
        <f t="shared" si="161"/>
        <v>2</v>
      </c>
      <c r="Z677" s="14">
        <f t="shared" si="162"/>
        <v>3</v>
      </c>
      <c r="AA677" s="14" t="str">
        <f t="shared" si="163"/>
        <v>AtkExt</v>
      </c>
      <c r="AB677" s="14">
        <f t="shared" si="157"/>
        <v>3460</v>
      </c>
      <c r="AC677" s="14" t="str">
        <f t="shared" si="164"/>
        <v>DefExt</v>
      </c>
      <c r="AD677" s="14">
        <f t="shared" si="165"/>
        <v>1729</v>
      </c>
      <c r="AE677" s="14" t="str">
        <f t="shared" si="166"/>
        <v>HPExt</v>
      </c>
      <c r="AF677" s="27">
        <f t="shared" si="167"/>
        <v>10385</v>
      </c>
      <c r="AG677" s="27" t="str">
        <f t="shared" si="168"/>
        <v>[x]</v>
      </c>
    </row>
    <row r="678" spans="16:33" ht="16.5" x14ac:dyDescent="0.2">
      <c r="P678" s="13">
        <v>622</v>
      </c>
      <c r="Q678" s="14">
        <f t="shared" si="153"/>
        <v>32</v>
      </c>
      <c r="R678" s="14">
        <f t="shared" si="154"/>
        <v>1606040</v>
      </c>
      <c r="S678" s="14" t="str">
        <f t="shared" si="158"/>
        <v>神器6碎片6等级19</v>
      </c>
      <c r="T678" s="29" t="s">
        <v>520</v>
      </c>
      <c r="U678" s="14">
        <f t="shared" si="155"/>
        <v>19</v>
      </c>
      <c r="V678" s="36">
        <f t="shared" si="159"/>
        <v>1.8220000000000001</v>
      </c>
      <c r="W678" s="17">
        <f t="shared" si="156"/>
        <v>5.466E-2</v>
      </c>
      <c r="X678" s="14">
        <f t="shared" si="160"/>
        <v>1</v>
      </c>
      <c r="Y678" s="14">
        <f t="shared" si="161"/>
        <v>2</v>
      </c>
      <c r="Z678" s="14">
        <f t="shared" si="162"/>
        <v>3</v>
      </c>
      <c r="AA678" s="14" t="str">
        <f t="shared" si="163"/>
        <v>AtkExt</v>
      </c>
      <c r="AB678" s="14">
        <f t="shared" si="157"/>
        <v>3712</v>
      </c>
      <c r="AC678" s="14" t="str">
        <f t="shared" si="164"/>
        <v>DefExt</v>
      </c>
      <c r="AD678" s="14">
        <f t="shared" si="165"/>
        <v>1855</v>
      </c>
      <c r="AE678" s="14" t="str">
        <f t="shared" si="166"/>
        <v>HPExt</v>
      </c>
      <c r="AF678" s="27">
        <f t="shared" si="167"/>
        <v>11143</v>
      </c>
      <c r="AG678" s="27" t="str">
        <f t="shared" si="168"/>
        <v>[x]</v>
      </c>
    </row>
    <row r="679" spans="16:33" ht="16.5" x14ac:dyDescent="0.2">
      <c r="P679" s="13">
        <v>623</v>
      </c>
      <c r="Q679" s="14">
        <f t="shared" si="153"/>
        <v>32</v>
      </c>
      <c r="R679" s="14">
        <f t="shared" si="154"/>
        <v>1606040</v>
      </c>
      <c r="S679" s="14" t="str">
        <f t="shared" si="158"/>
        <v>神器6碎片6等级20</v>
      </c>
      <c r="T679" s="29" t="s">
        <v>520</v>
      </c>
      <c r="U679" s="14">
        <f t="shared" si="155"/>
        <v>20</v>
      </c>
      <c r="V679" s="36">
        <f t="shared" si="159"/>
        <v>1.95</v>
      </c>
      <c r="W679" s="17">
        <f t="shared" si="156"/>
        <v>5.8499999999999996E-2</v>
      </c>
      <c r="X679" s="14">
        <f t="shared" si="160"/>
        <v>1</v>
      </c>
      <c r="Y679" s="14">
        <f t="shared" si="161"/>
        <v>2</v>
      </c>
      <c r="Z679" s="14">
        <f t="shared" si="162"/>
        <v>3</v>
      </c>
      <c r="AA679" s="14" t="str">
        <f t="shared" si="163"/>
        <v>AtkExt</v>
      </c>
      <c r="AB679" s="14">
        <f t="shared" si="157"/>
        <v>3973</v>
      </c>
      <c r="AC679" s="14" t="str">
        <f t="shared" si="164"/>
        <v>DefExt</v>
      </c>
      <c r="AD679" s="14">
        <f t="shared" si="165"/>
        <v>1985</v>
      </c>
      <c r="AE679" s="14" t="str">
        <f t="shared" si="166"/>
        <v>HPExt</v>
      </c>
      <c r="AF679" s="27">
        <f t="shared" si="167"/>
        <v>11926</v>
      </c>
      <c r="AG679" s="27" t="str">
        <f t="shared" si="168"/>
        <v>[x]</v>
      </c>
    </row>
    <row r="680" spans="16:33" ht="16.5" x14ac:dyDescent="0.2">
      <c r="P680" s="13">
        <v>624</v>
      </c>
      <c r="Q680" s="14">
        <f t="shared" si="153"/>
        <v>32</v>
      </c>
      <c r="R680" s="14">
        <f t="shared" si="154"/>
        <v>1606040</v>
      </c>
      <c r="S680" s="14" t="str">
        <f t="shared" si="158"/>
        <v>神器6碎片6等级21</v>
      </c>
      <c r="T680" s="29" t="s">
        <v>520</v>
      </c>
      <c r="U680" s="14">
        <f t="shared" si="155"/>
        <v>21</v>
      </c>
      <c r="V680" s="36">
        <f t="shared" si="159"/>
        <v>2.0819999999999999</v>
      </c>
      <c r="W680" s="17">
        <f t="shared" si="156"/>
        <v>6.2459999999999995E-2</v>
      </c>
      <c r="X680" s="14">
        <f t="shared" si="160"/>
        <v>1</v>
      </c>
      <c r="Y680" s="14">
        <f t="shared" si="161"/>
        <v>2</v>
      </c>
      <c r="Z680" s="14">
        <f t="shared" si="162"/>
        <v>3</v>
      </c>
      <c r="AA680" s="14" t="str">
        <f t="shared" si="163"/>
        <v>AtkExt</v>
      </c>
      <c r="AB680" s="14">
        <f t="shared" si="157"/>
        <v>4242</v>
      </c>
      <c r="AC680" s="14" t="str">
        <f t="shared" si="164"/>
        <v>DefExt</v>
      </c>
      <c r="AD680" s="14">
        <f t="shared" si="165"/>
        <v>2120</v>
      </c>
      <c r="AE680" s="14" t="str">
        <f t="shared" si="166"/>
        <v>HPExt</v>
      </c>
      <c r="AF680" s="27">
        <f t="shared" si="167"/>
        <v>12733</v>
      </c>
      <c r="AG680" s="27" t="str">
        <f t="shared" si="168"/>
        <v>[x]</v>
      </c>
    </row>
    <row r="681" spans="16:33" ht="16.5" x14ac:dyDescent="0.2">
      <c r="P681" s="13">
        <v>625</v>
      </c>
      <c r="Q681" s="14">
        <f t="shared" si="153"/>
        <v>33</v>
      </c>
      <c r="R681" s="14">
        <f t="shared" si="154"/>
        <v>1606041</v>
      </c>
      <c r="S681" s="14" t="str">
        <f t="shared" si="158"/>
        <v>神器6碎片7等级1</v>
      </c>
      <c r="T681" s="29" t="s">
        <v>520</v>
      </c>
      <c r="U681" s="14">
        <f t="shared" si="155"/>
        <v>1</v>
      </c>
      <c r="V681" s="36">
        <f t="shared" si="159"/>
        <v>0.20200000000000001</v>
      </c>
      <c r="W681" s="17">
        <f t="shared" si="156"/>
        <v>1.0100000000000001E-2</v>
      </c>
      <c r="X681" s="14">
        <f t="shared" si="160"/>
        <v>1</v>
      </c>
      <c r="Y681" s="14">
        <f t="shared" si="161"/>
        <v>2</v>
      </c>
      <c r="Z681" s="14">
        <f t="shared" si="162"/>
        <v>0</v>
      </c>
      <c r="AA681" s="14" t="str">
        <f t="shared" si="163"/>
        <v>AtkExt</v>
      </c>
      <c r="AB681" s="14">
        <f t="shared" si="157"/>
        <v>1372</v>
      </c>
      <c r="AC681" s="14" t="str">
        <f t="shared" si="164"/>
        <v>DefExt</v>
      </c>
      <c r="AD681" s="14">
        <f t="shared" si="165"/>
        <v>685</v>
      </c>
      <c r="AE681" s="14" t="str">
        <f t="shared" si="166"/>
        <v>[x]</v>
      </c>
      <c r="AF681" s="27" t="str">
        <f t="shared" si="167"/>
        <v>[x]</v>
      </c>
      <c r="AG681" s="27">
        <f t="shared" si="168"/>
        <v>1</v>
      </c>
    </row>
    <row r="682" spans="16:33" ht="16.5" x14ac:dyDescent="0.2">
      <c r="P682" s="13">
        <v>626</v>
      </c>
      <c r="Q682" s="14">
        <f t="shared" si="153"/>
        <v>33</v>
      </c>
      <c r="R682" s="14">
        <f t="shared" si="154"/>
        <v>1606041</v>
      </c>
      <c r="S682" s="14" t="str">
        <f t="shared" si="158"/>
        <v>神器6碎片7等级2</v>
      </c>
      <c r="T682" s="29" t="s">
        <v>520</v>
      </c>
      <c r="U682" s="14">
        <f t="shared" si="155"/>
        <v>2</v>
      </c>
      <c r="V682" s="36">
        <f t="shared" si="159"/>
        <v>0.25800000000000001</v>
      </c>
      <c r="W682" s="17">
        <f t="shared" si="156"/>
        <v>1.2900000000000002E-2</v>
      </c>
      <c r="X682" s="14">
        <f t="shared" si="160"/>
        <v>1</v>
      </c>
      <c r="Y682" s="14">
        <f t="shared" si="161"/>
        <v>2</v>
      </c>
      <c r="Z682" s="14">
        <f t="shared" si="162"/>
        <v>0</v>
      </c>
      <c r="AA682" s="14" t="str">
        <f t="shared" si="163"/>
        <v>AtkExt</v>
      </c>
      <c r="AB682" s="14">
        <f t="shared" si="157"/>
        <v>1752</v>
      </c>
      <c r="AC682" s="14" t="str">
        <f t="shared" si="164"/>
        <v>DefExt</v>
      </c>
      <c r="AD682" s="14">
        <f t="shared" si="165"/>
        <v>875</v>
      </c>
      <c r="AE682" s="14" t="str">
        <f t="shared" si="166"/>
        <v>[x]</v>
      </c>
      <c r="AF682" s="27" t="str">
        <f t="shared" si="167"/>
        <v>[x]</v>
      </c>
      <c r="AG682" s="27">
        <f t="shared" si="168"/>
        <v>2</v>
      </c>
    </row>
    <row r="683" spans="16:33" ht="16.5" x14ac:dyDescent="0.2">
      <c r="P683" s="13">
        <v>627</v>
      </c>
      <c r="Q683" s="14">
        <f t="shared" si="153"/>
        <v>33</v>
      </c>
      <c r="R683" s="14">
        <f t="shared" si="154"/>
        <v>1606041</v>
      </c>
      <c r="S683" s="14" t="str">
        <f t="shared" si="158"/>
        <v>神器6碎片7等级3</v>
      </c>
      <c r="T683" s="29" t="s">
        <v>520</v>
      </c>
      <c r="U683" s="14">
        <f t="shared" si="155"/>
        <v>3</v>
      </c>
      <c r="V683" s="36">
        <f t="shared" si="159"/>
        <v>0.31800000000000006</v>
      </c>
      <c r="W683" s="17">
        <f t="shared" si="156"/>
        <v>1.5900000000000004E-2</v>
      </c>
      <c r="X683" s="14">
        <f t="shared" si="160"/>
        <v>1</v>
      </c>
      <c r="Y683" s="14">
        <f t="shared" si="161"/>
        <v>2</v>
      </c>
      <c r="Z683" s="14">
        <f t="shared" si="162"/>
        <v>0</v>
      </c>
      <c r="AA683" s="14" t="str">
        <f t="shared" si="163"/>
        <v>AtkExt</v>
      </c>
      <c r="AB683" s="14">
        <f t="shared" si="157"/>
        <v>2160</v>
      </c>
      <c r="AC683" s="14" t="str">
        <f t="shared" si="164"/>
        <v>DefExt</v>
      </c>
      <c r="AD683" s="14">
        <f t="shared" si="165"/>
        <v>1079</v>
      </c>
      <c r="AE683" s="14" t="str">
        <f t="shared" si="166"/>
        <v>[x]</v>
      </c>
      <c r="AF683" s="27" t="str">
        <f t="shared" si="167"/>
        <v>[x]</v>
      </c>
      <c r="AG683" s="27">
        <f t="shared" si="168"/>
        <v>3</v>
      </c>
    </row>
    <row r="684" spans="16:33" ht="16.5" x14ac:dyDescent="0.2">
      <c r="P684" s="13">
        <v>628</v>
      </c>
      <c r="Q684" s="14">
        <f t="shared" si="153"/>
        <v>33</v>
      </c>
      <c r="R684" s="14">
        <f t="shared" si="154"/>
        <v>1606041</v>
      </c>
      <c r="S684" s="14" t="str">
        <f t="shared" si="158"/>
        <v>神器6碎片7等级4</v>
      </c>
      <c r="T684" s="29" t="s">
        <v>520</v>
      </c>
      <c r="U684" s="14">
        <f t="shared" si="155"/>
        <v>4</v>
      </c>
      <c r="V684" s="36">
        <f t="shared" si="159"/>
        <v>0.38200000000000001</v>
      </c>
      <c r="W684" s="17">
        <f t="shared" si="156"/>
        <v>1.9100000000000002E-2</v>
      </c>
      <c r="X684" s="14">
        <f t="shared" si="160"/>
        <v>1</v>
      </c>
      <c r="Y684" s="14">
        <f t="shared" si="161"/>
        <v>2</v>
      </c>
      <c r="Z684" s="14">
        <f t="shared" si="162"/>
        <v>0</v>
      </c>
      <c r="AA684" s="14" t="str">
        <f t="shared" si="163"/>
        <v>AtkExt</v>
      </c>
      <c r="AB684" s="14">
        <f t="shared" si="157"/>
        <v>2594</v>
      </c>
      <c r="AC684" s="14" t="str">
        <f t="shared" si="164"/>
        <v>DefExt</v>
      </c>
      <c r="AD684" s="14">
        <f t="shared" si="165"/>
        <v>1296</v>
      </c>
      <c r="AE684" s="14" t="str">
        <f t="shared" si="166"/>
        <v>[x]</v>
      </c>
      <c r="AF684" s="27" t="str">
        <f t="shared" si="167"/>
        <v>[x]</v>
      </c>
      <c r="AG684" s="27">
        <f t="shared" si="168"/>
        <v>4</v>
      </c>
    </row>
    <row r="685" spans="16:33" ht="16.5" x14ac:dyDescent="0.2">
      <c r="P685" s="13">
        <v>629</v>
      </c>
      <c r="Q685" s="14">
        <f t="shared" si="153"/>
        <v>33</v>
      </c>
      <c r="R685" s="14">
        <f t="shared" si="154"/>
        <v>1606041</v>
      </c>
      <c r="S685" s="14" t="str">
        <f t="shared" si="158"/>
        <v>神器6碎片7等级5</v>
      </c>
      <c r="T685" s="29" t="s">
        <v>520</v>
      </c>
      <c r="U685" s="14">
        <f t="shared" si="155"/>
        <v>5</v>
      </c>
      <c r="V685" s="36">
        <f t="shared" si="159"/>
        <v>0.45</v>
      </c>
      <c r="W685" s="17">
        <f t="shared" si="156"/>
        <v>2.2500000000000003E-2</v>
      </c>
      <c r="X685" s="14">
        <f t="shared" si="160"/>
        <v>1</v>
      </c>
      <c r="Y685" s="14">
        <f t="shared" si="161"/>
        <v>2</v>
      </c>
      <c r="Z685" s="14">
        <f t="shared" si="162"/>
        <v>0</v>
      </c>
      <c r="AA685" s="14" t="str">
        <f t="shared" si="163"/>
        <v>AtkExt</v>
      </c>
      <c r="AB685" s="14">
        <f t="shared" si="157"/>
        <v>3056</v>
      </c>
      <c r="AC685" s="14" t="str">
        <f t="shared" si="164"/>
        <v>DefExt</v>
      </c>
      <c r="AD685" s="14">
        <f t="shared" si="165"/>
        <v>1527</v>
      </c>
      <c r="AE685" s="14" t="str">
        <f t="shared" si="166"/>
        <v>[x]</v>
      </c>
      <c r="AF685" s="27" t="str">
        <f t="shared" si="167"/>
        <v>[x]</v>
      </c>
      <c r="AG685" s="27">
        <f t="shared" si="168"/>
        <v>5</v>
      </c>
    </row>
    <row r="686" spans="16:33" ht="16.5" x14ac:dyDescent="0.2">
      <c r="P686" s="13">
        <v>630</v>
      </c>
      <c r="Q686" s="14">
        <f t="shared" si="153"/>
        <v>33</v>
      </c>
      <c r="R686" s="14">
        <f t="shared" si="154"/>
        <v>1606041</v>
      </c>
      <c r="S686" s="14" t="str">
        <f t="shared" si="158"/>
        <v>神器6碎片7等级6</v>
      </c>
      <c r="T686" s="29" t="s">
        <v>520</v>
      </c>
      <c r="U686" s="14">
        <f t="shared" si="155"/>
        <v>6</v>
      </c>
      <c r="V686" s="36">
        <f t="shared" si="159"/>
        <v>0.52200000000000002</v>
      </c>
      <c r="W686" s="17">
        <f t="shared" si="156"/>
        <v>2.6100000000000002E-2</v>
      </c>
      <c r="X686" s="14">
        <f t="shared" si="160"/>
        <v>1</v>
      </c>
      <c r="Y686" s="14">
        <f t="shared" si="161"/>
        <v>2</v>
      </c>
      <c r="Z686" s="14">
        <f t="shared" si="162"/>
        <v>0</v>
      </c>
      <c r="AA686" s="14" t="str">
        <f t="shared" si="163"/>
        <v>AtkExt</v>
      </c>
      <c r="AB686" s="14">
        <f t="shared" si="157"/>
        <v>3545</v>
      </c>
      <c r="AC686" s="14" t="str">
        <f t="shared" si="164"/>
        <v>DefExt</v>
      </c>
      <c r="AD686" s="14">
        <f t="shared" si="165"/>
        <v>1772</v>
      </c>
      <c r="AE686" s="14" t="str">
        <f t="shared" si="166"/>
        <v>[x]</v>
      </c>
      <c r="AF686" s="27" t="str">
        <f t="shared" si="167"/>
        <v>[x]</v>
      </c>
      <c r="AG686" s="27">
        <f t="shared" si="168"/>
        <v>6</v>
      </c>
    </row>
    <row r="687" spans="16:33" ht="16.5" x14ac:dyDescent="0.2">
      <c r="P687" s="13">
        <v>631</v>
      </c>
      <c r="Q687" s="14">
        <f t="shared" si="153"/>
        <v>33</v>
      </c>
      <c r="R687" s="14">
        <f t="shared" si="154"/>
        <v>1606041</v>
      </c>
      <c r="S687" s="14" t="str">
        <f t="shared" si="158"/>
        <v>神器6碎片7等级7</v>
      </c>
      <c r="T687" s="29" t="s">
        <v>520</v>
      </c>
      <c r="U687" s="14">
        <f t="shared" si="155"/>
        <v>7</v>
      </c>
      <c r="V687" s="36">
        <f t="shared" si="159"/>
        <v>0.59799999999999998</v>
      </c>
      <c r="W687" s="17">
        <f t="shared" si="156"/>
        <v>2.9899999999999999E-2</v>
      </c>
      <c r="X687" s="14">
        <f t="shared" si="160"/>
        <v>1</v>
      </c>
      <c r="Y687" s="14">
        <f t="shared" si="161"/>
        <v>2</v>
      </c>
      <c r="Z687" s="14">
        <f t="shared" si="162"/>
        <v>0</v>
      </c>
      <c r="AA687" s="14" t="str">
        <f t="shared" si="163"/>
        <v>AtkExt</v>
      </c>
      <c r="AB687" s="14">
        <f t="shared" si="157"/>
        <v>4062</v>
      </c>
      <c r="AC687" s="14" t="str">
        <f t="shared" si="164"/>
        <v>DefExt</v>
      </c>
      <c r="AD687" s="14">
        <f t="shared" si="165"/>
        <v>2030</v>
      </c>
      <c r="AE687" s="14" t="str">
        <f t="shared" si="166"/>
        <v>[x]</v>
      </c>
      <c r="AF687" s="27" t="str">
        <f t="shared" si="167"/>
        <v>[x]</v>
      </c>
      <c r="AG687" s="27">
        <f t="shared" si="168"/>
        <v>7</v>
      </c>
    </row>
    <row r="688" spans="16:33" ht="16.5" x14ac:dyDescent="0.2">
      <c r="P688" s="13">
        <v>632</v>
      </c>
      <c r="Q688" s="14">
        <f t="shared" si="153"/>
        <v>33</v>
      </c>
      <c r="R688" s="14">
        <f t="shared" si="154"/>
        <v>1606041</v>
      </c>
      <c r="S688" s="14" t="str">
        <f t="shared" si="158"/>
        <v>神器6碎片7等级8</v>
      </c>
      <c r="T688" s="29" t="s">
        <v>520</v>
      </c>
      <c r="U688" s="14">
        <f t="shared" si="155"/>
        <v>8</v>
      </c>
      <c r="V688" s="36">
        <f t="shared" si="159"/>
        <v>0.67800000000000005</v>
      </c>
      <c r="W688" s="17">
        <f t="shared" si="156"/>
        <v>3.3900000000000007E-2</v>
      </c>
      <c r="X688" s="14">
        <f t="shared" si="160"/>
        <v>1</v>
      </c>
      <c r="Y688" s="14">
        <f t="shared" si="161"/>
        <v>2</v>
      </c>
      <c r="Z688" s="14">
        <f t="shared" si="162"/>
        <v>0</v>
      </c>
      <c r="AA688" s="14" t="str">
        <f t="shared" si="163"/>
        <v>AtkExt</v>
      </c>
      <c r="AB688" s="14">
        <f t="shared" si="157"/>
        <v>4605</v>
      </c>
      <c r="AC688" s="14" t="str">
        <f t="shared" si="164"/>
        <v>DefExt</v>
      </c>
      <c r="AD688" s="14">
        <f t="shared" si="165"/>
        <v>2301</v>
      </c>
      <c r="AE688" s="14" t="str">
        <f t="shared" si="166"/>
        <v>[x]</v>
      </c>
      <c r="AF688" s="27" t="str">
        <f t="shared" si="167"/>
        <v>[x]</v>
      </c>
      <c r="AG688" s="27">
        <f t="shared" si="168"/>
        <v>8</v>
      </c>
    </row>
    <row r="689" spans="16:33" ht="16.5" x14ac:dyDescent="0.2">
      <c r="P689" s="13">
        <v>633</v>
      </c>
      <c r="Q689" s="14">
        <f t="shared" si="153"/>
        <v>33</v>
      </c>
      <c r="R689" s="14">
        <f t="shared" si="154"/>
        <v>1606041</v>
      </c>
      <c r="S689" s="14" t="str">
        <f t="shared" si="158"/>
        <v>神器6碎片7等级9</v>
      </c>
      <c r="T689" s="29" t="s">
        <v>520</v>
      </c>
      <c r="U689" s="14">
        <f t="shared" si="155"/>
        <v>9</v>
      </c>
      <c r="V689" s="36">
        <f t="shared" si="159"/>
        <v>0.76200000000000001</v>
      </c>
      <c r="W689" s="17">
        <f t="shared" si="156"/>
        <v>3.8100000000000002E-2</v>
      </c>
      <c r="X689" s="14">
        <f t="shared" si="160"/>
        <v>1</v>
      </c>
      <c r="Y689" s="14">
        <f t="shared" si="161"/>
        <v>2</v>
      </c>
      <c r="Z689" s="14">
        <f t="shared" si="162"/>
        <v>0</v>
      </c>
      <c r="AA689" s="14" t="str">
        <f t="shared" si="163"/>
        <v>AtkExt</v>
      </c>
      <c r="AB689" s="14">
        <f t="shared" si="157"/>
        <v>5176</v>
      </c>
      <c r="AC689" s="14" t="str">
        <f t="shared" si="164"/>
        <v>DefExt</v>
      </c>
      <c r="AD689" s="14">
        <f t="shared" si="165"/>
        <v>2586</v>
      </c>
      <c r="AE689" s="14" t="str">
        <f t="shared" si="166"/>
        <v>[x]</v>
      </c>
      <c r="AF689" s="27" t="str">
        <f t="shared" si="167"/>
        <v>[x]</v>
      </c>
      <c r="AG689" s="27">
        <f t="shared" si="168"/>
        <v>9</v>
      </c>
    </row>
    <row r="690" spans="16:33" ht="16.5" x14ac:dyDescent="0.2">
      <c r="P690" s="13">
        <v>634</v>
      </c>
      <c r="Q690" s="14">
        <f t="shared" si="153"/>
        <v>33</v>
      </c>
      <c r="R690" s="14">
        <f t="shared" si="154"/>
        <v>1606041</v>
      </c>
      <c r="S690" s="14" t="str">
        <f t="shared" si="158"/>
        <v>神器6碎片7等级10</v>
      </c>
      <c r="T690" s="29" t="s">
        <v>520</v>
      </c>
      <c r="U690" s="14">
        <f t="shared" si="155"/>
        <v>10</v>
      </c>
      <c r="V690" s="36">
        <f t="shared" si="159"/>
        <v>0.85000000000000009</v>
      </c>
      <c r="W690" s="17">
        <f t="shared" si="156"/>
        <v>4.250000000000001E-2</v>
      </c>
      <c r="X690" s="14">
        <f t="shared" si="160"/>
        <v>1</v>
      </c>
      <c r="Y690" s="14">
        <f t="shared" si="161"/>
        <v>2</v>
      </c>
      <c r="Z690" s="14">
        <f t="shared" si="162"/>
        <v>0</v>
      </c>
      <c r="AA690" s="14" t="str">
        <f t="shared" si="163"/>
        <v>AtkExt</v>
      </c>
      <c r="AB690" s="14">
        <f t="shared" si="157"/>
        <v>5773</v>
      </c>
      <c r="AC690" s="14" t="str">
        <f t="shared" si="164"/>
        <v>DefExt</v>
      </c>
      <c r="AD690" s="14">
        <f t="shared" si="165"/>
        <v>2885</v>
      </c>
      <c r="AE690" s="14" t="str">
        <f t="shared" si="166"/>
        <v>[x]</v>
      </c>
      <c r="AF690" s="27" t="str">
        <f t="shared" si="167"/>
        <v>[x]</v>
      </c>
      <c r="AG690" s="27">
        <f t="shared" si="168"/>
        <v>10</v>
      </c>
    </row>
    <row r="691" spans="16:33" ht="16.5" x14ac:dyDescent="0.2">
      <c r="P691" s="13">
        <v>635</v>
      </c>
      <c r="Q691" s="14">
        <f t="shared" si="153"/>
        <v>33</v>
      </c>
      <c r="R691" s="14">
        <f t="shared" si="154"/>
        <v>1606041</v>
      </c>
      <c r="S691" s="14" t="str">
        <f t="shared" si="158"/>
        <v>神器6碎片7等级11</v>
      </c>
      <c r="T691" s="29" t="s">
        <v>520</v>
      </c>
      <c r="U691" s="14">
        <f t="shared" si="155"/>
        <v>11</v>
      </c>
      <c r="V691" s="36">
        <f t="shared" si="159"/>
        <v>0.94200000000000006</v>
      </c>
      <c r="W691" s="17">
        <f t="shared" si="156"/>
        <v>4.7100000000000003E-2</v>
      </c>
      <c r="X691" s="14">
        <f t="shared" si="160"/>
        <v>1</v>
      </c>
      <c r="Y691" s="14">
        <f t="shared" si="161"/>
        <v>2</v>
      </c>
      <c r="Z691" s="14">
        <f t="shared" si="162"/>
        <v>0</v>
      </c>
      <c r="AA691" s="14" t="str">
        <f t="shared" si="163"/>
        <v>AtkExt</v>
      </c>
      <c r="AB691" s="14">
        <f t="shared" si="157"/>
        <v>6398</v>
      </c>
      <c r="AC691" s="14" t="str">
        <f t="shared" si="164"/>
        <v>DefExt</v>
      </c>
      <c r="AD691" s="14">
        <f t="shared" si="165"/>
        <v>3197</v>
      </c>
      <c r="AE691" s="14" t="str">
        <f t="shared" si="166"/>
        <v>[x]</v>
      </c>
      <c r="AF691" s="27" t="str">
        <f t="shared" si="167"/>
        <v>[x]</v>
      </c>
      <c r="AG691" s="27">
        <f t="shared" si="168"/>
        <v>11</v>
      </c>
    </row>
    <row r="692" spans="16:33" ht="16.5" x14ac:dyDescent="0.2">
      <c r="P692" s="13">
        <v>636</v>
      </c>
      <c r="Q692" s="14">
        <f t="shared" si="153"/>
        <v>33</v>
      </c>
      <c r="R692" s="14">
        <f t="shared" si="154"/>
        <v>1606041</v>
      </c>
      <c r="S692" s="14" t="str">
        <f t="shared" si="158"/>
        <v>神器6碎片7等级12</v>
      </c>
      <c r="T692" s="29" t="s">
        <v>520</v>
      </c>
      <c r="U692" s="14">
        <f t="shared" si="155"/>
        <v>12</v>
      </c>
      <c r="V692" s="36">
        <f t="shared" si="159"/>
        <v>1.0380000000000003</v>
      </c>
      <c r="W692" s="17">
        <f t="shared" si="156"/>
        <v>5.1900000000000016E-2</v>
      </c>
      <c r="X692" s="14">
        <f t="shared" si="160"/>
        <v>1</v>
      </c>
      <c r="Y692" s="14">
        <f t="shared" si="161"/>
        <v>2</v>
      </c>
      <c r="Z692" s="14">
        <f t="shared" si="162"/>
        <v>0</v>
      </c>
      <c r="AA692" s="14" t="str">
        <f t="shared" si="163"/>
        <v>AtkExt</v>
      </c>
      <c r="AB692" s="14">
        <f t="shared" si="157"/>
        <v>7050</v>
      </c>
      <c r="AC692" s="14" t="str">
        <f t="shared" si="164"/>
        <v>DefExt</v>
      </c>
      <c r="AD692" s="14">
        <f t="shared" si="165"/>
        <v>3523</v>
      </c>
      <c r="AE692" s="14" t="str">
        <f t="shared" si="166"/>
        <v>[x]</v>
      </c>
      <c r="AF692" s="27" t="str">
        <f t="shared" si="167"/>
        <v>[x]</v>
      </c>
      <c r="AG692" s="27">
        <f t="shared" si="168"/>
        <v>12</v>
      </c>
    </row>
    <row r="693" spans="16:33" ht="16.5" x14ac:dyDescent="0.2">
      <c r="P693" s="13">
        <v>637</v>
      </c>
      <c r="Q693" s="14">
        <f t="shared" si="153"/>
        <v>33</v>
      </c>
      <c r="R693" s="14">
        <f t="shared" si="154"/>
        <v>1606041</v>
      </c>
      <c r="S693" s="14" t="str">
        <f t="shared" si="158"/>
        <v>神器6碎片7等级13</v>
      </c>
      <c r="T693" s="29" t="s">
        <v>520</v>
      </c>
      <c r="U693" s="14">
        <f t="shared" si="155"/>
        <v>13</v>
      </c>
      <c r="V693" s="36">
        <f t="shared" si="159"/>
        <v>1.1380000000000001</v>
      </c>
      <c r="W693" s="17">
        <f t="shared" si="156"/>
        <v>5.6900000000000006E-2</v>
      </c>
      <c r="X693" s="14">
        <f t="shared" si="160"/>
        <v>1</v>
      </c>
      <c r="Y693" s="14">
        <f t="shared" si="161"/>
        <v>2</v>
      </c>
      <c r="Z693" s="14">
        <f t="shared" si="162"/>
        <v>0</v>
      </c>
      <c r="AA693" s="14" t="str">
        <f t="shared" si="163"/>
        <v>AtkExt</v>
      </c>
      <c r="AB693" s="14">
        <f t="shared" si="157"/>
        <v>7730</v>
      </c>
      <c r="AC693" s="14" t="str">
        <f t="shared" si="164"/>
        <v>DefExt</v>
      </c>
      <c r="AD693" s="14">
        <f t="shared" si="165"/>
        <v>3863</v>
      </c>
      <c r="AE693" s="14" t="str">
        <f t="shared" si="166"/>
        <v>[x]</v>
      </c>
      <c r="AF693" s="27" t="str">
        <f t="shared" si="167"/>
        <v>[x]</v>
      </c>
      <c r="AG693" s="27">
        <f t="shared" si="168"/>
        <v>13</v>
      </c>
    </row>
    <row r="694" spans="16:33" ht="16.5" x14ac:dyDescent="0.2">
      <c r="P694" s="13">
        <v>638</v>
      </c>
      <c r="Q694" s="14">
        <f t="shared" si="153"/>
        <v>33</v>
      </c>
      <c r="R694" s="14">
        <f t="shared" si="154"/>
        <v>1606041</v>
      </c>
      <c r="S694" s="14" t="str">
        <f t="shared" si="158"/>
        <v>神器6碎片7等级14</v>
      </c>
      <c r="T694" s="29" t="s">
        <v>520</v>
      </c>
      <c r="U694" s="14">
        <f t="shared" si="155"/>
        <v>14</v>
      </c>
      <c r="V694" s="36">
        <f t="shared" si="159"/>
        <v>1.242</v>
      </c>
      <c r="W694" s="17">
        <f t="shared" si="156"/>
        <v>6.2100000000000002E-2</v>
      </c>
      <c r="X694" s="14">
        <f t="shared" si="160"/>
        <v>1</v>
      </c>
      <c r="Y694" s="14">
        <f t="shared" si="161"/>
        <v>2</v>
      </c>
      <c r="Z694" s="14">
        <f t="shared" si="162"/>
        <v>0</v>
      </c>
      <c r="AA694" s="14" t="str">
        <f t="shared" si="163"/>
        <v>AtkExt</v>
      </c>
      <c r="AB694" s="14">
        <f t="shared" si="157"/>
        <v>8436</v>
      </c>
      <c r="AC694" s="14" t="str">
        <f t="shared" si="164"/>
        <v>DefExt</v>
      </c>
      <c r="AD694" s="14">
        <f t="shared" si="165"/>
        <v>4216</v>
      </c>
      <c r="AE694" s="14" t="str">
        <f t="shared" si="166"/>
        <v>[x]</v>
      </c>
      <c r="AF694" s="27" t="str">
        <f t="shared" si="167"/>
        <v>[x]</v>
      </c>
      <c r="AG694" s="27">
        <f t="shared" si="168"/>
        <v>14</v>
      </c>
    </row>
    <row r="695" spans="16:33" ht="16.5" x14ac:dyDescent="0.2">
      <c r="P695" s="13">
        <v>639</v>
      </c>
      <c r="Q695" s="14">
        <f t="shared" si="153"/>
        <v>33</v>
      </c>
      <c r="R695" s="14">
        <f t="shared" si="154"/>
        <v>1606041</v>
      </c>
      <c r="S695" s="14" t="str">
        <f t="shared" si="158"/>
        <v>神器6碎片7等级15</v>
      </c>
      <c r="T695" s="29" t="s">
        <v>520</v>
      </c>
      <c r="U695" s="14">
        <f t="shared" si="155"/>
        <v>15</v>
      </c>
      <c r="V695" s="36">
        <f t="shared" si="159"/>
        <v>1.35</v>
      </c>
      <c r="W695" s="17">
        <f t="shared" si="156"/>
        <v>6.7500000000000004E-2</v>
      </c>
      <c r="X695" s="14">
        <f t="shared" si="160"/>
        <v>1</v>
      </c>
      <c r="Y695" s="14">
        <f t="shared" si="161"/>
        <v>2</v>
      </c>
      <c r="Z695" s="14">
        <f t="shared" si="162"/>
        <v>0</v>
      </c>
      <c r="AA695" s="14" t="str">
        <f t="shared" si="163"/>
        <v>AtkExt</v>
      </c>
      <c r="AB695" s="14">
        <f t="shared" si="157"/>
        <v>9170</v>
      </c>
      <c r="AC695" s="14" t="str">
        <f t="shared" si="164"/>
        <v>DefExt</v>
      </c>
      <c r="AD695" s="14">
        <f t="shared" si="165"/>
        <v>4582</v>
      </c>
      <c r="AE695" s="14" t="str">
        <f t="shared" si="166"/>
        <v>[x]</v>
      </c>
      <c r="AF695" s="27" t="str">
        <f t="shared" si="167"/>
        <v>[x]</v>
      </c>
      <c r="AG695" s="27">
        <f t="shared" si="168"/>
        <v>15</v>
      </c>
    </row>
    <row r="696" spans="16:33" ht="16.5" x14ac:dyDescent="0.2">
      <c r="P696" s="13">
        <v>640</v>
      </c>
      <c r="Q696" s="14">
        <f t="shared" si="153"/>
        <v>33</v>
      </c>
      <c r="R696" s="14">
        <f t="shared" si="154"/>
        <v>1606041</v>
      </c>
      <c r="S696" s="14" t="str">
        <f t="shared" si="158"/>
        <v>神器6碎片7等级16</v>
      </c>
      <c r="T696" s="29" t="s">
        <v>520</v>
      </c>
      <c r="U696" s="14">
        <f t="shared" si="155"/>
        <v>16</v>
      </c>
      <c r="V696" s="36">
        <f t="shared" si="159"/>
        <v>1.4620000000000002</v>
      </c>
      <c r="W696" s="17">
        <f t="shared" si="156"/>
        <v>7.3100000000000012E-2</v>
      </c>
      <c r="X696" s="14">
        <f t="shared" si="160"/>
        <v>1</v>
      </c>
      <c r="Y696" s="14">
        <f t="shared" si="161"/>
        <v>2</v>
      </c>
      <c r="Z696" s="14">
        <f t="shared" si="162"/>
        <v>0</v>
      </c>
      <c r="AA696" s="14" t="str">
        <f t="shared" si="163"/>
        <v>AtkExt</v>
      </c>
      <c r="AB696" s="14">
        <f t="shared" si="157"/>
        <v>9931</v>
      </c>
      <c r="AC696" s="14" t="str">
        <f t="shared" si="164"/>
        <v>DefExt</v>
      </c>
      <c r="AD696" s="14">
        <f t="shared" si="165"/>
        <v>4963</v>
      </c>
      <c r="AE696" s="14" t="str">
        <f t="shared" si="166"/>
        <v>[x]</v>
      </c>
      <c r="AF696" s="27" t="str">
        <f t="shared" si="167"/>
        <v>[x]</v>
      </c>
      <c r="AG696" s="27">
        <f t="shared" si="168"/>
        <v>16</v>
      </c>
    </row>
    <row r="697" spans="16:33" ht="16.5" x14ac:dyDescent="0.2">
      <c r="P697" s="13">
        <v>641</v>
      </c>
      <c r="Q697" s="14">
        <f t="shared" ref="Q697:Q760" si="169">MATCH(P697-1,$X$4:$X$46,1)</f>
        <v>33</v>
      </c>
      <c r="R697" s="14">
        <f t="shared" ref="R697:R760" si="170">INDEX($S$5:$S$46,Q697)</f>
        <v>1606041</v>
      </c>
      <c r="S697" s="14" t="str">
        <f t="shared" si="158"/>
        <v>神器6碎片7等级17</v>
      </c>
      <c r="T697" s="29" t="s">
        <v>520</v>
      </c>
      <c r="U697" s="14">
        <f t="shared" ref="U697:U760" si="171">P697-INDEX($X$4:$X$46,Q697)</f>
        <v>17</v>
      </c>
      <c r="V697" s="36">
        <f t="shared" si="159"/>
        <v>1.5779999999999998</v>
      </c>
      <c r="W697" s="17">
        <f t="shared" ref="W697:W760" si="172">INDEX($V$5:$V$46,Q697)*V697</f>
        <v>7.8899999999999998E-2</v>
      </c>
      <c r="X697" s="14">
        <f t="shared" si="160"/>
        <v>1</v>
      </c>
      <c r="Y697" s="14">
        <f t="shared" si="161"/>
        <v>2</v>
      </c>
      <c r="Z697" s="14">
        <f t="shared" si="162"/>
        <v>0</v>
      </c>
      <c r="AA697" s="14" t="str">
        <f t="shared" si="163"/>
        <v>AtkExt</v>
      </c>
      <c r="AB697" s="14">
        <f t="shared" ref="AB697:AB760" si="173">INT(INDEX($E$4:$G$4,X697)*W697*INDEX($Y$5:$AA$46,Q697,X697))</f>
        <v>10719</v>
      </c>
      <c r="AC697" s="14" t="str">
        <f t="shared" si="164"/>
        <v>DefExt</v>
      </c>
      <c r="AD697" s="14">
        <f t="shared" si="165"/>
        <v>5356</v>
      </c>
      <c r="AE697" s="14" t="str">
        <f t="shared" si="166"/>
        <v>[x]</v>
      </c>
      <c r="AF697" s="27" t="str">
        <f t="shared" si="167"/>
        <v>[x]</v>
      </c>
      <c r="AG697" s="27">
        <f t="shared" si="168"/>
        <v>17</v>
      </c>
    </row>
    <row r="698" spans="16:33" ht="16.5" x14ac:dyDescent="0.2">
      <c r="P698" s="13">
        <v>642</v>
      </c>
      <c r="Q698" s="14">
        <f t="shared" si="169"/>
        <v>33</v>
      </c>
      <c r="R698" s="14">
        <f t="shared" si="170"/>
        <v>1606041</v>
      </c>
      <c r="S698" s="14" t="str">
        <f t="shared" ref="S698:S761" si="174">INDEX($P$5:$P$46,Q698)&amp;"碎片"&amp;INDEX($R$5:$R$46,Q698)&amp;"等级"&amp;U698</f>
        <v>神器6碎片7等级18</v>
      </c>
      <c r="T698" s="29" t="s">
        <v>520</v>
      </c>
      <c r="U698" s="14">
        <f t="shared" si="171"/>
        <v>18</v>
      </c>
      <c r="V698" s="36">
        <f t="shared" ref="V698:V761" si="175">15%+U698*5%+U698*U698*0.2%</f>
        <v>1.698</v>
      </c>
      <c r="W698" s="17">
        <f t="shared" si="172"/>
        <v>8.4900000000000003E-2</v>
      </c>
      <c r="X698" s="14">
        <f t="shared" ref="X698:X761" si="176">INDEX($AB$5:$AB$46,Q698)</f>
        <v>1</v>
      </c>
      <c r="Y698" s="14">
        <f t="shared" ref="Y698:Y761" si="177">INDEX(AC$5:AC$46,$Q698)</f>
        <v>2</v>
      </c>
      <c r="Z698" s="14">
        <f t="shared" ref="Z698:Z761" si="178">INDEX(AD$5:AD$46,$Q698)</f>
        <v>0</v>
      </c>
      <c r="AA698" s="14" t="str">
        <f t="shared" ref="AA698:AA761" si="179">INDEX($Y$3:$AA$3,X698)</f>
        <v>AtkExt</v>
      </c>
      <c r="AB698" s="14">
        <f t="shared" si="173"/>
        <v>11534</v>
      </c>
      <c r="AC698" s="14" t="str">
        <f t="shared" ref="AC698:AC761" si="180">IF(Y698&gt;0,INDEX($Y$3:$AA$3,Y698),"[x]")</f>
        <v>DefExt</v>
      </c>
      <c r="AD698" s="14">
        <f t="shared" ref="AD698:AD761" si="181">IF(Y698&gt;0,INT(INDEX($E$4:$G$4,Y698)*W698*INDEX($Y$5:$AA$46,Q698,Y698)),"[x]")</f>
        <v>5764</v>
      </c>
      <c r="AE698" s="14" t="str">
        <f t="shared" ref="AE698:AE761" si="182">IF(Z698&gt;0,INDEX($Y$3:$AA$3,Z698),"[x]")</f>
        <v>[x]</v>
      </c>
      <c r="AF698" s="27" t="str">
        <f t="shared" ref="AF698:AF761" si="183">IF(Z698&gt;0,INT(INDEX($E$4:$G$4,Z698)*W698*INDEX($Y$5:$AA$46,Q698,Z698)),"[x]")</f>
        <v>[x]</v>
      </c>
      <c r="AG698" s="27">
        <f t="shared" ref="AG698:AG761" si="184">IF(INDEX($AE$5:$AE$46,Q698)&gt;0,INDEX($AE$5:$AE$46,Q698)*U698,"[x]")</f>
        <v>18</v>
      </c>
    </row>
    <row r="699" spans="16:33" ht="16.5" x14ac:dyDescent="0.2">
      <c r="P699" s="13">
        <v>643</v>
      </c>
      <c r="Q699" s="14">
        <f t="shared" si="169"/>
        <v>33</v>
      </c>
      <c r="R699" s="14">
        <f t="shared" si="170"/>
        <v>1606041</v>
      </c>
      <c r="S699" s="14" t="str">
        <f t="shared" si="174"/>
        <v>神器6碎片7等级19</v>
      </c>
      <c r="T699" s="29" t="s">
        <v>520</v>
      </c>
      <c r="U699" s="14">
        <f t="shared" si="171"/>
        <v>19</v>
      </c>
      <c r="V699" s="36">
        <f t="shared" si="175"/>
        <v>1.8220000000000001</v>
      </c>
      <c r="W699" s="17">
        <f t="shared" si="172"/>
        <v>9.1100000000000014E-2</v>
      </c>
      <c r="X699" s="14">
        <f t="shared" si="176"/>
        <v>1</v>
      </c>
      <c r="Y699" s="14">
        <f t="shared" si="177"/>
        <v>2</v>
      </c>
      <c r="Z699" s="14">
        <f t="shared" si="178"/>
        <v>0</v>
      </c>
      <c r="AA699" s="14" t="str">
        <f t="shared" si="179"/>
        <v>AtkExt</v>
      </c>
      <c r="AB699" s="14">
        <f t="shared" si="173"/>
        <v>12376</v>
      </c>
      <c r="AC699" s="14" t="str">
        <f t="shared" si="180"/>
        <v>DefExt</v>
      </c>
      <c r="AD699" s="14">
        <f t="shared" si="181"/>
        <v>6185</v>
      </c>
      <c r="AE699" s="14" t="str">
        <f t="shared" si="182"/>
        <v>[x]</v>
      </c>
      <c r="AF699" s="27" t="str">
        <f t="shared" si="183"/>
        <v>[x]</v>
      </c>
      <c r="AG699" s="27">
        <f t="shared" si="184"/>
        <v>19</v>
      </c>
    </row>
    <row r="700" spans="16:33" ht="16.5" x14ac:dyDescent="0.2">
      <c r="P700" s="13">
        <v>644</v>
      </c>
      <c r="Q700" s="14">
        <f t="shared" si="169"/>
        <v>33</v>
      </c>
      <c r="R700" s="14">
        <f t="shared" si="170"/>
        <v>1606041</v>
      </c>
      <c r="S700" s="14" t="str">
        <f t="shared" si="174"/>
        <v>神器6碎片7等级20</v>
      </c>
      <c r="T700" s="29" t="s">
        <v>520</v>
      </c>
      <c r="U700" s="14">
        <f t="shared" si="171"/>
        <v>20</v>
      </c>
      <c r="V700" s="36">
        <f t="shared" si="175"/>
        <v>1.95</v>
      </c>
      <c r="W700" s="17">
        <f t="shared" si="172"/>
        <v>9.7500000000000003E-2</v>
      </c>
      <c r="X700" s="14">
        <f t="shared" si="176"/>
        <v>1</v>
      </c>
      <c r="Y700" s="14">
        <f t="shared" si="177"/>
        <v>2</v>
      </c>
      <c r="Z700" s="14">
        <f t="shared" si="178"/>
        <v>0</v>
      </c>
      <c r="AA700" s="14" t="str">
        <f t="shared" si="179"/>
        <v>AtkExt</v>
      </c>
      <c r="AB700" s="14">
        <f t="shared" si="173"/>
        <v>13245</v>
      </c>
      <c r="AC700" s="14" t="str">
        <f t="shared" si="180"/>
        <v>DefExt</v>
      </c>
      <c r="AD700" s="14">
        <f t="shared" si="181"/>
        <v>6619</v>
      </c>
      <c r="AE700" s="14" t="str">
        <f t="shared" si="182"/>
        <v>[x]</v>
      </c>
      <c r="AF700" s="27" t="str">
        <f t="shared" si="183"/>
        <v>[x]</v>
      </c>
      <c r="AG700" s="27">
        <f t="shared" si="184"/>
        <v>20</v>
      </c>
    </row>
    <row r="701" spans="16:33" ht="16.5" x14ac:dyDescent="0.2">
      <c r="P701" s="13">
        <v>645</v>
      </c>
      <c r="Q701" s="14">
        <f t="shared" si="169"/>
        <v>33</v>
      </c>
      <c r="R701" s="14">
        <f t="shared" si="170"/>
        <v>1606041</v>
      </c>
      <c r="S701" s="14" t="str">
        <f t="shared" si="174"/>
        <v>神器6碎片7等级21</v>
      </c>
      <c r="T701" s="29" t="s">
        <v>520</v>
      </c>
      <c r="U701" s="14">
        <f t="shared" si="171"/>
        <v>21</v>
      </c>
      <c r="V701" s="36">
        <f t="shared" si="175"/>
        <v>2.0819999999999999</v>
      </c>
      <c r="W701" s="17">
        <f t="shared" si="172"/>
        <v>0.1041</v>
      </c>
      <c r="X701" s="14">
        <f t="shared" si="176"/>
        <v>1</v>
      </c>
      <c r="Y701" s="14">
        <f t="shared" si="177"/>
        <v>2</v>
      </c>
      <c r="Z701" s="14">
        <f t="shared" si="178"/>
        <v>0</v>
      </c>
      <c r="AA701" s="14" t="str">
        <f t="shared" si="179"/>
        <v>AtkExt</v>
      </c>
      <c r="AB701" s="14">
        <f t="shared" si="173"/>
        <v>14142</v>
      </c>
      <c r="AC701" s="14" t="str">
        <f t="shared" si="180"/>
        <v>DefExt</v>
      </c>
      <c r="AD701" s="14">
        <f t="shared" si="181"/>
        <v>7067</v>
      </c>
      <c r="AE701" s="14" t="str">
        <f t="shared" si="182"/>
        <v>[x]</v>
      </c>
      <c r="AF701" s="27" t="str">
        <f t="shared" si="183"/>
        <v>[x]</v>
      </c>
      <c r="AG701" s="27">
        <f t="shared" si="184"/>
        <v>21</v>
      </c>
    </row>
    <row r="702" spans="16:33" ht="16.5" x14ac:dyDescent="0.2">
      <c r="P702" s="13">
        <v>646</v>
      </c>
      <c r="Q702" s="14">
        <f t="shared" si="169"/>
        <v>34</v>
      </c>
      <c r="R702" s="14">
        <f t="shared" si="170"/>
        <v>1606042</v>
      </c>
      <c r="S702" s="14" t="str">
        <f t="shared" si="174"/>
        <v>神器6碎片8等级1</v>
      </c>
      <c r="T702" s="29" t="s">
        <v>520</v>
      </c>
      <c r="U702" s="14">
        <f t="shared" si="171"/>
        <v>1</v>
      </c>
      <c r="V702" s="36">
        <f t="shared" si="175"/>
        <v>0.20200000000000001</v>
      </c>
      <c r="W702" s="17">
        <f t="shared" si="172"/>
        <v>1.0100000000000001E-2</v>
      </c>
      <c r="X702" s="14">
        <f t="shared" si="176"/>
        <v>2</v>
      </c>
      <c r="Y702" s="14">
        <f t="shared" si="177"/>
        <v>3</v>
      </c>
      <c r="Z702" s="14">
        <f t="shared" si="178"/>
        <v>0</v>
      </c>
      <c r="AA702" s="14" t="str">
        <f t="shared" si="179"/>
        <v>DefExt</v>
      </c>
      <c r="AB702" s="14">
        <f t="shared" si="173"/>
        <v>685</v>
      </c>
      <c r="AC702" s="14" t="str">
        <f t="shared" si="180"/>
        <v>HPExt</v>
      </c>
      <c r="AD702" s="14">
        <f t="shared" si="181"/>
        <v>4118</v>
      </c>
      <c r="AE702" s="14" t="str">
        <f t="shared" si="182"/>
        <v>[x]</v>
      </c>
      <c r="AF702" s="27" t="str">
        <f t="shared" si="183"/>
        <v>[x]</v>
      </c>
      <c r="AG702" s="27">
        <f t="shared" si="184"/>
        <v>1</v>
      </c>
    </row>
    <row r="703" spans="16:33" ht="16.5" x14ac:dyDescent="0.2">
      <c r="P703" s="13">
        <v>647</v>
      </c>
      <c r="Q703" s="14">
        <f t="shared" si="169"/>
        <v>34</v>
      </c>
      <c r="R703" s="14">
        <f t="shared" si="170"/>
        <v>1606042</v>
      </c>
      <c r="S703" s="14" t="str">
        <f t="shared" si="174"/>
        <v>神器6碎片8等级2</v>
      </c>
      <c r="T703" s="29" t="s">
        <v>520</v>
      </c>
      <c r="U703" s="14">
        <f t="shared" si="171"/>
        <v>2</v>
      </c>
      <c r="V703" s="36">
        <f t="shared" si="175"/>
        <v>0.25800000000000001</v>
      </c>
      <c r="W703" s="17">
        <f t="shared" si="172"/>
        <v>1.2900000000000002E-2</v>
      </c>
      <c r="X703" s="14">
        <f t="shared" si="176"/>
        <v>2</v>
      </c>
      <c r="Y703" s="14">
        <f t="shared" si="177"/>
        <v>3</v>
      </c>
      <c r="Z703" s="14">
        <f t="shared" si="178"/>
        <v>0</v>
      </c>
      <c r="AA703" s="14" t="str">
        <f t="shared" si="179"/>
        <v>DefExt</v>
      </c>
      <c r="AB703" s="14">
        <f t="shared" si="173"/>
        <v>875</v>
      </c>
      <c r="AC703" s="14" t="str">
        <f t="shared" si="180"/>
        <v>HPExt</v>
      </c>
      <c r="AD703" s="14">
        <f t="shared" si="181"/>
        <v>5259</v>
      </c>
      <c r="AE703" s="14" t="str">
        <f t="shared" si="182"/>
        <v>[x]</v>
      </c>
      <c r="AF703" s="27" t="str">
        <f t="shared" si="183"/>
        <v>[x]</v>
      </c>
      <c r="AG703" s="27">
        <f t="shared" si="184"/>
        <v>2</v>
      </c>
    </row>
    <row r="704" spans="16:33" ht="16.5" x14ac:dyDescent="0.2">
      <c r="P704" s="13">
        <v>648</v>
      </c>
      <c r="Q704" s="14">
        <f t="shared" si="169"/>
        <v>34</v>
      </c>
      <c r="R704" s="14">
        <f t="shared" si="170"/>
        <v>1606042</v>
      </c>
      <c r="S704" s="14" t="str">
        <f t="shared" si="174"/>
        <v>神器6碎片8等级3</v>
      </c>
      <c r="T704" s="29" t="s">
        <v>520</v>
      </c>
      <c r="U704" s="14">
        <f t="shared" si="171"/>
        <v>3</v>
      </c>
      <c r="V704" s="36">
        <f t="shared" si="175"/>
        <v>0.31800000000000006</v>
      </c>
      <c r="W704" s="17">
        <f t="shared" si="172"/>
        <v>1.5900000000000004E-2</v>
      </c>
      <c r="X704" s="14">
        <f t="shared" si="176"/>
        <v>2</v>
      </c>
      <c r="Y704" s="14">
        <f t="shared" si="177"/>
        <v>3</v>
      </c>
      <c r="Z704" s="14">
        <f t="shared" si="178"/>
        <v>0</v>
      </c>
      <c r="AA704" s="14" t="str">
        <f t="shared" si="179"/>
        <v>DefExt</v>
      </c>
      <c r="AB704" s="14">
        <f t="shared" si="173"/>
        <v>1079</v>
      </c>
      <c r="AC704" s="14" t="str">
        <f t="shared" si="180"/>
        <v>HPExt</v>
      </c>
      <c r="AD704" s="14">
        <f t="shared" si="181"/>
        <v>6483</v>
      </c>
      <c r="AE704" s="14" t="str">
        <f t="shared" si="182"/>
        <v>[x]</v>
      </c>
      <c r="AF704" s="27" t="str">
        <f t="shared" si="183"/>
        <v>[x]</v>
      </c>
      <c r="AG704" s="27">
        <f t="shared" si="184"/>
        <v>3</v>
      </c>
    </row>
    <row r="705" spans="16:33" ht="16.5" x14ac:dyDescent="0.2">
      <c r="P705" s="13">
        <v>649</v>
      </c>
      <c r="Q705" s="14">
        <f t="shared" si="169"/>
        <v>34</v>
      </c>
      <c r="R705" s="14">
        <f t="shared" si="170"/>
        <v>1606042</v>
      </c>
      <c r="S705" s="14" t="str">
        <f t="shared" si="174"/>
        <v>神器6碎片8等级4</v>
      </c>
      <c r="T705" s="29" t="s">
        <v>520</v>
      </c>
      <c r="U705" s="14">
        <f t="shared" si="171"/>
        <v>4</v>
      </c>
      <c r="V705" s="36">
        <f t="shared" si="175"/>
        <v>0.38200000000000001</v>
      </c>
      <c r="W705" s="17">
        <f t="shared" si="172"/>
        <v>1.9100000000000002E-2</v>
      </c>
      <c r="X705" s="14">
        <f t="shared" si="176"/>
        <v>2</v>
      </c>
      <c r="Y705" s="14">
        <f t="shared" si="177"/>
        <v>3</v>
      </c>
      <c r="Z705" s="14">
        <f t="shared" si="178"/>
        <v>0</v>
      </c>
      <c r="AA705" s="14" t="str">
        <f t="shared" si="179"/>
        <v>DefExt</v>
      </c>
      <c r="AB705" s="14">
        <f t="shared" si="173"/>
        <v>1296</v>
      </c>
      <c r="AC705" s="14" t="str">
        <f t="shared" si="180"/>
        <v>HPExt</v>
      </c>
      <c r="AD705" s="14">
        <f t="shared" si="181"/>
        <v>7787</v>
      </c>
      <c r="AE705" s="14" t="str">
        <f t="shared" si="182"/>
        <v>[x]</v>
      </c>
      <c r="AF705" s="27" t="str">
        <f t="shared" si="183"/>
        <v>[x]</v>
      </c>
      <c r="AG705" s="27">
        <f t="shared" si="184"/>
        <v>4</v>
      </c>
    </row>
    <row r="706" spans="16:33" ht="16.5" x14ac:dyDescent="0.2">
      <c r="P706" s="13">
        <v>650</v>
      </c>
      <c r="Q706" s="14">
        <f t="shared" si="169"/>
        <v>34</v>
      </c>
      <c r="R706" s="14">
        <f t="shared" si="170"/>
        <v>1606042</v>
      </c>
      <c r="S706" s="14" t="str">
        <f t="shared" si="174"/>
        <v>神器6碎片8等级5</v>
      </c>
      <c r="T706" s="29" t="s">
        <v>520</v>
      </c>
      <c r="U706" s="14">
        <f t="shared" si="171"/>
        <v>5</v>
      </c>
      <c r="V706" s="36">
        <f t="shared" si="175"/>
        <v>0.45</v>
      </c>
      <c r="W706" s="17">
        <f t="shared" si="172"/>
        <v>2.2500000000000003E-2</v>
      </c>
      <c r="X706" s="14">
        <f t="shared" si="176"/>
        <v>2</v>
      </c>
      <c r="Y706" s="14">
        <f t="shared" si="177"/>
        <v>3</v>
      </c>
      <c r="Z706" s="14">
        <f t="shared" si="178"/>
        <v>0</v>
      </c>
      <c r="AA706" s="14" t="str">
        <f t="shared" si="179"/>
        <v>DefExt</v>
      </c>
      <c r="AB706" s="14">
        <f t="shared" si="173"/>
        <v>1527</v>
      </c>
      <c r="AC706" s="14" t="str">
        <f t="shared" si="180"/>
        <v>HPExt</v>
      </c>
      <c r="AD706" s="14">
        <f t="shared" si="181"/>
        <v>9174</v>
      </c>
      <c r="AE706" s="14" t="str">
        <f t="shared" si="182"/>
        <v>[x]</v>
      </c>
      <c r="AF706" s="27" t="str">
        <f t="shared" si="183"/>
        <v>[x]</v>
      </c>
      <c r="AG706" s="27">
        <f t="shared" si="184"/>
        <v>5</v>
      </c>
    </row>
    <row r="707" spans="16:33" ht="16.5" x14ac:dyDescent="0.2">
      <c r="P707" s="13">
        <v>651</v>
      </c>
      <c r="Q707" s="14">
        <f t="shared" si="169"/>
        <v>34</v>
      </c>
      <c r="R707" s="14">
        <f t="shared" si="170"/>
        <v>1606042</v>
      </c>
      <c r="S707" s="14" t="str">
        <f t="shared" si="174"/>
        <v>神器6碎片8等级6</v>
      </c>
      <c r="T707" s="29" t="s">
        <v>520</v>
      </c>
      <c r="U707" s="14">
        <f t="shared" si="171"/>
        <v>6</v>
      </c>
      <c r="V707" s="36">
        <f t="shared" si="175"/>
        <v>0.52200000000000002</v>
      </c>
      <c r="W707" s="17">
        <f t="shared" si="172"/>
        <v>2.6100000000000002E-2</v>
      </c>
      <c r="X707" s="14">
        <f t="shared" si="176"/>
        <v>2</v>
      </c>
      <c r="Y707" s="14">
        <f t="shared" si="177"/>
        <v>3</v>
      </c>
      <c r="Z707" s="14">
        <f t="shared" si="178"/>
        <v>0</v>
      </c>
      <c r="AA707" s="14" t="str">
        <f t="shared" si="179"/>
        <v>DefExt</v>
      </c>
      <c r="AB707" s="14">
        <f t="shared" si="173"/>
        <v>1772</v>
      </c>
      <c r="AC707" s="14" t="str">
        <f t="shared" si="180"/>
        <v>HPExt</v>
      </c>
      <c r="AD707" s="14">
        <f t="shared" si="181"/>
        <v>10642</v>
      </c>
      <c r="AE707" s="14" t="str">
        <f t="shared" si="182"/>
        <v>[x]</v>
      </c>
      <c r="AF707" s="27" t="str">
        <f t="shared" si="183"/>
        <v>[x]</v>
      </c>
      <c r="AG707" s="27">
        <f t="shared" si="184"/>
        <v>6</v>
      </c>
    </row>
    <row r="708" spans="16:33" ht="16.5" x14ac:dyDescent="0.2">
      <c r="P708" s="13">
        <v>652</v>
      </c>
      <c r="Q708" s="14">
        <f t="shared" si="169"/>
        <v>34</v>
      </c>
      <c r="R708" s="14">
        <f t="shared" si="170"/>
        <v>1606042</v>
      </c>
      <c r="S708" s="14" t="str">
        <f t="shared" si="174"/>
        <v>神器6碎片8等级7</v>
      </c>
      <c r="T708" s="29" t="s">
        <v>520</v>
      </c>
      <c r="U708" s="14">
        <f t="shared" si="171"/>
        <v>7</v>
      </c>
      <c r="V708" s="36">
        <f t="shared" si="175"/>
        <v>0.59799999999999998</v>
      </c>
      <c r="W708" s="17">
        <f t="shared" si="172"/>
        <v>2.9899999999999999E-2</v>
      </c>
      <c r="X708" s="14">
        <f t="shared" si="176"/>
        <v>2</v>
      </c>
      <c r="Y708" s="14">
        <f t="shared" si="177"/>
        <v>3</v>
      </c>
      <c r="Z708" s="14">
        <f t="shared" si="178"/>
        <v>0</v>
      </c>
      <c r="AA708" s="14" t="str">
        <f t="shared" si="179"/>
        <v>DefExt</v>
      </c>
      <c r="AB708" s="14">
        <f t="shared" si="173"/>
        <v>2030</v>
      </c>
      <c r="AC708" s="14" t="str">
        <f t="shared" si="180"/>
        <v>HPExt</v>
      </c>
      <c r="AD708" s="14">
        <f t="shared" si="181"/>
        <v>12191</v>
      </c>
      <c r="AE708" s="14" t="str">
        <f t="shared" si="182"/>
        <v>[x]</v>
      </c>
      <c r="AF708" s="27" t="str">
        <f t="shared" si="183"/>
        <v>[x]</v>
      </c>
      <c r="AG708" s="27">
        <f t="shared" si="184"/>
        <v>7</v>
      </c>
    </row>
    <row r="709" spans="16:33" ht="16.5" x14ac:dyDescent="0.2">
      <c r="P709" s="13">
        <v>653</v>
      </c>
      <c r="Q709" s="14">
        <f t="shared" si="169"/>
        <v>34</v>
      </c>
      <c r="R709" s="14">
        <f t="shared" si="170"/>
        <v>1606042</v>
      </c>
      <c r="S709" s="14" t="str">
        <f t="shared" si="174"/>
        <v>神器6碎片8等级8</v>
      </c>
      <c r="T709" s="29" t="s">
        <v>520</v>
      </c>
      <c r="U709" s="14">
        <f t="shared" si="171"/>
        <v>8</v>
      </c>
      <c r="V709" s="36">
        <f t="shared" si="175"/>
        <v>0.67800000000000005</v>
      </c>
      <c r="W709" s="17">
        <f t="shared" si="172"/>
        <v>3.3900000000000007E-2</v>
      </c>
      <c r="X709" s="14">
        <f t="shared" si="176"/>
        <v>2</v>
      </c>
      <c r="Y709" s="14">
        <f t="shared" si="177"/>
        <v>3</v>
      </c>
      <c r="Z709" s="14">
        <f t="shared" si="178"/>
        <v>0</v>
      </c>
      <c r="AA709" s="14" t="str">
        <f t="shared" si="179"/>
        <v>DefExt</v>
      </c>
      <c r="AB709" s="14">
        <f t="shared" si="173"/>
        <v>2301</v>
      </c>
      <c r="AC709" s="14" t="str">
        <f t="shared" si="180"/>
        <v>HPExt</v>
      </c>
      <c r="AD709" s="14">
        <f t="shared" si="181"/>
        <v>13822</v>
      </c>
      <c r="AE709" s="14" t="str">
        <f t="shared" si="182"/>
        <v>[x]</v>
      </c>
      <c r="AF709" s="27" t="str">
        <f t="shared" si="183"/>
        <v>[x]</v>
      </c>
      <c r="AG709" s="27">
        <f t="shared" si="184"/>
        <v>8</v>
      </c>
    </row>
    <row r="710" spans="16:33" ht="16.5" x14ac:dyDescent="0.2">
      <c r="P710" s="13">
        <v>654</v>
      </c>
      <c r="Q710" s="14">
        <f t="shared" si="169"/>
        <v>34</v>
      </c>
      <c r="R710" s="14">
        <f t="shared" si="170"/>
        <v>1606042</v>
      </c>
      <c r="S710" s="14" t="str">
        <f t="shared" si="174"/>
        <v>神器6碎片8等级9</v>
      </c>
      <c r="T710" s="29" t="s">
        <v>520</v>
      </c>
      <c r="U710" s="14">
        <f t="shared" si="171"/>
        <v>9</v>
      </c>
      <c r="V710" s="36">
        <f t="shared" si="175"/>
        <v>0.76200000000000001</v>
      </c>
      <c r="W710" s="17">
        <f t="shared" si="172"/>
        <v>3.8100000000000002E-2</v>
      </c>
      <c r="X710" s="14">
        <f t="shared" si="176"/>
        <v>2</v>
      </c>
      <c r="Y710" s="14">
        <f t="shared" si="177"/>
        <v>3</v>
      </c>
      <c r="Z710" s="14">
        <f t="shared" si="178"/>
        <v>0</v>
      </c>
      <c r="AA710" s="14" t="str">
        <f t="shared" si="179"/>
        <v>DefExt</v>
      </c>
      <c r="AB710" s="14">
        <f t="shared" si="173"/>
        <v>2586</v>
      </c>
      <c r="AC710" s="14" t="str">
        <f t="shared" si="180"/>
        <v>HPExt</v>
      </c>
      <c r="AD710" s="14">
        <f t="shared" si="181"/>
        <v>15535</v>
      </c>
      <c r="AE710" s="14" t="str">
        <f t="shared" si="182"/>
        <v>[x]</v>
      </c>
      <c r="AF710" s="27" t="str">
        <f t="shared" si="183"/>
        <v>[x]</v>
      </c>
      <c r="AG710" s="27">
        <f t="shared" si="184"/>
        <v>9</v>
      </c>
    </row>
    <row r="711" spans="16:33" ht="16.5" x14ac:dyDescent="0.2">
      <c r="P711" s="13">
        <v>655</v>
      </c>
      <c r="Q711" s="14">
        <f t="shared" si="169"/>
        <v>34</v>
      </c>
      <c r="R711" s="14">
        <f t="shared" si="170"/>
        <v>1606042</v>
      </c>
      <c r="S711" s="14" t="str">
        <f t="shared" si="174"/>
        <v>神器6碎片8等级10</v>
      </c>
      <c r="T711" s="29" t="s">
        <v>520</v>
      </c>
      <c r="U711" s="14">
        <f t="shared" si="171"/>
        <v>10</v>
      </c>
      <c r="V711" s="36">
        <f t="shared" si="175"/>
        <v>0.85000000000000009</v>
      </c>
      <c r="W711" s="17">
        <f t="shared" si="172"/>
        <v>4.250000000000001E-2</v>
      </c>
      <c r="X711" s="14">
        <f t="shared" si="176"/>
        <v>2</v>
      </c>
      <c r="Y711" s="14">
        <f t="shared" si="177"/>
        <v>3</v>
      </c>
      <c r="Z711" s="14">
        <f t="shared" si="178"/>
        <v>0</v>
      </c>
      <c r="AA711" s="14" t="str">
        <f t="shared" si="179"/>
        <v>DefExt</v>
      </c>
      <c r="AB711" s="14">
        <f t="shared" si="173"/>
        <v>2885</v>
      </c>
      <c r="AC711" s="14" t="str">
        <f t="shared" si="180"/>
        <v>HPExt</v>
      </c>
      <c r="AD711" s="14">
        <f t="shared" si="181"/>
        <v>17329</v>
      </c>
      <c r="AE711" s="14" t="str">
        <f t="shared" si="182"/>
        <v>[x]</v>
      </c>
      <c r="AF711" s="27" t="str">
        <f t="shared" si="183"/>
        <v>[x]</v>
      </c>
      <c r="AG711" s="27">
        <f t="shared" si="184"/>
        <v>10</v>
      </c>
    </row>
    <row r="712" spans="16:33" ht="16.5" x14ac:dyDescent="0.2">
      <c r="P712" s="13">
        <v>656</v>
      </c>
      <c r="Q712" s="14">
        <f t="shared" si="169"/>
        <v>34</v>
      </c>
      <c r="R712" s="14">
        <f t="shared" si="170"/>
        <v>1606042</v>
      </c>
      <c r="S712" s="14" t="str">
        <f t="shared" si="174"/>
        <v>神器6碎片8等级11</v>
      </c>
      <c r="T712" s="29" t="s">
        <v>520</v>
      </c>
      <c r="U712" s="14">
        <f t="shared" si="171"/>
        <v>11</v>
      </c>
      <c r="V712" s="36">
        <f t="shared" si="175"/>
        <v>0.94200000000000006</v>
      </c>
      <c r="W712" s="17">
        <f t="shared" si="172"/>
        <v>4.7100000000000003E-2</v>
      </c>
      <c r="X712" s="14">
        <f t="shared" si="176"/>
        <v>2</v>
      </c>
      <c r="Y712" s="14">
        <f t="shared" si="177"/>
        <v>3</v>
      </c>
      <c r="Z712" s="14">
        <f t="shared" si="178"/>
        <v>0</v>
      </c>
      <c r="AA712" s="14" t="str">
        <f t="shared" si="179"/>
        <v>DefExt</v>
      </c>
      <c r="AB712" s="14">
        <f t="shared" si="173"/>
        <v>3197</v>
      </c>
      <c r="AC712" s="14" t="str">
        <f t="shared" si="180"/>
        <v>HPExt</v>
      </c>
      <c r="AD712" s="14">
        <f t="shared" si="181"/>
        <v>19204</v>
      </c>
      <c r="AE712" s="14" t="str">
        <f t="shared" si="182"/>
        <v>[x]</v>
      </c>
      <c r="AF712" s="27" t="str">
        <f t="shared" si="183"/>
        <v>[x]</v>
      </c>
      <c r="AG712" s="27">
        <f t="shared" si="184"/>
        <v>11</v>
      </c>
    </row>
    <row r="713" spans="16:33" ht="16.5" x14ac:dyDescent="0.2">
      <c r="P713" s="13">
        <v>657</v>
      </c>
      <c r="Q713" s="14">
        <f t="shared" si="169"/>
        <v>34</v>
      </c>
      <c r="R713" s="14">
        <f t="shared" si="170"/>
        <v>1606042</v>
      </c>
      <c r="S713" s="14" t="str">
        <f t="shared" si="174"/>
        <v>神器6碎片8等级12</v>
      </c>
      <c r="T713" s="29" t="s">
        <v>520</v>
      </c>
      <c r="U713" s="14">
        <f t="shared" si="171"/>
        <v>12</v>
      </c>
      <c r="V713" s="36">
        <f t="shared" si="175"/>
        <v>1.0380000000000003</v>
      </c>
      <c r="W713" s="17">
        <f t="shared" si="172"/>
        <v>5.1900000000000016E-2</v>
      </c>
      <c r="X713" s="14">
        <f t="shared" si="176"/>
        <v>2</v>
      </c>
      <c r="Y713" s="14">
        <f t="shared" si="177"/>
        <v>3</v>
      </c>
      <c r="Z713" s="14">
        <f t="shared" si="178"/>
        <v>0</v>
      </c>
      <c r="AA713" s="14" t="str">
        <f t="shared" si="179"/>
        <v>DefExt</v>
      </c>
      <c r="AB713" s="14">
        <f t="shared" si="173"/>
        <v>3523</v>
      </c>
      <c r="AC713" s="14" t="str">
        <f t="shared" si="180"/>
        <v>HPExt</v>
      </c>
      <c r="AD713" s="14">
        <f t="shared" si="181"/>
        <v>21161</v>
      </c>
      <c r="AE713" s="14" t="str">
        <f t="shared" si="182"/>
        <v>[x]</v>
      </c>
      <c r="AF713" s="27" t="str">
        <f t="shared" si="183"/>
        <v>[x]</v>
      </c>
      <c r="AG713" s="27">
        <f t="shared" si="184"/>
        <v>12</v>
      </c>
    </row>
    <row r="714" spans="16:33" ht="16.5" x14ac:dyDescent="0.2">
      <c r="P714" s="13">
        <v>658</v>
      </c>
      <c r="Q714" s="14">
        <f t="shared" si="169"/>
        <v>34</v>
      </c>
      <c r="R714" s="14">
        <f t="shared" si="170"/>
        <v>1606042</v>
      </c>
      <c r="S714" s="14" t="str">
        <f t="shared" si="174"/>
        <v>神器6碎片8等级13</v>
      </c>
      <c r="T714" s="29" t="s">
        <v>520</v>
      </c>
      <c r="U714" s="14">
        <f t="shared" si="171"/>
        <v>13</v>
      </c>
      <c r="V714" s="36">
        <f t="shared" si="175"/>
        <v>1.1380000000000001</v>
      </c>
      <c r="W714" s="17">
        <f t="shared" si="172"/>
        <v>5.6900000000000006E-2</v>
      </c>
      <c r="X714" s="14">
        <f t="shared" si="176"/>
        <v>2</v>
      </c>
      <c r="Y714" s="14">
        <f t="shared" si="177"/>
        <v>3</v>
      </c>
      <c r="Z714" s="14">
        <f t="shared" si="178"/>
        <v>0</v>
      </c>
      <c r="AA714" s="14" t="str">
        <f t="shared" si="179"/>
        <v>DefExt</v>
      </c>
      <c r="AB714" s="14">
        <f t="shared" si="173"/>
        <v>3863</v>
      </c>
      <c r="AC714" s="14" t="str">
        <f t="shared" si="180"/>
        <v>HPExt</v>
      </c>
      <c r="AD714" s="14">
        <f t="shared" si="181"/>
        <v>23200</v>
      </c>
      <c r="AE714" s="14" t="str">
        <f t="shared" si="182"/>
        <v>[x]</v>
      </c>
      <c r="AF714" s="27" t="str">
        <f t="shared" si="183"/>
        <v>[x]</v>
      </c>
      <c r="AG714" s="27">
        <f t="shared" si="184"/>
        <v>13</v>
      </c>
    </row>
    <row r="715" spans="16:33" ht="16.5" x14ac:dyDescent="0.2">
      <c r="P715" s="13">
        <v>659</v>
      </c>
      <c r="Q715" s="14">
        <f t="shared" si="169"/>
        <v>34</v>
      </c>
      <c r="R715" s="14">
        <f t="shared" si="170"/>
        <v>1606042</v>
      </c>
      <c r="S715" s="14" t="str">
        <f t="shared" si="174"/>
        <v>神器6碎片8等级14</v>
      </c>
      <c r="T715" s="29" t="s">
        <v>520</v>
      </c>
      <c r="U715" s="14">
        <f t="shared" si="171"/>
        <v>14</v>
      </c>
      <c r="V715" s="36">
        <f t="shared" si="175"/>
        <v>1.242</v>
      </c>
      <c r="W715" s="17">
        <f t="shared" si="172"/>
        <v>6.2100000000000002E-2</v>
      </c>
      <c r="X715" s="14">
        <f t="shared" si="176"/>
        <v>2</v>
      </c>
      <c r="Y715" s="14">
        <f t="shared" si="177"/>
        <v>3</v>
      </c>
      <c r="Z715" s="14">
        <f t="shared" si="178"/>
        <v>0</v>
      </c>
      <c r="AA715" s="14" t="str">
        <f t="shared" si="179"/>
        <v>DefExt</v>
      </c>
      <c r="AB715" s="14">
        <f t="shared" si="173"/>
        <v>4216</v>
      </c>
      <c r="AC715" s="14" t="str">
        <f t="shared" si="180"/>
        <v>HPExt</v>
      </c>
      <c r="AD715" s="14">
        <f t="shared" si="181"/>
        <v>25320</v>
      </c>
      <c r="AE715" s="14" t="str">
        <f t="shared" si="182"/>
        <v>[x]</v>
      </c>
      <c r="AF715" s="27" t="str">
        <f t="shared" si="183"/>
        <v>[x]</v>
      </c>
      <c r="AG715" s="27">
        <f t="shared" si="184"/>
        <v>14</v>
      </c>
    </row>
    <row r="716" spans="16:33" ht="16.5" x14ac:dyDescent="0.2">
      <c r="P716" s="13">
        <v>660</v>
      </c>
      <c r="Q716" s="14">
        <f t="shared" si="169"/>
        <v>34</v>
      </c>
      <c r="R716" s="14">
        <f t="shared" si="170"/>
        <v>1606042</v>
      </c>
      <c r="S716" s="14" t="str">
        <f t="shared" si="174"/>
        <v>神器6碎片8等级15</v>
      </c>
      <c r="T716" s="29" t="s">
        <v>520</v>
      </c>
      <c r="U716" s="14">
        <f t="shared" si="171"/>
        <v>15</v>
      </c>
      <c r="V716" s="36">
        <f t="shared" si="175"/>
        <v>1.35</v>
      </c>
      <c r="W716" s="17">
        <f t="shared" si="172"/>
        <v>6.7500000000000004E-2</v>
      </c>
      <c r="X716" s="14">
        <f t="shared" si="176"/>
        <v>2</v>
      </c>
      <c r="Y716" s="14">
        <f t="shared" si="177"/>
        <v>3</v>
      </c>
      <c r="Z716" s="14">
        <f t="shared" si="178"/>
        <v>0</v>
      </c>
      <c r="AA716" s="14" t="str">
        <f t="shared" si="179"/>
        <v>DefExt</v>
      </c>
      <c r="AB716" s="14">
        <f t="shared" si="173"/>
        <v>4582</v>
      </c>
      <c r="AC716" s="14" t="str">
        <f t="shared" si="180"/>
        <v>HPExt</v>
      </c>
      <c r="AD716" s="14">
        <f t="shared" si="181"/>
        <v>27522</v>
      </c>
      <c r="AE716" s="14" t="str">
        <f t="shared" si="182"/>
        <v>[x]</v>
      </c>
      <c r="AF716" s="27" t="str">
        <f t="shared" si="183"/>
        <v>[x]</v>
      </c>
      <c r="AG716" s="27">
        <f t="shared" si="184"/>
        <v>15</v>
      </c>
    </row>
    <row r="717" spans="16:33" ht="16.5" x14ac:dyDescent="0.2">
      <c r="P717" s="13">
        <v>661</v>
      </c>
      <c r="Q717" s="14">
        <f t="shared" si="169"/>
        <v>34</v>
      </c>
      <c r="R717" s="14">
        <f t="shared" si="170"/>
        <v>1606042</v>
      </c>
      <c r="S717" s="14" t="str">
        <f t="shared" si="174"/>
        <v>神器6碎片8等级16</v>
      </c>
      <c r="T717" s="29" t="s">
        <v>520</v>
      </c>
      <c r="U717" s="14">
        <f t="shared" si="171"/>
        <v>16</v>
      </c>
      <c r="V717" s="36">
        <f t="shared" si="175"/>
        <v>1.4620000000000002</v>
      </c>
      <c r="W717" s="17">
        <f t="shared" si="172"/>
        <v>7.3100000000000012E-2</v>
      </c>
      <c r="X717" s="14">
        <f t="shared" si="176"/>
        <v>2</v>
      </c>
      <c r="Y717" s="14">
        <f t="shared" si="177"/>
        <v>3</v>
      </c>
      <c r="Z717" s="14">
        <f t="shared" si="178"/>
        <v>0</v>
      </c>
      <c r="AA717" s="14" t="str">
        <f t="shared" si="179"/>
        <v>DefExt</v>
      </c>
      <c r="AB717" s="14">
        <f t="shared" si="173"/>
        <v>4963</v>
      </c>
      <c r="AC717" s="14" t="str">
        <f t="shared" si="180"/>
        <v>HPExt</v>
      </c>
      <c r="AD717" s="14">
        <f t="shared" si="181"/>
        <v>29806</v>
      </c>
      <c r="AE717" s="14" t="str">
        <f t="shared" si="182"/>
        <v>[x]</v>
      </c>
      <c r="AF717" s="27" t="str">
        <f t="shared" si="183"/>
        <v>[x]</v>
      </c>
      <c r="AG717" s="27">
        <f t="shared" si="184"/>
        <v>16</v>
      </c>
    </row>
    <row r="718" spans="16:33" ht="16.5" x14ac:dyDescent="0.2">
      <c r="P718" s="13">
        <v>662</v>
      </c>
      <c r="Q718" s="14">
        <f t="shared" si="169"/>
        <v>34</v>
      </c>
      <c r="R718" s="14">
        <f t="shared" si="170"/>
        <v>1606042</v>
      </c>
      <c r="S718" s="14" t="str">
        <f t="shared" si="174"/>
        <v>神器6碎片8等级17</v>
      </c>
      <c r="T718" s="29" t="s">
        <v>520</v>
      </c>
      <c r="U718" s="14">
        <f t="shared" si="171"/>
        <v>17</v>
      </c>
      <c r="V718" s="36">
        <f t="shared" si="175"/>
        <v>1.5779999999999998</v>
      </c>
      <c r="W718" s="17">
        <f t="shared" si="172"/>
        <v>7.8899999999999998E-2</v>
      </c>
      <c r="X718" s="14">
        <f t="shared" si="176"/>
        <v>2</v>
      </c>
      <c r="Y718" s="14">
        <f t="shared" si="177"/>
        <v>3</v>
      </c>
      <c r="Z718" s="14">
        <f t="shared" si="178"/>
        <v>0</v>
      </c>
      <c r="AA718" s="14" t="str">
        <f t="shared" si="179"/>
        <v>DefExt</v>
      </c>
      <c r="AB718" s="14">
        <f t="shared" si="173"/>
        <v>5356</v>
      </c>
      <c r="AC718" s="14" t="str">
        <f t="shared" si="180"/>
        <v>HPExt</v>
      </c>
      <c r="AD718" s="14">
        <f t="shared" si="181"/>
        <v>32171</v>
      </c>
      <c r="AE718" s="14" t="str">
        <f t="shared" si="182"/>
        <v>[x]</v>
      </c>
      <c r="AF718" s="27" t="str">
        <f t="shared" si="183"/>
        <v>[x]</v>
      </c>
      <c r="AG718" s="27">
        <f t="shared" si="184"/>
        <v>17</v>
      </c>
    </row>
    <row r="719" spans="16:33" ht="16.5" x14ac:dyDescent="0.2">
      <c r="P719" s="13">
        <v>663</v>
      </c>
      <c r="Q719" s="14">
        <f t="shared" si="169"/>
        <v>34</v>
      </c>
      <c r="R719" s="14">
        <f t="shared" si="170"/>
        <v>1606042</v>
      </c>
      <c r="S719" s="14" t="str">
        <f t="shared" si="174"/>
        <v>神器6碎片8等级18</v>
      </c>
      <c r="T719" s="29" t="s">
        <v>520</v>
      </c>
      <c r="U719" s="14">
        <f t="shared" si="171"/>
        <v>18</v>
      </c>
      <c r="V719" s="36">
        <f t="shared" si="175"/>
        <v>1.698</v>
      </c>
      <c r="W719" s="17">
        <f t="shared" si="172"/>
        <v>8.4900000000000003E-2</v>
      </c>
      <c r="X719" s="14">
        <f t="shared" si="176"/>
        <v>2</v>
      </c>
      <c r="Y719" s="14">
        <f t="shared" si="177"/>
        <v>3</v>
      </c>
      <c r="Z719" s="14">
        <f t="shared" si="178"/>
        <v>0</v>
      </c>
      <c r="AA719" s="14" t="str">
        <f t="shared" si="179"/>
        <v>DefExt</v>
      </c>
      <c r="AB719" s="14">
        <f t="shared" si="173"/>
        <v>5764</v>
      </c>
      <c r="AC719" s="14" t="str">
        <f t="shared" si="180"/>
        <v>HPExt</v>
      </c>
      <c r="AD719" s="14">
        <f t="shared" si="181"/>
        <v>34617</v>
      </c>
      <c r="AE719" s="14" t="str">
        <f t="shared" si="182"/>
        <v>[x]</v>
      </c>
      <c r="AF719" s="27" t="str">
        <f t="shared" si="183"/>
        <v>[x]</v>
      </c>
      <c r="AG719" s="27">
        <f t="shared" si="184"/>
        <v>18</v>
      </c>
    </row>
    <row r="720" spans="16:33" ht="16.5" x14ac:dyDescent="0.2">
      <c r="P720" s="13">
        <v>664</v>
      </c>
      <c r="Q720" s="14">
        <f t="shared" si="169"/>
        <v>34</v>
      </c>
      <c r="R720" s="14">
        <f t="shared" si="170"/>
        <v>1606042</v>
      </c>
      <c r="S720" s="14" t="str">
        <f t="shared" si="174"/>
        <v>神器6碎片8等级19</v>
      </c>
      <c r="T720" s="29" t="s">
        <v>520</v>
      </c>
      <c r="U720" s="14">
        <f t="shared" si="171"/>
        <v>19</v>
      </c>
      <c r="V720" s="36">
        <f t="shared" si="175"/>
        <v>1.8220000000000001</v>
      </c>
      <c r="W720" s="17">
        <f t="shared" si="172"/>
        <v>9.1100000000000014E-2</v>
      </c>
      <c r="X720" s="14">
        <f t="shared" si="176"/>
        <v>2</v>
      </c>
      <c r="Y720" s="14">
        <f t="shared" si="177"/>
        <v>3</v>
      </c>
      <c r="Z720" s="14">
        <f t="shared" si="178"/>
        <v>0</v>
      </c>
      <c r="AA720" s="14" t="str">
        <f t="shared" si="179"/>
        <v>DefExt</v>
      </c>
      <c r="AB720" s="14">
        <f t="shared" si="173"/>
        <v>6185</v>
      </c>
      <c r="AC720" s="14" t="str">
        <f t="shared" si="180"/>
        <v>HPExt</v>
      </c>
      <c r="AD720" s="14">
        <f t="shared" si="181"/>
        <v>37145</v>
      </c>
      <c r="AE720" s="14" t="str">
        <f t="shared" si="182"/>
        <v>[x]</v>
      </c>
      <c r="AF720" s="27" t="str">
        <f t="shared" si="183"/>
        <v>[x]</v>
      </c>
      <c r="AG720" s="27">
        <f t="shared" si="184"/>
        <v>19</v>
      </c>
    </row>
    <row r="721" spans="16:33" ht="16.5" x14ac:dyDescent="0.2">
      <c r="P721" s="13">
        <v>665</v>
      </c>
      <c r="Q721" s="14">
        <f t="shared" si="169"/>
        <v>34</v>
      </c>
      <c r="R721" s="14">
        <f t="shared" si="170"/>
        <v>1606042</v>
      </c>
      <c r="S721" s="14" t="str">
        <f t="shared" si="174"/>
        <v>神器6碎片8等级20</v>
      </c>
      <c r="T721" s="29" t="s">
        <v>520</v>
      </c>
      <c r="U721" s="14">
        <f t="shared" si="171"/>
        <v>20</v>
      </c>
      <c r="V721" s="36">
        <f t="shared" si="175"/>
        <v>1.95</v>
      </c>
      <c r="W721" s="17">
        <f t="shared" si="172"/>
        <v>9.7500000000000003E-2</v>
      </c>
      <c r="X721" s="14">
        <f t="shared" si="176"/>
        <v>2</v>
      </c>
      <c r="Y721" s="14">
        <f t="shared" si="177"/>
        <v>3</v>
      </c>
      <c r="Z721" s="14">
        <f t="shared" si="178"/>
        <v>0</v>
      </c>
      <c r="AA721" s="14" t="str">
        <f t="shared" si="179"/>
        <v>DefExt</v>
      </c>
      <c r="AB721" s="14">
        <f t="shared" si="173"/>
        <v>6619</v>
      </c>
      <c r="AC721" s="14" t="str">
        <f t="shared" si="180"/>
        <v>HPExt</v>
      </c>
      <c r="AD721" s="14">
        <f t="shared" si="181"/>
        <v>39755</v>
      </c>
      <c r="AE721" s="14" t="str">
        <f t="shared" si="182"/>
        <v>[x]</v>
      </c>
      <c r="AF721" s="27" t="str">
        <f t="shared" si="183"/>
        <v>[x]</v>
      </c>
      <c r="AG721" s="27">
        <f t="shared" si="184"/>
        <v>20</v>
      </c>
    </row>
    <row r="722" spans="16:33" ht="16.5" x14ac:dyDescent="0.2">
      <c r="P722" s="13">
        <v>666</v>
      </c>
      <c r="Q722" s="14">
        <f t="shared" si="169"/>
        <v>34</v>
      </c>
      <c r="R722" s="14">
        <f t="shared" si="170"/>
        <v>1606042</v>
      </c>
      <c r="S722" s="14" t="str">
        <f t="shared" si="174"/>
        <v>神器6碎片8等级21</v>
      </c>
      <c r="T722" s="29" t="s">
        <v>520</v>
      </c>
      <c r="U722" s="14">
        <f t="shared" si="171"/>
        <v>21</v>
      </c>
      <c r="V722" s="36">
        <f t="shared" si="175"/>
        <v>2.0819999999999999</v>
      </c>
      <c r="W722" s="17">
        <f t="shared" si="172"/>
        <v>0.1041</v>
      </c>
      <c r="X722" s="14">
        <f t="shared" si="176"/>
        <v>2</v>
      </c>
      <c r="Y722" s="14">
        <f t="shared" si="177"/>
        <v>3</v>
      </c>
      <c r="Z722" s="14">
        <f t="shared" si="178"/>
        <v>0</v>
      </c>
      <c r="AA722" s="14" t="str">
        <f t="shared" si="179"/>
        <v>DefExt</v>
      </c>
      <c r="AB722" s="14">
        <f t="shared" si="173"/>
        <v>7067</v>
      </c>
      <c r="AC722" s="14" t="str">
        <f t="shared" si="180"/>
        <v>HPExt</v>
      </c>
      <c r="AD722" s="14">
        <f t="shared" si="181"/>
        <v>42446</v>
      </c>
      <c r="AE722" s="14" t="str">
        <f t="shared" si="182"/>
        <v>[x]</v>
      </c>
      <c r="AF722" s="27" t="str">
        <f t="shared" si="183"/>
        <v>[x]</v>
      </c>
      <c r="AG722" s="27">
        <f t="shared" si="184"/>
        <v>21</v>
      </c>
    </row>
    <row r="723" spans="16:33" ht="16.5" x14ac:dyDescent="0.2">
      <c r="P723" s="13">
        <v>667</v>
      </c>
      <c r="Q723" s="14">
        <f t="shared" si="169"/>
        <v>35</v>
      </c>
      <c r="R723" s="14">
        <f t="shared" si="170"/>
        <v>1606043</v>
      </c>
      <c r="S723" s="14" t="str">
        <f t="shared" si="174"/>
        <v>神器7碎片1等级1</v>
      </c>
      <c r="T723" s="29" t="s">
        <v>520</v>
      </c>
      <c r="U723" s="14">
        <f t="shared" si="171"/>
        <v>1</v>
      </c>
      <c r="V723" s="36">
        <f t="shared" si="175"/>
        <v>0.20200000000000001</v>
      </c>
      <c r="W723" s="17">
        <f t="shared" si="172"/>
        <v>4.0400000000000002E-3</v>
      </c>
      <c r="X723" s="14">
        <f t="shared" si="176"/>
        <v>1</v>
      </c>
      <c r="Y723" s="14">
        <f t="shared" si="177"/>
        <v>3</v>
      </c>
      <c r="Z723" s="14">
        <f t="shared" si="178"/>
        <v>0</v>
      </c>
      <c r="AA723" s="14" t="str">
        <f t="shared" si="179"/>
        <v>AtkExt</v>
      </c>
      <c r="AB723" s="14">
        <f t="shared" si="173"/>
        <v>274</v>
      </c>
      <c r="AC723" s="14" t="str">
        <f t="shared" si="180"/>
        <v>HPExt</v>
      </c>
      <c r="AD723" s="14">
        <f t="shared" si="181"/>
        <v>1647</v>
      </c>
      <c r="AE723" s="14" t="str">
        <f t="shared" si="182"/>
        <v>[x]</v>
      </c>
      <c r="AF723" s="27" t="str">
        <f t="shared" si="183"/>
        <v>[x]</v>
      </c>
      <c r="AG723" s="27" t="str">
        <f t="shared" si="184"/>
        <v>[x]</v>
      </c>
    </row>
    <row r="724" spans="16:33" ht="16.5" x14ac:dyDescent="0.2">
      <c r="P724" s="13">
        <v>668</v>
      </c>
      <c r="Q724" s="14">
        <f t="shared" si="169"/>
        <v>35</v>
      </c>
      <c r="R724" s="14">
        <f t="shared" si="170"/>
        <v>1606043</v>
      </c>
      <c r="S724" s="14" t="str">
        <f t="shared" si="174"/>
        <v>神器7碎片1等级2</v>
      </c>
      <c r="T724" s="29" t="s">
        <v>520</v>
      </c>
      <c r="U724" s="14">
        <f t="shared" si="171"/>
        <v>2</v>
      </c>
      <c r="V724" s="36">
        <f t="shared" si="175"/>
        <v>0.25800000000000001</v>
      </c>
      <c r="W724" s="17">
        <f t="shared" si="172"/>
        <v>5.1600000000000005E-3</v>
      </c>
      <c r="X724" s="14">
        <f t="shared" si="176"/>
        <v>1</v>
      </c>
      <c r="Y724" s="14">
        <f t="shared" si="177"/>
        <v>3</v>
      </c>
      <c r="Z724" s="14">
        <f t="shared" si="178"/>
        <v>0</v>
      </c>
      <c r="AA724" s="14" t="str">
        <f t="shared" si="179"/>
        <v>AtkExt</v>
      </c>
      <c r="AB724" s="14">
        <f t="shared" si="173"/>
        <v>350</v>
      </c>
      <c r="AC724" s="14" t="str">
        <f t="shared" si="180"/>
        <v>HPExt</v>
      </c>
      <c r="AD724" s="14">
        <f t="shared" si="181"/>
        <v>2103</v>
      </c>
      <c r="AE724" s="14" t="str">
        <f t="shared" si="182"/>
        <v>[x]</v>
      </c>
      <c r="AF724" s="27" t="str">
        <f t="shared" si="183"/>
        <v>[x]</v>
      </c>
      <c r="AG724" s="27" t="str">
        <f t="shared" si="184"/>
        <v>[x]</v>
      </c>
    </row>
    <row r="725" spans="16:33" ht="16.5" x14ac:dyDescent="0.2">
      <c r="P725" s="13">
        <v>669</v>
      </c>
      <c r="Q725" s="14">
        <f t="shared" si="169"/>
        <v>35</v>
      </c>
      <c r="R725" s="14">
        <f t="shared" si="170"/>
        <v>1606043</v>
      </c>
      <c r="S725" s="14" t="str">
        <f t="shared" si="174"/>
        <v>神器7碎片1等级3</v>
      </c>
      <c r="T725" s="29" t="s">
        <v>520</v>
      </c>
      <c r="U725" s="14">
        <f t="shared" si="171"/>
        <v>3</v>
      </c>
      <c r="V725" s="36">
        <f t="shared" si="175"/>
        <v>0.31800000000000006</v>
      </c>
      <c r="W725" s="17">
        <f t="shared" si="172"/>
        <v>6.3600000000000011E-3</v>
      </c>
      <c r="X725" s="14">
        <f t="shared" si="176"/>
        <v>1</v>
      </c>
      <c r="Y725" s="14">
        <f t="shared" si="177"/>
        <v>3</v>
      </c>
      <c r="Z725" s="14">
        <f t="shared" si="178"/>
        <v>0</v>
      </c>
      <c r="AA725" s="14" t="str">
        <f t="shared" si="179"/>
        <v>AtkExt</v>
      </c>
      <c r="AB725" s="14">
        <f t="shared" si="173"/>
        <v>432</v>
      </c>
      <c r="AC725" s="14" t="str">
        <f t="shared" si="180"/>
        <v>HPExt</v>
      </c>
      <c r="AD725" s="14">
        <f t="shared" si="181"/>
        <v>2593</v>
      </c>
      <c r="AE725" s="14" t="str">
        <f t="shared" si="182"/>
        <v>[x]</v>
      </c>
      <c r="AF725" s="27" t="str">
        <f t="shared" si="183"/>
        <v>[x]</v>
      </c>
      <c r="AG725" s="27" t="str">
        <f t="shared" si="184"/>
        <v>[x]</v>
      </c>
    </row>
    <row r="726" spans="16:33" ht="16.5" x14ac:dyDescent="0.2">
      <c r="P726" s="13">
        <v>670</v>
      </c>
      <c r="Q726" s="14">
        <f t="shared" si="169"/>
        <v>35</v>
      </c>
      <c r="R726" s="14">
        <f t="shared" si="170"/>
        <v>1606043</v>
      </c>
      <c r="S726" s="14" t="str">
        <f t="shared" si="174"/>
        <v>神器7碎片1等级4</v>
      </c>
      <c r="T726" s="29" t="s">
        <v>520</v>
      </c>
      <c r="U726" s="14">
        <f t="shared" si="171"/>
        <v>4</v>
      </c>
      <c r="V726" s="36">
        <f t="shared" si="175"/>
        <v>0.38200000000000001</v>
      </c>
      <c r="W726" s="17">
        <f t="shared" si="172"/>
        <v>7.6400000000000001E-3</v>
      </c>
      <c r="X726" s="14">
        <f t="shared" si="176"/>
        <v>1</v>
      </c>
      <c r="Y726" s="14">
        <f t="shared" si="177"/>
        <v>3</v>
      </c>
      <c r="Z726" s="14">
        <f t="shared" si="178"/>
        <v>0</v>
      </c>
      <c r="AA726" s="14" t="str">
        <f t="shared" si="179"/>
        <v>AtkExt</v>
      </c>
      <c r="AB726" s="14">
        <f t="shared" si="173"/>
        <v>518</v>
      </c>
      <c r="AC726" s="14" t="str">
        <f t="shared" si="180"/>
        <v>HPExt</v>
      </c>
      <c r="AD726" s="14">
        <f t="shared" si="181"/>
        <v>3115</v>
      </c>
      <c r="AE726" s="14" t="str">
        <f t="shared" si="182"/>
        <v>[x]</v>
      </c>
      <c r="AF726" s="27" t="str">
        <f t="shared" si="183"/>
        <v>[x]</v>
      </c>
      <c r="AG726" s="27" t="str">
        <f t="shared" si="184"/>
        <v>[x]</v>
      </c>
    </row>
    <row r="727" spans="16:33" ht="16.5" x14ac:dyDescent="0.2">
      <c r="P727" s="13">
        <v>671</v>
      </c>
      <c r="Q727" s="14">
        <f t="shared" si="169"/>
        <v>35</v>
      </c>
      <c r="R727" s="14">
        <f t="shared" si="170"/>
        <v>1606043</v>
      </c>
      <c r="S727" s="14" t="str">
        <f t="shared" si="174"/>
        <v>神器7碎片1等级5</v>
      </c>
      <c r="T727" s="29" t="s">
        <v>520</v>
      </c>
      <c r="U727" s="14">
        <f t="shared" si="171"/>
        <v>5</v>
      </c>
      <c r="V727" s="36">
        <f t="shared" si="175"/>
        <v>0.45</v>
      </c>
      <c r="W727" s="17">
        <f t="shared" si="172"/>
        <v>9.0000000000000011E-3</v>
      </c>
      <c r="X727" s="14">
        <f t="shared" si="176"/>
        <v>1</v>
      </c>
      <c r="Y727" s="14">
        <f t="shared" si="177"/>
        <v>3</v>
      </c>
      <c r="Z727" s="14">
        <f t="shared" si="178"/>
        <v>0</v>
      </c>
      <c r="AA727" s="14" t="str">
        <f t="shared" si="179"/>
        <v>AtkExt</v>
      </c>
      <c r="AB727" s="14">
        <f t="shared" si="173"/>
        <v>611</v>
      </c>
      <c r="AC727" s="14" t="str">
        <f t="shared" si="180"/>
        <v>HPExt</v>
      </c>
      <c r="AD727" s="14">
        <f t="shared" si="181"/>
        <v>3669</v>
      </c>
      <c r="AE727" s="14" t="str">
        <f t="shared" si="182"/>
        <v>[x]</v>
      </c>
      <c r="AF727" s="27" t="str">
        <f t="shared" si="183"/>
        <v>[x]</v>
      </c>
      <c r="AG727" s="27" t="str">
        <f t="shared" si="184"/>
        <v>[x]</v>
      </c>
    </row>
    <row r="728" spans="16:33" ht="16.5" x14ac:dyDescent="0.2">
      <c r="P728" s="13">
        <v>672</v>
      </c>
      <c r="Q728" s="14">
        <f t="shared" si="169"/>
        <v>35</v>
      </c>
      <c r="R728" s="14">
        <f t="shared" si="170"/>
        <v>1606043</v>
      </c>
      <c r="S728" s="14" t="str">
        <f t="shared" si="174"/>
        <v>神器7碎片1等级6</v>
      </c>
      <c r="T728" s="29" t="s">
        <v>520</v>
      </c>
      <c r="U728" s="14">
        <f t="shared" si="171"/>
        <v>6</v>
      </c>
      <c r="V728" s="36">
        <f t="shared" si="175"/>
        <v>0.52200000000000002</v>
      </c>
      <c r="W728" s="17">
        <f t="shared" si="172"/>
        <v>1.0440000000000001E-2</v>
      </c>
      <c r="X728" s="14">
        <f t="shared" si="176"/>
        <v>1</v>
      </c>
      <c r="Y728" s="14">
        <f t="shared" si="177"/>
        <v>3</v>
      </c>
      <c r="Z728" s="14">
        <f t="shared" si="178"/>
        <v>0</v>
      </c>
      <c r="AA728" s="14" t="str">
        <f t="shared" si="179"/>
        <v>AtkExt</v>
      </c>
      <c r="AB728" s="14">
        <f t="shared" si="173"/>
        <v>709</v>
      </c>
      <c r="AC728" s="14" t="str">
        <f t="shared" si="180"/>
        <v>HPExt</v>
      </c>
      <c r="AD728" s="14">
        <f t="shared" si="181"/>
        <v>4256</v>
      </c>
      <c r="AE728" s="14" t="str">
        <f t="shared" si="182"/>
        <v>[x]</v>
      </c>
      <c r="AF728" s="27" t="str">
        <f t="shared" si="183"/>
        <v>[x]</v>
      </c>
      <c r="AG728" s="27" t="str">
        <f t="shared" si="184"/>
        <v>[x]</v>
      </c>
    </row>
    <row r="729" spans="16:33" ht="16.5" x14ac:dyDescent="0.2">
      <c r="P729" s="13">
        <v>673</v>
      </c>
      <c r="Q729" s="14">
        <f t="shared" si="169"/>
        <v>35</v>
      </c>
      <c r="R729" s="14">
        <f t="shared" si="170"/>
        <v>1606043</v>
      </c>
      <c r="S729" s="14" t="str">
        <f t="shared" si="174"/>
        <v>神器7碎片1等级7</v>
      </c>
      <c r="T729" s="29" t="s">
        <v>520</v>
      </c>
      <c r="U729" s="14">
        <f t="shared" si="171"/>
        <v>7</v>
      </c>
      <c r="V729" s="36">
        <f t="shared" si="175"/>
        <v>0.59799999999999998</v>
      </c>
      <c r="W729" s="17">
        <f t="shared" si="172"/>
        <v>1.196E-2</v>
      </c>
      <c r="X729" s="14">
        <f t="shared" si="176"/>
        <v>1</v>
      </c>
      <c r="Y729" s="14">
        <f t="shared" si="177"/>
        <v>3</v>
      </c>
      <c r="Z729" s="14">
        <f t="shared" si="178"/>
        <v>0</v>
      </c>
      <c r="AA729" s="14" t="str">
        <f t="shared" si="179"/>
        <v>AtkExt</v>
      </c>
      <c r="AB729" s="14">
        <f t="shared" si="173"/>
        <v>812</v>
      </c>
      <c r="AC729" s="14" t="str">
        <f t="shared" si="180"/>
        <v>HPExt</v>
      </c>
      <c r="AD729" s="14">
        <f t="shared" si="181"/>
        <v>4876</v>
      </c>
      <c r="AE729" s="14" t="str">
        <f t="shared" si="182"/>
        <v>[x]</v>
      </c>
      <c r="AF729" s="27" t="str">
        <f t="shared" si="183"/>
        <v>[x]</v>
      </c>
      <c r="AG729" s="27" t="str">
        <f t="shared" si="184"/>
        <v>[x]</v>
      </c>
    </row>
    <row r="730" spans="16:33" ht="16.5" x14ac:dyDescent="0.2">
      <c r="P730" s="13">
        <v>674</v>
      </c>
      <c r="Q730" s="14">
        <f t="shared" si="169"/>
        <v>35</v>
      </c>
      <c r="R730" s="14">
        <f t="shared" si="170"/>
        <v>1606043</v>
      </c>
      <c r="S730" s="14" t="str">
        <f t="shared" si="174"/>
        <v>神器7碎片1等级8</v>
      </c>
      <c r="T730" s="29" t="s">
        <v>520</v>
      </c>
      <c r="U730" s="14">
        <f t="shared" si="171"/>
        <v>8</v>
      </c>
      <c r="V730" s="36">
        <f t="shared" si="175"/>
        <v>0.67800000000000005</v>
      </c>
      <c r="W730" s="17">
        <f t="shared" si="172"/>
        <v>1.3560000000000001E-2</v>
      </c>
      <c r="X730" s="14">
        <f t="shared" si="176"/>
        <v>1</v>
      </c>
      <c r="Y730" s="14">
        <f t="shared" si="177"/>
        <v>3</v>
      </c>
      <c r="Z730" s="14">
        <f t="shared" si="178"/>
        <v>0</v>
      </c>
      <c r="AA730" s="14" t="str">
        <f t="shared" si="179"/>
        <v>AtkExt</v>
      </c>
      <c r="AB730" s="14">
        <f t="shared" si="173"/>
        <v>921</v>
      </c>
      <c r="AC730" s="14" t="str">
        <f t="shared" si="180"/>
        <v>HPExt</v>
      </c>
      <c r="AD730" s="14">
        <f t="shared" si="181"/>
        <v>5529</v>
      </c>
      <c r="AE730" s="14" t="str">
        <f t="shared" si="182"/>
        <v>[x]</v>
      </c>
      <c r="AF730" s="27" t="str">
        <f t="shared" si="183"/>
        <v>[x]</v>
      </c>
      <c r="AG730" s="27" t="str">
        <f t="shared" si="184"/>
        <v>[x]</v>
      </c>
    </row>
    <row r="731" spans="16:33" ht="16.5" x14ac:dyDescent="0.2">
      <c r="P731" s="13">
        <v>675</v>
      </c>
      <c r="Q731" s="14">
        <f t="shared" si="169"/>
        <v>35</v>
      </c>
      <c r="R731" s="14">
        <f t="shared" si="170"/>
        <v>1606043</v>
      </c>
      <c r="S731" s="14" t="str">
        <f t="shared" si="174"/>
        <v>神器7碎片1等级9</v>
      </c>
      <c r="T731" s="29" t="s">
        <v>520</v>
      </c>
      <c r="U731" s="14">
        <f t="shared" si="171"/>
        <v>9</v>
      </c>
      <c r="V731" s="36">
        <f t="shared" si="175"/>
        <v>0.76200000000000001</v>
      </c>
      <c r="W731" s="17">
        <f t="shared" si="172"/>
        <v>1.524E-2</v>
      </c>
      <c r="X731" s="14">
        <f t="shared" si="176"/>
        <v>1</v>
      </c>
      <c r="Y731" s="14">
        <f t="shared" si="177"/>
        <v>3</v>
      </c>
      <c r="Z731" s="14">
        <f t="shared" si="178"/>
        <v>0</v>
      </c>
      <c r="AA731" s="14" t="str">
        <f t="shared" si="179"/>
        <v>AtkExt</v>
      </c>
      <c r="AB731" s="14">
        <f t="shared" si="173"/>
        <v>1035</v>
      </c>
      <c r="AC731" s="14" t="str">
        <f t="shared" si="180"/>
        <v>HPExt</v>
      </c>
      <c r="AD731" s="14">
        <f t="shared" si="181"/>
        <v>6214</v>
      </c>
      <c r="AE731" s="14" t="str">
        <f t="shared" si="182"/>
        <v>[x]</v>
      </c>
      <c r="AF731" s="27" t="str">
        <f t="shared" si="183"/>
        <v>[x]</v>
      </c>
      <c r="AG731" s="27" t="str">
        <f t="shared" si="184"/>
        <v>[x]</v>
      </c>
    </row>
    <row r="732" spans="16:33" ht="16.5" x14ac:dyDescent="0.2">
      <c r="P732" s="13">
        <v>676</v>
      </c>
      <c r="Q732" s="14">
        <f t="shared" si="169"/>
        <v>35</v>
      </c>
      <c r="R732" s="14">
        <f t="shared" si="170"/>
        <v>1606043</v>
      </c>
      <c r="S732" s="14" t="str">
        <f t="shared" si="174"/>
        <v>神器7碎片1等级10</v>
      </c>
      <c r="T732" s="29" t="s">
        <v>520</v>
      </c>
      <c r="U732" s="14">
        <f t="shared" si="171"/>
        <v>10</v>
      </c>
      <c r="V732" s="36">
        <f t="shared" si="175"/>
        <v>0.85000000000000009</v>
      </c>
      <c r="W732" s="17">
        <f t="shared" si="172"/>
        <v>1.7000000000000001E-2</v>
      </c>
      <c r="X732" s="14">
        <f t="shared" si="176"/>
        <v>1</v>
      </c>
      <c r="Y732" s="14">
        <f t="shared" si="177"/>
        <v>3</v>
      </c>
      <c r="Z732" s="14">
        <f t="shared" si="178"/>
        <v>0</v>
      </c>
      <c r="AA732" s="14" t="str">
        <f t="shared" si="179"/>
        <v>AtkExt</v>
      </c>
      <c r="AB732" s="14">
        <f t="shared" si="173"/>
        <v>1154</v>
      </c>
      <c r="AC732" s="14" t="str">
        <f t="shared" si="180"/>
        <v>HPExt</v>
      </c>
      <c r="AD732" s="14">
        <f t="shared" si="181"/>
        <v>6931</v>
      </c>
      <c r="AE732" s="14" t="str">
        <f t="shared" si="182"/>
        <v>[x]</v>
      </c>
      <c r="AF732" s="27" t="str">
        <f t="shared" si="183"/>
        <v>[x]</v>
      </c>
      <c r="AG732" s="27" t="str">
        <f t="shared" si="184"/>
        <v>[x]</v>
      </c>
    </row>
    <row r="733" spans="16:33" ht="16.5" x14ac:dyDescent="0.2">
      <c r="P733" s="13">
        <v>677</v>
      </c>
      <c r="Q733" s="14">
        <f t="shared" si="169"/>
        <v>35</v>
      </c>
      <c r="R733" s="14">
        <f t="shared" si="170"/>
        <v>1606043</v>
      </c>
      <c r="S733" s="14" t="str">
        <f t="shared" si="174"/>
        <v>神器7碎片1等级11</v>
      </c>
      <c r="T733" s="29" t="s">
        <v>520</v>
      </c>
      <c r="U733" s="14">
        <f t="shared" si="171"/>
        <v>11</v>
      </c>
      <c r="V733" s="36">
        <f t="shared" si="175"/>
        <v>0.94200000000000006</v>
      </c>
      <c r="W733" s="17">
        <f t="shared" si="172"/>
        <v>1.8840000000000003E-2</v>
      </c>
      <c r="X733" s="14">
        <f t="shared" si="176"/>
        <v>1</v>
      </c>
      <c r="Y733" s="14">
        <f t="shared" si="177"/>
        <v>3</v>
      </c>
      <c r="Z733" s="14">
        <f t="shared" si="178"/>
        <v>0</v>
      </c>
      <c r="AA733" s="14" t="str">
        <f t="shared" si="179"/>
        <v>AtkExt</v>
      </c>
      <c r="AB733" s="14">
        <f t="shared" si="173"/>
        <v>1279</v>
      </c>
      <c r="AC733" s="14" t="str">
        <f t="shared" si="180"/>
        <v>HPExt</v>
      </c>
      <c r="AD733" s="14">
        <f t="shared" si="181"/>
        <v>7681</v>
      </c>
      <c r="AE733" s="14" t="str">
        <f t="shared" si="182"/>
        <v>[x]</v>
      </c>
      <c r="AF733" s="27" t="str">
        <f t="shared" si="183"/>
        <v>[x]</v>
      </c>
      <c r="AG733" s="27" t="str">
        <f t="shared" si="184"/>
        <v>[x]</v>
      </c>
    </row>
    <row r="734" spans="16:33" ht="16.5" x14ac:dyDescent="0.2">
      <c r="P734" s="13">
        <v>678</v>
      </c>
      <c r="Q734" s="14">
        <f t="shared" si="169"/>
        <v>35</v>
      </c>
      <c r="R734" s="14">
        <f t="shared" si="170"/>
        <v>1606043</v>
      </c>
      <c r="S734" s="14" t="str">
        <f t="shared" si="174"/>
        <v>神器7碎片1等级12</v>
      </c>
      <c r="T734" s="29" t="s">
        <v>520</v>
      </c>
      <c r="U734" s="14">
        <f t="shared" si="171"/>
        <v>12</v>
      </c>
      <c r="V734" s="36">
        <f t="shared" si="175"/>
        <v>1.0380000000000003</v>
      </c>
      <c r="W734" s="17">
        <f t="shared" si="172"/>
        <v>2.0760000000000004E-2</v>
      </c>
      <c r="X734" s="14">
        <f t="shared" si="176"/>
        <v>1</v>
      </c>
      <c r="Y734" s="14">
        <f t="shared" si="177"/>
        <v>3</v>
      </c>
      <c r="Z734" s="14">
        <f t="shared" si="178"/>
        <v>0</v>
      </c>
      <c r="AA734" s="14" t="str">
        <f t="shared" si="179"/>
        <v>AtkExt</v>
      </c>
      <c r="AB734" s="14">
        <f t="shared" si="173"/>
        <v>1410</v>
      </c>
      <c r="AC734" s="14" t="str">
        <f t="shared" si="180"/>
        <v>HPExt</v>
      </c>
      <c r="AD734" s="14">
        <f t="shared" si="181"/>
        <v>8464</v>
      </c>
      <c r="AE734" s="14" t="str">
        <f t="shared" si="182"/>
        <v>[x]</v>
      </c>
      <c r="AF734" s="27" t="str">
        <f t="shared" si="183"/>
        <v>[x]</v>
      </c>
      <c r="AG734" s="27" t="str">
        <f t="shared" si="184"/>
        <v>[x]</v>
      </c>
    </row>
    <row r="735" spans="16:33" ht="16.5" x14ac:dyDescent="0.2">
      <c r="P735" s="13">
        <v>679</v>
      </c>
      <c r="Q735" s="14">
        <f t="shared" si="169"/>
        <v>35</v>
      </c>
      <c r="R735" s="14">
        <f t="shared" si="170"/>
        <v>1606043</v>
      </c>
      <c r="S735" s="14" t="str">
        <f t="shared" si="174"/>
        <v>神器7碎片1等级13</v>
      </c>
      <c r="T735" s="29" t="s">
        <v>520</v>
      </c>
      <c r="U735" s="14">
        <f t="shared" si="171"/>
        <v>13</v>
      </c>
      <c r="V735" s="36">
        <f t="shared" si="175"/>
        <v>1.1380000000000001</v>
      </c>
      <c r="W735" s="17">
        <f t="shared" si="172"/>
        <v>2.2760000000000002E-2</v>
      </c>
      <c r="X735" s="14">
        <f t="shared" si="176"/>
        <v>1</v>
      </c>
      <c r="Y735" s="14">
        <f t="shared" si="177"/>
        <v>3</v>
      </c>
      <c r="Z735" s="14">
        <f t="shared" si="178"/>
        <v>0</v>
      </c>
      <c r="AA735" s="14" t="str">
        <f t="shared" si="179"/>
        <v>AtkExt</v>
      </c>
      <c r="AB735" s="14">
        <f t="shared" si="173"/>
        <v>1546</v>
      </c>
      <c r="AC735" s="14" t="str">
        <f t="shared" si="180"/>
        <v>HPExt</v>
      </c>
      <c r="AD735" s="14">
        <f t="shared" si="181"/>
        <v>9280</v>
      </c>
      <c r="AE735" s="14" t="str">
        <f t="shared" si="182"/>
        <v>[x]</v>
      </c>
      <c r="AF735" s="27" t="str">
        <f t="shared" si="183"/>
        <v>[x]</v>
      </c>
      <c r="AG735" s="27" t="str">
        <f t="shared" si="184"/>
        <v>[x]</v>
      </c>
    </row>
    <row r="736" spans="16:33" ht="16.5" x14ac:dyDescent="0.2">
      <c r="P736" s="13">
        <v>680</v>
      </c>
      <c r="Q736" s="14">
        <f t="shared" si="169"/>
        <v>35</v>
      </c>
      <c r="R736" s="14">
        <f t="shared" si="170"/>
        <v>1606043</v>
      </c>
      <c r="S736" s="14" t="str">
        <f t="shared" si="174"/>
        <v>神器7碎片1等级14</v>
      </c>
      <c r="T736" s="29" t="s">
        <v>520</v>
      </c>
      <c r="U736" s="14">
        <f t="shared" si="171"/>
        <v>14</v>
      </c>
      <c r="V736" s="36">
        <f t="shared" si="175"/>
        <v>1.242</v>
      </c>
      <c r="W736" s="17">
        <f t="shared" si="172"/>
        <v>2.4840000000000001E-2</v>
      </c>
      <c r="X736" s="14">
        <f t="shared" si="176"/>
        <v>1</v>
      </c>
      <c r="Y736" s="14">
        <f t="shared" si="177"/>
        <v>3</v>
      </c>
      <c r="Z736" s="14">
        <f t="shared" si="178"/>
        <v>0</v>
      </c>
      <c r="AA736" s="14" t="str">
        <f t="shared" si="179"/>
        <v>AtkExt</v>
      </c>
      <c r="AB736" s="14">
        <f t="shared" si="173"/>
        <v>1687</v>
      </c>
      <c r="AC736" s="14" t="str">
        <f t="shared" si="180"/>
        <v>HPExt</v>
      </c>
      <c r="AD736" s="14">
        <f t="shared" si="181"/>
        <v>10128</v>
      </c>
      <c r="AE736" s="14" t="str">
        <f t="shared" si="182"/>
        <v>[x]</v>
      </c>
      <c r="AF736" s="27" t="str">
        <f t="shared" si="183"/>
        <v>[x]</v>
      </c>
      <c r="AG736" s="27" t="str">
        <f t="shared" si="184"/>
        <v>[x]</v>
      </c>
    </row>
    <row r="737" spans="16:33" ht="16.5" x14ac:dyDescent="0.2">
      <c r="P737" s="13">
        <v>681</v>
      </c>
      <c r="Q737" s="14">
        <f t="shared" si="169"/>
        <v>35</v>
      </c>
      <c r="R737" s="14">
        <f t="shared" si="170"/>
        <v>1606043</v>
      </c>
      <c r="S737" s="14" t="str">
        <f t="shared" si="174"/>
        <v>神器7碎片1等级15</v>
      </c>
      <c r="T737" s="29" t="s">
        <v>520</v>
      </c>
      <c r="U737" s="14">
        <f t="shared" si="171"/>
        <v>15</v>
      </c>
      <c r="V737" s="36">
        <f t="shared" si="175"/>
        <v>1.35</v>
      </c>
      <c r="W737" s="17">
        <f t="shared" si="172"/>
        <v>2.7000000000000003E-2</v>
      </c>
      <c r="X737" s="14">
        <f t="shared" si="176"/>
        <v>1</v>
      </c>
      <c r="Y737" s="14">
        <f t="shared" si="177"/>
        <v>3</v>
      </c>
      <c r="Z737" s="14">
        <f t="shared" si="178"/>
        <v>0</v>
      </c>
      <c r="AA737" s="14" t="str">
        <f t="shared" si="179"/>
        <v>AtkExt</v>
      </c>
      <c r="AB737" s="14">
        <f t="shared" si="173"/>
        <v>1834</v>
      </c>
      <c r="AC737" s="14" t="str">
        <f t="shared" si="180"/>
        <v>HPExt</v>
      </c>
      <c r="AD737" s="14">
        <f t="shared" si="181"/>
        <v>11009</v>
      </c>
      <c r="AE737" s="14" t="str">
        <f t="shared" si="182"/>
        <v>[x]</v>
      </c>
      <c r="AF737" s="27" t="str">
        <f t="shared" si="183"/>
        <v>[x]</v>
      </c>
      <c r="AG737" s="27" t="str">
        <f t="shared" si="184"/>
        <v>[x]</v>
      </c>
    </row>
    <row r="738" spans="16:33" ht="16.5" x14ac:dyDescent="0.2">
      <c r="P738" s="13">
        <v>682</v>
      </c>
      <c r="Q738" s="14">
        <f t="shared" si="169"/>
        <v>35</v>
      </c>
      <c r="R738" s="14">
        <f t="shared" si="170"/>
        <v>1606043</v>
      </c>
      <c r="S738" s="14" t="str">
        <f t="shared" si="174"/>
        <v>神器7碎片1等级16</v>
      </c>
      <c r="T738" s="29" t="s">
        <v>520</v>
      </c>
      <c r="U738" s="14">
        <f t="shared" si="171"/>
        <v>16</v>
      </c>
      <c r="V738" s="36">
        <f t="shared" si="175"/>
        <v>1.4620000000000002</v>
      </c>
      <c r="W738" s="17">
        <f t="shared" si="172"/>
        <v>2.9240000000000006E-2</v>
      </c>
      <c r="X738" s="14">
        <f t="shared" si="176"/>
        <v>1</v>
      </c>
      <c r="Y738" s="14">
        <f t="shared" si="177"/>
        <v>3</v>
      </c>
      <c r="Z738" s="14">
        <f t="shared" si="178"/>
        <v>0</v>
      </c>
      <c r="AA738" s="14" t="str">
        <f t="shared" si="179"/>
        <v>AtkExt</v>
      </c>
      <c r="AB738" s="14">
        <f t="shared" si="173"/>
        <v>1986</v>
      </c>
      <c r="AC738" s="14" t="str">
        <f t="shared" si="180"/>
        <v>HPExt</v>
      </c>
      <c r="AD738" s="14">
        <f t="shared" si="181"/>
        <v>11922</v>
      </c>
      <c r="AE738" s="14" t="str">
        <f t="shared" si="182"/>
        <v>[x]</v>
      </c>
      <c r="AF738" s="27" t="str">
        <f t="shared" si="183"/>
        <v>[x]</v>
      </c>
      <c r="AG738" s="27" t="str">
        <f t="shared" si="184"/>
        <v>[x]</v>
      </c>
    </row>
    <row r="739" spans="16:33" ht="16.5" x14ac:dyDescent="0.2">
      <c r="P739" s="13">
        <v>683</v>
      </c>
      <c r="Q739" s="14">
        <f t="shared" si="169"/>
        <v>35</v>
      </c>
      <c r="R739" s="14">
        <f t="shared" si="170"/>
        <v>1606043</v>
      </c>
      <c r="S739" s="14" t="str">
        <f t="shared" si="174"/>
        <v>神器7碎片1等级17</v>
      </c>
      <c r="T739" s="29" t="s">
        <v>520</v>
      </c>
      <c r="U739" s="14">
        <f t="shared" si="171"/>
        <v>17</v>
      </c>
      <c r="V739" s="36">
        <f t="shared" si="175"/>
        <v>1.5779999999999998</v>
      </c>
      <c r="W739" s="17">
        <f t="shared" si="172"/>
        <v>3.1559999999999998E-2</v>
      </c>
      <c r="X739" s="14">
        <f t="shared" si="176"/>
        <v>1</v>
      </c>
      <c r="Y739" s="14">
        <f t="shared" si="177"/>
        <v>3</v>
      </c>
      <c r="Z739" s="14">
        <f t="shared" si="178"/>
        <v>0</v>
      </c>
      <c r="AA739" s="14" t="str">
        <f t="shared" si="179"/>
        <v>AtkExt</v>
      </c>
      <c r="AB739" s="14">
        <f t="shared" si="173"/>
        <v>2143</v>
      </c>
      <c r="AC739" s="14" t="str">
        <f t="shared" si="180"/>
        <v>HPExt</v>
      </c>
      <c r="AD739" s="14">
        <f t="shared" si="181"/>
        <v>12868</v>
      </c>
      <c r="AE739" s="14" t="str">
        <f t="shared" si="182"/>
        <v>[x]</v>
      </c>
      <c r="AF739" s="27" t="str">
        <f t="shared" si="183"/>
        <v>[x]</v>
      </c>
      <c r="AG739" s="27" t="str">
        <f t="shared" si="184"/>
        <v>[x]</v>
      </c>
    </row>
    <row r="740" spans="16:33" ht="16.5" x14ac:dyDescent="0.2">
      <c r="P740" s="13">
        <v>684</v>
      </c>
      <c r="Q740" s="14">
        <f t="shared" si="169"/>
        <v>35</v>
      </c>
      <c r="R740" s="14">
        <f t="shared" si="170"/>
        <v>1606043</v>
      </c>
      <c r="S740" s="14" t="str">
        <f t="shared" si="174"/>
        <v>神器7碎片1等级18</v>
      </c>
      <c r="T740" s="29" t="s">
        <v>520</v>
      </c>
      <c r="U740" s="14">
        <f t="shared" si="171"/>
        <v>18</v>
      </c>
      <c r="V740" s="36">
        <f t="shared" si="175"/>
        <v>1.698</v>
      </c>
      <c r="W740" s="17">
        <f t="shared" si="172"/>
        <v>3.3959999999999997E-2</v>
      </c>
      <c r="X740" s="14">
        <f t="shared" si="176"/>
        <v>1</v>
      </c>
      <c r="Y740" s="14">
        <f t="shared" si="177"/>
        <v>3</v>
      </c>
      <c r="Z740" s="14">
        <f t="shared" si="178"/>
        <v>0</v>
      </c>
      <c r="AA740" s="14" t="str">
        <f t="shared" si="179"/>
        <v>AtkExt</v>
      </c>
      <c r="AB740" s="14">
        <f t="shared" si="173"/>
        <v>2306</v>
      </c>
      <c r="AC740" s="14" t="str">
        <f t="shared" si="180"/>
        <v>HPExt</v>
      </c>
      <c r="AD740" s="14">
        <f t="shared" si="181"/>
        <v>13846</v>
      </c>
      <c r="AE740" s="14" t="str">
        <f t="shared" si="182"/>
        <v>[x]</v>
      </c>
      <c r="AF740" s="27" t="str">
        <f t="shared" si="183"/>
        <v>[x]</v>
      </c>
      <c r="AG740" s="27" t="str">
        <f t="shared" si="184"/>
        <v>[x]</v>
      </c>
    </row>
    <row r="741" spans="16:33" ht="16.5" x14ac:dyDescent="0.2">
      <c r="P741" s="13">
        <v>685</v>
      </c>
      <c r="Q741" s="14">
        <f t="shared" si="169"/>
        <v>35</v>
      </c>
      <c r="R741" s="14">
        <f t="shared" si="170"/>
        <v>1606043</v>
      </c>
      <c r="S741" s="14" t="str">
        <f t="shared" si="174"/>
        <v>神器7碎片1等级19</v>
      </c>
      <c r="T741" s="29" t="s">
        <v>520</v>
      </c>
      <c r="U741" s="14">
        <f t="shared" si="171"/>
        <v>19</v>
      </c>
      <c r="V741" s="36">
        <f t="shared" si="175"/>
        <v>1.8220000000000001</v>
      </c>
      <c r="W741" s="17">
        <f t="shared" si="172"/>
        <v>3.644E-2</v>
      </c>
      <c r="X741" s="14">
        <f t="shared" si="176"/>
        <v>1</v>
      </c>
      <c r="Y741" s="14">
        <f t="shared" si="177"/>
        <v>3</v>
      </c>
      <c r="Z741" s="14">
        <f t="shared" si="178"/>
        <v>0</v>
      </c>
      <c r="AA741" s="14" t="str">
        <f t="shared" si="179"/>
        <v>AtkExt</v>
      </c>
      <c r="AB741" s="14">
        <f t="shared" si="173"/>
        <v>2475</v>
      </c>
      <c r="AC741" s="14" t="str">
        <f t="shared" si="180"/>
        <v>HPExt</v>
      </c>
      <c r="AD741" s="14">
        <f t="shared" si="181"/>
        <v>14858</v>
      </c>
      <c r="AE741" s="14" t="str">
        <f t="shared" si="182"/>
        <v>[x]</v>
      </c>
      <c r="AF741" s="27" t="str">
        <f t="shared" si="183"/>
        <v>[x]</v>
      </c>
      <c r="AG741" s="27" t="str">
        <f t="shared" si="184"/>
        <v>[x]</v>
      </c>
    </row>
    <row r="742" spans="16:33" ht="16.5" x14ac:dyDescent="0.2">
      <c r="P742" s="13">
        <v>686</v>
      </c>
      <c r="Q742" s="14">
        <f t="shared" si="169"/>
        <v>35</v>
      </c>
      <c r="R742" s="14">
        <f t="shared" si="170"/>
        <v>1606043</v>
      </c>
      <c r="S742" s="14" t="str">
        <f t="shared" si="174"/>
        <v>神器7碎片1等级20</v>
      </c>
      <c r="T742" s="29" t="s">
        <v>520</v>
      </c>
      <c r="U742" s="14">
        <f t="shared" si="171"/>
        <v>20</v>
      </c>
      <c r="V742" s="36">
        <f t="shared" si="175"/>
        <v>1.95</v>
      </c>
      <c r="W742" s="17">
        <f t="shared" si="172"/>
        <v>3.9E-2</v>
      </c>
      <c r="X742" s="14">
        <f t="shared" si="176"/>
        <v>1</v>
      </c>
      <c r="Y742" s="14">
        <f t="shared" si="177"/>
        <v>3</v>
      </c>
      <c r="Z742" s="14">
        <f t="shared" si="178"/>
        <v>0</v>
      </c>
      <c r="AA742" s="14" t="str">
        <f t="shared" si="179"/>
        <v>AtkExt</v>
      </c>
      <c r="AB742" s="14">
        <f t="shared" si="173"/>
        <v>2649</v>
      </c>
      <c r="AC742" s="14" t="str">
        <f t="shared" si="180"/>
        <v>HPExt</v>
      </c>
      <c r="AD742" s="14">
        <f t="shared" si="181"/>
        <v>15902</v>
      </c>
      <c r="AE742" s="14" t="str">
        <f t="shared" si="182"/>
        <v>[x]</v>
      </c>
      <c r="AF742" s="27" t="str">
        <f t="shared" si="183"/>
        <v>[x]</v>
      </c>
      <c r="AG742" s="27" t="str">
        <f t="shared" si="184"/>
        <v>[x]</v>
      </c>
    </row>
    <row r="743" spans="16:33" ht="16.5" x14ac:dyDescent="0.2">
      <c r="P743" s="13">
        <v>687</v>
      </c>
      <c r="Q743" s="14">
        <f t="shared" si="169"/>
        <v>35</v>
      </c>
      <c r="R743" s="14">
        <f t="shared" si="170"/>
        <v>1606043</v>
      </c>
      <c r="S743" s="14" t="str">
        <f t="shared" si="174"/>
        <v>神器7碎片1等级21</v>
      </c>
      <c r="T743" s="29" t="s">
        <v>520</v>
      </c>
      <c r="U743" s="14">
        <f t="shared" si="171"/>
        <v>21</v>
      </c>
      <c r="V743" s="36">
        <f t="shared" si="175"/>
        <v>2.0819999999999999</v>
      </c>
      <c r="W743" s="17">
        <f t="shared" si="172"/>
        <v>4.1639999999999996E-2</v>
      </c>
      <c r="X743" s="14">
        <f t="shared" si="176"/>
        <v>1</v>
      </c>
      <c r="Y743" s="14">
        <f t="shared" si="177"/>
        <v>3</v>
      </c>
      <c r="Z743" s="14">
        <f t="shared" si="178"/>
        <v>0</v>
      </c>
      <c r="AA743" s="14" t="str">
        <f t="shared" si="179"/>
        <v>AtkExt</v>
      </c>
      <c r="AB743" s="14">
        <f t="shared" si="173"/>
        <v>2828</v>
      </c>
      <c r="AC743" s="14" t="str">
        <f t="shared" si="180"/>
        <v>HPExt</v>
      </c>
      <c r="AD743" s="14">
        <f t="shared" si="181"/>
        <v>16978</v>
      </c>
      <c r="AE743" s="14" t="str">
        <f t="shared" si="182"/>
        <v>[x]</v>
      </c>
      <c r="AF743" s="27" t="str">
        <f t="shared" si="183"/>
        <v>[x]</v>
      </c>
      <c r="AG743" s="27" t="str">
        <f t="shared" si="184"/>
        <v>[x]</v>
      </c>
    </row>
    <row r="744" spans="16:33" ht="16.5" x14ac:dyDescent="0.2">
      <c r="P744" s="13">
        <v>688</v>
      </c>
      <c r="Q744" s="14">
        <f t="shared" si="169"/>
        <v>36</v>
      </c>
      <c r="R744" s="14">
        <f t="shared" si="170"/>
        <v>1606044</v>
      </c>
      <c r="S744" s="14" t="str">
        <f t="shared" si="174"/>
        <v>神器7碎片2等级1</v>
      </c>
      <c r="T744" s="29" t="s">
        <v>520</v>
      </c>
      <c r="U744" s="14">
        <f t="shared" si="171"/>
        <v>1</v>
      </c>
      <c r="V744" s="36">
        <f t="shared" si="175"/>
        <v>0.20200000000000001</v>
      </c>
      <c r="W744" s="17">
        <f t="shared" si="172"/>
        <v>4.0400000000000002E-3</v>
      </c>
      <c r="X744" s="14">
        <f t="shared" si="176"/>
        <v>1</v>
      </c>
      <c r="Y744" s="14">
        <f t="shared" si="177"/>
        <v>2</v>
      </c>
      <c r="Z744" s="14">
        <f t="shared" si="178"/>
        <v>0</v>
      </c>
      <c r="AA744" s="14" t="str">
        <f t="shared" si="179"/>
        <v>AtkExt</v>
      </c>
      <c r="AB744" s="14">
        <f t="shared" si="173"/>
        <v>548</v>
      </c>
      <c r="AC744" s="14" t="str">
        <f t="shared" si="180"/>
        <v>DefExt</v>
      </c>
      <c r="AD744" s="14">
        <f t="shared" si="181"/>
        <v>137</v>
      </c>
      <c r="AE744" s="14" t="str">
        <f t="shared" si="182"/>
        <v>[x]</v>
      </c>
      <c r="AF744" s="27" t="str">
        <f t="shared" si="183"/>
        <v>[x]</v>
      </c>
      <c r="AG744" s="27" t="str">
        <f t="shared" si="184"/>
        <v>[x]</v>
      </c>
    </row>
    <row r="745" spans="16:33" ht="16.5" x14ac:dyDescent="0.2">
      <c r="P745" s="13">
        <v>689</v>
      </c>
      <c r="Q745" s="14">
        <f t="shared" si="169"/>
        <v>36</v>
      </c>
      <c r="R745" s="14">
        <f t="shared" si="170"/>
        <v>1606044</v>
      </c>
      <c r="S745" s="14" t="str">
        <f t="shared" si="174"/>
        <v>神器7碎片2等级2</v>
      </c>
      <c r="T745" s="29" t="s">
        <v>520</v>
      </c>
      <c r="U745" s="14">
        <f t="shared" si="171"/>
        <v>2</v>
      </c>
      <c r="V745" s="36">
        <f t="shared" si="175"/>
        <v>0.25800000000000001</v>
      </c>
      <c r="W745" s="17">
        <f t="shared" si="172"/>
        <v>5.1600000000000005E-3</v>
      </c>
      <c r="X745" s="14">
        <f t="shared" si="176"/>
        <v>1</v>
      </c>
      <c r="Y745" s="14">
        <f t="shared" si="177"/>
        <v>2</v>
      </c>
      <c r="Z745" s="14">
        <f t="shared" si="178"/>
        <v>0</v>
      </c>
      <c r="AA745" s="14" t="str">
        <f t="shared" si="179"/>
        <v>AtkExt</v>
      </c>
      <c r="AB745" s="14">
        <f t="shared" si="173"/>
        <v>701</v>
      </c>
      <c r="AC745" s="14" t="str">
        <f t="shared" si="180"/>
        <v>DefExt</v>
      </c>
      <c r="AD745" s="14">
        <f t="shared" si="181"/>
        <v>175</v>
      </c>
      <c r="AE745" s="14" t="str">
        <f t="shared" si="182"/>
        <v>[x]</v>
      </c>
      <c r="AF745" s="27" t="str">
        <f t="shared" si="183"/>
        <v>[x]</v>
      </c>
      <c r="AG745" s="27" t="str">
        <f t="shared" si="184"/>
        <v>[x]</v>
      </c>
    </row>
    <row r="746" spans="16:33" ht="16.5" x14ac:dyDescent="0.2">
      <c r="P746" s="13">
        <v>690</v>
      </c>
      <c r="Q746" s="14">
        <f t="shared" si="169"/>
        <v>36</v>
      </c>
      <c r="R746" s="14">
        <f t="shared" si="170"/>
        <v>1606044</v>
      </c>
      <c r="S746" s="14" t="str">
        <f t="shared" si="174"/>
        <v>神器7碎片2等级3</v>
      </c>
      <c r="T746" s="29" t="s">
        <v>520</v>
      </c>
      <c r="U746" s="14">
        <f t="shared" si="171"/>
        <v>3</v>
      </c>
      <c r="V746" s="36">
        <f t="shared" si="175"/>
        <v>0.31800000000000006</v>
      </c>
      <c r="W746" s="17">
        <f t="shared" si="172"/>
        <v>6.3600000000000011E-3</v>
      </c>
      <c r="X746" s="14">
        <f t="shared" si="176"/>
        <v>1</v>
      </c>
      <c r="Y746" s="14">
        <f t="shared" si="177"/>
        <v>2</v>
      </c>
      <c r="Z746" s="14">
        <f t="shared" si="178"/>
        <v>0</v>
      </c>
      <c r="AA746" s="14" t="str">
        <f t="shared" si="179"/>
        <v>AtkExt</v>
      </c>
      <c r="AB746" s="14">
        <f t="shared" si="173"/>
        <v>864</v>
      </c>
      <c r="AC746" s="14" t="str">
        <f t="shared" si="180"/>
        <v>DefExt</v>
      </c>
      <c r="AD746" s="14">
        <f t="shared" si="181"/>
        <v>215</v>
      </c>
      <c r="AE746" s="14" t="str">
        <f t="shared" si="182"/>
        <v>[x]</v>
      </c>
      <c r="AF746" s="27" t="str">
        <f t="shared" si="183"/>
        <v>[x]</v>
      </c>
      <c r="AG746" s="27" t="str">
        <f t="shared" si="184"/>
        <v>[x]</v>
      </c>
    </row>
    <row r="747" spans="16:33" ht="16.5" x14ac:dyDescent="0.2">
      <c r="P747" s="13">
        <v>691</v>
      </c>
      <c r="Q747" s="14">
        <f t="shared" si="169"/>
        <v>36</v>
      </c>
      <c r="R747" s="14">
        <f t="shared" si="170"/>
        <v>1606044</v>
      </c>
      <c r="S747" s="14" t="str">
        <f t="shared" si="174"/>
        <v>神器7碎片2等级4</v>
      </c>
      <c r="T747" s="29" t="s">
        <v>520</v>
      </c>
      <c r="U747" s="14">
        <f t="shared" si="171"/>
        <v>4</v>
      </c>
      <c r="V747" s="36">
        <f t="shared" si="175"/>
        <v>0.38200000000000001</v>
      </c>
      <c r="W747" s="17">
        <f t="shared" si="172"/>
        <v>7.6400000000000001E-3</v>
      </c>
      <c r="X747" s="14">
        <f t="shared" si="176"/>
        <v>1</v>
      </c>
      <c r="Y747" s="14">
        <f t="shared" si="177"/>
        <v>2</v>
      </c>
      <c r="Z747" s="14">
        <f t="shared" si="178"/>
        <v>0</v>
      </c>
      <c r="AA747" s="14" t="str">
        <f t="shared" si="179"/>
        <v>AtkExt</v>
      </c>
      <c r="AB747" s="14">
        <f t="shared" si="173"/>
        <v>1037</v>
      </c>
      <c r="AC747" s="14" t="str">
        <f t="shared" si="180"/>
        <v>DefExt</v>
      </c>
      <c r="AD747" s="14">
        <f t="shared" si="181"/>
        <v>259</v>
      </c>
      <c r="AE747" s="14" t="str">
        <f t="shared" si="182"/>
        <v>[x]</v>
      </c>
      <c r="AF747" s="27" t="str">
        <f t="shared" si="183"/>
        <v>[x]</v>
      </c>
      <c r="AG747" s="27" t="str">
        <f t="shared" si="184"/>
        <v>[x]</v>
      </c>
    </row>
    <row r="748" spans="16:33" ht="16.5" x14ac:dyDescent="0.2">
      <c r="P748" s="13">
        <v>692</v>
      </c>
      <c r="Q748" s="14">
        <f t="shared" si="169"/>
        <v>36</v>
      </c>
      <c r="R748" s="14">
        <f t="shared" si="170"/>
        <v>1606044</v>
      </c>
      <c r="S748" s="14" t="str">
        <f t="shared" si="174"/>
        <v>神器7碎片2等级5</v>
      </c>
      <c r="T748" s="29" t="s">
        <v>520</v>
      </c>
      <c r="U748" s="14">
        <f t="shared" si="171"/>
        <v>5</v>
      </c>
      <c r="V748" s="36">
        <f t="shared" si="175"/>
        <v>0.45</v>
      </c>
      <c r="W748" s="17">
        <f t="shared" si="172"/>
        <v>9.0000000000000011E-3</v>
      </c>
      <c r="X748" s="14">
        <f t="shared" si="176"/>
        <v>1</v>
      </c>
      <c r="Y748" s="14">
        <f t="shared" si="177"/>
        <v>2</v>
      </c>
      <c r="Z748" s="14">
        <f t="shared" si="178"/>
        <v>0</v>
      </c>
      <c r="AA748" s="14" t="str">
        <f t="shared" si="179"/>
        <v>AtkExt</v>
      </c>
      <c r="AB748" s="14">
        <f t="shared" si="173"/>
        <v>1222</v>
      </c>
      <c r="AC748" s="14" t="str">
        <f t="shared" si="180"/>
        <v>DefExt</v>
      </c>
      <c r="AD748" s="14">
        <f t="shared" si="181"/>
        <v>305</v>
      </c>
      <c r="AE748" s="14" t="str">
        <f t="shared" si="182"/>
        <v>[x]</v>
      </c>
      <c r="AF748" s="27" t="str">
        <f t="shared" si="183"/>
        <v>[x]</v>
      </c>
      <c r="AG748" s="27" t="str">
        <f t="shared" si="184"/>
        <v>[x]</v>
      </c>
    </row>
    <row r="749" spans="16:33" ht="16.5" x14ac:dyDescent="0.2">
      <c r="P749" s="13">
        <v>693</v>
      </c>
      <c r="Q749" s="14">
        <f t="shared" si="169"/>
        <v>36</v>
      </c>
      <c r="R749" s="14">
        <f t="shared" si="170"/>
        <v>1606044</v>
      </c>
      <c r="S749" s="14" t="str">
        <f t="shared" si="174"/>
        <v>神器7碎片2等级6</v>
      </c>
      <c r="T749" s="29" t="s">
        <v>520</v>
      </c>
      <c r="U749" s="14">
        <f t="shared" si="171"/>
        <v>6</v>
      </c>
      <c r="V749" s="36">
        <f t="shared" si="175"/>
        <v>0.52200000000000002</v>
      </c>
      <c r="W749" s="17">
        <f t="shared" si="172"/>
        <v>1.0440000000000001E-2</v>
      </c>
      <c r="X749" s="14">
        <f t="shared" si="176"/>
        <v>1</v>
      </c>
      <c r="Y749" s="14">
        <f t="shared" si="177"/>
        <v>2</v>
      </c>
      <c r="Z749" s="14">
        <f t="shared" si="178"/>
        <v>0</v>
      </c>
      <c r="AA749" s="14" t="str">
        <f t="shared" si="179"/>
        <v>AtkExt</v>
      </c>
      <c r="AB749" s="14">
        <f t="shared" si="173"/>
        <v>1418</v>
      </c>
      <c r="AC749" s="14" t="str">
        <f t="shared" si="180"/>
        <v>DefExt</v>
      </c>
      <c r="AD749" s="14">
        <f t="shared" si="181"/>
        <v>354</v>
      </c>
      <c r="AE749" s="14" t="str">
        <f t="shared" si="182"/>
        <v>[x]</v>
      </c>
      <c r="AF749" s="27" t="str">
        <f t="shared" si="183"/>
        <v>[x]</v>
      </c>
      <c r="AG749" s="27" t="str">
        <f t="shared" si="184"/>
        <v>[x]</v>
      </c>
    </row>
    <row r="750" spans="16:33" ht="16.5" x14ac:dyDescent="0.2">
      <c r="P750" s="13">
        <v>694</v>
      </c>
      <c r="Q750" s="14">
        <f t="shared" si="169"/>
        <v>36</v>
      </c>
      <c r="R750" s="14">
        <f t="shared" si="170"/>
        <v>1606044</v>
      </c>
      <c r="S750" s="14" t="str">
        <f t="shared" si="174"/>
        <v>神器7碎片2等级7</v>
      </c>
      <c r="T750" s="29" t="s">
        <v>520</v>
      </c>
      <c r="U750" s="14">
        <f t="shared" si="171"/>
        <v>7</v>
      </c>
      <c r="V750" s="36">
        <f t="shared" si="175"/>
        <v>0.59799999999999998</v>
      </c>
      <c r="W750" s="17">
        <f t="shared" si="172"/>
        <v>1.196E-2</v>
      </c>
      <c r="X750" s="14">
        <f t="shared" si="176"/>
        <v>1</v>
      </c>
      <c r="Y750" s="14">
        <f t="shared" si="177"/>
        <v>2</v>
      </c>
      <c r="Z750" s="14">
        <f t="shared" si="178"/>
        <v>0</v>
      </c>
      <c r="AA750" s="14" t="str">
        <f t="shared" si="179"/>
        <v>AtkExt</v>
      </c>
      <c r="AB750" s="14">
        <f t="shared" si="173"/>
        <v>1624</v>
      </c>
      <c r="AC750" s="14" t="str">
        <f t="shared" si="180"/>
        <v>DefExt</v>
      </c>
      <c r="AD750" s="14">
        <f t="shared" si="181"/>
        <v>406</v>
      </c>
      <c r="AE750" s="14" t="str">
        <f t="shared" si="182"/>
        <v>[x]</v>
      </c>
      <c r="AF750" s="27" t="str">
        <f t="shared" si="183"/>
        <v>[x]</v>
      </c>
      <c r="AG750" s="27" t="str">
        <f t="shared" si="184"/>
        <v>[x]</v>
      </c>
    </row>
    <row r="751" spans="16:33" ht="16.5" x14ac:dyDescent="0.2">
      <c r="P751" s="13">
        <v>695</v>
      </c>
      <c r="Q751" s="14">
        <f t="shared" si="169"/>
        <v>36</v>
      </c>
      <c r="R751" s="14">
        <f t="shared" si="170"/>
        <v>1606044</v>
      </c>
      <c r="S751" s="14" t="str">
        <f t="shared" si="174"/>
        <v>神器7碎片2等级8</v>
      </c>
      <c r="T751" s="29" t="s">
        <v>520</v>
      </c>
      <c r="U751" s="14">
        <f t="shared" si="171"/>
        <v>8</v>
      </c>
      <c r="V751" s="36">
        <f t="shared" si="175"/>
        <v>0.67800000000000005</v>
      </c>
      <c r="W751" s="17">
        <f t="shared" si="172"/>
        <v>1.3560000000000001E-2</v>
      </c>
      <c r="X751" s="14">
        <f t="shared" si="176"/>
        <v>1</v>
      </c>
      <c r="Y751" s="14">
        <f t="shared" si="177"/>
        <v>2</v>
      </c>
      <c r="Z751" s="14">
        <f t="shared" si="178"/>
        <v>0</v>
      </c>
      <c r="AA751" s="14" t="str">
        <f t="shared" si="179"/>
        <v>AtkExt</v>
      </c>
      <c r="AB751" s="14">
        <f t="shared" si="173"/>
        <v>1842</v>
      </c>
      <c r="AC751" s="14" t="str">
        <f t="shared" si="180"/>
        <v>DefExt</v>
      </c>
      <c r="AD751" s="14">
        <f t="shared" si="181"/>
        <v>460</v>
      </c>
      <c r="AE751" s="14" t="str">
        <f t="shared" si="182"/>
        <v>[x]</v>
      </c>
      <c r="AF751" s="27" t="str">
        <f t="shared" si="183"/>
        <v>[x]</v>
      </c>
      <c r="AG751" s="27" t="str">
        <f t="shared" si="184"/>
        <v>[x]</v>
      </c>
    </row>
    <row r="752" spans="16:33" ht="16.5" x14ac:dyDescent="0.2">
      <c r="P752" s="13">
        <v>696</v>
      </c>
      <c r="Q752" s="14">
        <f t="shared" si="169"/>
        <v>36</v>
      </c>
      <c r="R752" s="14">
        <f t="shared" si="170"/>
        <v>1606044</v>
      </c>
      <c r="S752" s="14" t="str">
        <f t="shared" si="174"/>
        <v>神器7碎片2等级9</v>
      </c>
      <c r="T752" s="29" t="s">
        <v>520</v>
      </c>
      <c r="U752" s="14">
        <f t="shared" si="171"/>
        <v>9</v>
      </c>
      <c r="V752" s="36">
        <f t="shared" si="175"/>
        <v>0.76200000000000001</v>
      </c>
      <c r="W752" s="17">
        <f t="shared" si="172"/>
        <v>1.524E-2</v>
      </c>
      <c r="X752" s="14">
        <f t="shared" si="176"/>
        <v>1</v>
      </c>
      <c r="Y752" s="14">
        <f t="shared" si="177"/>
        <v>2</v>
      </c>
      <c r="Z752" s="14">
        <f t="shared" si="178"/>
        <v>0</v>
      </c>
      <c r="AA752" s="14" t="str">
        <f t="shared" si="179"/>
        <v>AtkExt</v>
      </c>
      <c r="AB752" s="14">
        <f t="shared" si="173"/>
        <v>2070</v>
      </c>
      <c r="AC752" s="14" t="str">
        <f t="shared" si="180"/>
        <v>DefExt</v>
      </c>
      <c r="AD752" s="14">
        <f t="shared" si="181"/>
        <v>517</v>
      </c>
      <c r="AE752" s="14" t="str">
        <f t="shared" si="182"/>
        <v>[x]</v>
      </c>
      <c r="AF752" s="27" t="str">
        <f t="shared" si="183"/>
        <v>[x]</v>
      </c>
      <c r="AG752" s="27" t="str">
        <f t="shared" si="184"/>
        <v>[x]</v>
      </c>
    </row>
    <row r="753" spans="16:33" ht="16.5" x14ac:dyDescent="0.2">
      <c r="P753" s="13">
        <v>697</v>
      </c>
      <c r="Q753" s="14">
        <f t="shared" si="169"/>
        <v>36</v>
      </c>
      <c r="R753" s="14">
        <f t="shared" si="170"/>
        <v>1606044</v>
      </c>
      <c r="S753" s="14" t="str">
        <f t="shared" si="174"/>
        <v>神器7碎片2等级10</v>
      </c>
      <c r="T753" s="29" t="s">
        <v>520</v>
      </c>
      <c r="U753" s="14">
        <f t="shared" si="171"/>
        <v>10</v>
      </c>
      <c r="V753" s="36">
        <f t="shared" si="175"/>
        <v>0.85000000000000009</v>
      </c>
      <c r="W753" s="17">
        <f t="shared" si="172"/>
        <v>1.7000000000000001E-2</v>
      </c>
      <c r="X753" s="14">
        <f t="shared" si="176"/>
        <v>1</v>
      </c>
      <c r="Y753" s="14">
        <f t="shared" si="177"/>
        <v>2</v>
      </c>
      <c r="Z753" s="14">
        <f t="shared" si="178"/>
        <v>0</v>
      </c>
      <c r="AA753" s="14" t="str">
        <f t="shared" si="179"/>
        <v>AtkExt</v>
      </c>
      <c r="AB753" s="14">
        <f t="shared" si="173"/>
        <v>2309</v>
      </c>
      <c r="AC753" s="14" t="str">
        <f t="shared" si="180"/>
        <v>DefExt</v>
      </c>
      <c r="AD753" s="14">
        <f t="shared" si="181"/>
        <v>577</v>
      </c>
      <c r="AE753" s="14" t="str">
        <f t="shared" si="182"/>
        <v>[x]</v>
      </c>
      <c r="AF753" s="27" t="str">
        <f t="shared" si="183"/>
        <v>[x]</v>
      </c>
      <c r="AG753" s="27" t="str">
        <f t="shared" si="184"/>
        <v>[x]</v>
      </c>
    </row>
    <row r="754" spans="16:33" ht="16.5" x14ac:dyDescent="0.2">
      <c r="P754" s="13">
        <v>698</v>
      </c>
      <c r="Q754" s="14">
        <f t="shared" si="169"/>
        <v>36</v>
      </c>
      <c r="R754" s="14">
        <f t="shared" si="170"/>
        <v>1606044</v>
      </c>
      <c r="S754" s="14" t="str">
        <f t="shared" si="174"/>
        <v>神器7碎片2等级11</v>
      </c>
      <c r="T754" s="29" t="s">
        <v>520</v>
      </c>
      <c r="U754" s="14">
        <f t="shared" si="171"/>
        <v>11</v>
      </c>
      <c r="V754" s="36">
        <f t="shared" si="175"/>
        <v>0.94200000000000006</v>
      </c>
      <c r="W754" s="17">
        <f t="shared" si="172"/>
        <v>1.8840000000000003E-2</v>
      </c>
      <c r="X754" s="14">
        <f t="shared" si="176"/>
        <v>1</v>
      </c>
      <c r="Y754" s="14">
        <f t="shared" si="177"/>
        <v>2</v>
      </c>
      <c r="Z754" s="14">
        <f t="shared" si="178"/>
        <v>0</v>
      </c>
      <c r="AA754" s="14" t="str">
        <f t="shared" si="179"/>
        <v>AtkExt</v>
      </c>
      <c r="AB754" s="14">
        <f t="shared" si="173"/>
        <v>2559</v>
      </c>
      <c r="AC754" s="14" t="str">
        <f t="shared" si="180"/>
        <v>DefExt</v>
      </c>
      <c r="AD754" s="14">
        <f t="shared" si="181"/>
        <v>639</v>
      </c>
      <c r="AE754" s="14" t="str">
        <f t="shared" si="182"/>
        <v>[x]</v>
      </c>
      <c r="AF754" s="27" t="str">
        <f t="shared" si="183"/>
        <v>[x]</v>
      </c>
      <c r="AG754" s="27" t="str">
        <f t="shared" si="184"/>
        <v>[x]</v>
      </c>
    </row>
    <row r="755" spans="16:33" ht="16.5" x14ac:dyDescent="0.2">
      <c r="P755" s="13">
        <v>699</v>
      </c>
      <c r="Q755" s="14">
        <f t="shared" si="169"/>
        <v>36</v>
      </c>
      <c r="R755" s="14">
        <f t="shared" si="170"/>
        <v>1606044</v>
      </c>
      <c r="S755" s="14" t="str">
        <f t="shared" si="174"/>
        <v>神器7碎片2等级12</v>
      </c>
      <c r="T755" s="29" t="s">
        <v>520</v>
      </c>
      <c r="U755" s="14">
        <f t="shared" si="171"/>
        <v>12</v>
      </c>
      <c r="V755" s="36">
        <f t="shared" si="175"/>
        <v>1.0380000000000003</v>
      </c>
      <c r="W755" s="17">
        <f t="shared" si="172"/>
        <v>2.0760000000000004E-2</v>
      </c>
      <c r="X755" s="14">
        <f t="shared" si="176"/>
        <v>1</v>
      </c>
      <c r="Y755" s="14">
        <f t="shared" si="177"/>
        <v>2</v>
      </c>
      <c r="Z755" s="14">
        <f t="shared" si="178"/>
        <v>0</v>
      </c>
      <c r="AA755" s="14" t="str">
        <f t="shared" si="179"/>
        <v>AtkExt</v>
      </c>
      <c r="AB755" s="14">
        <f t="shared" si="173"/>
        <v>2820</v>
      </c>
      <c r="AC755" s="14" t="str">
        <f t="shared" si="180"/>
        <v>DefExt</v>
      </c>
      <c r="AD755" s="14">
        <f t="shared" si="181"/>
        <v>704</v>
      </c>
      <c r="AE755" s="14" t="str">
        <f t="shared" si="182"/>
        <v>[x]</v>
      </c>
      <c r="AF755" s="27" t="str">
        <f t="shared" si="183"/>
        <v>[x]</v>
      </c>
      <c r="AG755" s="27" t="str">
        <f t="shared" si="184"/>
        <v>[x]</v>
      </c>
    </row>
    <row r="756" spans="16:33" ht="16.5" x14ac:dyDescent="0.2">
      <c r="P756" s="13">
        <v>700</v>
      </c>
      <c r="Q756" s="14">
        <f t="shared" si="169"/>
        <v>36</v>
      </c>
      <c r="R756" s="14">
        <f t="shared" si="170"/>
        <v>1606044</v>
      </c>
      <c r="S756" s="14" t="str">
        <f t="shared" si="174"/>
        <v>神器7碎片2等级13</v>
      </c>
      <c r="T756" s="29" t="s">
        <v>520</v>
      </c>
      <c r="U756" s="14">
        <f t="shared" si="171"/>
        <v>13</v>
      </c>
      <c r="V756" s="36">
        <f t="shared" si="175"/>
        <v>1.1380000000000001</v>
      </c>
      <c r="W756" s="17">
        <f t="shared" si="172"/>
        <v>2.2760000000000002E-2</v>
      </c>
      <c r="X756" s="14">
        <f t="shared" si="176"/>
        <v>1</v>
      </c>
      <c r="Y756" s="14">
        <f t="shared" si="177"/>
        <v>2</v>
      </c>
      <c r="Z756" s="14">
        <f t="shared" si="178"/>
        <v>0</v>
      </c>
      <c r="AA756" s="14" t="str">
        <f t="shared" si="179"/>
        <v>AtkExt</v>
      </c>
      <c r="AB756" s="14">
        <f t="shared" si="173"/>
        <v>3092</v>
      </c>
      <c r="AC756" s="14" t="str">
        <f t="shared" si="180"/>
        <v>DefExt</v>
      </c>
      <c r="AD756" s="14">
        <f t="shared" si="181"/>
        <v>772</v>
      </c>
      <c r="AE756" s="14" t="str">
        <f t="shared" si="182"/>
        <v>[x]</v>
      </c>
      <c r="AF756" s="27" t="str">
        <f t="shared" si="183"/>
        <v>[x]</v>
      </c>
      <c r="AG756" s="27" t="str">
        <f t="shared" si="184"/>
        <v>[x]</v>
      </c>
    </row>
    <row r="757" spans="16:33" ht="16.5" x14ac:dyDescent="0.2">
      <c r="P757" s="13">
        <v>701</v>
      </c>
      <c r="Q757" s="14">
        <f t="shared" si="169"/>
        <v>36</v>
      </c>
      <c r="R757" s="14">
        <f t="shared" si="170"/>
        <v>1606044</v>
      </c>
      <c r="S757" s="14" t="str">
        <f t="shared" si="174"/>
        <v>神器7碎片2等级14</v>
      </c>
      <c r="T757" s="29" t="s">
        <v>520</v>
      </c>
      <c r="U757" s="14">
        <f t="shared" si="171"/>
        <v>14</v>
      </c>
      <c r="V757" s="36">
        <f t="shared" si="175"/>
        <v>1.242</v>
      </c>
      <c r="W757" s="17">
        <f t="shared" si="172"/>
        <v>2.4840000000000001E-2</v>
      </c>
      <c r="X757" s="14">
        <f t="shared" si="176"/>
        <v>1</v>
      </c>
      <c r="Y757" s="14">
        <f t="shared" si="177"/>
        <v>2</v>
      </c>
      <c r="Z757" s="14">
        <f t="shared" si="178"/>
        <v>0</v>
      </c>
      <c r="AA757" s="14" t="str">
        <f t="shared" si="179"/>
        <v>AtkExt</v>
      </c>
      <c r="AB757" s="14">
        <f t="shared" si="173"/>
        <v>3374</v>
      </c>
      <c r="AC757" s="14" t="str">
        <f t="shared" si="180"/>
        <v>DefExt</v>
      </c>
      <c r="AD757" s="14">
        <f t="shared" si="181"/>
        <v>843</v>
      </c>
      <c r="AE757" s="14" t="str">
        <f t="shared" si="182"/>
        <v>[x]</v>
      </c>
      <c r="AF757" s="27" t="str">
        <f t="shared" si="183"/>
        <v>[x]</v>
      </c>
      <c r="AG757" s="27" t="str">
        <f t="shared" si="184"/>
        <v>[x]</v>
      </c>
    </row>
    <row r="758" spans="16:33" ht="16.5" x14ac:dyDescent="0.2">
      <c r="P758" s="13">
        <v>702</v>
      </c>
      <c r="Q758" s="14">
        <f t="shared" si="169"/>
        <v>36</v>
      </c>
      <c r="R758" s="14">
        <f t="shared" si="170"/>
        <v>1606044</v>
      </c>
      <c r="S758" s="14" t="str">
        <f t="shared" si="174"/>
        <v>神器7碎片2等级15</v>
      </c>
      <c r="T758" s="29" t="s">
        <v>520</v>
      </c>
      <c r="U758" s="14">
        <f t="shared" si="171"/>
        <v>15</v>
      </c>
      <c r="V758" s="36">
        <f t="shared" si="175"/>
        <v>1.35</v>
      </c>
      <c r="W758" s="17">
        <f t="shared" si="172"/>
        <v>2.7000000000000003E-2</v>
      </c>
      <c r="X758" s="14">
        <f t="shared" si="176"/>
        <v>1</v>
      </c>
      <c r="Y758" s="14">
        <f t="shared" si="177"/>
        <v>2</v>
      </c>
      <c r="Z758" s="14">
        <f t="shared" si="178"/>
        <v>0</v>
      </c>
      <c r="AA758" s="14" t="str">
        <f t="shared" si="179"/>
        <v>AtkExt</v>
      </c>
      <c r="AB758" s="14">
        <f t="shared" si="173"/>
        <v>3668</v>
      </c>
      <c r="AC758" s="14" t="str">
        <f t="shared" si="180"/>
        <v>DefExt</v>
      </c>
      <c r="AD758" s="14">
        <f t="shared" si="181"/>
        <v>916</v>
      </c>
      <c r="AE758" s="14" t="str">
        <f t="shared" si="182"/>
        <v>[x]</v>
      </c>
      <c r="AF758" s="27" t="str">
        <f t="shared" si="183"/>
        <v>[x]</v>
      </c>
      <c r="AG758" s="27" t="str">
        <f t="shared" si="184"/>
        <v>[x]</v>
      </c>
    </row>
    <row r="759" spans="16:33" ht="16.5" x14ac:dyDescent="0.2">
      <c r="P759" s="13">
        <v>703</v>
      </c>
      <c r="Q759" s="14">
        <f t="shared" si="169"/>
        <v>36</v>
      </c>
      <c r="R759" s="14">
        <f t="shared" si="170"/>
        <v>1606044</v>
      </c>
      <c r="S759" s="14" t="str">
        <f t="shared" si="174"/>
        <v>神器7碎片2等级16</v>
      </c>
      <c r="T759" s="29" t="s">
        <v>520</v>
      </c>
      <c r="U759" s="14">
        <f t="shared" si="171"/>
        <v>16</v>
      </c>
      <c r="V759" s="36">
        <f t="shared" si="175"/>
        <v>1.4620000000000002</v>
      </c>
      <c r="W759" s="17">
        <f t="shared" si="172"/>
        <v>2.9240000000000006E-2</v>
      </c>
      <c r="X759" s="14">
        <f t="shared" si="176"/>
        <v>1</v>
      </c>
      <c r="Y759" s="14">
        <f t="shared" si="177"/>
        <v>2</v>
      </c>
      <c r="Z759" s="14">
        <f t="shared" si="178"/>
        <v>0</v>
      </c>
      <c r="AA759" s="14" t="str">
        <f t="shared" si="179"/>
        <v>AtkExt</v>
      </c>
      <c r="AB759" s="14">
        <f t="shared" si="173"/>
        <v>3972</v>
      </c>
      <c r="AC759" s="14" t="str">
        <f t="shared" si="180"/>
        <v>DefExt</v>
      </c>
      <c r="AD759" s="14">
        <f t="shared" si="181"/>
        <v>992</v>
      </c>
      <c r="AE759" s="14" t="str">
        <f t="shared" si="182"/>
        <v>[x]</v>
      </c>
      <c r="AF759" s="27" t="str">
        <f t="shared" si="183"/>
        <v>[x]</v>
      </c>
      <c r="AG759" s="27" t="str">
        <f t="shared" si="184"/>
        <v>[x]</v>
      </c>
    </row>
    <row r="760" spans="16:33" ht="16.5" x14ac:dyDescent="0.2">
      <c r="P760" s="13">
        <v>704</v>
      </c>
      <c r="Q760" s="14">
        <f t="shared" si="169"/>
        <v>36</v>
      </c>
      <c r="R760" s="14">
        <f t="shared" si="170"/>
        <v>1606044</v>
      </c>
      <c r="S760" s="14" t="str">
        <f t="shared" si="174"/>
        <v>神器7碎片2等级17</v>
      </c>
      <c r="T760" s="29" t="s">
        <v>520</v>
      </c>
      <c r="U760" s="14">
        <f t="shared" si="171"/>
        <v>17</v>
      </c>
      <c r="V760" s="36">
        <f t="shared" si="175"/>
        <v>1.5779999999999998</v>
      </c>
      <c r="W760" s="17">
        <f t="shared" si="172"/>
        <v>3.1559999999999998E-2</v>
      </c>
      <c r="X760" s="14">
        <f t="shared" si="176"/>
        <v>1</v>
      </c>
      <c r="Y760" s="14">
        <f t="shared" si="177"/>
        <v>2</v>
      </c>
      <c r="Z760" s="14">
        <f t="shared" si="178"/>
        <v>0</v>
      </c>
      <c r="AA760" s="14" t="str">
        <f t="shared" si="179"/>
        <v>AtkExt</v>
      </c>
      <c r="AB760" s="14">
        <f t="shared" si="173"/>
        <v>4287</v>
      </c>
      <c r="AC760" s="14" t="str">
        <f t="shared" si="180"/>
        <v>DefExt</v>
      </c>
      <c r="AD760" s="14">
        <f t="shared" si="181"/>
        <v>1071</v>
      </c>
      <c r="AE760" s="14" t="str">
        <f t="shared" si="182"/>
        <v>[x]</v>
      </c>
      <c r="AF760" s="27" t="str">
        <f t="shared" si="183"/>
        <v>[x]</v>
      </c>
      <c r="AG760" s="27" t="str">
        <f t="shared" si="184"/>
        <v>[x]</v>
      </c>
    </row>
    <row r="761" spans="16:33" ht="16.5" x14ac:dyDescent="0.2">
      <c r="P761" s="13">
        <v>705</v>
      </c>
      <c r="Q761" s="14">
        <f t="shared" ref="Q761:Q824" si="185">MATCH(P761-1,$X$4:$X$46,1)</f>
        <v>36</v>
      </c>
      <c r="R761" s="14">
        <f t="shared" ref="R761:R824" si="186">INDEX($S$5:$S$46,Q761)</f>
        <v>1606044</v>
      </c>
      <c r="S761" s="14" t="str">
        <f t="shared" si="174"/>
        <v>神器7碎片2等级18</v>
      </c>
      <c r="T761" s="29" t="s">
        <v>520</v>
      </c>
      <c r="U761" s="14">
        <f t="shared" ref="U761:U824" si="187">P761-INDEX($X$4:$X$46,Q761)</f>
        <v>18</v>
      </c>
      <c r="V761" s="36">
        <f t="shared" si="175"/>
        <v>1.698</v>
      </c>
      <c r="W761" s="17">
        <f t="shared" ref="W761:W824" si="188">INDEX($V$5:$V$46,Q761)*V761</f>
        <v>3.3959999999999997E-2</v>
      </c>
      <c r="X761" s="14">
        <f t="shared" si="176"/>
        <v>1</v>
      </c>
      <c r="Y761" s="14">
        <f t="shared" si="177"/>
        <v>2</v>
      </c>
      <c r="Z761" s="14">
        <f t="shared" si="178"/>
        <v>0</v>
      </c>
      <c r="AA761" s="14" t="str">
        <f t="shared" si="179"/>
        <v>AtkExt</v>
      </c>
      <c r="AB761" s="14">
        <f t="shared" ref="AB761:AB824" si="189">INT(INDEX($E$4:$G$4,X761)*W761*INDEX($Y$5:$AA$46,Q761,X761))</f>
        <v>4613</v>
      </c>
      <c r="AC761" s="14" t="str">
        <f t="shared" si="180"/>
        <v>DefExt</v>
      </c>
      <c r="AD761" s="14">
        <f t="shared" si="181"/>
        <v>1152</v>
      </c>
      <c r="AE761" s="14" t="str">
        <f t="shared" si="182"/>
        <v>[x]</v>
      </c>
      <c r="AF761" s="27" t="str">
        <f t="shared" si="183"/>
        <v>[x]</v>
      </c>
      <c r="AG761" s="27" t="str">
        <f t="shared" si="184"/>
        <v>[x]</v>
      </c>
    </row>
    <row r="762" spans="16:33" ht="16.5" x14ac:dyDescent="0.2">
      <c r="P762" s="13">
        <v>706</v>
      </c>
      <c r="Q762" s="14">
        <f t="shared" si="185"/>
        <v>36</v>
      </c>
      <c r="R762" s="14">
        <f t="shared" si="186"/>
        <v>1606044</v>
      </c>
      <c r="S762" s="14" t="str">
        <f t="shared" ref="S762:S825" si="190">INDEX($P$5:$P$46,Q762)&amp;"碎片"&amp;INDEX($R$5:$R$46,Q762)&amp;"等级"&amp;U762</f>
        <v>神器7碎片2等级19</v>
      </c>
      <c r="T762" s="29" t="s">
        <v>520</v>
      </c>
      <c r="U762" s="14">
        <f t="shared" si="187"/>
        <v>19</v>
      </c>
      <c r="V762" s="36">
        <f t="shared" ref="V762:V825" si="191">15%+U762*5%+U762*U762*0.2%</f>
        <v>1.8220000000000001</v>
      </c>
      <c r="W762" s="17">
        <f t="shared" si="188"/>
        <v>3.644E-2</v>
      </c>
      <c r="X762" s="14">
        <f t="shared" ref="X762:X825" si="192">INDEX($AB$5:$AB$46,Q762)</f>
        <v>1</v>
      </c>
      <c r="Y762" s="14">
        <f t="shared" ref="Y762:Y825" si="193">INDEX(AC$5:AC$46,$Q762)</f>
        <v>2</v>
      </c>
      <c r="Z762" s="14">
        <f t="shared" ref="Z762:Z825" si="194">INDEX(AD$5:AD$46,$Q762)</f>
        <v>0</v>
      </c>
      <c r="AA762" s="14" t="str">
        <f t="shared" ref="AA762:AA825" si="195">INDEX($Y$3:$AA$3,X762)</f>
        <v>AtkExt</v>
      </c>
      <c r="AB762" s="14">
        <f t="shared" si="189"/>
        <v>4950</v>
      </c>
      <c r="AC762" s="14" t="str">
        <f t="shared" ref="AC762:AC825" si="196">IF(Y762&gt;0,INDEX($Y$3:$AA$3,Y762),"[x]")</f>
        <v>DefExt</v>
      </c>
      <c r="AD762" s="14">
        <f t="shared" ref="AD762:AD825" si="197">IF(Y762&gt;0,INT(INDEX($E$4:$G$4,Y762)*W762*INDEX($Y$5:$AA$46,Q762,Y762)),"[x]")</f>
        <v>1237</v>
      </c>
      <c r="AE762" s="14" t="str">
        <f t="shared" ref="AE762:AE825" si="198">IF(Z762&gt;0,INDEX($Y$3:$AA$3,Z762),"[x]")</f>
        <v>[x]</v>
      </c>
      <c r="AF762" s="27" t="str">
        <f t="shared" ref="AF762:AF825" si="199">IF(Z762&gt;0,INT(INDEX($E$4:$G$4,Z762)*W762*INDEX($Y$5:$AA$46,Q762,Z762)),"[x]")</f>
        <v>[x]</v>
      </c>
      <c r="AG762" s="27" t="str">
        <f t="shared" ref="AG762:AG825" si="200">IF(INDEX($AE$5:$AE$46,Q762)&gt;0,INDEX($AE$5:$AE$46,Q762)*U762,"[x]")</f>
        <v>[x]</v>
      </c>
    </row>
    <row r="763" spans="16:33" ht="16.5" x14ac:dyDescent="0.2">
      <c r="P763" s="13">
        <v>707</v>
      </c>
      <c r="Q763" s="14">
        <f t="shared" si="185"/>
        <v>36</v>
      </c>
      <c r="R763" s="14">
        <f t="shared" si="186"/>
        <v>1606044</v>
      </c>
      <c r="S763" s="14" t="str">
        <f t="shared" si="190"/>
        <v>神器7碎片2等级20</v>
      </c>
      <c r="T763" s="29" t="s">
        <v>520</v>
      </c>
      <c r="U763" s="14">
        <f t="shared" si="187"/>
        <v>20</v>
      </c>
      <c r="V763" s="36">
        <f t="shared" si="191"/>
        <v>1.95</v>
      </c>
      <c r="W763" s="17">
        <f t="shared" si="188"/>
        <v>3.9E-2</v>
      </c>
      <c r="X763" s="14">
        <f t="shared" si="192"/>
        <v>1</v>
      </c>
      <c r="Y763" s="14">
        <f t="shared" si="193"/>
        <v>2</v>
      </c>
      <c r="Z763" s="14">
        <f t="shared" si="194"/>
        <v>0</v>
      </c>
      <c r="AA763" s="14" t="str">
        <f t="shared" si="195"/>
        <v>AtkExt</v>
      </c>
      <c r="AB763" s="14">
        <f t="shared" si="189"/>
        <v>5298</v>
      </c>
      <c r="AC763" s="14" t="str">
        <f t="shared" si="196"/>
        <v>DefExt</v>
      </c>
      <c r="AD763" s="14">
        <f t="shared" si="197"/>
        <v>1323</v>
      </c>
      <c r="AE763" s="14" t="str">
        <f t="shared" si="198"/>
        <v>[x]</v>
      </c>
      <c r="AF763" s="27" t="str">
        <f t="shared" si="199"/>
        <v>[x]</v>
      </c>
      <c r="AG763" s="27" t="str">
        <f t="shared" si="200"/>
        <v>[x]</v>
      </c>
    </row>
    <row r="764" spans="16:33" ht="16.5" x14ac:dyDescent="0.2">
      <c r="P764" s="13">
        <v>708</v>
      </c>
      <c r="Q764" s="14">
        <f t="shared" si="185"/>
        <v>36</v>
      </c>
      <c r="R764" s="14">
        <f t="shared" si="186"/>
        <v>1606044</v>
      </c>
      <c r="S764" s="14" t="str">
        <f t="shared" si="190"/>
        <v>神器7碎片2等级21</v>
      </c>
      <c r="T764" s="29" t="s">
        <v>520</v>
      </c>
      <c r="U764" s="14">
        <f t="shared" si="187"/>
        <v>21</v>
      </c>
      <c r="V764" s="36">
        <f t="shared" si="191"/>
        <v>2.0819999999999999</v>
      </c>
      <c r="W764" s="17">
        <f t="shared" si="188"/>
        <v>4.1639999999999996E-2</v>
      </c>
      <c r="X764" s="14">
        <f t="shared" si="192"/>
        <v>1</v>
      </c>
      <c r="Y764" s="14">
        <f t="shared" si="193"/>
        <v>2</v>
      </c>
      <c r="Z764" s="14">
        <f t="shared" si="194"/>
        <v>0</v>
      </c>
      <c r="AA764" s="14" t="str">
        <f t="shared" si="195"/>
        <v>AtkExt</v>
      </c>
      <c r="AB764" s="14">
        <f t="shared" si="189"/>
        <v>5657</v>
      </c>
      <c r="AC764" s="14" t="str">
        <f t="shared" si="196"/>
        <v>DefExt</v>
      </c>
      <c r="AD764" s="14">
        <f t="shared" si="197"/>
        <v>1413</v>
      </c>
      <c r="AE764" s="14" t="str">
        <f t="shared" si="198"/>
        <v>[x]</v>
      </c>
      <c r="AF764" s="27" t="str">
        <f t="shared" si="199"/>
        <v>[x]</v>
      </c>
      <c r="AG764" s="27" t="str">
        <f t="shared" si="200"/>
        <v>[x]</v>
      </c>
    </row>
    <row r="765" spans="16:33" ht="16.5" x14ac:dyDescent="0.2">
      <c r="P765" s="13">
        <v>709</v>
      </c>
      <c r="Q765" s="14">
        <f t="shared" si="185"/>
        <v>37</v>
      </c>
      <c r="R765" s="14">
        <f t="shared" si="186"/>
        <v>1606045</v>
      </c>
      <c r="S765" s="14" t="str">
        <f t="shared" si="190"/>
        <v>神器7碎片3等级1</v>
      </c>
      <c r="T765" s="29" t="s">
        <v>520</v>
      </c>
      <c r="U765" s="14">
        <f t="shared" si="187"/>
        <v>1</v>
      </c>
      <c r="V765" s="36">
        <f t="shared" si="191"/>
        <v>0.20200000000000001</v>
      </c>
      <c r="W765" s="17">
        <f t="shared" si="188"/>
        <v>4.0400000000000002E-3</v>
      </c>
      <c r="X765" s="14">
        <f t="shared" si="192"/>
        <v>1</v>
      </c>
      <c r="Y765" s="14">
        <f t="shared" si="193"/>
        <v>2</v>
      </c>
      <c r="Z765" s="14">
        <f t="shared" si="194"/>
        <v>3</v>
      </c>
      <c r="AA765" s="14" t="str">
        <f t="shared" si="195"/>
        <v>AtkExt</v>
      </c>
      <c r="AB765" s="14">
        <f t="shared" si="189"/>
        <v>274</v>
      </c>
      <c r="AC765" s="14" t="str">
        <f t="shared" si="196"/>
        <v>DefExt</v>
      </c>
      <c r="AD765" s="14">
        <f t="shared" si="197"/>
        <v>137</v>
      </c>
      <c r="AE765" s="14" t="str">
        <f t="shared" si="198"/>
        <v>HPExt</v>
      </c>
      <c r="AF765" s="27">
        <f t="shared" si="199"/>
        <v>823</v>
      </c>
      <c r="AG765" s="27" t="str">
        <f t="shared" si="200"/>
        <v>[x]</v>
      </c>
    </row>
    <row r="766" spans="16:33" ht="16.5" x14ac:dyDescent="0.2">
      <c r="P766" s="13">
        <v>710</v>
      </c>
      <c r="Q766" s="14">
        <f t="shared" si="185"/>
        <v>37</v>
      </c>
      <c r="R766" s="14">
        <f t="shared" si="186"/>
        <v>1606045</v>
      </c>
      <c r="S766" s="14" t="str">
        <f t="shared" si="190"/>
        <v>神器7碎片3等级2</v>
      </c>
      <c r="T766" s="29" t="s">
        <v>520</v>
      </c>
      <c r="U766" s="14">
        <f t="shared" si="187"/>
        <v>2</v>
      </c>
      <c r="V766" s="36">
        <f t="shared" si="191"/>
        <v>0.25800000000000001</v>
      </c>
      <c r="W766" s="17">
        <f t="shared" si="188"/>
        <v>5.1600000000000005E-3</v>
      </c>
      <c r="X766" s="14">
        <f t="shared" si="192"/>
        <v>1</v>
      </c>
      <c r="Y766" s="14">
        <f t="shared" si="193"/>
        <v>2</v>
      </c>
      <c r="Z766" s="14">
        <f t="shared" si="194"/>
        <v>3</v>
      </c>
      <c r="AA766" s="14" t="str">
        <f t="shared" si="195"/>
        <v>AtkExt</v>
      </c>
      <c r="AB766" s="14">
        <f t="shared" si="189"/>
        <v>350</v>
      </c>
      <c r="AC766" s="14" t="str">
        <f t="shared" si="196"/>
        <v>DefExt</v>
      </c>
      <c r="AD766" s="14">
        <f t="shared" si="197"/>
        <v>175</v>
      </c>
      <c r="AE766" s="14" t="str">
        <f t="shared" si="198"/>
        <v>HPExt</v>
      </c>
      <c r="AF766" s="27">
        <f t="shared" si="199"/>
        <v>1051</v>
      </c>
      <c r="AG766" s="27" t="str">
        <f t="shared" si="200"/>
        <v>[x]</v>
      </c>
    </row>
    <row r="767" spans="16:33" ht="16.5" x14ac:dyDescent="0.2">
      <c r="P767" s="13">
        <v>711</v>
      </c>
      <c r="Q767" s="14">
        <f t="shared" si="185"/>
        <v>37</v>
      </c>
      <c r="R767" s="14">
        <f t="shared" si="186"/>
        <v>1606045</v>
      </c>
      <c r="S767" s="14" t="str">
        <f t="shared" si="190"/>
        <v>神器7碎片3等级3</v>
      </c>
      <c r="T767" s="29" t="s">
        <v>520</v>
      </c>
      <c r="U767" s="14">
        <f t="shared" si="187"/>
        <v>3</v>
      </c>
      <c r="V767" s="36">
        <f t="shared" si="191"/>
        <v>0.31800000000000006</v>
      </c>
      <c r="W767" s="17">
        <f t="shared" si="188"/>
        <v>6.3600000000000011E-3</v>
      </c>
      <c r="X767" s="14">
        <f t="shared" si="192"/>
        <v>1</v>
      </c>
      <c r="Y767" s="14">
        <f t="shared" si="193"/>
        <v>2</v>
      </c>
      <c r="Z767" s="14">
        <f t="shared" si="194"/>
        <v>3</v>
      </c>
      <c r="AA767" s="14" t="str">
        <f t="shared" si="195"/>
        <v>AtkExt</v>
      </c>
      <c r="AB767" s="14">
        <f t="shared" si="189"/>
        <v>432</v>
      </c>
      <c r="AC767" s="14" t="str">
        <f t="shared" si="196"/>
        <v>DefExt</v>
      </c>
      <c r="AD767" s="14">
        <f t="shared" si="197"/>
        <v>215</v>
      </c>
      <c r="AE767" s="14" t="str">
        <f t="shared" si="198"/>
        <v>HPExt</v>
      </c>
      <c r="AF767" s="27">
        <f t="shared" si="199"/>
        <v>1296</v>
      </c>
      <c r="AG767" s="27" t="str">
        <f t="shared" si="200"/>
        <v>[x]</v>
      </c>
    </row>
    <row r="768" spans="16:33" ht="16.5" x14ac:dyDescent="0.2">
      <c r="P768" s="13">
        <v>712</v>
      </c>
      <c r="Q768" s="14">
        <f t="shared" si="185"/>
        <v>37</v>
      </c>
      <c r="R768" s="14">
        <f t="shared" si="186"/>
        <v>1606045</v>
      </c>
      <c r="S768" s="14" t="str">
        <f t="shared" si="190"/>
        <v>神器7碎片3等级4</v>
      </c>
      <c r="T768" s="29" t="s">
        <v>520</v>
      </c>
      <c r="U768" s="14">
        <f t="shared" si="187"/>
        <v>4</v>
      </c>
      <c r="V768" s="36">
        <f t="shared" si="191"/>
        <v>0.38200000000000001</v>
      </c>
      <c r="W768" s="17">
        <f t="shared" si="188"/>
        <v>7.6400000000000001E-3</v>
      </c>
      <c r="X768" s="14">
        <f t="shared" si="192"/>
        <v>1</v>
      </c>
      <c r="Y768" s="14">
        <f t="shared" si="193"/>
        <v>2</v>
      </c>
      <c r="Z768" s="14">
        <f t="shared" si="194"/>
        <v>3</v>
      </c>
      <c r="AA768" s="14" t="str">
        <f t="shared" si="195"/>
        <v>AtkExt</v>
      </c>
      <c r="AB768" s="14">
        <f t="shared" si="189"/>
        <v>518</v>
      </c>
      <c r="AC768" s="14" t="str">
        <f t="shared" si="196"/>
        <v>DefExt</v>
      </c>
      <c r="AD768" s="14">
        <f t="shared" si="197"/>
        <v>259</v>
      </c>
      <c r="AE768" s="14" t="str">
        <f t="shared" si="198"/>
        <v>HPExt</v>
      </c>
      <c r="AF768" s="27">
        <f t="shared" si="199"/>
        <v>1557</v>
      </c>
      <c r="AG768" s="27" t="str">
        <f t="shared" si="200"/>
        <v>[x]</v>
      </c>
    </row>
    <row r="769" spans="16:33" ht="16.5" x14ac:dyDescent="0.2">
      <c r="P769" s="13">
        <v>713</v>
      </c>
      <c r="Q769" s="14">
        <f t="shared" si="185"/>
        <v>37</v>
      </c>
      <c r="R769" s="14">
        <f t="shared" si="186"/>
        <v>1606045</v>
      </c>
      <c r="S769" s="14" t="str">
        <f t="shared" si="190"/>
        <v>神器7碎片3等级5</v>
      </c>
      <c r="T769" s="29" t="s">
        <v>520</v>
      </c>
      <c r="U769" s="14">
        <f t="shared" si="187"/>
        <v>5</v>
      </c>
      <c r="V769" s="36">
        <f t="shared" si="191"/>
        <v>0.45</v>
      </c>
      <c r="W769" s="17">
        <f t="shared" si="188"/>
        <v>9.0000000000000011E-3</v>
      </c>
      <c r="X769" s="14">
        <f t="shared" si="192"/>
        <v>1</v>
      </c>
      <c r="Y769" s="14">
        <f t="shared" si="193"/>
        <v>2</v>
      </c>
      <c r="Z769" s="14">
        <f t="shared" si="194"/>
        <v>3</v>
      </c>
      <c r="AA769" s="14" t="str">
        <f t="shared" si="195"/>
        <v>AtkExt</v>
      </c>
      <c r="AB769" s="14">
        <f t="shared" si="189"/>
        <v>611</v>
      </c>
      <c r="AC769" s="14" t="str">
        <f t="shared" si="196"/>
        <v>DefExt</v>
      </c>
      <c r="AD769" s="14">
        <f t="shared" si="197"/>
        <v>305</v>
      </c>
      <c r="AE769" s="14" t="str">
        <f t="shared" si="198"/>
        <v>HPExt</v>
      </c>
      <c r="AF769" s="27">
        <f t="shared" si="199"/>
        <v>1834</v>
      </c>
      <c r="AG769" s="27" t="str">
        <f t="shared" si="200"/>
        <v>[x]</v>
      </c>
    </row>
    <row r="770" spans="16:33" ht="16.5" x14ac:dyDescent="0.2">
      <c r="P770" s="13">
        <v>714</v>
      </c>
      <c r="Q770" s="14">
        <f t="shared" si="185"/>
        <v>37</v>
      </c>
      <c r="R770" s="14">
        <f t="shared" si="186"/>
        <v>1606045</v>
      </c>
      <c r="S770" s="14" t="str">
        <f t="shared" si="190"/>
        <v>神器7碎片3等级6</v>
      </c>
      <c r="T770" s="29" t="s">
        <v>520</v>
      </c>
      <c r="U770" s="14">
        <f t="shared" si="187"/>
        <v>6</v>
      </c>
      <c r="V770" s="36">
        <f t="shared" si="191"/>
        <v>0.52200000000000002</v>
      </c>
      <c r="W770" s="17">
        <f t="shared" si="188"/>
        <v>1.0440000000000001E-2</v>
      </c>
      <c r="X770" s="14">
        <f t="shared" si="192"/>
        <v>1</v>
      </c>
      <c r="Y770" s="14">
        <f t="shared" si="193"/>
        <v>2</v>
      </c>
      <c r="Z770" s="14">
        <f t="shared" si="194"/>
        <v>3</v>
      </c>
      <c r="AA770" s="14" t="str">
        <f t="shared" si="195"/>
        <v>AtkExt</v>
      </c>
      <c r="AB770" s="14">
        <f t="shared" si="189"/>
        <v>709</v>
      </c>
      <c r="AC770" s="14" t="str">
        <f t="shared" si="196"/>
        <v>DefExt</v>
      </c>
      <c r="AD770" s="14">
        <f t="shared" si="197"/>
        <v>354</v>
      </c>
      <c r="AE770" s="14" t="str">
        <f t="shared" si="198"/>
        <v>HPExt</v>
      </c>
      <c r="AF770" s="27">
        <f t="shared" si="199"/>
        <v>2128</v>
      </c>
      <c r="AG770" s="27" t="str">
        <f t="shared" si="200"/>
        <v>[x]</v>
      </c>
    </row>
    <row r="771" spans="16:33" ht="16.5" x14ac:dyDescent="0.2">
      <c r="P771" s="13">
        <v>715</v>
      </c>
      <c r="Q771" s="14">
        <f t="shared" si="185"/>
        <v>37</v>
      </c>
      <c r="R771" s="14">
        <f t="shared" si="186"/>
        <v>1606045</v>
      </c>
      <c r="S771" s="14" t="str">
        <f t="shared" si="190"/>
        <v>神器7碎片3等级7</v>
      </c>
      <c r="T771" s="29" t="s">
        <v>520</v>
      </c>
      <c r="U771" s="14">
        <f t="shared" si="187"/>
        <v>7</v>
      </c>
      <c r="V771" s="36">
        <f t="shared" si="191"/>
        <v>0.59799999999999998</v>
      </c>
      <c r="W771" s="17">
        <f t="shared" si="188"/>
        <v>1.196E-2</v>
      </c>
      <c r="X771" s="14">
        <f t="shared" si="192"/>
        <v>1</v>
      </c>
      <c r="Y771" s="14">
        <f t="shared" si="193"/>
        <v>2</v>
      </c>
      <c r="Z771" s="14">
        <f t="shared" si="194"/>
        <v>3</v>
      </c>
      <c r="AA771" s="14" t="str">
        <f t="shared" si="195"/>
        <v>AtkExt</v>
      </c>
      <c r="AB771" s="14">
        <f t="shared" si="189"/>
        <v>812</v>
      </c>
      <c r="AC771" s="14" t="str">
        <f t="shared" si="196"/>
        <v>DefExt</v>
      </c>
      <c r="AD771" s="14">
        <f t="shared" si="197"/>
        <v>406</v>
      </c>
      <c r="AE771" s="14" t="str">
        <f t="shared" si="198"/>
        <v>HPExt</v>
      </c>
      <c r="AF771" s="27">
        <f t="shared" si="199"/>
        <v>2438</v>
      </c>
      <c r="AG771" s="27" t="str">
        <f t="shared" si="200"/>
        <v>[x]</v>
      </c>
    </row>
    <row r="772" spans="16:33" ht="16.5" x14ac:dyDescent="0.2">
      <c r="P772" s="13">
        <v>716</v>
      </c>
      <c r="Q772" s="14">
        <f t="shared" si="185"/>
        <v>37</v>
      </c>
      <c r="R772" s="14">
        <f t="shared" si="186"/>
        <v>1606045</v>
      </c>
      <c r="S772" s="14" t="str">
        <f t="shared" si="190"/>
        <v>神器7碎片3等级8</v>
      </c>
      <c r="T772" s="29" t="s">
        <v>520</v>
      </c>
      <c r="U772" s="14">
        <f t="shared" si="187"/>
        <v>8</v>
      </c>
      <c r="V772" s="36">
        <f t="shared" si="191"/>
        <v>0.67800000000000005</v>
      </c>
      <c r="W772" s="17">
        <f t="shared" si="188"/>
        <v>1.3560000000000001E-2</v>
      </c>
      <c r="X772" s="14">
        <f t="shared" si="192"/>
        <v>1</v>
      </c>
      <c r="Y772" s="14">
        <f t="shared" si="193"/>
        <v>2</v>
      </c>
      <c r="Z772" s="14">
        <f t="shared" si="194"/>
        <v>3</v>
      </c>
      <c r="AA772" s="14" t="str">
        <f t="shared" si="195"/>
        <v>AtkExt</v>
      </c>
      <c r="AB772" s="14">
        <f t="shared" si="189"/>
        <v>921</v>
      </c>
      <c r="AC772" s="14" t="str">
        <f t="shared" si="196"/>
        <v>DefExt</v>
      </c>
      <c r="AD772" s="14">
        <f t="shared" si="197"/>
        <v>460</v>
      </c>
      <c r="AE772" s="14" t="str">
        <f t="shared" si="198"/>
        <v>HPExt</v>
      </c>
      <c r="AF772" s="27">
        <f t="shared" si="199"/>
        <v>2764</v>
      </c>
      <c r="AG772" s="27" t="str">
        <f t="shared" si="200"/>
        <v>[x]</v>
      </c>
    </row>
    <row r="773" spans="16:33" ht="16.5" x14ac:dyDescent="0.2">
      <c r="P773" s="13">
        <v>717</v>
      </c>
      <c r="Q773" s="14">
        <f t="shared" si="185"/>
        <v>37</v>
      </c>
      <c r="R773" s="14">
        <f t="shared" si="186"/>
        <v>1606045</v>
      </c>
      <c r="S773" s="14" t="str">
        <f t="shared" si="190"/>
        <v>神器7碎片3等级9</v>
      </c>
      <c r="T773" s="29" t="s">
        <v>520</v>
      </c>
      <c r="U773" s="14">
        <f t="shared" si="187"/>
        <v>9</v>
      </c>
      <c r="V773" s="36">
        <f t="shared" si="191"/>
        <v>0.76200000000000001</v>
      </c>
      <c r="W773" s="17">
        <f t="shared" si="188"/>
        <v>1.524E-2</v>
      </c>
      <c r="X773" s="14">
        <f t="shared" si="192"/>
        <v>1</v>
      </c>
      <c r="Y773" s="14">
        <f t="shared" si="193"/>
        <v>2</v>
      </c>
      <c r="Z773" s="14">
        <f t="shared" si="194"/>
        <v>3</v>
      </c>
      <c r="AA773" s="14" t="str">
        <f t="shared" si="195"/>
        <v>AtkExt</v>
      </c>
      <c r="AB773" s="14">
        <f t="shared" si="189"/>
        <v>1035</v>
      </c>
      <c r="AC773" s="14" t="str">
        <f t="shared" si="196"/>
        <v>DefExt</v>
      </c>
      <c r="AD773" s="14">
        <f t="shared" si="197"/>
        <v>517</v>
      </c>
      <c r="AE773" s="14" t="str">
        <f t="shared" si="198"/>
        <v>HPExt</v>
      </c>
      <c r="AF773" s="27">
        <f t="shared" si="199"/>
        <v>3107</v>
      </c>
      <c r="AG773" s="27" t="str">
        <f t="shared" si="200"/>
        <v>[x]</v>
      </c>
    </row>
    <row r="774" spans="16:33" ht="16.5" x14ac:dyDescent="0.2">
      <c r="P774" s="13">
        <v>718</v>
      </c>
      <c r="Q774" s="14">
        <f t="shared" si="185"/>
        <v>37</v>
      </c>
      <c r="R774" s="14">
        <f t="shared" si="186"/>
        <v>1606045</v>
      </c>
      <c r="S774" s="14" t="str">
        <f t="shared" si="190"/>
        <v>神器7碎片3等级10</v>
      </c>
      <c r="T774" s="29" t="s">
        <v>520</v>
      </c>
      <c r="U774" s="14">
        <f t="shared" si="187"/>
        <v>10</v>
      </c>
      <c r="V774" s="36">
        <f t="shared" si="191"/>
        <v>0.85000000000000009</v>
      </c>
      <c r="W774" s="17">
        <f t="shared" si="188"/>
        <v>1.7000000000000001E-2</v>
      </c>
      <c r="X774" s="14">
        <f t="shared" si="192"/>
        <v>1</v>
      </c>
      <c r="Y774" s="14">
        <f t="shared" si="193"/>
        <v>2</v>
      </c>
      <c r="Z774" s="14">
        <f t="shared" si="194"/>
        <v>3</v>
      </c>
      <c r="AA774" s="14" t="str">
        <f t="shared" si="195"/>
        <v>AtkExt</v>
      </c>
      <c r="AB774" s="14">
        <f t="shared" si="189"/>
        <v>1154</v>
      </c>
      <c r="AC774" s="14" t="str">
        <f t="shared" si="196"/>
        <v>DefExt</v>
      </c>
      <c r="AD774" s="14">
        <f t="shared" si="197"/>
        <v>577</v>
      </c>
      <c r="AE774" s="14" t="str">
        <f t="shared" si="198"/>
        <v>HPExt</v>
      </c>
      <c r="AF774" s="27">
        <f t="shared" si="199"/>
        <v>3465</v>
      </c>
      <c r="AG774" s="27" t="str">
        <f t="shared" si="200"/>
        <v>[x]</v>
      </c>
    </row>
    <row r="775" spans="16:33" ht="16.5" x14ac:dyDescent="0.2">
      <c r="P775" s="13">
        <v>719</v>
      </c>
      <c r="Q775" s="14">
        <f t="shared" si="185"/>
        <v>37</v>
      </c>
      <c r="R775" s="14">
        <f t="shared" si="186"/>
        <v>1606045</v>
      </c>
      <c r="S775" s="14" t="str">
        <f t="shared" si="190"/>
        <v>神器7碎片3等级11</v>
      </c>
      <c r="T775" s="29" t="s">
        <v>520</v>
      </c>
      <c r="U775" s="14">
        <f t="shared" si="187"/>
        <v>11</v>
      </c>
      <c r="V775" s="36">
        <f t="shared" si="191"/>
        <v>0.94200000000000006</v>
      </c>
      <c r="W775" s="17">
        <f t="shared" si="188"/>
        <v>1.8840000000000003E-2</v>
      </c>
      <c r="X775" s="14">
        <f t="shared" si="192"/>
        <v>1</v>
      </c>
      <c r="Y775" s="14">
        <f t="shared" si="193"/>
        <v>2</v>
      </c>
      <c r="Z775" s="14">
        <f t="shared" si="194"/>
        <v>3</v>
      </c>
      <c r="AA775" s="14" t="str">
        <f t="shared" si="195"/>
        <v>AtkExt</v>
      </c>
      <c r="AB775" s="14">
        <f t="shared" si="189"/>
        <v>1279</v>
      </c>
      <c r="AC775" s="14" t="str">
        <f t="shared" si="196"/>
        <v>DefExt</v>
      </c>
      <c r="AD775" s="14">
        <f t="shared" si="197"/>
        <v>639</v>
      </c>
      <c r="AE775" s="14" t="str">
        <f t="shared" si="198"/>
        <v>HPExt</v>
      </c>
      <c r="AF775" s="27">
        <f t="shared" si="199"/>
        <v>3840</v>
      </c>
      <c r="AG775" s="27" t="str">
        <f t="shared" si="200"/>
        <v>[x]</v>
      </c>
    </row>
    <row r="776" spans="16:33" ht="16.5" x14ac:dyDescent="0.2">
      <c r="P776" s="13">
        <v>720</v>
      </c>
      <c r="Q776" s="14">
        <f t="shared" si="185"/>
        <v>37</v>
      </c>
      <c r="R776" s="14">
        <f t="shared" si="186"/>
        <v>1606045</v>
      </c>
      <c r="S776" s="14" t="str">
        <f t="shared" si="190"/>
        <v>神器7碎片3等级12</v>
      </c>
      <c r="T776" s="29" t="s">
        <v>520</v>
      </c>
      <c r="U776" s="14">
        <f t="shared" si="187"/>
        <v>12</v>
      </c>
      <c r="V776" s="36">
        <f t="shared" si="191"/>
        <v>1.0380000000000003</v>
      </c>
      <c r="W776" s="17">
        <f t="shared" si="188"/>
        <v>2.0760000000000004E-2</v>
      </c>
      <c r="X776" s="14">
        <f t="shared" si="192"/>
        <v>1</v>
      </c>
      <c r="Y776" s="14">
        <f t="shared" si="193"/>
        <v>2</v>
      </c>
      <c r="Z776" s="14">
        <f t="shared" si="194"/>
        <v>3</v>
      </c>
      <c r="AA776" s="14" t="str">
        <f t="shared" si="195"/>
        <v>AtkExt</v>
      </c>
      <c r="AB776" s="14">
        <f t="shared" si="189"/>
        <v>1410</v>
      </c>
      <c r="AC776" s="14" t="str">
        <f t="shared" si="196"/>
        <v>DefExt</v>
      </c>
      <c r="AD776" s="14">
        <f t="shared" si="197"/>
        <v>704</v>
      </c>
      <c r="AE776" s="14" t="str">
        <f t="shared" si="198"/>
        <v>HPExt</v>
      </c>
      <c r="AF776" s="27">
        <f t="shared" si="199"/>
        <v>4232</v>
      </c>
      <c r="AG776" s="27" t="str">
        <f t="shared" si="200"/>
        <v>[x]</v>
      </c>
    </row>
    <row r="777" spans="16:33" ht="16.5" x14ac:dyDescent="0.2">
      <c r="P777" s="13">
        <v>721</v>
      </c>
      <c r="Q777" s="14">
        <f t="shared" si="185"/>
        <v>37</v>
      </c>
      <c r="R777" s="14">
        <f t="shared" si="186"/>
        <v>1606045</v>
      </c>
      <c r="S777" s="14" t="str">
        <f t="shared" si="190"/>
        <v>神器7碎片3等级13</v>
      </c>
      <c r="T777" s="29" t="s">
        <v>520</v>
      </c>
      <c r="U777" s="14">
        <f t="shared" si="187"/>
        <v>13</v>
      </c>
      <c r="V777" s="36">
        <f t="shared" si="191"/>
        <v>1.1380000000000001</v>
      </c>
      <c r="W777" s="17">
        <f t="shared" si="188"/>
        <v>2.2760000000000002E-2</v>
      </c>
      <c r="X777" s="14">
        <f t="shared" si="192"/>
        <v>1</v>
      </c>
      <c r="Y777" s="14">
        <f t="shared" si="193"/>
        <v>2</v>
      </c>
      <c r="Z777" s="14">
        <f t="shared" si="194"/>
        <v>3</v>
      </c>
      <c r="AA777" s="14" t="str">
        <f t="shared" si="195"/>
        <v>AtkExt</v>
      </c>
      <c r="AB777" s="14">
        <f t="shared" si="189"/>
        <v>1546</v>
      </c>
      <c r="AC777" s="14" t="str">
        <f t="shared" si="196"/>
        <v>DefExt</v>
      </c>
      <c r="AD777" s="14">
        <f t="shared" si="197"/>
        <v>772</v>
      </c>
      <c r="AE777" s="14" t="str">
        <f t="shared" si="198"/>
        <v>HPExt</v>
      </c>
      <c r="AF777" s="27">
        <f t="shared" si="199"/>
        <v>4640</v>
      </c>
      <c r="AG777" s="27" t="str">
        <f t="shared" si="200"/>
        <v>[x]</v>
      </c>
    </row>
    <row r="778" spans="16:33" ht="16.5" x14ac:dyDescent="0.2">
      <c r="P778" s="13">
        <v>722</v>
      </c>
      <c r="Q778" s="14">
        <f t="shared" si="185"/>
        <v>37</v>
      </c>
      <c r="R778" s="14">
        <f t="shared" si="186"/>
        <v>1606045</v>
      </c>
      <c r="S778" s="14" t="str">
        <f t="shared" si="190"/>
        <v>神器7碎片3等级14</v>
      </c>
      <c r="T778" s="29" t="s">
        <v>520</v>
      </c>
      <c r="U778" s="14">
        <f t="shared" si="187"/>
        <v>14</v>
      </c>
      <c r="V778" s="36">
        <f t="shared" si="191"/>
        <v>1.242</v>
      </c>
      <c r="W778" s="17">
        <f t="shared" si="188"/>
        <v>2.4840000000000001E-2</v>
      </c>
      <c r="X778" s="14">
        <f t="shared" si="192"/>
        <v>1</v>
      </c>
      <c r="Y778" s="14">
        <f t="shared" si="193"/>
        <v>2</v>
      </c>
      <c r="Z778" s="14">
        <f t="shared" si="194"/>
        <v>3</v>
      </c>
      <c r="AA778" s="14" t="str">
        <f t="shared" si="195"/>
        <v>AtkExt</v>
      </c>
      <c r="AB778" s="14">
        <f t="shared" si="189"/>
        <v>1687</v>
      </c>
      <c r="AC778" s="14" t="str">
        <f t="shared" si="196"/>
        <v>DefExt</v>
      </c>
      <c r="AD778" s="14">
        <f t="shared" si="197"/>
        <v>843</v>
      </c>
      <c r="AE778" s="14" t="str">
        <f t="shared" si="198"/>
        <v>HPExt</v>
      </c>
      <c r="AF778" s="27">
        <f t="shared" si="199"/>
        <v>5064</v>
      </c>
      <c r="AG778" s="27" t="str">
        <f t="shared" si="200"/>
        <v>[x]</v>
      </c>
    </row>
    <row r="779" spans="16:33" ht="16.5" x14ac:dyDescent="0.2">
      <c r="P779" s="13">
        <v>723</v>
      </c>
      <c r="Q779" s="14">
        <f t="shared" si="185"/>
        <v>37</v>
      </c>
      <c r="R779" s="14">
        <f t="shared" si="186"/>
        <v>1606045</v>
      </c>
      <c r="S779" s="14" t="str">
        <f t="shared" si="190"/>
        <v>神器7碎片3等级15</v>
      </c>
      <c r="T779" s="29" t="s">
        <v>520</v>
      </c>
      <c r="U779" s="14">
        <f t="shared" si="187"/>
        <v>15</v>
      </c>
      <c r="V779" s="36">
        <f t="shared" si="191"/>
        <v>1.35</v>
      </c>
      <c r="W779" s="17">
        <f t="shared" si="188"/>
        <v>2.7000000000000003E-2</v>
      </c>
      <c r="X779" s="14">
        <f t="shared" si="192"/>
        <v>1</v>
      </c>
      <c r="Y779" s="14">
        <f t="shared" si="193"/>
        <v>2</v>
      </c>
      <c r="Z779" s="14">
        <f t="shared" si="194"/>
        <v>3</v>
      </c>
      <c r="AA779" s="14" t="str">
        <f t="shared" si="195"/>
        <v>AtkExt</v>
      </c>
      <c r="AB779" s="14">
        <f t="shared" si="189"/>
        <v>1834</v>
      </c>
      <c r="AC779" s="14" t="str">
        <f t="shared" si="196"/>
        <v>DefExt</v>
      </c>
      <c r="AD779" s="14">
        <f t="shared" si="197"/>
        <v>916</v>
      </c>
      <c r="AE779" s="14" t="str">
        <f t="shared" si="198"/>
        <v>HPExt</v>
      </c>
      <c r="AF779" s="27">
        <f t="shared" si="199"/>
        <v>5504</v>
      </c>
      <c r="AG779" s="27" t="str">
        <f t="shared" si="200"/>
        <v>[x]</v>
      </c>
    </row>
    <row r="780" spans="16:33" ht="16.5" x14ac:dyDescent="0.2">
      <c r="P780" s="13">
        <v>724</v>
      </c>
      <c r="Q780" s="14">
        <f t="shared" si="185"/>
        <v>37</v>
      </c>
      <c r="R780" s="14">
        <f t="shared" si="186"/>
        <v>1606045</v>
      </c>
      <c r="S780" s="14" t="str">
        <f t="shared" si="190"/>
        <v>神器7碎片3等级16</v>
      </c>
      <c r="T780" s="29" t="s">
        <v>520</v>
      </c>
      <c r="U780" s="14">
        <f t="shared" si="187"/>
        <v>16</v>
      </c>
      <c r="V780" s="36">
        <f t="shared" si="191"/>
        <v>1.4620000000000002</v>
      </c>
      <c r="W780" s="17">
        <f t="shared" si="188"/>
        <v>2.9240000000000006E-2</v>
      </c>
      <c r="X780" s="14">
        <f t="shared" si="192"/>
        <v>1</v>
      </c>
      <c r="Y780" s="14">
        <f t="shared" si="193"/>
        <v>2</v>
      </c>
      <c r="Z780" s="14">
        <f t="shared" si="194"/>
        <v>3</v>
      </c>
      <c r="AA780" s="14" t="str">
        <f t="shared" si="195"/>
        <v>AtkExt</v>
      </c>
      <c r="AB780" s="14">
        <f t="shared" si="189"/>
        <v>1986</v>
      </c>
      <c r="AC780" s="14" t="str">
        <f t="shared" si="196"/>
        <v>DefExt</v>
      </c>
      <c r="AD780" s="14">
        <f t="shared" si="197"/>
        <v>992</v>
      </c>
      <c r="AE780" s="14" t="str">
        <f t="shared" si="198"/>
        <v>HPExt</v>
      </c>
      <c r="AF780" s="27">
        <f t="shared" si="199"/>
        <v>5961</v>
      </c>
      <c r="AG780" s="27" t="str">
        <f t="shared" si="200"/>
        <v>[x]</v>
      </c>
    </row>
    <row r="781" spans="16:33" ht="16.5" x14ac:dyDescent="0.2">
      <c r="P781" s="13">
        <v>725</v>
      </c>
      <c r="Q781" s="14">
        <f t="shared" si="185"/>
        <v>37</v>
      </c>
      <c r="R781" s="14">
        <f t="shared" si="186"/>
        <v>1606045</v>
      </c>
      <c r="S781" s="14" t="str">
        <f t="shared" si="190"/>
        <v>神器7碎片3等级17</v>
      </c>
      <c r="T781" s="29" t="s">
        <v>520</v>
      </c>
      <c r="U781" s="14">
        <f t="shared" si="187"/>
        <v>17</v>
      </c>
      <c r="V781" s="36">
        <f t="shared" si="191"/>
        <v>1.5779999999999998</v>
      </c>
      <c r="W781" s="17">
        <f t="shared" si="188"/>
        <v>3.1559999999999998E-2</v>
      </c>
      <c r="X781" s="14">
        <f t="shared" si="192"/>
        <v>1</v>
      </c>
      <c r="Y781" s="14">
        <f t="shared" si="193"/>
        <v>2</v>
      </c>
      <c r="Z781" s="14">
        <f t="shared" si="194"/>
        <v>3</v>
      </c>
      <c r="AA781" s="14" t="str">
        <f t="shared" si="195"/>
        <v>AtkExt</v>
      </c>
      <c r="AB781" s="14">
        <f t="shared" si="189"/>
        <v>2143</v>
      </c>
      <c r="AC781" s="14" t="str">
        <f t="shared" si="196"/>
        <v>DefExt</v>
      </c>
      <c r="AD781" s="14">
        <f t="shared" si="197"/>
        <v>1071</v>
      </c>
      <c r="AE781" s="14" t="str">
        <f t="shared" si="198"/>
        <v>HPExt</v>
      </c>
      <c r="AF781" s="27">
        <f t="shared" si="199"/>
        <v>6434</v>
      </c>
      <c r="AG781" s="27" t="str">
        <f t="shared" si="200"/>
        <v>[x]</v>
      </c>
    </row>
    <row r="782" spans="16:33" ht="16.5" x14ac:dyDescent="0.2">
      <c r="P782" s="13">
        <v>726</v>
      </c>
      <c r="Q782" s="14">
        <f t="shared" si="185"/>
        <v>37</v>
      </c>
      <c r="R782" s="14">
        <f t="shared" si="186"/>
        <v>1606045</v>
      </c>
      <c r="S782" s="14" t="str">
        <f t="shared" si="190"/>
        <v>神器7碎片3等级18</v>
      </c>
      <c r="T782" s="29" t="s">
        <v>520</v>
      </c>
      <c r="U782" s="14">
        <f t="shared" si="187"/>
        <v>18</v>
      </c>
      <c r="V782" s="36">
        <f t="shared" si="191"/>
        <v>1.698</v>
      </c>
      <c r="W782" s="17">
        <f t="shared" si="188"/>
        <v>3.3959999999999997E-2</v>
      </c>
      <c r="X782" s="14">
        <f t="shared" si="192"/>
        <v>1</v>
      </c>
      <c r="Y782" s="14">
        <f t="shared" si="193"/>
        <v>2</v>
      </c>
      <c r="Z782" s="14">
        <f t="shared" si="194"/>
        <v>3</v>
      </c>
      <c r="AA782" s="14" t="str">
        <f t="shared" si="195"/>
        <v>AtkExt</v>
      </c>
      <c r="AB782" s="14">
        <f t="shared" si="189"/>
        <v>2306</v>
      </c>
      <c r="AC782" s="14" t="str">
        <f t="shared" si="196"/>
        <v>DefExt</v>
      </c>
      <c r="AD782" s="14">
        <f t="shared" si="197"/>
        <v>1152</v>
      </c>
      <c r="AE782" s="14" t="str">
        <f t="shared" si="198"/>
        <v>HPExt</v>
      </c>
      <c r="AF782" s="27">
        <f t="shared" si="199"/>
        <v>6923</v>
      </c>
      <c r="AG782" s="27" t="str">
        <f t="shared" si="200"/>
        <v>[x]</v>
      </c>
    </row>
    <row r="783" spans="16:33" ht="16.5" x14ac:dyDescent="0.2">
      <c r="P783" s="13">
        <v>727</v>
      </c>
      <c r="Q783" s="14">
        <f t="shared" si="185"/>
        <v>37</v>
      </c>
      <c r="R783" s="14">
        <f t="shared" si="186"/>
        <v>1606045</v>
      </c>
      <c r="S783" s="14" t="str">
        <f t="shared" si="190"/>
        <v>神器7碎片3等级19</v>
      </c>
      <c r="T783" s="29" t="s">
        <v>520</v>
      </c>
      <c r="U783" s="14">
        <f t="shared" si="187"/>
        <v>19</v>
      </c>
      <c r="V783" s="36">
        <f t="shared" si="191"/>
        <v>1.8220000000000001</v>
      </c>
      <c r="W783" s="17">
        <f t="shared" si="188"/>
        <v>3.644E-2</v>
      </c>
      <c r="X783" s="14">
        <f t="shared" si="192"/>
        <v>1</v>
      </c>
      <c r="Y783" s="14">
        <f t="shared" si="193"/>
        <v>2</v>
      </c>
      <c r="Z783" s="14">
        <f t="shared" si="194"/>
        <v>3</v>
      </c>
      <c r="AA783" s="14" t="str">
        <f t="shared" si="195"/>
        <v>AtkExt</v>
      </c>
      <c r="AB783" s="14">
        <f t="shared" si="189"/>
        <v>2475</v>
      </c>
      <c r="AC783" s="14" t="str">
        <f t="shared" si="196"/>
        <v>DefExt</v>
      </c>
      <c r="AD783" s="14">
        <f t="shared" si="197"/>
        <v>1237</v>
      </c>
      <c r="AE783" s="14" t="str">
        <f t="shared" si="198"/>
        <v>HPExt</v>
      </c>
      <c r="AF783" s="27">
        <f t="shared" si="199"/>
        <v>7429</v>
      </c>
      <c r="AG783" s="27" t="str">
        <f t="shared" si="200"/>
        <v>[x]</v>
      </c>
    </row>
    <row r="784" spans="16:33" ht="16.5" x14ac:dyDescent="0.2">
      <c r="P784" s="13">
        <v>728</v>
      </c>
      <c r="Q784" s="14">
        <f t="shared" si="185"/>
        <v>37</v>
      </c>
      <c r="R784" s="14">
        <f t="shared" si="186"/>
        <v>1606045</v>
      </c>
      <c r="S784" s="14" t="str">
        <f t="shared" si="190"/>
        <v>神器7碎片3等级20</v>
      </c>
      <c r="T784" s="29" t="s">
        <v>520</v>
      </c>
      <c r="U784" s="14">
        <f t="shared" si="187"/>
        <v>20</v>
      </c>
      <c r="V784" s="36">
        <f t="shared" si="191"/>
        <v>1.95</v>
      </c>
      <c r="W784" s="17">
        <f t="shared" si="188"/>
        <v>3.9E-2</v>
      </c>
      <c r="X784" s="14">
        <f t="shared" si="192"/>
        <v>1</v>
      </c>
      <c r="Y784" s="14">
        <f t="shared" si="193"/>
        <v>2</v>
      </c>
      <c r="Z784" s="14">
        <f t="shared" si="194"/>
        <v>3</v>
      </c>
      <c r="AA784" s="14" t="str">
        <f t="shared" si="195"/>
        <v>AtkExt</v>
      </c>
      <c r="AB784" s="14">
        <f t="shared" si="189"/>
        <v>2649</v>
      </c>
      <c r="AC784" s="14" t="str">
        <f t="shared" si="196"/>
        <v>DefExt</v>
      </c>
      <c r="AD784" s="14">
        <f t="shared" si="197"/>
        <v>1323</v>
      </c>
      <c r="AE784" s="14" t="str">
        <f t="shared" si="198"/>
        <v>HPExt</v>
      </c>
      <c r="AF784" s="27">
        <f t="shared" si="199"/>
        <v>7951</v>
      </c>
      <c r="AG784" s="27" t="str">
        <f t="shared" si="200"/>
        <v>[x]</v>
      </c>
    </row>
    <row r="785" spans="16:33" ht="16.5" x14ac:dyDescent="0.2">
      <c r="P785" s="13">
        <v>729</v>
      </c>
      <c r="Q785" s="14">
        <f t="shared" si="185"/>
        <v>37</v>
      </c>
      <c r="R785" s="14">
        <f t="shared" si="186"/>
        <v>1606045</v>
      </c>
      <c r="S785" s="14" t="str">
        <f t="shared" si="190"/>
        <v>神器7碎片3等级21</v>
      </c>
      <c r="T785" s="29" t="s">
        <v>520</v>
      </c>
      <c r="U785" s="14">
        <f t="shared" si="187"/>
        <v>21</v>
      </c>
      <c r="V785" s="36">
        <f t="shared" si="191"/>
        <v>2.0819999999999999</v>
      </c>
      <c r="W785" s="17">
        <f t="shared" si="188"/>
        <v>4.1639999999999996E-2</v>
      </c>
      <c r="X785" s="14">
        <f t="shared" si="192"/>
        <v>1</v>
      </c>
      <c r="Y785" s="14">
        <f t="shared" si="193"/>
        <v>2</v>
      </c>
      <c r="Z785" s="14">
        <f t="shared" si="194"/>
        <v>3</v>
      </c>
      <c r="AA785" s="14" t="str">
        <f t="shared" si="195"/>
        <v>AtkExt</v>
      </c>
      <c r="AB785" s="14">
        <f t="shared" si="189"/>
        <v>2828</v>
      </c>
      <c r="AC785" s="14" t="str">
        <f t="shared" si="196"/>
        <v>DefExt</v>
      </c>
      <c r="AD785" s="14">
        <f t="shared" si="197"/>
        <v>1413</v>
      </c>
      <c r="AE785" s="14" t="str">
        <f t="shared" si="198"/>
        <v>HPExt</v>
      </c>
      <c r="AF785" s="27">
        <f t="shared" si="199"/>
        <v>8489</v>
      </c>
      <c r="AG785" s="27" t="str">
        <f t="shared" si="200"/>
        <v>[x]</v>
      </c>
    </row>
    <row r="786" spans="16:33" ht="16.5" x14ac:dyDescent="0.2">
      <c r="P786" s="13">
        <v>730</v>
      </c>
      <c r="Q786" s="14">
        <f t="shared" si="185"/>
        <v>38</v>
      </c>
      <c r="R786" s="14">
        <f t="shared" si="186"/>
        <v>1606046</v>
      </c>
      <c r="S786" s="14" t="str">
        <f t="shared" si="190"/>
        <v>神器7碎片4等级1</v>
      </c>
      <c r="T786" s="29" t="s">
        <v>520</v>
      </c>
      <c r="U786" s="14">
        <f t="shared" si="187"/>
        <v>1</v>
      </c>
      <c r="V786" s="36">
        <f t="shared" si="191"/>
        <v>0.20200000000000001</v>
      </c>
      <c r="W786" s="17">
        <f t="shared" si="188"/>
        <v>6.0600000000000003E-3</v>
      </c>
      <c r="X786" s="14">
        <f t="shared" si="192"/>
        <v>1</v>
      </c>
      <c r="Y786" s="14">
        <f t="shared" si="193"/>
        <v>2</v>
      </c>
      <c r="Z786" s="14">
        <f t="shared" si="194"/>
        <v>0</v>
      </c>
      <c r="AA786" s="14" t="str">
        <f t="shared" si="195"/>
        <v>AtkExt</v>
      </c>
      <c r="AB786" s="14">
        <f t="shared" si="189"/>
        <v>823</v>
      </c>
      <c r="AC786" s="14" t="str">
        <f t="shared" si="196"/>
        <v>DefExt</v>
      </c>
      <c r="AD786" s="14">
        <f t="shared" si="197"/>
        <v>205</v>
      </c>
      <c r="AE786" s="14" t="str">
        <f t="shared" si="198"/>
        <v>[x]</v>
      </c>
      <c r="AF786" s="27" t="str">
        <f t="shared" si="199"/>
        <v>[x]</v>
      </c>
      <c r="AG786" s="27" t="str">
        <f t="shared" si="200"/>
        <v>[x]</v>
      </c>
    </row>
    <row r="787" spans="16:33" ht="16.5" x14ac:dyDescent="0.2">
      <c r="P787" s="13">
        <v>731</v>
      </c>
      <c r="Q787" s="14">
        <f t="shared" si="185"/>
        <v>38</v>
      </c>
      <c r="R787" s="14">
        <f t="shared" si="186"/>
        <v>1606046</v>
      </c>
      <c r="S787" s="14" t="str">
        <f t="shared" si="190"/>
        <v>神器7碎片4等级2</v>
      </c>
      <c r="T787" s="29" t="s">
        <v>520</v>
      </c>
      <c r="U787" s="14">
        <f t="shared" si="187"/>
        <v>2</v>
      </c>
      <c r="V787" s="36">
        <f t="shared" si="191"/>
        <v>0.25800000000000001</v>
      </c>
      <c r="W787" s="17">
        <f t="shared" si="188"/>
        <v>7.7400000000000004E-3</v>
      </c>
      <c r="X787" s="14">
        <f t="shared" si="192"/>
        <v>1</v>
      </c>
      <c r="Y787" s="14">
        <f t="shared" si="193"/>
        <v>2</v>
      </c>
      <c r="Z787" s="14">
        <f t="shared" si="194"/>
        <v>0</v>
      </c>
      <c r="AA787" s="14" t="str">
        <f t="shared" si="195"/>
        <v>AtkExt</v>
      </c>
      <c r="AB787" s="14">
        <f t="shared" si="189"/>
        <v>1051</v>
      </c>
      <c r="AC787" s="14" t="str">
        <f t="shared" si="196"/>
        <v>DefExt</v>
      </c>
      <c r="AD787" s="14">
        <f t="shared" si="197"/>
        <v>262</v>
      </c>
      <c r="AE787" s="14" t="str">
        <f t="shared" si="198"/>
        <v>[x]</v>
      </c>
      <c r="AF787" s="27" t="str">
        <f t="shared" si="199"/>
        <v>[x]</v>
      </c>
      <c r="AG787" s="27" t="str">
        <f t="shared" si="200"/>
        <v>[x]</v>
      </c>
    </row>
    <row r="788" spans="16:33" ht="16.5" x14ac:dyDescent="0.2">
      <c r="P788" s="13">
        <v>732</v>
      </c>
      <c r="Q788" s="14">
        <f t="shared" si="185"/>
        <v>38</v>
      </c>
      <c r="R788" s="14">
        <f t="shared" si="186"/>
        <v>1606046</v>
      </c>
      <c r="S788" s="14" t="str">
        <f t="shared" si="190"/>
        <v>神器7碎片4等级3</v>
      </c>
      <c r="T788" s="29" t="s">
        <v>520</v>
      </c>
      <c r="U788" s="14">
        <f t="shared" si="187"/>
        <v>3</v>
      </c>
      <c r="V788" s="36">
        <f t="shared" si="191"/>
        <v>0.31800000000000006</v>
      </c>
      <c r="W788" s="17">
        <f t="shared" si="188"/>
        <v>9.5400000000000016E-3</v>
      </c>
      <c r="X788" s="14">
        <f t="shared" si="192"/>
        <v>1</v>
      </c>
      <c r="Y788" s="14">
        <f t="shared" si="193"/>
        <v>2</v>
      </c>
      <c r="Z788" s="14">
        <f t="shared" si="194"/>
        <v>0</v>
      </c>
      <c r="AA788" s="14" t="str">
        <f t="shared" si="195"/>
        <v>AtkExt</v>
      </c>
      <c r="AB788" s="14">
        <f t="shared" si="189"/>
        <v>1296</v>
      </c>
      <c r="AC788" s="14" t="str">
        <f t="shared" si="196"/>
        <v>DefExt</v>
      </c>
      <c r="AD788" s="14">
        <f t="shared" si="197"/>
        <v>323</v>
      </c>
      <c r="AE788" s="14" t="str">
        <f t="shared" si="198"/>
        <v>[x]</v>
      </c>
      <c r="AF788" s="27" t="str">
        <f t="shared" si="199"/>
        <v>[x]</v>
      </c>
      <c r="AG788" s="27" t="str">
        <f t="shared" si="200"/>
        <v>[x]</v>
      </c>
    </row>
    <row r="789" spans="16:33" ht="16.5" x14ac:dyDescent="0.2">
      <c r="P789" s="13">
        <v>733</v>
      </c>
      <c r="Q789" s="14">
        <f t="shared" si="185"/>
        <v>38</v>
      </c>
      <c r="R789" s="14">
        <f t="shared" si="186"/>
        <v>1606046</v>
      </c>
      <c r="S789" s="14" t="str">
        <f t="shared" si="190"/>
        <v>神器7碎片4等级4</v>
      </c>
      <c r="T789" s="29" t="s">
        <v>520</v>
      </c>
      <c r="U789" s="14">
        <f t="shared" si="187"/>
        <v>4</v>
      </c>
      <c r="V789" s="36">
        <f t="shared" si="191"/>
        <v>0.38200000000000001</v>
      </c>
      <c r="W789" s="17">
        <f t="shared" si="188"/>
        <v>1.146E-2</v>
      </c>
      <c r="X789" s="14">
        <f t="shared" si="192"/>
        <v>1</v>
      </c>
      <c r="Y789" s="14">
        <f t="shared" si="193"/>
        <v>2</v>
      </c>
      <c r="Z789" s="14">
        <f t="shared" si="194"/>
        <v>0</v>
      </c>
      <c r="AA789" s="14" t="str">
        <f t="shared" si="195"/>
        <v>AtkExt</v>
      </c>
      <c r="AB789" s="14">
        <f t="shared" si="189"/>
        <v>1556</v>
      </c>
      <c r="AC789" s="14" t="str">
        <f t="shared" si="196"/>
        <v>DefExt</v>
      </c>
      <c r="AD789" s="14">
        <f t="shared" si="197"/>
        <v>389</v>
      </c>
      <c r="AE789" s="14" t="str">
        <f t="shared" si="198"/>
        <v>[x]</v>
      </c>
      <c r="AF789" s="27" t="str">
        <f t="shared" si="199"/>
        <v>[x]</v>
      </c>
      <c r="AG789" s="27" t="str">
        <f t="shared" si="200"/>
        <v>[x]</v>
      </c>
    </row>
    <row r="790" spans="16:33" ht="16.5" x14ac:dyDescent="0.2">
      <c r="P790" s="13">
        <v>734</v>
      </c>
      <c r="Q790" s="14">
        <f t="shared" si="185"/>
        <v>38</v>
      </c>
      <c r="R790" s="14">
        <f t="shared" si="186"/>
        <v>1606046</v>
      </c>
      <c r="S790" s="14" t="str">
        <f t="shared" si="190"/>
        <v>神器7碎片4等级5</v>
      </c>
      <c r="T790" s="29" t="s">
        <v>520</v>
      </c>
      <c r="U790" s="14">
        <f t="shared" si="187"/>
        <v>5</v>
      </c>
      <c r="V790" s="36">
        <f t="shared" si="191"/>
        <v>0.45</v>
      </c>
      <c r="W790" s="17">
        <f t="shared" si="188"/>
        <v>1.35E-2</v>
      </c>
      <c r="X790" s="14">
        <f t="shared" si="192"/>
        <v>1</v>
      </c>
      <c r="Y790" s="14">
        <f t="shared" si="193"/>
        <v>2</v>
      </c>
      <c r="Z790" s="14">
        <f t="shared" si="194"/>
        <v>0</v>
      </c>
      <c r="AA790" s="14" t="str">
        <f t="shared" si="195"/>
        <v>AtkExt</v>
      </c>
      <c r="AB790" s="14">
        <f t="shared" si="189"/>
        <v>1834</v>
      </c>
      <c r="AC790" s="14" t="str">
        <f t="shared" si="196"/>
        <v>DefExt</v>
      </c>
      <c r="AD790" s="14">
        <f t="shared" si="197"/>
        <v>458</v>
      </c>
      <c r="AE790" s="14" t="str">
        <f t="shared" si="198"/>
        <v>[x]</v>
      </c>
      <c r="AF790" s="27" t="str">
        <f t="shared" si="199"/>
        <v>[x]</v>
      </c>
      <c r="AG790" s="27" t="str">
        <f t="shared" si="200"/>
        <v>[x]</v>
      </c>
    </row>
    <row r="791" spans="16:33" ht="16.5" x14ac:dyDescent="0.2">
      <c r="P791" s="13">
        <v>735</v>
      </c>
      <c r="Q791" s="14">
        <f t="shared" si="185"/>
        <v>38</v>
      </c>
      <c r="R791" s="14">
        <f t="shared" si="186"/>
        <v>1606046</v>
      </c>
      <c r="S791" s="14" t="str">
        <f t="shared" si="190"/>
        <v>神器7碎片4等级6</v>
      </c>
      <c r="T791" s="29" t="s">
        <v>520</v>
      </c>
      <c r="U791" s="14">
        <f t="shared" si="187"/>
        <v>6</v>
      </c>
      <c r="V791" s="36">
        <f t="shared" si="191"/>
        <v>0.52200000000000002</v>
      </c>
      <c r="W791" s="17">
        <f t="shared" si="188"/>
        <v>1.566E-2</v>
      </c>
      <c r="X791" s="14">
        <f t="shared" si="192"/>
        <v>1</v>
      </c>
      <c r="Y791" s="14">
        <f t="shared" si="193"/>
        <v>2</v>
      </c>
      <c r="Z791" s="14">
        <f t="shared" si="194"/>
        <v>0</v>
      </c>
      <c r="AA791" s="14" t="str">
        <f t="shared" si="195"/>
        <v>AtkExt</v>
      </c>
      <c r="AB791" s="14">
        <f t="shared" si="189"/>
        <v>2127</v>
      </c>
      <c r="AC791" s="14" t="str">
        <f t="shared" si="196"/>
        <v>DefExt</v>
      </c>
      <c r="AD791" s="14">
        <f t="shared" si="197"/>
        <v>531</v>
      </c>
      <c r="AE791" s="14" t="str">
        <f t="shared" si="198"/>
        <v>[x]</v>
      </c>
      <c r="AF791" s="27" t="str">
        <f t="shared" si="199"/>
        <v>[x]</v>
      </c>
      <c r="AG791" s="27" t="str">
        <f t="shared" si="200"/>
        <v>[x]</v>
      </c>
    </row>
    <row r="792" spans="16:33" ht="16.5" x14ac:dyDescent="0.2">
      <c r="P792" s="13">
        <v>736</v>
      </c>
      <c r="Q792" s="14">
        <f t="shared" si="185"/>
        <v>38</v>
      </c>
      <c r="R792" s="14">
        <f t="shared" si="186"/>
        <v>1606046</v>
      </c>
      <c r="S792" s="14" t="str">
        <f t="shared" si="190"/>
        <v>神器7碎片4等级7</v>
      </c>
      <c r="T792" s="29" t="s">
        <v>520</v>
      </c>
      <c r="U792" s="14">
        <f t="shared" si="187"/>
        <v>7</v>
      </c>
      <c r="V792" s="36">
        <f t="shared" si="191"/>
        <v>0.59799999999999998</v>
      </c>
      <c r="W792" s="17">
        <f t="shared" si="188"/>
        <v>1.7939999999999998E-2</v>
      </c>
      <c r="X792" s="14">
        <f t="shared" si="192"/>
        <v>1</v>
      </c>
      <c r="Y792" s="14">
        <f t="shared" si="193"/>
        <v>2</v>
      </c>
      <c r="Z792" s="14">
        <f t="shared" si="194"/>
        <v>0</v>
      </c>
      <c r="AA792" s="14" t="str">
        <f t="shared" si="195"/>
        <v>AtkExt</v>
      </c>
      <c r="AB792" s="14">
        <f t="shared" si="189"/>
        <v>2437</v>
      </c>
      <c r="AC792" s="14" t="str">
        <f t="shared" si="196"/>
        <v>DefExt</v>
      </c>
      <c r="AD792" s="14">
        <f t="shared" si="197"/>
        <v>609</v>
      </c>
      <c r="AE792" s="14" t="str">
        <f t="shared" si="198"/>
        <v>[x]</v>
      </c>
      <c r="AF792" s="27" t="str">
        <f t="shared" si="199"/>
        <v>[x]</v>
      </c>
      <c r="AG792" s="27" t="str">
        <f t="shared" si="200"/>
        <v>[x]</v>
      </c>
    </row>
    <row r="793" spans="16:33" ht="16.5" x14ac:dyDescent="0.2">
      <c r="P793" s="13">
        <v>737</v>
      </c>
      <c r="Q793" s="14">
        <f t="shared" si="185"/>
        <v>38</v>
      </c>
      <c r="R793" s="14">
        <f t="shared" si="186"/>
        <v>1606046</v>
      </c>
      <c r="S793" s="14" t="str">
        <f t="shared" si="190"/>
        <v>神器7碎片4等级8</v>
      </c>
      <c r="T793" s="29" t="s">
        <v>520</v>
      </c>
      <c r="U793" s="14">
        <f t="shared" si="187"/>
        <v>8</v>
      </c>
      <c r="V793" s="36">
        <f t="shared" si="191"/>
        <v>0.67800000000000005</v>
      </c>
      <c r="W793" s="17">
        <f t="shared" si="188"/>
        <v>2.034E-2</v>
      </c>
      <c r="X793" s="14">
        <f t="shared" si="192"/>
        <v>1</v>
      </c>
      <c r="Y793" s="14">
        <f t="shared" si="193"/>
        <v>2</v>
      </c>
      <c r="Z793" s="14">
        <f t="shared" si="194"/>
        <v>0</v>
      </c>
      <c r="AA793" s="14" t="str">
        <f t="shared" si="195"/>
        <v>AtkExt</v>
      </c>
      <c r="AB793" s="14">
        <f t="shared" si="189"/>
        <v>2763</v>
      </c>
      <c r="AC793" s="14" t="str">
        <f t="shared" si="196"/>
        <v>DefExt</v>
      </c>
      <c r="AD793" s="14">
        <f t="shared" si="197"/>
        <v>690</v>
      </c>
      <c r="AE793" s="14" t="str">
        <f t="shared" si="198"/>
        <v>[x]</v>
      </c>
      <c r="AF793" s="27" t="str">
        <f t="shared" si="199"/>
        <v>[x]</v>
      </c>
      <c r="AG793" s="27" t="str">
        <f t="shared" si="200"/>
        <v>[x]</v>
      </c>
    </row>
    <row r="794" spans="16:33" ht="16.5" x14ac:dyDescent="0.2">
      <c r="P794" s="13">
        <v>738</v>
      </c>
      <c r="Q794" s="14">
        <f t="shared" si="185"/>
        <v>38</v>
      </c>
      <c r="R794" s="14">
        <f t="shared" si="186"/>
        <v>1606046</v>
      </c>
      <c r="S794" s="14" t="str">
        <f t="shared" si="190"/>
        <v>神器7碎片4等级9</v>
      </c>
      <c r="T794" s="29" t="s">
        <v>520</v>
      </c>
      <c r="U794" s="14">
        <f t="shared" si="187"/>
        <v>9</v>
      </c>
      <c r="V794" s="36">
        <f t="shared" si="191"/>
        <v>0.76200000000000001</v>
      </c>
      <c r="W794" s="17">
        <f t="shared" si="188"/>
        <v>2.2859999999999998E-2</v>
      </c>
      <c r="X794" s="14">
        <f t="shared" si="192"/>
        <v>1</v>
      </c>
      <c r="Y794" s="14">
        <f t="shared" si="193"/>
        <v>2</v>
      </c>
      <c r="Z794" s="14">
        <f t="shared" si="194"/>
        <v>0</v>
      </c>
      <c r="AA794" s="14" t="str">
        <f t="shared" si="195"/>
        <v>AtkExt</v>
      </c>
      <c r="AB794" s="14">
        <f t="shared" si="189"/>
        <v>3105</v>
      </c>
      <c r="AC794" s="14" t="str">
        <f t="shared" si="196"/>
        <v>DefExt</v>
      </c>
      <c r="AD794" s="14">
        <f t="shared" si="197"/>
        <v>776</v>
      </c>
      <c r="AE794" s="14" t="str">
        <f t="shared" si="198"/>
        <v>[x]</v>
      </c>
      <c r="AF794" s="27" t="str">
        <f t="shared" si="199"/>
        <v>[x]</v>
      </c>
      <c r="AG794" s="27" t="str">
        <f t="shared" si="200"/>
        <v>[x]</v>
      </c>
    </row>
    <row r="795" spans="16:33" ht="16.5" x14ac:dyDescent="0.2">
      <c r="P795" s="13">
        <v>739</v>
      </c>
      <c r="Q795" s="14">
        <f t="shared" si="185"/>
        <v>38</v>
      </c>
      <c r="R795" s="14">
        <f t="shared" si="186"/>
        <v>1606046</v>
      </c>
      <c r="S795" s="14" t="str">
        <f t="shared" si="190"/>
        <v>神器7碎片4等级10</v>
      </c>
      <c r="T795" s="29" t="s">
        <v>520</v>
      </c>
      <c r="U795" s="14">
        <f t="shared" si="187"/>
        <v>10</v>
      </c>
      <c r="V795" s="36">
        <f t="shared" si="191"/>
        <v>0.85000000000000009</v>
      </c>
      <c r="W795" s="17">
        <f t="shared" si="188"/>
        <v>2.5500000000000002E-2</v>
      </c>
      <c r="X795" s="14">
        <f t="shared" si="192"/>
        <v>1</v>
      </c>
      <c r="Y795" s="14">
        <f t="shared" si="193"/>
        <v>2</v>
      </c>
      <c r="Z795" s="14">
        <f t="shared" si="194"/>
        <v>0</v>
      </c>
      <c r="AA795" s="14" t="str">
        <f t="shared" si="195"/>
        <v>AtkExt</v>
      </c>
      <c r="AB795" s="14">
        <f t="shared" si="189"/>
        <v>3464</v>
      </c>
      <c r="AC795" s="14" t="str">
        <f t="shared" si="196"/>
        <v>DefExt</v>
      </c>
      <c r="AD795" s="14">
        <f t="shared" si="197"/>
        <v>865</v>
      </c>
      <c r="AE795" s="14" t="str">
        <f t="shared" si="198"/>
        <v>[x]</v>
      </c>
      <c r="AF795" s="27" t="str">
        <f t="shared" si="199"/>
        <v>[x]</v>
      </c>
      <c r="AG795" s="27" t="str">
        <f t="shared" si="200"/>
        <v>[x]</v>
      </c>
    </row>
    <row r="796" spans="16:33" ht="16.5" x14ac:dyDescent="0.2">
      <c r="P796" s="13">
        <v>740</v>
      </c>
      <c r="Q796" s="14">
        <f t="shared" si="185"/>
        <v>38</v>
      </c>
      <c r="R796" s="14">
        <f t="shared" si="186"/>
        <v>1606046</v>
      </c>
      <c r="S796" s="14" t="str">
        <f t="shared" si="190"/>
        <v>神器7碎片4等级11</v>
      </c>
      <c r="T796" s="29" t="s">
        <v>520</v>
      </c>
      <c r="U796" s="14">
        <f t="shared" si="187"/>
        <v>11</v>
      </c>
      <c r="V796" s="36">
        <f t="shared" si="191"/>
        <v>0.94200000000000006</v>
      </c>
      <c r="W796" s="17">
        <f t="shared" si="188"/>
        <v>2.826E-2</v>
      </c>
      <c r="X796" s="14">
        <f t="shared" si="192"/>
        <v>1</v>
      </c>
      <c r="Y796" s="14">
        <f t="shared" si="193"/>
        <v>2</v>
      </c>
      <c r="Z796" s="14">
        <f t="shared" si="194"/>
        <v>0</v>
      </c>
      <c r="AA796" s="14" t="str">
        <f t="shared" si="195"/>
        <v>AtkExt</v>
      </c>
      <c r="AB796" s="14">
        <f t="shared" si="189"/>
        <v>3839</v>
      </c>
      <c r="AC796" s="14" t="str">
        <f t="shared" si="196"/>
        <v>DefExt</v>
      </c>
      <c r="AD796" s="14">
        <f t="shared" si="197"/>
        <v>959</v>
      </c>
      <c r="AE796" s="14" t="str">
        <f t="shared" si="198"/>
        <v>[x]</v>
      </c>
      <c r="AF796" s="27" t="str">
        <f t="shared" si="199"/>
        <v>[x]</v>
      </c>
      <c r="AG796" s="27" t="str">
        <f t="shared" si="200"/>
        <v>[x]</v>
      </c>
    </row>
    <row r="797" spans="16:33" ht="16.5" x14ac:dyDescent="0.2">
      <c r="P797" s="13">
        <v>741</v>
      </c>
      <c r="Q797" s="14">
        <f t="shared" si="185"/>
        <v>38</v>
      </c>
      <c r="R797" s="14">
        <f t="shared" si="186"/>
        <v>1606046</v>
      </c>
      <c r="S797" s="14" t="str">
        <f t="shared" si="190"/>
        <v>神器7碎片4等级12</v>
      </c>
      <c r="T797" s="29" t="s">
        <v>520</v>
      </c>
      <c r="U797" s="14">
        <f t="shared" si="187"/>
        <v>12</v>
      </c>
      <c r="V797" s="36">
        <f t="shared" si="191"/>
        <v>1.0380000000000003</v>
      </c>
      <c r="W797" s="17">
        <f t="shared" si="188"/>
        <v>3.1140000000000008E-2</v>
      </c>
      <c r="X797" s="14">
        <f t="shared" si="192"/>
        <v>1</v>
      </c>
      <c r="Y797" s="14">
        <f t="shared" si="193"/>
        <v>2</v>
      </c>
      <c r="Z797" s="14">
        <f t="shared" si="194"/>
        <v>0</v>
      </c>
      <c r="AA797" s="14" t="str">
        <f t="shared" si="195"/>
        <v>AtkExt</v>
      </c>
      <c r="AB797" s="14">
        <f t="shared" si="189"/>
        <v>4230</v>
      </c>
      <c r="AC797" s="14" t="str">
        <f t="shared" si="196"/>
        <v>DefExt</v>
      </c>
      <c r="AD797" s="14">
        <f t="shared" si="197"/>
        <v>1057</v>
      </c>
      <c r="AE797" s="14" t="str">
        <f t="shared" si="198"/>
        <v>[x]</v>
      </c>
      <c r="AF797" s="27" t="str">
        <f t="shared" si="199"/>
        <v>[x]</v>
      </c>
      <c r="AG797" s="27" t="str">
        <f t="shared" si="200"/>
        <v>[x]</v>
      </c>
    </row>
    <row r="798" spans="16:33" ht="16.5" x14ac:dyDescent="0.2">
      <c r="P798" s="13">
        <v>742</v>
      </c>
      <c r="Q798" s="14">
        <f t="shared" si="185"/>
        <v>38</v>
      </c>
      <c r="R798" s="14">
        <f t="shared" si="186"/>
        <v>1606046</v>
      </c>
      <c r="S798" s="14" t="str">
        <f t="shared" si="190"/>
        <v>神器7碎片4等级13</v>
      </c>
      <c r="T798" s="29" t="s">
        <v>520</v>
      </c>
      <c r="U798" s="14">
        <f t="shared" si="187"/>
        <v>13</v>
      </c>
      <c r="V798" s="36">
        <f t="shared" si="191"/>
        <v>1.1380000000000001</v>
      </c>
      <c r="W798" s="17">
        <f t="shared" si="188"/>
        <v>3.4140000000000004E-2</v>
      </c>
      <c r="X798" s="14">
        <f t="shared" si="192"/>
        <v>1</v>
      </c>
      <c r="Y798" s="14">
        <f t="shared" si="193"/>
        <v>2</v>
      </c>
      <c r="Z798" s="14">
        <f t="shared" si="194"/>
        <v>0</v>
      </c>
      <c r="AA798" s="14" t="str">
        <f t="shared" si="195"/>
        <v>AtkExt</v>
      </c>
      <c r="AB798" s="14">
        <f t="shared" si="189"/>
        <v>4638</v>
      </c>
      <c r="AC798" s="14" t="str">
        <f t="shared" si="196"/>
        <v>DefExt</v>
      </c>
      <c r="AD798" s="14">
        <f t="shared" si="197"/>
        <v>1158</v>
      </c>
      <c r="AE798" s="14" t="str">
        <f t="shared" si="198"/>
        <v>[x]</v>
      </c>
      <c r="AF798" s="27" t="str">
        <f t="shared" si="199"/>
        <v>[x]</v>
      </c>
      <c r="AG798" s="27" t="str">
        <f t="shared" si="200"/>
        <v>[x]</v>
      </c>
    </row>
    <row r="799" spans="16:33" ht="16.5" x14ac:dyDescent="0.2">
      <c r="P799" s="13">
        <v>743</v>
      </c>
      <c r="Q799" s="14">
        <f t="shared" si="185"/>
        <v>38</v>
      </c>
      <c r="R799" s="14">
        <f t="shared" si="186"/>
        <v>1606046</v>
      </c>
      <c r="S799" s="14" t="str">
        <f t="shared" si="190"/>
        <v>神器7碎片4等级14</v>
      </c>
      <c r="T799" s="29" t="s">
        <v>520</v>
      </c>
      <c r="U799" s="14">
        <f t="shared" si="187"/>
        <v>14</v>
      </c>
      <c r="V799" s="36">
        <f t="shared" si="191"/>
        <v>1.242</v>
      </c>
      <c r="W799" s="17">
        <f t="shared" si="188"/>
        <v>3.7260000000000001E-2</v>
      </c>
      <c r="X799" s="14">
        <f t="shared" si="192"/>
        <v>1</v>
      </c>
      <c r="Y799" s="14">
        <f t="shared" si="193"/>
        <v>2</v>
      </c>
      <c r="Z799" s="14">
        <f t="shared" si="194"/>
        <v>0</v>
      </c>
      <c r="AA799" s="14" t="str">
        <f t="shared" si="195"/>
        <v>AtkExt</v>
      </c>
      <c r="AB799" s="14">
        <f t="shared" si="189"/>
        <v>5061</v>
      </c>
      <c r="AC799" s="14" t="str">
        <f t="shared" si="196"/>
        <v>DefExt</v>
      </c>
      <c r="AD799" s="14">
        <f t="shared" si="197"/>
        <v>1264</v>
      </c>
      <c r="AE799" s="14" t="str">
        <f t="shared" si="198"/>
        <v>[x]</v>
      </c>
      <c r="AF799" s="27" t="str">
        <f t="shared" si="199"/>
        <v>[x]</v>
      </c>
      <c r="AG799" s="27" t="str">
        <f t="shared" si="200"/>
        <v>[x]</v>
      </c>
    </row>
    <row r="800" spans="16:33" ht="16.5" x14ac:dyDescent="0.2">
      <c r="P800" s="13">
        <v>744</v>
      </c>
      <c r="Q800" s="14">
        <f t="shared" si="185"/>
        <v>38</v>
      </c>
      <c r="R800" s="14">
        <f t="shared" si="186"/>
        <v>1606046</v>
      </c>
      <c r="S800" s="14" t="str">
        <f t="shared" si="190"/>
        <v>神器7碎片4等级15</v>
      </c>
      <c r="T800" s="29" t="s">
        <v>520</v>
      </c>
      <c r="U800" s="14">
        <f t="shared" si="187"/>
        <v>15</v>
      </c>
      <c r="V800" s="36">
        <f t="shared" si="191"/>
        <v>1.35</v>
      </c>
      <c r="W800" s="17">
        <f t="shared" si="188"/>
        <v>4.0500000000000001E-2</v>
      </c>
      <c r="X800" s="14">
        <f t="shared" si="192"/>
        <v>1</v>
      </c>
      <c r="Y800" s="14">
        <f t="shared" si="193"/>
        <v>2</v>
      </c>
      <c r="Z800" s="14">
        <f t="shared" si="194"/>
        <v>0</v>
      </c>
      <c r="AA800" s="14" t="str">
        <f t="shared" si="195"/>
        <v>AtkExt</v>
      </c>
      <c r="AB800" s="14">
        <f t="shared" si="189"/>
        <v>5502</v>
      </c>
      <c r="AC800" s="14" t="str">
        <f t="shared" si="196"/>
        <v>DefExt</v>
      </c>
      <c r="AD800" s="14">
        <f t="shared" si="197"/>
        <v>1374</v>
      </c>
      <c r="AE800" s="14" t="str">
        <f t="shared" si="198"/>
        <v>[x]</v>
      </c>
      <c r="AF800" s="27" t="str">
        <f t="shared" si="199"/>
        <v>[x]</v>
      </c>
      <c r="AG800" s="27" t="str">
        <f t="shared" si="200"/>
        <v>[x]</v>
      </c>
    </row>
    <row r="801" spans="16:33" ht="16.5" x14ac:dyDescent="0.2">
      <c r="P801" s="13">
        <v>745</v>
      </c>
      <c r="Q801" s="14">
        <f t="shared" si="185"/>
        <v>38</v>
      </c>
      <c r="R801" s="14">
        <f t="shared" si="186"/>
        <v>1606046</v>
      </c>
      <c r="S801" s="14" t="str">
        <f t="shared" si="190"/>
        <v>神器7碎片4等级16</v>
      </c>
      <c r="T801" s="29" t="s">
        <v>520</v>
      </c>
      <c r="U801" s="14">
        <f t="shared" si="187"/>
        <v>16</v>
      </c>
      <c r="V801" s="36">
        <f t="shared" si="191"/>
        <v>1.4620000000000002</v>
      </c>
      <c r="W801" s="17">
        <f t="shared" si="188"/>
        <v>4.3860000000000003E-2</v>
      </c>
      <c r="X801" s="14">
        <f t="shared" si="192"/>
        <v>1</v>
      </c>
      <c r="Y801" s="14">
        <f t="shared" si="193"/>
        <v>2</v>
      </c>
      <c r="Z801" s="14">
        <f t="shared" si="194"/>
        <v>0</v>
      </c>
      <c r="AA801" s="14" t="str">
        <f t="shared" si="195"/>
        <v>AtkExt</v>
      </c>
      <c r="AB801" s="14">
        <f t="shared" si="189"/>
        <v>5958</v>
      </c>
      <c r="AC801" s="14" t="str">
        <f t="shared" si="196"/>
        <v>DefExt</v>
      </c>
      <c r="AD801" s="14">
        <f t="shared" si="197"/>
        <v>1488</v>
      </c>
      <c r="AE801" s="14" t="str">
        <f t="shared" si="198"/>
        <v>[x]</v>
      </c>
      <c r="AF801" s="27" t="str">
        <f t="shared" si="199"/>
        <v>[x]</v>
      </c>
      <c r="AG801" s="27" t="str">
        <f t="shared" si="200"/>
        <v>[x]</v>
      </c>
    </row>
    <row r="802" spans="16:33" ht="16.5" x14ac:dyDescent="0.2">
      <c r="P802" s="13">
        <v>746</v>
      </c>
      <c r="Q802" s="14">
        <f t="shared" si="185"/>
        <v>38</v>
      </c>
      <c r="R802" s="14">
        <f t="shared" si="186"/>
        <v>1606046</v>
      </c>
      <c r="S802" s="14" t="str">
        <f t="shared" si="190"/>
        <v>神器7碎片4等级17</v>
      </c>
      <c r="T802" s="29" t="s">
        <v>520</v>
      </c>
      <c r="U802" s="14">
        <f t="shared" si="187"/>
        <v>17</v>
      </c>
      <c r="V802" s="36">
        <f t="shared" si="191"/>
        <v>1.5779999999999998</v>
      </c>
      <c r="W802" s="17">
        <f t="shared" si="188"/>
        <v>4.7339999999999993E-2</v>
      </c>
      <c r="X802" s="14">
        <f t="shared" si="192"/>
        <v>1</v>
      </c>
      <c r="Y802" s="14">
        <f t="shared" si="193"/>
        <v>2</v>
      </c>
      <c r="Z802" s="14">
        <f t="shared" si="194"/>
        <v>0</v>
      </c>
      <c r="AA802" s="14" t="str">
        <f t="shared" si="195"/>
        <v>AtkExt</v>
      </c>
      <c r="AB802" s="14">
        <f t="shared" si="189"/>
        <v>6431</v>
      </c>
      <c r="AC802" s="14" t="str">
        <f t="shared" si="196"/>
        <v>DefExt</v>
      </c>
      <c r="AD802" s="14">
        <f t="shared" si="197"/>
        <v>1607</v>
      </c>
      <c r="AE802" s="14" t="str">
        <f t="shared" si="198"/>
        <v>[x]</v>
      </c>
      <c r="AF802" s="27" t="str">
        <f t="shared" si="199"/>
        <v>[x]</v>
      </c>
      <c r="AG802" s="27" t="str">
        <f t="shared" si="200"/>
        <v>[x]</v>
      </c>
    </row>
    <row r="803" spans="16:33" ht="16.5" x14ac:dyDescent="0.2">
      <c r="P803" s="13">
        <v>747</v>
      </c>
      <c r="Q803" s="14">
        <f t="shared" si="185"/>
        <v>38</v>
      </c>
      <c r="R803" s="14">
        <f t="shared" si="186"/>
        <v>1606046</v>
      </c>
      <c r="S803" s="14" t="str">
        <f t="shared" si="190"/>
        <v>神器7碎片4等级18</v>
      </c>
      <c r="T803" s="29" t="s">
        <v>520</v>
      </c>
      <c r="U803" s="14">
        <f t="shared" si="187"/>
        <v>18</v>
      </c>
      <c r="V803" s="36">
        <f t="shared" si="191"/>
        <v>1.698</v>
      </c>
      <c r="W803" s="17">
        <f t="shared" si="188"/>
        <v>5.0939999999999999E-2</v>
      </c>
      <c r="X803" s="14">
        <f t="shared" si="192"/>
        <v>1</v>
      </c>
      <c r="Y803" s="14">
        <f t="shared" si="193"/>
        <v>2</v>
      </c>
      <c r="Z803" s="14">
        <f t="shared" si="194"/>
        <v>0</v>
      </c>
      <c r="AA803" s="14" t="str">
        <f t="shared" si="195"/>
        <v>AtkExt</v>
      </c>
      <c r="AB803" s="14">
        <f t="shared" si="189"/>
        <v>6920</v>
      </c>
      <c r="AC803" s="14" t="str">
        <f t="shared" si="196"/>
        <v>DefExt</v>
      </c>
      <c r="AD803" s="14">
        <f t="shared" si="197"/>
        <v>1729</v>
      </c>
      <c r="AE803" s="14" t="str">
        <f t="shared" si="198"/>
        <v>[x]</v>
      </c>
      <c r="AF803" s="27" t="str">
        <f t="shared" si="199"/>
        <v>[x]</v>
      </c>
      <c r="AG803" s="27" t="str">
        <f t="shared" si="200"/>
        <v>[x]</v>
      </c>
    </row>
    <row r="804" spans="16:33" ht="16.5" x14ac:dyDescent="0.2">
      <c r="P804" s="13">
        <v>748</v>
      </c>
      <c r="Q804" s="14">
        <f t="shared" si="185"/>
        <v>38</v>
      </c>
      <c r="R804" s="14">
        <f t="shared" si="186"/>
        <v>1606046</v>
      </c>
      <c r="S804" s="14" t="str">
        <f t="shared" si="190"/>
        <v>神器7碎片4等级19</v>
      </c>
      <c r="T804" s="29" t="s">
        <v>520</v>
      </c>
      <c r="U804" s="14">
        <f t="shared" si="187"/>
        <v>19</v>
      </c>
      <c r="V804" s="36">
        <f t="shared" si="191"/>
        <v>1.8220000000000001</v>
      </c>
      <c r="W804" s="17">
        <f t="shared" si="188"/>
        <v>5.466E-2</v>
      </c>
      <c r="X804" s="14">
        <f t="shared" si="192"/>
        <v>1</v>
      </c>
      <c r="Y804" s="14">
        <f t="shared" si="193"/>
        <v>2</v>
      </c>
      <c r="Z804" s="14">
        <f t="shared" si="194"/>
        <v>0</v>
      </c>
      <c r="AA804" s="14" t="str">
        <f t="shared" si="195"/>
        <v>AtkExt</v>
      </c>
      <c r="AB804" s="14">
        <f t="shared" si="189"/>
        <v>7425</v>
      </c>
      <c r="AC804" s="14" t="str">
        <f t="shared" si="196"/>
        <v>DefExt</v>
      </c>
      <c r="AD804" s="14">
        <f t="shared" si="197"/>
        <v>1855</v>
      </c>
      <c r="AE804" s="14" t="str">
        <f t="shared" si="198"/>
        <v>[x]</v>
      </c>
      <c r="AF804" s="27" t="str">
        <f t="shared" si="199"/>
        <v>[x]</v>
      </c>
      <c r="AG804" s="27" t="str">
        <f t="shared" si="200"/>
        <v>[x]</v>
      </c>
    </row>
    <row r="805" spans="16:33" ht="16.5" x14ac:dyDescent="0.2">
      <c r="P805" s="13">
        <v>749</v>
      </c>
      <c r="Q805" s="14">
        <f t="shared" si="185"/>
        <v>38</v>
      </c>
      <c r="R805" s="14">
        <f t="shared" si="186"/>
        <v>1606046</v>
      </c>
      <c r="S805" s="14" t="str">
        <f t="shared" si="190"/>
        <v>神器7碎片4等级20</v>
      </c>
      <c r="T805" s="29" t="s">
        <v>520</v>
      </c>
      <c r="U805" s="14">
        <f t="shared" si="187"/>
        <v>20</v>
      </c>
      <c r="V805" s="36">
        <f t="shared" si="191"/>
        <v>1.95</v>
      </c>
      <c r="W805" s="17">
        <f t="shared" si="188"/>
        <v>5.8499999999999996E-2</v>
      </c>
      <c r="X805" s="14">
        <f t="shared" si="192"/>
        <v>1</v>
      </c>
      <c r="Y805" s="14">
        <f t="shared" si="193"/>
        <v>2</v>
      </c>
      <c r="Z805" s="14">
        <f t="shared" si="194"/>
        <v>0</v>
      </c>
      <c r="AA805" s="14" t="str">
        <f t="shared" si="195"/>
        <v>AtkExt</v>
      </c>
      <c r="AB805" s="14">
        <f t="shared" si="189"/>
        <v>7947</v>
      </c>
      <c r="AC805" s="14" t="str">
        <f t="shared" si="196"/>
        <v>DefExt</v>
      </c>
      <c r="AD805" s="14">
        <f t="shared" si="197"/>
        <v>1985</v>
      </c>
      <c r="AE805" s="14" t="str">
        <f t="shared" si="198"/>
        <v>[x]</v>
      </c>
      <c r="AF805" s="27" t="str">
        <f t="shared" si="199"/>
        <v>[x]</v>
      </c>
      <c r="AG805" s="27" t="str">
        <f t="shared" si="200"/>
        <v>[x]</v>
      </c>
    </row>
    <row r="806" spans="16:33" ht="16.5" x14ac:dyDescent="0.2">
      <c r="P806" s="13">
        <v>750</v>
      </c>
      <c r="Q806" s="14">
        <f t="shared" si="185"/>
        <v>38</v>
      </c>
      <c r="R806" s="14">
        <f t="shared" si="186"/>
        <v>1606046</v>
      </c>
      <c r="S806" s="14" t="str">
        <f t="shared" si="190"/>
        <v>神器7碎片4等级21</v>
      </c>
      <c r="T806" s="29" t="s">
        <v>520</v>
      </c>
      <c r="U806" s="14">
        <f t="shared" si="187"/>
        <v>21</v>
      </c>
      <c r="V806" s="36">
        <f t="shared" si="191"/>
        <v>2.0819999999999999</v>
      </c>
      <c r="W806" s="17">
        <f t="shared" si="188"/>
        <v>6.2459999999999995E-2</v>
      </c>
      <c r="X806" s="14">
        <f t="shared" si="192"/>
        <v>1</v>
      </c>
      <c r="Y806" s="14">
        <f t="shared" si="193"/>
        <v>2</v>
      </c>
      <c r="Z806" s="14">
        <f t="shared" si="194"/>
        <v>0</v>
      </c>
      <c r="AA806" s="14" t="str">
        <f t="shared" si="195"/>
        <v>AtkExt</v>
      </c>
      <c r="AB806" s="14">
        <f t="shared" si="189"/>
        <v>8485</v>
      </c>
      <c r="AC806" s="14" t="str">
        <f t="shared" si="196"/>
        <v>DefExt</v>
      </c>
      <c r="AD806" s="14">
        <f t="shared" si="197"/>
        <v>2120</v>
      </c>
      <c r="AE806" s="14" t="str">
        <f t="shared" si="198"/>
        <v>[x]</v>
      </c>
      <c r="AF806" s="27" t="str">
        <f t="shared" si="199"/>
        <v>[x]</v>
      </c>
      <c r="AG806" s="27" t="str">
        <f t="shared" si="200"/>
        <v>[x]</v>
      </c>
    </row>
    <row r="807" spans="16:33" ht="16.5" x14ac:dyDescent="0.2">
      <c r="P807" s="13">
        <v>751</v>
      </c>
      <c r="Q807" s="14">
        <f t="shared" si="185"/>
        <v>39</v>
      </c>
      <c r="R807" s="14">
        <f t="shared" si="186"/>
        <v>1606047</v>
      </c>
      <c r="S807" s="14" t="str">
        <f t="shared" si="190"/>
        <v>神器7碎片5等级1</v>
      </c>
      <c r="T807" s="29" t="s">
        <v>520</v>
      </c>
      <c r="U807" s="14">
        <f t="shared" si="187"/>
        <v>1</v>
      </c>
      <c r="V807" s="36">
        <f t="shared" si="191"/>
        <v>0.20200000000000001</v>
      </c>
      <c r="W807" s="17">
        <f t="shared" si="188"/>
        <v>6.0600000000000003E-3</v>
      </c>
      <c r="X807" s="14">
        <f t="shared" si="192"/>
        <v>2</v>
      </c>
      <c r="Y807" s="14">
        <f t="shared" si="193"/>
        <v>3</v>
      </c>
      <c r="Z807" s="14">
        <f t="shared" si="194"/>
        <v>0</v>
      </c>
      <c r="AA807" s="14" t="str">
        <f t="shared" si="195"/>
        <v>DefExt</v>
      </c>
      <c r="AB807" s="14">
        <f t="shared" si="189"/>
        <v>411</v>
      </c>
      <c r="AC807" s="14" t="str">
        <f t="shared" si="196"/>
        <v>HPExt</v>
      </c>
      <c r="AD807" s="14">
        <f t="shared" si="197"/>
        <v>1235</v>
      </c>
      <c r="AE807" s="14" t="str">
        <f t="shared" si="198"/>
        <v>[x]</v>
      </c>
      <c r="AF807" s="27" t="str">
        <f t="shared" si="199"/>
        <v>[x]</v>
      </c>
      <c r="AG807" s="27" t="str">
        <f t="shared" si="200"/>
        <v>[x]</v>
      </c>
    </row>
    <row r="808" spans="16:33" ht="16.5" x14ac:dyDescent="0.2">
      <c r="P808" s="13">
        <v>752</v>
      </c>
      <c r="Q808" s="14">
        <f t="shared" si="185"/>
        <v>39</v>
      </c>
      <c r="R808" s="14">
        <f t="shared" si="186"/>
        <v>1606047</v>
      </c>
      <c r="S808" s="14" t="str">
        <f t="shared" si="190"/>
        <v>神器7碎片5等级2</v>
      </c>
      <c r="T808" s="29" t="s">
        <v>520</v>
      </c>
      <c r="U808" s="14">
        <f t="shared" si="187"/>
        <v>2</v>
      </c>
      <c r="V808" s="36">
        <f t="shared" si="191"/>
        <v>0.25800000000000001</v>
      </c>
      <c r="W808" s="17">
        <f t="shared" si="188"/>
        <v>7.7400000000000004E-3</v>
      </c>
      <c r="X808" s="14">
        <f t="shared" si="192"/>
        <v>2</v>
      </c>
      <c r="Y808" s="14">
        <f t="shared" si="193"/>
        <v>3</v>
      </c>
      <c r="Z808" s="14">
        <f t="shared" si="194"/>
        <v>0</v>
      </c>
      <c r="AA808" s="14" t="str">
        <f t="shared" si="195"/>
        <v>DefExt</v>
      </c>
      <c r="AB808" s="14">
        <f t="shared" si="189"/>
        <v>525</v>
      </c>
      <c r="AC808" s="14" t="str">
        <f t="shared" si="196"/>
        <v>HPExt</v>
      </c>
      <c r="AD808" s="14">
        <f t="shared" si="197"/>
        <v>1577</v>
      </c>
      <c r="AE808" s="14" t="str">
        <f t="shared" si="198"/>
        <v>[x]</v>
      </c>
      <c r="AF808" s="27" t="str">
        <f t="shared" si="199"/>
        <v>[x]</v>
      </c>
      <c r="AG808" s="27" t="str">
        <f t="shared" si="200"/>
        <v>[x]</v>
      </c>
    </row>
    <row r="809" spans="16:33" ht="16.5" x14ac:dyDescent="0.2">
      <c r="P809" s="13">
        <v>753</v>
      </c>
      <c r="Q809" s="14">
        <f t="shared" si="185"/>
        <v>39</v>
      </c>
      <c r="R809" s="14">
        <f t="shared" si="186"/>
        <v>1606047</v>
      </c>
      <c r="S809" s="14" t="str">
        <f t="shared" si="190"/>
        <v>神器7碎片5等级3</v>
      </c>
      <c r="T809" s="29" t="s">
        <v>520</v>
      </c>
      <c r="U809" s="14">
        <f t="shared" si="187"/>
        <v>3</v>
      </c>
      <c r="V809" s="36">
        <f t="shared" si="191"/>
        <v>0.31800000000000006</v>
      </c>
      <c r="W809" s="17">
        <f t="shared" si="188"/>
        <v>9.5400000000000016E-3</v>
      </c>
      <c r="X809" s="14">
        <f t="shared" si="192"/>
        <v>2</v>
      </c>
      <c r="Y809" s="14">
        <f t="shared" si="193"/>
        <v>3</v>
      </c>
      <c r="Z809" s="14">
        <f t="shared" si="194"/>
        <v>0</v>
      </c>
      <c r="AA809" s="14" t="str">
        <f t="shared" si="195"/>
        <v>DefExt</v>
      </c>
      <c r="AB809" s="14">
        <f t="shared" si="189"/>
        <v>647</v>
      </c>
      <c r="AC809" s="14" t="str">
        <f t="shared" si="196"/>
        <v>HPExt</v>
      </c>
      <c r="AD809" s="14">
        <f t="shared" si="197"/>
        <v>1944</v>
      </c>
      <c r="AE809" s="14" t="str">
        <f t="shared" si="198"/>
        <v>[x]</v>
      </c>
      <c r="AF809" s="27" t="str">
        <f t="shared" si="199"/>
        <v>[x]</v>
      </c>
      <c r="AG809" s="27" t="str">
        <f t="shared" si="200"/>
        <v>[x]</v>
      </c>
    </row>
    <row r="810" spans="16:33" ht="16.5" x14ac:dyDescent="0.2">
      <c r="P810" s="13">
        <v>754</v>
      </c>
      <c r="Q810" s="14">
        <f t="shared" si="185"/>
        <v>39</v>
      </c>
      <c r="R810" s="14">
        <f t="shared" si="186"/>
        <v>1606047</v>
      </c>
      <c r="S810" s="14" t="str">
        <f t="shared" si="190"/>
        <v>神器7碎片5等级4</v>
      </c>
      <c r="T810" s="29" t="s">
        <v>520</v>
      </c>
      <c r="U810" s="14">
        <f t="shared" si="187"/>
        <v>4</v>
      </c>
      <c r="V810" s="36">
        <f t="shared" si="191"/>
        <v>0.38200000000000001</v>
      </c>
      <c r="W810" s="17">
        <f t="shared" si="188"/>
        <v>1.146E-2</v>
      </c>
      <c r="X810" s="14">
        <f t="shared" si="192"/>
        <v>2</v>
      </c>
      <c r="Y810" s="14">
        <f t="shared" si="193"/>
        <v>3</v>
      </c>
      <c r="Z810" s="14">
        <f t="shared" si="194"/>
        <v>0</v>
      </c>
      <c r="AA810" s="14" t="str">
        <f t="shared" si="195"/>
        <v>DefExt</v>
      </c>
      <c r="AB810" s="14">
        <f t="shared" si="189"/>
        <v>778</v>
      </c>
      <c r="AC810" s="14" t="str">
        <f t="shared" si="196"/>
        <v>HPExt</v>
      </c>
      <c r="AD810" s="14">
        <f t="shared" si="197"/>
        <v>2336</v>
      </c>
      <c r="AE810" s="14" t="str">
        <f t="shared" si="198"/>
        <v>[x]</v>
      </c>
      <c r="AF810" s="27" t="str">
        <f t="shared" si="199"/>
        <v>[x]</v>
      </c>
      <c r="AG810" s="27" t="str">
        <f t="shared" si="200"/>
        <v>[x]</v>
      </c>
    </row>
    <row r="811" spans="16:33" ht="16.5" x14ac:dyDescent="0.2">
      <c r="P811" s="13">
        <v>755</v>
      </c>
      <c r="Q811" s="14">
        <f t="shared" si="185"/>
        <v>39</v>
      </c>
      <c r="R811" s="14">
        <f t="shared" si="186"/>
        <v>1606047</v>
      </c>
      <c r="S811" s="14" t="str">
        <f t="shared" si="190"/>
        <v>神器7碎片5等级5</v>
      </c>
      <c r="T811" s="29" t="s">
        <v>520</v>
      </c>
      <c r="U811" s="14">
        <f t="shared" si="187"/>
        <v>5</v>
      </c>
      <c r="V811" s="36">
        <f t="shared" si="191"/>
        <v>0.45</v>
      </c>
      <c r="W811" s="17">
        <f t="shared" si="188"/>
        <v>1.35E-2</v>
      </c>
      <c r="X811" s="14">
        <f t="shared" si="192"/>
        <v>2</v>
      </c>
      <c r="Y811" s="14">
        <f t="shared" si="193"/>
        <v>3</v>
      </c>
      <c r="Z811" s="14">
        <f t="shared" si="194"/>
        <v>0</v>
      </c>
      <c r="AA811" s="14" t="str">
        <f t="shared" si="195"/>
        <v>DefExt</v>
      </c>
      <c r="AB811" s="14">
        <f t="shared" si="189"/>
        <v>916</v>
      </c>
      <c r="AC811" s="14" t="str">
        <f t="shared" si="196"/>
        <v>HPExt</v>
      </c>
      <c r="AD811" s="14">
        <f t="shared" si="197"/>
        <v>2752</v>
      </c>
      <c r="AE811" s="14" t="str">
        <f t="shared" si="198"/>
        <v>[x]</v>
      </c>
      <c r="AF811" s="27" t="str">
        <f t="shared" si="199"/>
        <v>[x]</v>
      </c>
      <c r="AG811" s="27" t="str">
        <f t="shared" si="200"/>
        <v>[x]</v>
      </c>
    </row>
    <row r="812" spans="16:33" ht="16.5" x14ac:dyDescent="0.2">
      <c r="P812" s="13">
        <v>756</v>
      </c>
      <c r="Q812" s="14">
        <f t="shared" si="185"/>
        <v>39</v>
      </c>
      <c r="R812" s="14">
        <f t="shared" si="186"/>
        <v>1606047</v>
      </c>
      <c r="S812" s="14" t="str">
        <f t="shared" si="190"/>
        <v>神器7碎片5等级6</v>
      </c>
      <c r="T812" s="29" t="s">
        <v>520</v>
      </c>
      <c r="U812" s="14">
        <f t="shared" si="187"/>
        <v>6</v>
      </c>
      <c r="V812" s="36">
        <f t="shared" si="191"/>
        <v>0.52200000000000002</v>
      </c>
      <c r="W812" s="17">
        <f t="shared" si="188"/>
        <v>1.566E-2</v>
      </c>
      <c r="X812" s="14">
        <f t="shared" si="192"/>
        <v>2</v>
      </c>
      <c r="Y812" s="14">
        <f t="shared" si="193"/>
        <v>3</v>
      </c>
      <c r="Z812" s="14">
        <f t="shared" si="194"/>
        <v>0</v>
      </c>
      <c r="AA812" s="14" t="str">
        <f t="shared" si="195"/>
        <v>DefExt</v>
      </c>
      <c r="AB812" s="14">
        <f t="shared" si="189"/>
        <v>1063</v>
      </c>
      <c r="AC812" s="14" t="str">
        <f t="shared" si="196"/>
        <v>HPExt</v>
      </c>
      <c r="AD812" s="14">
        <f t="shared" si="197"/>
        <v>3192</v>
      </c>
      <c r="AE812" s="14" t="str">
        <f t="shared" si="198"/>
        <v>[x]</v>
      </c>
      <c r="AF812" s="27" t="str">
        <f t="shared" si="199"/>
        <v>[x]</v>
      </c>
      <c r="AG812" s="27" t="str">
        <f t="shared" si="200"/>
        <v>[x]</v>
      </c>
    </row>
    <row r="813" spans="16:33" ht="16.5" x14ac:dyDescent="0.2">
      <c r="P813" s="13">
        <v>757</v>
      </c>
      <c r="Q813" s="14">
        <f t="shared" si="185"/>
        <v>39</v>
      </c>
      <c r="R813" s="14">
        <f t="shared" si="186"/>
        <v>1606047</v>
      </c>
      <c r="S813" s="14" t="str">
        <f t="shared" si="190"/>
        <v>神器7碎片5等级7</v>
      </c>
      <c r="T813" s="29" t="s">
        <v>520</v>
      </c>
      <c r="U813" s="14">
        <f t="shared" si="187"/>
        <v>7</v>
      </c>
      <c r="V813" s="36">
        <f t="shared" si="191"/>
        <v>0.59799999999999998</v>
      </c>
      <c r="W813" s="17">
        <f t="shared" si="188"/>
        <v>1.7939999999999998E-2</v>
      </c>
      <c r="X813" s="14">
        <f t="shared" si="192"/>
        <v>2</v>
      </c>
      <c r="Y813" s="14">
        <f t="shared" si="193"/>
        <v>3</v>
      </c>
      <c r="Z813" s="14">
        <f t="shared" si="194"/>
        <v>0</v>
      </c>
      <c r="AA813" s="14" t="str">
        <f t="shared" si="195"/>
        <v>DefExt</v>
      </c>
      <c r="AB813" s="14">
        <f t="shared" si="189"/>
        <v>1218</v>
      </c>
      <c r="AC813" s="14" t="str">
        <f t="shared" si="196"/>
        <v>HPExt</v>
      </c>
      <c r="AD813" s="14">
        <f t="shared" si="197"/>
        <v>3657</v>
      </c>
      <c r="AE813" s="14" t="str">
        <f t="shared" si="198"/>
        <v>[x]</v>
      </c>
      <c r="AF813" s="27" t="str">
        <f t="shared" si="199"/>
        <v>[x]</v>
      </c>
      <c r="AG813" s="27" t="str">
        <f t="shared" si="200"/>
        <v>[x]</v>
      </c>
    </row>
    <row r="814" spans="16:33" ht="16.5" x14ac:dyDescent="0.2">
      <c r="P814" s="13">
        <v>758</v>
      </c>
      <c r="Q814" s="14">
        <f t="shared" si="185"/>
        <v>39</v>
      </c>
      <c r="R814" s="14">
        <f t="shared" si="186"/>
        <v>1606047</v>
      </c>
      <c r="S814" s="14" t="str">
        <f t="shared" si="190"/>
        <v>神器7碎片5等级8</v>
      </c>
      <c r="T814" s="29" t="s">
        <v>520</v>
      </c>
      <c r="U814" s="14">
        <f t="shared" si="187"/>
        <v>8</v>
      </c>
      <c r="V814" s="36">
        <f t="shared" si="191"/>
        <v>0.67800000000000005</v>
      </c>
      <c r="W814" s="17">
        <f t="shared" si="188"/>
        <v>2.034E-2</v>
      </c>
      <c r="X814" s="14">
        <f t="shared" si="192"/>
        <v>2</v>
      </c>
      <c r="Y814" s="14">
        <f t="shared" si="193"/>
        <v>3</v>
      </c>
      <c r="Z814" s="14">
        <f t="shared" si="194"/>
        <v>0</v>
      </c>
      <c r="AA814" s="14" t="str">
        <f t="shared" si="195"/>
        <v>DefExt</v>
      </c>
      <c r="AB814" s="14">
        <f t="shared" si="189"/>
        <v>1380</v>
      </c>
      <c r="AC814" s="14" t="str">
        <f t="shared" si="196"/>
        <v>HPExt</v>
      </c>
      <c r="AD814" s="14">
        <f t="shared" si="197"/>
        <v>4146</v>
      </c>
      <c r="AE814" s="14" t="str">
        <f t="shared" si="198"/>
        <v>[x]</v>
      </c>
      <c r="AF814" s="27" t="str">
        <f t="shared" si="199"/>
        <v>[x]</v>
      </c>
      <c r="AG814" s="27" t="str">
        <f t="shared" si="200"/>
        <v>[x]</v>
      </c>
    </row>
    <row r="815" spans="16:33" ht="16.5" x14ac:dyDescent="0.2">
      <c r="P815" s="13">
        <v>759</v>
      </c>
      <c r="Q815" s="14">
        <f t="shared" si="185"/>
        <v>39</v>
      </c>
      <c r="R815" s="14">
        <f t="shared" si="186"/>
        <v>1606047</v>
      </c>
      <c r="S815" s="14" t="str">
        <f t="shared" si="190"/>
        <v>神器7碎片5等级9</v>
      </c>
      <c r="T815" s="29" t="s">
        <v>520</v>
      </c>
      <c r="U815" s="14">
        <f t="shared" si="187"/>
        <v>9</v>
      </c>
      <c r="V815" s="36">
        <f t="shared" si="191"/>
        <v>0.76200000000000001</v>
      </c>
      <c r="W815" s="17">
        <f t="shared" si="188"/>
        <v>2.2859999999999998E-2</v>
      </c>
      <c r="X815" s="14">
        <f t="shared" si="192"/>
        <v>2</v>
      </c>
      <c r="Y815" s="14">
        <f t="shared" si="193"/>
        <v>3</v>
      </c>
      <c r="Z815" s="14">
        <f t="shared" si="194"/>
        <v>0</v>
      </c>
      <c r="AA815" s="14" t="str">
        <f t="shared" si="195"/>
        <v>DefExt</v>
      </c>
      <c r="AB815" s="14">
        <f t="shared" si="189"/>
        <v>1552</v>
      </c>
      <c r="AC815" s="14" t="str">
        <f t="shared" si="196"/>
        <v>HPExt</v>
      </c>
      <c r="AD815" s="14">
        <f t="shared" si="197"/>
        <v>4660</v>
      </c>
      <c r="AE815" s="14" t="str">
        <f t="shared" si="198"/>
        <v>[x]</v>
      </c>
      <c r="AF815" s="27" t="str">
        <f t="shared" si="199"/>
        <v>[x]</v>
      </c>
      <c r="AG815" s="27" t="str">
        <f t="shared" si="200"/>
        <v>[x]</v>
      </c>
    </row>
    <row r="816" spans="16:33" ht="16.5" x14ac:dyDescent="0.2">
      <c r="P816" s="13">
        <v>760</v>
      </c>
      <c r="Q816" s="14">
        <f t="shared" si="185"/>
        <v>39</v>
      </c>
      <c r="R816" s="14">
        <f t="shared" si="186"/>
        <v>1606047</v>
      </c>
      <c r="S816" s="14" t="str">
        <f t="shared" si="190"/>
        <v>神器7碎片5等级10</v>
      </c>
      <c r="T816" s="29" t="s">
        <v>520</v>
      </c>
      <c r="U816" s="14">
        <f t="shared" si="187"/>
        <v>10</v>
      </c>
      <c r="V816" s="36">
        <f t="shared" si="191"/>
        <v>0.85000000000000009</v>
      </c>
      <c r="W816" s="17">
        <f t="shared" si="188"/>
        <v>2.5500000000000002E-2</v>
      </c>
      <c r="X816" s="14">
        <f t="shared" si="192"/>
        <v>2</v>
      </c>
      <c r="Y816" s="14">
        <f t="shared" si="193"/>
        <v>3</v>
      </c>
      <c r="Z816" s="14">
        <f t="shared" si="194"/>
        <v>0</v>
      </c>
      <c r="AA816" s="14" t="str">
        <f t="shared" si="195"/>
        <v>DefExt</v>
      </c>
      <c r="AB816" s="14">
        <f t="shared" si="189"/>
        <v>1731</v>
      </c>
      <c r="AC816" s="14" t="str">
        <f t="shared" si="196"/>
        <v>HPExt</v>
      </c>
      <c r="AD816" s="14">
        <f t="shared" si="197"/>
        <v>5198</v>
      </c>
      <c r="AE816" s="14" t="str">
        <f t="shared" si="198"/>
        <v>[x]</v>
      </c>
      <c r="AF816" s="27" t="str">
        <f t="shared" si="199"/>
        <v>[x]</v>
      </c>
      <c r="AG816" s="27" t="str">
        <f t="shared" si="200"/>
        <v>[x]</v>
      </c>
    </row>
    <row r="817" spans="16:33" ht="16.5" x14ac:dyDescent="0.2">
      <c r="P817" s="13">
        <v>761</v>
      </c>
      <c r="Q817" s="14">
        <f t="shared" si="185"/>
        <v>39</v>
      </c>
      <c r="R817" s="14">
        <f t="shared" si="186"/>
        <v>1606047</v>
      </c>
      <c r="S817" s="14" t="str">
        <f t="shared" si="190"/>
        <v>神器7碎片5等级11</v>
      </c>
      <c r="T817" s="29" t="s">
        <v>520</v>
      </c>
      <c r="U817" s="14">
        <f t="shared" si="187"/>
        <v>11</v>
      </c>
      <c r="V817" s="36">
        <f t="shared" si="191"/>
        <v>0.94200000000000006</v>
      </c>
      <c r="W817" s="17">
        <f t="shared" si="188"/>
        <v>2.826E-2</v>
      </c>
      <c r="X817" s="14">
        <f t="shared" si="192"/>
        <v>2</v>
      </c>
      <c r="Y817" s="14">
        <f t="shared" si="193"/>
        <v>3</v>
      </c>
      <c r="Z817" s="14">
        <f t="shared" si="194"/>
        <v>0</v>
      </c>
      <c r="AA817" s="14" t="str">
        <f t="shared" si="195"/>
        <v>DefExt</v>
      </c>
      <c r="AB817" s="14">
        <f t="shared" si="189"/>
        <v>1918</v>
      </c>
      <c r="AC817" s="14" t="str">
        <f t="shared" si="196"/>
        <v>HPExt</v>
      </c>
      <c r="AD817" s="14">
        <f t="shared" si="197"/>
        <v>5761</v>
      </c>
      <c r="AE817" s="14" t="str">
        <f t="shared" si="198"/>
        <v>[x]</v>
      </c>
      <c r="AF817" s="27" t="str">
        <f t="shared" si="199"/>
        <v>[x]</v>
      </c>
      <c r="AG817" s="27" t="str">
        <f t="shared" si="200"/>
        <v>[x]</v>
      </c>
    </row>
    <row r="818" spans="16:33" ht="16.5" x14ac:dyDescent="0.2">
      <c r="P818" s="13">
        <v>762</v>
      </c>
      <c r="Q818" s="14">
        <f t="shared" si="185"/>
        <v>39</v>
      </c>
      <c r="R818" s="14">
        <f t="shared" si="186"/>
        <v>1606047</v>
      </c>
      <c r="S818" s="14" t="str">
        <f t="shared" si="190"/>
        <v>神器7碎片5等级12</v>
      </c>
      <c r="T818" s="29" t="s">
        <v>520</v>
      </c>
      <c r="U818" s="14">
        <f t="shared" si="187"/>
        <v>12</v>
      </c>
      <c r="V818" s="36">
        <f t="shared" si="191"/>
        <v>1.0380000000000003</v>
      </c>
      <c r="W818" s="17">
        <f t="shared" si="188"/>
        <v>3.1140000000000008E-2</v>
      </c>
      <c r="X818" s="14">
        <f t="shared" si="192"/>
        <v>2</v>
      </c>
      <c r="Y818" s="14">
        <f t="shared" si="193"/>
        <v>3</v>
      </c>
      <c r="Z818" s="14">
        <f t="shared" si="194"/>
        <v>0</v>
      </c>
      <c r="AA818" s="14" t="str">
        <f t="shared" si="195"/>
        <v>DefExt</v>
      </c>
      <c r="AB818" s="14">
        <f t="shared" si="189"/>
        <v>2114</v>
      </c>
      <c r="AC818" s="14" t="str">
        <f t="shared" si="196"/>
        <v>HPExt</v>
      </c>
      <c r="AD818" s="14">
        <f t="shared" si="197"/>
        <v>6348</v>
      </c>
      <c r="AE818" s="14" t="str">
        <f t="shared" si="198"/>
        <v>[x]</v>
      </c>
      <c r="AF818" s="27" t="str">
        <f t="shared" si="199"/>
        <v>[x]</v>
      </c>
      <c r="AG818" s="27" t="str">
        <f t="shared" si="200"/>
        <v>[x]</v>
      </c>
    </row>
    <row r="819" spans="16:33" ht="16.5" x14ac:dyDescent="0.2">
      <c r="P819" s="13">
        <v>763</v>
      </c>
      <c r="Q819" s="14">
        <f t="shared" si="185"/>
        <v>39</v>
      </c>
      <c r="R819" s="14">
        <f t="shared" si="186"/>
        <v>1606047</v>
      </c>
      <c r="S819" s="14" t="str">
        <f t="shared" si="190"/>
        <v>神器7碎片5等级13</v>
      </c>
      <c r="T819" s="29" t="s">
        <v>520</v>
      </c>
      <c r="U819" s="14">
        <f t="shared" si="187"/>
        <v>13</v>
      </c>
      <c r="V819" s="36">
        <f t="shared" si="191"/>
        <v>1.1380000000000001</v>
      </c>
      <c r="W819" s="17">
        <f t="shared" si="188"/>
        <v>3.4140000000000004E-2</v>
      </c>
      <c r="X819" s="14">
        <f t="shared" si="192"/>
        <v>2</v>
      </c>
      <c r="Y819" s="14">
        <f t="shared" si="193"/>
        <v>3</v>
      </c>
      <c r="Z819" s="14">
        <f t="shared" si="194"/>
        <v>0</v>
      </c>
      <c r="AA819" s="14" t="str">
        <f t="shared" si="195"/>
        <v>DefExt</v>
      </c>
      <c r="AB819" s="14">
        <f t="shared" si="189"/>
        <v>2317</v>
      </c>
      <c r="AC819" s="14" t="str">
        <f t="shared" si="196"/>
        <v>HPExt</v>
      </c>
      <c r="AD819" s="14">
        <f t="shared" si="197"/>
        <v>6960</v>
      </c>
      <c r="AE819" s="14" t="str">
        <f t="shared" si="198"/>
        <v>[x]</v>
      </c>
      <c r="AF819" s="27" t="str">
        <f t="shared" si="199"/>
        <v>[x]</v>
      </c>
      <c r="AG819" s="27" t="str">
        <f t="shared" si="200"/>
        <v>[x]</v>
      </c>
    </row>
    <row r="820" spans="16:33" ht="16.5" x14ac:dyDescent="0.2">
      <c r="P820" s="13">
        <v>764</v>
      </c>
      <c r="Q820" s="14">
        <f t="shared" si="185"/>
        <v>39</v>
      </c>
      <c r="R820" s="14">
        <f t="shared" si="186"/>
        <v>1606047</v>
      </c>
      <c r="S820" s="14" t="str">
        <f t="shared" si="190"/>
        <v>神器7碎片5等级14</v>
      </c>
      <c r="T820" s="29" t="s">
        <v>520</v>
      </c>
      <c r="U820" s="14">
        <f t="shared" si="187"/>
        <v>14</v>
      </c>
      <c r="V820" s="36">
        <f t="shared" si="191"/>
        <v>1.242</v>
      </c>
      <c r="W820" s="17">
        <f t="shared" si="188"/>
        <v>3.7260000000000001E-2</v>
      </c>
      <c r="X820" s="14">
        <f t="shared" si="192"/>
        <v>2</v>
      </c>
      <c r="Y820" s="14">
        <f t="shared" si="193"/>
        <v>3</v>
      </c>
      <c r="Z820" s="14">
        <f t="shared" si="194"/>
        <v>0</v>
      </c>
      <c r="AA820" s="14" t="str">
        <f t="shared" si="195"/>
        <v>DefExt</v>
      </c>
      <c r="AB820" s="14">
        <f t="shared" si="189"/>
        <v>2529</v>
      </c>
      <c r="AC820" s="14" t="str">
        <f t="shared" si="196"/>
        <v>HPExt</v>
      </c>
      <c r="AD820" s="14">
        <f t="shared" si="197"/>
        <v>7596</v>
      </c>
      <c r="AE820" s="14" t="str">
        <f t="shared" si="198"/>
        <v>[x]</v>
      </c>
      <c r="AF820" s="27" t="str">
        <f t="shared" si="199"/>
        <v>[x]</v>
      </c>
      <c r="AG820" s="27" t="str">
        <f t="shared" si="200"/>
        <v>[x]</v>
      </c>
    </row>
    <row r="821" spans="16:33" ht="16.5" x14ac:dyDescent="0.2">
      <c r="P821" s="13">
        <v>765</v>
      </c>
      <c r="Q821" s="14">
        <f t="shared" si="185"/>
        <v>39</v>
      </c>
      <c r="R821" s="14">
        <f t="shared" si="186"/>
        <v>1606047</v>
      </c>
      <c r="S821" s="14" t="str">
        <f t="shared" si="190"/>
        <v>神器7碎片5等级15</v>
      </c>
      <c r="T821" s="29" t="s">
        <v>520</v>
      </c>
      <c r="U821" s="14">
        <f t="shared" si="187"/>
        <v>15</v>
      </c>
      <c r="V821" s="36">
        <f t="shared" si="191"/>
        <v>1.35</v>
      </c>
      <c r="W821" s="17">
        <f t="shared" si="188"/>
        <v>4.0500000000000001E-2</v>
      </c>
      <c r="X821" s="14">
        <f t="shared" si="192"/>
        <v>2</v>
      </c>
      <c r="Y821" s="14">
        <f t="shared" si="193"/>
        <v>3</v>
      </c>
      <c r="Z821" s="14">
        <f t="shared" si="194"/>
        <v>0</v>
      </c>
      <c r="AA821" s="14" t="str">
        <f t="shared" si="195"/>
        <v>DefExt</v>
      </c>
      <c r="AB821" s="14">
        <f t="shared" si="189"/>
        <v>2749</v>
      </c>
      <c r="AC821" s="14" t="str">
        <f t="shared" si="196"/>
        <v>HPExt</v>
      </c>
      <c r="AD821" s="14">
        <f t="shared" si="197"/>
        <v>8256</v>
      </c>
      <c r="AE821" s="14" t="str">
        <f t="shared" si="198"/>
        <v>[x]</v>
      </c>
      <c r="AF821" s="27" t="str">
        <f t="shared" si="199"/>
        <v>[x]</v>
      </c>
      <c r="AG821" s="27" t="str">
        <f t="shared" si="200"/>
        <v>[x]</v>
      </c>
    </row>
    <row r="822" spans="16:33" ht="16.5" x14ac:dyDescent="0.2">
      <c r="P822" s="13">
        <v>766</v>
      </c>
      <c r="Q822" s="14">
        <f t="shared" si="185"/>
        <v>39</v>
      </c>
      <c r="R822" s="14">
        <f t="shared" si="186"/>
        <v>1606047</v>
      </c>
      <c r="S822" s="14" t="str">
        <f t="shared" si="190"/>
        <v>神器7碎片5等级16</v>
      </c>
      <c r="T822" s="29" t="s">
        <v>520</v>
      </c>
      <c r="U822" s="14">
        <f t="shared" si="187"/>
        <v>16</v>
      </c>
      <c r="V822" s="36">
        <f t="shared" si="191"/>
        <v>1.4620000000000002</v>
      </c>
      <c r="W822" s="17">
        <f t="shared" si="188"/>
        <v>4.3860000000000003E-2</v>
      </c>
      <c r="X822" s="14">
        <f t="shared" si="192"/>
        <v>2</v>
      </c>
      <c r="Y822" s="14">
        <f t="shared" si="193"/>
        <v>3</v>
      </c>
      <c r="Z822" s="14">
        <f t="shared" si="194"/>
        <v>0</v>
      </c>
      <c r="AA822" s="14" t="str">
        <f t="shared" si="195"/>
        <v>DefExt</v>
      </c>
      <c r="AB822" s="14">
        <f t="shared" si="189"/>
        <v>2977</v>
      </c>
      <c r="AC822" s="14" t="str">
        <f t="shared" si="196"/>
        <v>HPExt</v>
      </c>
      <c r="AD822" s="14">
        <f t="shared" si="197"/>
        <v>8941</v>
      </c>
      <c r="AE822" s="14" t="str">
        <f t="shared" si="198"/>
        <v>[x]</v>
      </c>
      <c r="AF822" s="27" t="str">
        <f t="shared" si="199"/>
        <v>[x]</v>
      </c>
      <c r="AG822" s="27" t="str">
        <f t="shared" si="200"/>
        <v>[x]</v>
      </c>
    </row>
    <row r="823" spans="16:33" ht="16.5" x14ac:dyDescent="0.2">
      <c r="P823" s="13">
        <v>767</v>
      </c>
      <c r="Q823" s="14">
        <f t="shared" si="185"/>
        <v>39</v>
      </c>
      <c r="R823" s="14">
        <f t="shared" si="186"/>
        <v>1606047</v>
      </c>
      <c r="S823" s="14" t="str">
        <f t="shared" si="190"/>
        <v>神器7碎片5等级17</v>
      </c>
      <c r="T823" s="29" t="s">
        <v>520</v>
      </c>
      <c r="U823" s="14">
        <f t="shared" si="187"/>
        <v>17</v>
      </c>
      <c r="V823" s="36">
        <f t="shared" si="191"/>
        <v>1.5779999999999998</v>
      </c>
      <c r="W823" s="17">
        <f t="shared" si="188"/>
        <v>4.7339999999999993E-2</v>
      </c>
      <c r="X823" s="14">
        <f t="shared" si="192"/>
        <v>2</v>
      </c>
      <c r="Y823" s="14">
        <f t="shared" si="193"/>
        <v>3</v>
      </c>
      <c r="Z823" s="14">
        <f t="shared" si="194"/>
        <v>0</v>
      </c>
      <c r="AA823" s="14" t="str">
        <f t="shared" si="195"/>
        <v>DefExt</v>
      </c>
      <c r="AB823" s="14">
        <f t="shared" si="189"/>
        <v>3214</v>
      </c>
      <c r="AC823" s="14" t="str">
        <f t="shared" si="196"/>
        <v>HPExt</v>
      </c>
      <c r="AD823" s="14">
        <f t="shared" si="197"/>
        <v>9651</v>
      </c>
      <c r="AE823" s="14" t="str">
        <f t="shared" si="198"/>
        <v>[x]</v>
      </c>
      <c r="AF823" s="27" t="str">
        <f t="shared" si="199"/>
        <v>[x]</v>
      </c>
      <c r="AG823" s="27" t="str">
        <f t="shared" si="200"/>
        <v>[x]</v>
      </c>
    </row>
    <row r="824" spans="16:33" ht="16.5" x14ac:dyDescent="0.2">
      <c r="P824" s="13">
        <v>768</v>
      </c>
      <c r="Q824" s="14">
        <f t="shared" si="185"/>
        <v>39</v>
      </c>
      <c r="R824" s="14">
        <f t="shared" si="186"/>
        <v>1606047</v>
      </c>
      <c r="S824" s="14" t="str">
        <f t="shared" si="190"/>
        <v>神器7碎片5等级18</v>
      </c>
      <c r="T824" s="29" t="s">
        <v>520</v>
      </c>
      <c r="U824" s="14">
        <f t="shared" si="187"/>
        <v>18</v>
      </c>
      <c r="V824" s="36">
        <f t="shared" si="191"/>
        <v>1.698</v>
      </c>
      <c r="W824" s="17">
        <f t="shared" si="188"/>
        <v>5.0939999999999999E-2</v>
      </c>
      <c r="X824" s="14">
        <f t="shared" si="192"/>
        <v>2</v>
      </c>
      <c r="Y824" s="14">
        <f t="shared" si="193"/>
        <v>3</v>
      </c>
      <c r="Z824" s="14">
        <f t="shared" si="194"/>
        <v>0</v>
      </c>
      <c r="AA824" s="14" t="str">
        <f t="shared" si="195"/>
        <v>DefExt</v>
      </c>
      <c r="AB824" s="14">
        <f t="shared" si="189"/>
        <v>3458</v>
      </c>
      <c r="AC824" s="14" t="str">
        <f t="shared" si="196"/>
        <v>HPExt</v>
      </c>
      <c r="AD824" s="14">
        <f t="shared" si="197"/>
        <v>10385</v>
      </c>
      <c r="AE824" s="14" t="str">
        <f t="shared" si="198"/>
        <v>[x]</v>
      </c>
      <c r="AF824" s="27" t="str">
        <f t="shared" si="199"/>
        <v>[x]</v>
      </c>
      <c r="AG824" s="27" t="str">
        <f t="shared" si="200"/>
        <v>[x]</v>
      </c>
    </row>
    <row r="825" spans="16:33" ht="16.5" x14ac:dyDescent="0.2">
      <c r="P825" s="13">
        <v>769</v>
      </c>
      <c r="Q825" s="14">
        <f t="shared" ref="Q825:Q888" si="201">MATCH(P825-1,$X$4:$X$46,1)</f>
        <v>39</v>
      </c>
      <c r="R825" s="14">
        <f t="shared" ref="R825:R888" si="202">INDEX($S$5:$S$46,Q825)</f>
        <v>1606047</v>
      </c>
      <c r="S825" s="14" t="str">
        <f t="shared" si="190"/>
        <v>神器7碎片5等级19</v>
      </c>
      <c r="T825" s="29" t="s">
        <v>520</v>
      </c>
      <c r="U825" s="14">
        <f t="shared" ref="U825:U890" si="203">P825-INDEX($X$4:$X$46,Q825)</f>
        <v>19</v>
      </c>
      <c r="V825" s="36">
        <f t="shared" si="191"/>
        <v>1.8220000000000001</v>
      </c>
      <c r="W825" s="17">
        <f t="shared" ref="W825:W888" si="204">INDEX($V$5:$V$46,Q825)*V825</f>
        <v>5.466E-2</v>
      </c>
      <c r="X825" s="14">
        <f t="shared" si="192"/>
        <v>2</v>
      </c>
      <c r="Y825" s="14">
        <f t="shared" si="193"/>
        <v>3</v>
      </c>
      <c r="Z825" s="14">
        <f t="shared" si="194"/>
        <v>0</v>
      </c>
      <c r="AA825" s="14" t="str">
        <f t="shared" si="195"/>
        <v>DefExt</v>
      </c>
      <c r="AB825" s="14">
        <f t="shared" ref="AB825:AB890" si="205">INT(INDEX($E$4:$G$4,X825)*W825*INDEX($Y$5:$AA$46,Q825,X825))</f>
        <v>3711</v>
      </c>
      <c r="AC825" s="14" t="str">
        <f t="shared" si="196"/>
        <v>HPExt</v>
      </c>
      <c r="AD825" s="14">
        <f t="shared" si="197"/>
        <v>11143</v>
      </c>
      <c r="AE825" s="14" t="str">
        <f t="shared" si="198"/>
        <v>[x]</v>
      </c>
      <c r="AF825" s="27" t="str">
        <f t="shared" si="199"/>
        <v>[x]</v>
      </c>
      <c r="AG825" s="27" t="str">
        <f t="shared" si="200"/>
        <v>[x]</v>
      </c>
    </row>
    <row r="826" spans="16:33" ht="16.5" x14ac:dyDescent="0.2">
      <c r="P826" s="13">
        <v>770</v>
      </c>
      <c r="Q826" s="14">
        <f t="shared" si="201"/>
        <v>39</v>
      </c>
      <c r="R826" s="14">
        <f t="shared" si="202"/>
        <v>1606047</v>
      </c>
      <c r="S826" s="14" t="str">
        <f t="shared" ref="S826:S889" si="206">INDEX($P$5:$P$46,Q826)&amp;"碎片"&amp;INDEX($R$5:$R$46,Q826)&amp;"等级"&amp;U826</f>
        <v>神器7碎片5等级20</v>
      </c>
      <c r="T826" s="29" t="s">
        <v>520</v>
      </c>
      <c r="U826" s="14">
        <f t="shared" si="203"/>
        <v>20</v>
      </c>
      <c r="V826" s="36">
        <f t="shared" ref="V826:V889" si="207">15%+U826*5%+U826*U826*0.2%</f>
        <v>1.95</v>
      </c>
      <c r="W826" s="17">
        <f t="shared" si="204"/>
        <v>5.8499999999999996E-2</v>
      </c>
      <c r="X826" s="14">
        <f t="shared" ref="X826:X890" si="208">INDEX($AB$5:$AB$46,Q826)</f>
        <v>2</v>
      </c>
      <c r="Y826" s="14">
        <f t="shared" ref="Y826:Y890" si="209">INDEX(AC$5:AC$46,$Q826)</f>
        <v>3</v>
      </c>
      <c r="Z826" s="14">
        <f t="shared" ref="Z826:Z890" si="210">INDEX(AD$5:AD$46,$Q826)</f>
        <v>0</v>
      </c>
      <c r="AA826" s="14" t="str">
        <f t="shared" ref="AA826:AA889" si="211">INDEX($Y$3:$AA$3,X826)</f>
        <v>DefExt</v>
      </c>
      <c r="AB826" s="14">
        <f t="shared" si="205"/>
        <v>3971</v>
      </c>
      <c r="AC826" s="14" t="str">
        <f t="shared" ref="AC826:AC889" si="212">IF(Y826&gt;0,INDEX($Y$3:$AA$3,Y826),"[x]")</f>
        <v>HPExt</v>
      </c>
      <c r="AD826" s="14">
        <f t="shared" ref="AD826:AD889" si="213">IF(Y826&gt;0,INT(INDEX($E$4:$G$4,Y826)*W826*INDEX($Y$5:$AA$46,Q826,Y826)),"[x]")</f>
        <v>11926</v>
      </c>
      <c r="AE826" s="14" t="str">
        <f t="shared" ref="AE826:AE889" si="214">IF(Z826&gt;0,INDEX($Y$3:$AA$3,Z826),"[x]")</f>
        <v>[x]</v>
      </c>
      <c r="AF826" s="27" t="str">
        <f t="shared" ref="AF826:AF889" si="215">IF(Z826&gt;0,INT(INDEX($E$4:$G$4,Z826)*W826*INDEX($Y$5:$AA$46,Q826,Z826)),"[x]")</f>
        <v>[x]</v>
      </c>
      <c r="AG826" s="27" t="str">
        <f t="shared" ref="AG826:AG889" si="216">IF(INDEX($AE$5:$AE$46,Q826)&gt;0,INDEX($AE$5:$AE$46,Q826)*U826,"[x]")</f>
        <v>[x]</v>
      </c>
    </row>
    <row r="827" spans="16:33" ht="16.5" x14ac:dyDescent="0.2">
      <c r="P827" s="13">
        <v>771</v>
      </c>
      <c r="Q827" s="14">
        <f t="shared" si="201"/>
        <v>39</v>
      </c>
      <c r="R827" s="14">
        <f t="shared" si="202"/>
        <v>1606047</v>
      </c>
      <c r="S827" s="14" t="str">
        <f t="shared" si="206"/>
        <v>神器7碎片5等级21</v>
      </c>
      <c r="T827" s="29" t="s">
        <v>520</v>
      </c>
      <c r="U827" s="14">
        <f t="shared" si="203"/>
        <v>21</v>
      </c>
      <c r="V827" s="36">
        <f t="shared" si="207"/>
        <v>2.0819999999999999</v>
      </c>
      <c r="W827" s="17">
        <f t="shared" si="204"/>
        <v>6.2459999999999995E-2</v>
      </c>
      <c r="X827" s="14">
        <f t="shared" si="208"/>
        <v>2</v>
      </c>
      <c r="Y827" s="14">
        <f t="shared" si="209"/>
        <v>3</v>
      </c>
      <c r="Z827" s="14">
        <f t="shared" si="210"/>
        <v>0</v>
      </c>
      <c r="AA827" s="14" t="str">
        <f t="shared" si="211"/>
        <v>DefExt</v>
      </c>
      <c r="AB827" s="14">
        <f t="shared" si="205"/>
        <v>4240</v>
      </c>
      <c r="AC827" s="14" t="str">
        <f t="shared" si="212"/>
        <v>HPExt</v>
      </c>
      <c r="AD827" s="14">
        <f t="shared" si="213"/>
        <v>12733</v>
      </c>
      <c r="AE827" s="14" t="str">
        <f t="shared" si="214"/>
        <v>[x]</v>
      </c>
      <c r="AF827" s="27" t="str">
        <f t="shared" si="215"/>
        <v>[x]</v>
      </c>
      <c r="AG827" s="27" t="str">
        <f t="shared" si="216"/>
        <v>[x]</v>
      </c>
    </row>
    <row r="828" spans="16:33" ht="16.5" x14ac:dyDescent="0.2">
      <c r="P828" s="13">
        <v>772</v>
      </c>
      <c r="Q828" s="14">
        <f t="shared" si="201"/>
        <v>40</v>
      </c>
      <c r="R828" s="14">
        <f t="shared" si="202"/>
        <v>1606048</v>
      </c>
      <c r="S828" s="14" t="str">
        <f t="shared" si="206"/>
        <v>神器7碎片6等级1</v>
      </c>
      <c r="T828" s="29" t="s">
        <v>520</v>
      </c>
      <c r="U828" s="14">
        <f t="shared" si="203"/>
        <v>1</v>
      </c>
      <c r="V828" s="36">
        <f t="shared" si="207"/>
        <v>0.20200000000000001</v>
      </c>
      <c r="W828" s="17">
        <f t="shared" si="204"/>
        <v>6.0600000000000003E-3</v>
      </c>
      <c r="X828" s="14">
        <f t="shared" si="208"/>
        <v>1</v>
      </c>
      <c r="Y828" s="14">
        <f t="shared" si="209"/>
        <v>2</v>
      </c>
      <c r="Z828" s="14">
        <f t="shared" si="210"/>
        <v>3</v>
      </c>
      <c r="AA828" s="14" t="str">
        <f t="shared" si="211"/>
        <v>AtkExt</v>
      </c>
      <c r="AB828" s="14">
        <f t="shared" si="205"/>
        <v>411</v>
      </c>
      <c r="AC828" s="14" t="str">
        <f t="shared" si="212"/>
        <v>DefExt</v>
      </c>
      <c r="AD828" s="14">
        <f t="shared" si="213"/>
        <v>205</v>
      </c>
      <c r="AE828" s="14" t="str">
        <f t="shared" si="214"/>
        <v>HPExt</v>
      </c>
      <c r="AF828" s="27">
        <f t="shared" si="215"/>
        <v>1235</v>
      </c>
      <c r="AG828" s="27" t="str">
        <f t="shared" si="216"/>
        <v>[x]</v>
      </c>
    </row>
    <row r="829" spans="16:33" ht="16.5" x14ac:dyDescent="0.2">
      <c r="P829" s="13">
        <v>773</v>
      </c>
      <c r="Q829" s="14">
        <f t="shared" si="201"/>
        <v>40</v>
      </c>
      <c r="R829" s="14">
        <f t="shared" si="202"/>
        <v>1606048</v>
      </c>
      <c r="S829" s="14" t="str">
        <f t="shared" si="206"/>
        <v>神器7碎片6等级2</v>
      </c>
      <c r="T829" s="29" t="s">
        <v>520</v>
      </c>
      <c r="U829" s="14">
        <f t="shared" si="203"/>
        <v>2</v>
      </c>
      <c r="V829" s="36">
        <f t="shared" si="207"/>
        <v>0.25800000000000001</v>
      </c>
      <c r="W829" s="17">
        <f t="shared" si="204"/>
        <v>7.7400000000000004E-3</v>
      </c>
      <c r="X829" s="14">
        <f t="shared" si="208"/>
        <v>1</v>
      </c>
      <c r="Y829" s="14">
        <f t="shared" si="209"/>
        <v>2</v>
      </c>
      <c r="Z829" s="14">
        <f t="shared" si="210"/>
        <v>3</v>
      </c>
      <c r="AA829" s="14" t="str">
        <f t="shared" si="211"/>
        <v>AtkExt</v>
      </c>
      <c r="AB829" s="14">
        <f t="shared" si="205"/>
        <v>525</v>
      </c>
      <c r="AC829" s="14" t="str">
        <f t="shared" si="212"/>
        <v>DefExt</v>
      </c>
      <c r="AD829" s="14">
        <f t="shared" si="213"/>
        <v>262</v>
      </c>
      <c r="AE829" s="14" t="str">
        <f t="shared" si="214"/>
        <v>HPExt</v>
      </c>
      <c r="AF829" s="27">
        <f t="shared" si="215"/>
        <v>1577</v>
      </c>
      <c r="AG829" s="27" t="str">
        <f t="shared" si="216"/>
        <v>[x]</v>
      </c>
    </row>
    <row r="830" spans="16:33" ht="16.5" x14ac:dyDescent="0.2">
      <c r="P830" s="13">
        <v>774</v>
      </c>
      <c r="Q830" s="14">
        <f t="shared" si="201"/>
        <v>40</v>
      </c>
      <c r="R830" s="14">
        <f t="shared" si="202"/>
        <v>1606048</v>
      </c>
      <c r="S830" s="14" t="str">
        <f t="shared" si="206"/>
        <v>神器7碎片6等级3</v>
      </c>
      <c r="T830" s="29" t="s">
        <v>520</v>
      </c>
      <c r="U830" s="14">
        <f t="shared" si="203"/>
        <v>3</v>
      </c>
      <c r="V830" s="36">
        <f t="shared" si="207"/>
        <v>0.31800000000000006</v>
      </c>
      <c r="W830" s="17">
        <f t="shared" si="204"/>
        <v>9.5400000000000016E-3</v>
      </c>
      <c r="X830" s="14">
        <f t="shared" si="208"/>
        <v>1</v>
      </c>
      <c r="Y830" s="14">
        <f t="shared" si="209"/>
        <v>2</v>
      </c>
      <c r="Z830" s="14">
        <f t="shared" si="210"/>
        <v>3</v>
      </c>
      <c r="AA830" s="14" t="str">
        <f t="shared" si="211"/>
        <v>AtkExt</v>
      </c>
      <c r="AB830" s="14">
        <f t="shared" si="205"/>
        <v>648</v>
      </c>
      <c r="AC830" s="14" t="str">
        <f t="shared" si="212"/>
        <v>DefExt</v>
      </c>
      <c r="AD830" s="14">
        <f t="shared" si="213"/>
        <v>323</v>
      </c>
      <c r="AE830" s="14" t="str">
        <f t="shared" si="214"/>
        <v>HPExt</v>
      </c>
      <c r="AF830" s="27">
        <f t="shared" si="215"/>
        <v>1944</v>
      </c>
      <c r="AG830" s="27" t="str">
        <f t="shared" si="216"/>
        <v>[x]</v>
      </c>
    </row>
    <row r="831" spans="16:33" ht="16.5" x14ac:dyDescent="0.2">
      <c r="P831" s="13">
        <v>775</v>
      </c>
      <c r="Q831" s="14">
        <f t="shared" si="201"/>
        <v>40</v>
      </c>
      <c r="R831" s="14">
        <f t="shared" si="202"/>
        <v>1606048</v>
      </c>
      <c r="S831" s="14" t="str">
        <f t="shared" si="206"/>
        <v>神器7碎片6等级4</v>
      </c>
      <c r="T831" s="29" t="s">
        <v>520</v>
      </c>
      <c r="U831" s="14">
        <f t="shared" si="203"/>
        <v>4</v>
      </c>
      <c r="V831" s="36">
        <f t="shared" si="207"/>
        <v>0.38200000000000001</v>
      </c>
      <c r="W831" s="17">
        <f t="shared" si="204"/>
        <v>1.146E-2</v>
      </c>
      <c r="X831" s="14">
        <f t="shared" si="208"/>
        <v>1</v>
      </c>
      <c r="Y831" s="14">
        <f t="shared" si="209"/>
        <v>2</v>
      </c>
      <c r="Z831" s="14">
        <f t="shared" si="210"/>
        <v>3</v>
      </c>
      <c r="AA831" s="14" t="str">
        <f t="shared" si="211"/>
        <v>AtkExt</v>
      </c>
      <c r="AB831" s="14">
        <f t="shared" si="205"/>
        <v>778</v>
      </c>
      <c r="AC831" s="14" t="str">
        <f t="shared" si="212"/>
        <v>DefExt</v>
      </c>
      <c r="AD831" s="14">
        <f t="shared" si="213"/>
        <v>389</v>
      </c>
      <c r="AE831" s="14" t="str">
        <f t="shared" si="214"/>
        <v>HPExt</v>
      </c>
      <c r="AF831" s="27">
        <f t="shared" si="215"/>
        <v>2336</v>
      </c>
      <c r="AG831" s="27" t="str">
        <f t="shared" si="216"/>
        <v>[x]</v>
      </c>
    </row>
    <row r="832" spans="16:33" ht="16.5" x14ac:dyDescent="0.2">
      <c r="P832" s="13">
        <v>776</v>
      </c>
      <c r="Q832" s="14">
        <f t="shared" si="201"/>
        <v>40</v>
      </c>
      <c r="R832" s="14">
        <f t="shared" si="202"/>
        <v>1606048</v>
      </c>
      <c r="S832" s="14" t="str">
        <f t="shared" si="206"/>
        <v>神器7碎片6等级5</v>
      </c>
      <c r="T832" s="29" t="s">
        <v>520</v>
      </c>
      <c r="U832" s="14">
        <f t="shared" si="203"/>
        <v>5</v>
      </c>
      <c r="V832" s="36">
        <f t="shared" si="207"/>
        <v>0.45</v>
      </c>
      <c r="W832" s="17">
        <f t="shared" si="204"/>
        <v>1.35E-2</v>
      </c>
      <c r="X832" s="14">
        <f t="shared" si="208"/>
        <v>1</v>
      </c>
      <c r="Y832" s="14">
        <f t="shared" si="209"/>
        <v>2</v>
      </c>
      <c r="Z832" s="14">
        <f t="shared" si="210"/>
        <v>3</v>
      </c>
      <c r="AA832" s="14" t="str">
        <f t="shared" si="211"/>
        <v>AtkExt</v>
      </c>
      <c r="AB832" s="14">
        <f t="shared" si="205"/>
        <v>917</v>
      </c>
      <c r="AC832" s="14" t="str">
        <f t="shared" si="212"/>
        <v>DefExt</v>
      </c>
      <c r="AD832" s="14">
        <f t="shared" si="213"/>
        <v>458</v>
      </c>
      <c r="AE832" s="14" t="str">
        <f t="shared" si="214"/>
        <v>HPExt</v>
      </c>
      <c r="AF832" s="27">
        <f t="shared" si="215"/>
        <v>2752</v>
      </c>
      <c r="AG832" s="27" t="str">
        <f t="shared" si="216"/>
        <v>[x]</v>
      </c>
    </row>
    <row r="833" spans="16:33" ht="16.5" x14ac:dyDescent="0.2">
      <c r="P833" s="13">
        <v>777</v>
      </c>
      <c r="Q833" s="14">
        <f t="shared" si="201"/>
        <v>40</v>
      </c>
      <c r="R833" s="14">
        <f t="shared" si="202"/>
        <v>1606048</v>
      </c>
      <c r="S833" s="14" t="str">
        <f t="shared" si="206"/>
        <v>神器7碎片6等级6</v>
      </c>
      <c r="T833" s="29" t="s">
        <v>520</v>
      </c>
      <c r="U833" s="14">
        <f t="shared" si="203"/>
        <v>6</v>
      </c>
      <c r="V833" s="36">
        <f t="shared" si="207"/>
        <v>0.52200000000000002</v>
      </c>
      <c r="W833" s="17">
        <f t="shared" si="204"/>
        <v>1.566E-2</v>
      </c>
      <c r="X833" s="14">
        <f t="shared" si="208"/>
        <v>1</v>
      </c>
      <c r="Y833" s="14">
        <f t="shared" si="209"/>
        <v>2</v>
      </c>
      <c r="Z833" s="14">
        <f t="shared" si="210"/>
        <v>3</v>
      </c>
      <c r="AA833" s="14" t="str">
        <f t="shared" si="211"/>
        <v>AtkExt</v>
      </c>
      <c r="AB833" s="14">
        <f t="shared" si="205"/>
        <v>1063</v>
      </c>
      <c r="AC833" s="14" t="str">
        <f t="shared" si="212"/>
        <v>DefExt</v>
      </c>
      <c r="AD833" s="14">
        <f t="shared" si="213"/>
        <v>531</v>
      </c>
      <c r="AE833" s="14" t="str">
        <f t="shared" si="214"/>
        <v>HPExt</v>
      </c>
      <c r="AF833" s="27">
        <f t="shared" si="215"/>
        <v>3192</v>
      </c>
      <c r="AG833" s="27" t="str">
        <f t="shared" si="216"/>
        <v>[x]</v>
      </c>
    </row>
    <row r="834" spans="16:33" ht="16.5" x14ac:dyDescent="0.2">
      <c r="P834" s="13">
        <v>778</v>
      </c>
      <c r="Q834" s="14">
        <f t="shared" si="201"/>
        <v>40</v>
      </c>
      <c r="R834" s="14">
        <f t="shared" si="202"/>
        <v>1606048</v>
      </c>
      <c r="S834" s="14" t="str">
        <f t="shared" si="206"/>
        <v>神器7碎片6等级7</v>
      </c>
      <c r="T834" s="29" t="s">
        <v>520</v>
      </c>
      <c r="U834" s="14">
        <f t="shared" si="203"/>
        <v>7</v>
      </c>
      <c r="V834" s="36">
        <f t="shared" si="207"/>
        <v>0.59799999999999998</v>
      </c>
      <c r="W834" s="17">
        <f t="shared" si="204"/>
        <v>1.7939999999999998E-2</v>
      </c>
      <c r="X834" s="14">
        <f t="shared" si="208"/>
        <v>1</v>
      </c>
      <c r="Y834" s="14">
        <f t="shared" si="209"/>
        <v>2</v>
      </c>
      <c r="Z834" s="14">
        <f t="shared" si="210"/>
        <v>3</v>
      </c>
      <c r="AA834" s="14" t="str">
        <f t="shared" si="211"/>
        <v>AtkExt</v>
      </c>
      <c r="AB834" s="14">
        <f t="shared" si="205"/>
        <v>1218</v>
      </c>
      <c r="AC834" s="14" t="str">
        <f t="shared" si="212"/>
        <v>DefExt</v>
      </c>
      <c r="AD834" s="14">
        <f t="shared" si="213"/>
        <v>609</v>
      </c>
      <c r="AE834" s="14" t="str">
        <f t="shared" si="214"/>
        <v>HPExt</v>
      </c>
      <c r="AF834" s="27">
        <f t="shared" si="215"/>
        <v>3657</v>
      </c>
      <c r="AG834" s="27" t="str">
        <f t="shared" si="216"/>
        <v>[x]</v>
      </c>
    </row>
    <row r="835" spans="16:33" ht="16.5" x14ac:dyDescent="0.2">
      <c r="P835" s="13">
        <v>779</v>
      </c>
      <c r="Q835" s="14">
        <f t="shared" si="201"/>
        <v>40</v>
      </c>
      <c r="R835" s="14">
        <f t="shared" si="202"/>
        <v>1606048</v>
      </c>
      <c r="S835" s="14" t="str">
        <f t="shared" si="206"/>
        <v>神器7碎片6等级8</v>
      </c>
      <c r="T835" s="29" t="s">
        <v>520</v>
      </c>
      <c r="U835" s="14">
        <f t="shared" si="203"/>
        <v>8</v>
      </c>
      <c r="V835" s="36">
        <f t="shared" si="207"/>
        <v>0.67800000000000005</v>
      </c>
      <c r="W835" s="17">
        <f t="shared" si="204"/>
        <v>2.034E-2</v>
      </c>
      <c r="X835" s="14">
        <f t="shared" si="208"/>
        <v>1</v>
      </c>
      <c r="Y835" s="14">
        <f t="shared" si="209"/>
        <v>2</v>
      </c>
      <c r="Z835" s="14">
        <f t="shared" si="210"/>
        <v>3</v>
      </c>
      <c r="AA835" s="14" t="str">
        <f t="shared" si="211"/>
        <v>AtkExt</v>
      </c>
      <c r="AB835" s="14">
        <f t="shared" si="205"/>
        <v>1381</v>
      </c>
      <c r="AC835" s="14" t="str">
        <f t="shared" si="212"/>
        <v>DefExt</v>
      </c>
      <c r="AD835" s="14">
        <f t="shared" si="213"/>
        <v>690</v>
      </c>
      <c r="AE835" s="14" t="str">
        <f t="shared" si="214"/>
        <v>HPExt</v>
      </c>
      <c r="AF835" s="27">
        <f t="shared" si="215"/>
        <v>4146</v>
      </c>
      <c r="AG835" s="27" t="str">
        <f t="shared" si="216"/>
        <v>[x]</v>
      </c>
    </row>
    <row r="836" spans="16:33" ht="16.5" x14ac:dyDescent="0.2">
      <c r="P836" s="13">
        <v>780</v>
      </c>
      <c r="Q836" s="14">
        <f t="shared" si="201"/>
        <v>40</v>
      </c>
      <c r="R836" s="14">
        <f t="shared" si="202"/>
        <v>1606048</v>
      </c>
      <c r="S836" s="14" t="str">
        <f t="shared" si="206"/>
        <v>神器7碎片6等级9</v>
      </c>
      <c r="T836" s="29" t="s">
        <v>520</v>
      </c>
      <c r="U836" s="14">
        <f t="shared" si="203"/>
        <v>9</v>
      </c>
      <c r="V836" s="36">
        <f t="shared" si="207"/>
        <v>0.76200000000000001</v>
      </c>
      <c r="W836" s="17">
        <f t="shared" si="204"/>
        <v>2.2859999999999998E-2</v>
      </c>
      <c r="X836" s="14">
        <f t="shared" si="208"/>
        <v>1</v>
      </c>
      <c r="Y836" s="14">
        <f t="shared" si="209"/>
        <v>2</v>
      </c>
      <c r="Z836" s="14">
        <f t="shared" si="210"/>
        <v>3</v>
      </c>
      <c r="AA836" s="14" t="str">
        <f t="shared" si="211"/>
        <v>AtkExt</v>
      </c>
      <c r="AB836" s="14">
        <f t="shared" si="205"/>
        <v>1552</v>
      </c>
      <c r="AC836" s="14" t="str">
        <f t="shared" si="212"/>
        <v>DefExt</v>
      </c>
      <c r="AD836" s="14">
        <f t="shared" si="213"/>
        <v>776</v>
      </c>
      <c r="AE836" s="14" t="str">
        <f t="shared" si="214"/>
        <v>HPExt</v>
      </c>
      <c r="AF836" s="27">
        <f t="shared" si="215"/>
        <v>4660</v>
      </c>
      <c r="AG836" s="27" t="str">
        <f t="shared" si="216"/>
        <v>[x]</v>
      </c>
    </row>
    <row r="837" spans="16:33" ht="16.5" x14ac:dyDescent="0.2">
      <c r="P837" s="13">
        <v>781</v>
      </c>
      <c r="Q837" s="14">
        <f t="shared" si="201"/>
        <v>40</v>
      </c>
      <c r="R837" s="14">
        <f t="shared" si="202"/>
        <v>1606048</v>
      </c>
      <c r="S837" s="14" t="str">
        <f t="shared" si="206"/>
        <v>神器7碎片6等级10</v>
      </c>
      <c r="T837" s="29" t="s">
        <v>520</v>
      </c>
      <c r="U837" s="14">
        <f t="shared" si="203"/>
        <v>10</v>
      </c>
      <c r="V837" s="36">
        <f t="shared" si="207"/>
        <v>0.85000000000000009</v>
      </c>
      <c r="W837" s="17">
        <f t="shared" si="204"/>
        <v>2.5500000000000002E-2</v>
      </c>
      <c r="X837" s="14">
        <f t="shared" si="208"/>
        <v>1</v>
      </c>
      <c r="Y837" s="14">
        <f t="shared" si="209"/>
        <v>2</v>
      </c>
      <c r="Z837" s="14">
        <f t="shared" si="210"/>
        <v>3</v>
      </c>
      <c r="AA837" s="14" t="str">
        <f t="shared" si="211"/>
        <v>AtkExt</v>
      </c>
      <c r="AB837" s="14">
        <f t="shared" si="205"/>
        <v>1732</v>
      </c>
      <c r="AC837" s="14" t="str">
        <f t="shared" si="212"/>
        <v>DefExt</v>
      </c>
      <c r="AD837" s="14">
        <f t="shared" si="213"/>
        <v>865</v>
      </c>
      <c r="AE837" s="14" t="str">
        <f t="shared" si="214"/>
        <v>HPExt</v>
      </c>
      <c r="AF837" s="27">
        <f t="shared" si="215"/>
        <v>5198</v>
      </c>
      <c r="AG837" s="27" t="str">
        <f t="shared" si="216"/>
        <v>[x]</v>
      </c>
    </row>
    <row r="838" spans="16:33" ht="16.5" x14ac:dyDescent="0.2">
      <c r="P838" s="13">
        <v>782</v>
      </c>
      <c r="Q838" s="14">
        <f t="shared" si="201"/>
        <v>40</v>
      </c>
      <c r="R838" s="14">
        <f t="shared" si="202"/>
        <v>1606048</v>
      </c>
      <c r="S838" s="14" t="str">
        <f t="shared" si="206"/>
        <v>神器7碎片6等级11</v>
      </c>
      <c r="T838" s="29" t="s">
        <v>520</v>
      </c>
      <c r="U838" s="14">
        <f t="shared" si="203"/>
        <v>11</v>
      </c>
      <c r="V838" s="36">
        <f t="shared" si="207"/>
        <v>0.94200000000000006</v>
      </c>
      <c r="W838" s="17">
        <f t="shared" si="204"/>
        <v>2.826E-2</v>
      </c>
      <c r="X838" s="14">
        <f t="shared" si="208"/>
        <v>1</v>
      </c>
      <c r="Y838" s="14">
        <f t="shared" si="209"/>
        <v>2</v>
      </c>
      <c r="Z838" s="14">
        <f t="shared" si="210"/>
        <v>3</v>
      </c>
      <c r="AA838" s="14" t="str">
        <f t="shared" si="211"/>
        <v>AtkExt</v>
      </c>
      <c r="AB838" s="14">
        <f t="shared" si="205"/>
        <v>1919</v>
      </c>
      <c r="AC838" s="14" t="str">
        <f t="shared" si="212"/>
        <v>DefExt</v>
      </c>
      <c r="AD838" s="14">
        <f t="shared" si="213"/>
        <v>959</v>
      </c>
      <c r="AE838" s="14" t="str">
        <f t="shared" si="214"/>
        <v>HPExt</v>
      </c>
      <c r="AF838" s="27">
        <f t="shared" si="215"/>
        <v>5761</v>
      </c>
      <c r="AG838" s="27" t="str">
        <f t="shared" si="216"/>
        <v>[x]</v>
      </c>
    </row>
    <row r="839" spans="16:33" ht="16.5" x14ac:dyDescent="0.2">
      <c r="P839" s="13">
        <v>783</v>
      </c>
      <c r="Q839" s="14">
        <f t="shared" si="201"/>
        <v>40</v>
      </c>
      <c r="R839" s="14">
        <f t="shared" si="202"/>
        <v>1606048</v>
      </c>
      <c r="S839" s="14" t="str">
        <f t="shared" si="206"/>
        <v>神器7碎片6等级12</v>
      </c>
      <c r="T839" s="29" t="s">
        <v>520</v>
      </c>
      <c r="U839" s="14">
        <f t="shared" si="203"/>
        <v>12</v>
      </c>
      <c r="V839" s="36">
        <f t="shared" si="207"/>
        <v>1.0380000000000003</v>
      </c>
      <c r="W839" s="17">
        <f t="shared" si="204"/>
        <v>3.1140000000000008E-2</v>
      </c>
      <c r="X839" s="14">
        <f t="shared" si="208"/>
        <v>1</v>
      </c>
      <c r="Y839" s="14">
        <f t="shared" si="209"/>
        <v>2</v>
      </c>
      <c r="Z839" s="14">
        <f t="shared" si="210"/>
        <v>3</v>
      </c>
      <c r="AA839" s="14" t="str">
        <f t="shared" si="211"/>
        <v>AtkExt</v>
      </c>
      <c r="AB839" s="14">
        <f t="shared" si="205"/>
        <v>2115</v>
      </c>
      <c r="AC839" s="14" t="str">
        <f t="shared" si="212"/>
        <v>DefExt</v>
      </c>
      <c r="AD839" s="14">
        <f t="shared" si="213"/>
        <v>1057</v>
      </c>
      <c r="AE839" s="14" t="str">
        <f t="shared" si="214"/>
        <v>HPExt</v>
      </c>
      <c r="AF839" s="27">
        <f t="shared" si="215"/>
        <v>6348</v>
      </c>
      <c r="AG839" s="27" t="str">
        <f t="shared" si="216"/>
        <v>[x]</v>
      </c>
    </row>
    <row r="840" spans="16:33" ht="16.5" x14ac:dyDescent="0.2">
      <c r="P840" s="13">
        <v>784</v>
      </c>
      <c r="Q840" s="14">
        <f t="shared" si="201"/>
        <v>40</v>
      </c>
      <c r="R840" s="14">
        <f t="shared" si="202"/>
        <v>1606048</v>
      </c>
      <c r="S840" s="14" t="str">
        <f t="shared" si="206"/>
        <v>神器7碎片6等级13</v>
      </c>
      <c r="T840" s="29" t="s">
        <v>520</v>
      </c>
      <c r="U840" s="14">
        <f t="shared" si="203"/>
        <v>13</v>
      </c>
      <c r="V840" s="36">
        <f t="shared" si="207"/>
        <v>1.1380000000000001</v>
      </c>
      <c r="W840" s="17">
        <f t="shared" si="204"/>
        <v>3.4140000000000004E-2</v>
      </c>
      <c r="X840" s="14">
        <f t="shared" si="208"/>
        <v>1</v>
      </c>
      <c r="Y840" s="14">
        <f t="shared" si="209"/>
        <v>2</v>
      </c>
      <c r="Z840" s="14">
        <f t="shared" si="210"/>
        <v>3</v>
      </c>
      <c r="AA840" s="14" t="str">
        <f t="shared" si="211"/>
        <v>AtkExt</v>
      </c>
      <c r="AB840" s="14">
        <f t="shared" si="205"/>
        <v>2319</v>
      </c>
      <c r="AC840" s="14" t="str">
        <f t="shared" si="212"/>
        <v>DefExt</v>
      </c>
      <c r="AD840" s="14">
        <f t="shared" si="213"/>
        <v>1158</v>
      </c>
      <c r="AE840" s="14" t="str">
        <f t="shared" si="214"/>
        <v>HPExt</v>
      </c>
      <c r="AF840" s="27">
        <f t="shared" si="215"/>
        <v>6960</v>
      </c>
      <c r="AG840" s="27" t="str">
        <f t="shared" si="216"/>
        <v>[x]</v>
      </c>
    </row>
    <row r="841" spans="16:33" ht="16.5" x14ac:dyDescent="0.2">
      <c r="P841" s="13">
        <v>785</v>
      </c>
      <c r="Q841" s="14">
        <f t="shared" si="201"/>
        <v>40</v>
      </c>
      <c r="R841" s="14">
        <f t="shared" si="202"/>
        <v>1606048</v>
      </c>
      <c r="S841" s="14" t="str">
        <f t="shared" si="206"/>
        <v>神器7碎片6等级14</v>
      </c>
      <c r="T841" s="29" t="s">
        <v>520</v>
      </c>
      <c r="U841" s="14">
        <f t="shared" si="203"/>
        <v>14</v>
      </c>
      <c r="V841" s="36">
        <f t="shared" si="207"/>
        <v>1.242</v>
      </c>
      <c r="W841" s="17">
        <f t="shared" si="204"/>
        <v>3.7260000000000001E-2</v>
      </c>
      <c r="X841" s="14">
        <f t="shared" si="208"/>
        <v>1</v>
      </c>
      <c r="Y841" s="14">
        <f t="shared" si="209"/>
        <v>2</v>
      </c>
      <c r="Z841" s="14">
        <f t="shared" si="210"/>
        <v>3</v>
      </c>
      <c r="AA841" s="14" t="str">
        <f t="shared" si="211"/>
        <v>AtkExt</v>
      </c>
      <c r="AB841" s="14">
        <f t="shared" si="205"/>
        <v>2530</v>
      </c>
      <c r="AC841" s="14" t="str">
        <f t="shared" si="212"/>
        <v>DefExt</v>
      </c>
      <c r="AD841" s="14">
        <f t="shared" si="213"/>
        <v>1264</v>
      </c>
      <c r="AE841" s="14" t="str">
        <f t="shared" si="214"/>
        <v>HPExt</v>
      </c>
      <c r="AF841" s="27">
        <f t="shared" si="215"/>
        <v>7596</v>
      </c>
      <c r="AG841" s="27" t="str">
        <f t="shared" si="216"/>
        <v>[x]</v>
      </c>
    </row>
    <row r="842" spans="16:33" ht="16.5" x14ac:dyDescent="0.2">
      <c r="P842" s="13">
        <v>786</v>
      </c>
      <c r="Q842" s="14">
        <f t="shared" si="201"/>
        <v>40</v>
      </c>
      <c r="R842" s="14">
        <f t="shared" si="202"/>
        <v>1606048</v>
      </c>
      <c r="S842" s="14" t="str">
        <f t="shared" si="206"/>
        <v>神器7碎片6等级15</v>
      </c>
      <c r="T842" s="29" t="s">
        <v>520</v>
      </c>
      <c r="U842" s="14">
        <f t="shared" si="203"/>
        <v>15</v>
      </c>
      <c r="V842" s="36">
        <f t="shared" si="207"/>
        <v>1.35</v>
      </c>
      <c r="W842" s="17">
        <f t="shared" si="204"/>
        <v>4.0500000000000001E-2</v>
      </c>
      <c r="X842" s="14">
        <f t="shared" si="208"/>
        <v>1</v>
      </c>
      <c r="Y842" s="14">
        <f t="shared" si="209"/>
        <v>2</v>
      </c>
      <c r="Z842" s="14">
        <f t="shared" si="210"/>
        <v>3</v>
      </c>
      <c r="AA842" s="14" t="str">
        <f t="shared" si="211"/>
        <v>AtkExt</v>
      </c>
      <c r="AB842" s="14">
        <f t="shared" si="205"/>
        <v>2751</v>
      </c>
      <c r="AC842" s="14" t="str">
        <f t="shared" si="212"/>
        <v>DefExt</v>
      </c>
      <c r="AD842" s="14">
        <f t="shared" si="213"/>
        <v>1374</v>
      </c>
      <c r="AE842" s="14" t="str">
        <f t="shared" si="214"/>
        <v>HPExt</v>
      </c>
      <c r="AF842" s="27">
        <f t="shared" si="215"/>
        <v>8256</v>
      </c>
      <c r="AG842" s="27" t="str">
        <f t="shared" si="216"/>
        <v>[x]</v>
      </c>
    </row>
    <row r="843" spans="16:33" ht="16.5" x14ac:dyDescent="0.2">
      <c r="P843" s="13">
        <v>787</v>
      </c>
      <c r="Q843" s="14">
        <f t="shared" si="201"/>
        <v>40</v>
      </c>
      <c r="R843" s="14">
        <f t="shared" si="202"/>
        <v>1606048</v>
      </c>
      <c r="S843" s="14" t="str">
        <f t="shared" si="206"/>
        <v>神器7碎片6等级16</v>
      </c>
      <c r="T843" s="29" t="s">
        <v>520</v>
      </c>
      <c r="U843" s="14">
        <f t="shared" si="203"/>
        <v>16</v>
      </c>
      <c r="V843" s="36">
        <f t="shared" si="207"/>
        <v>1.4620000000000002</v>
      </c>
      <c r="W843" s="17">
        <f t="shared" si="204"/>
        <v>4.3860000000000003E-2</v>
      </c>
      <c r="X843" s="14">
        <f t="shared" si="208"/>
        <v>1</v>
      </c>
      <c r="Y843" s="14">
        <f t="shared" si="209"/>
        <v>2</v>
      </c>
      <c r="Z843" s="14">
        <f t="shared" si="210"/>
        <v>3</v>
      </c>
      <c r="AA843" s="14" t="str">
        <f t="shared" si="211"/>
        <v>AtkExt</v>
      </c>
      <c r="AB843" s="14">
        <f t="shared" si="205"/>
        <v>2979</v>
      </c>
      <c r="AC843" s="14" t="str">
        <f t="shared" si="212"/>
        <v>DefExt</v>
      </c>
      <c r="AD843" s="14">
        <f t="shared" si="213"/>
        <v>1488</v>
      </c>
      <c r="AE843" s="14" t="str">
        <f t="shared" si="214"/>
        <v>HPExt</v>
      </c>
      <c r="AF843" s="27">
        <f t="shared" si="215"/>
        <v>8941</v>
      </c>
      <c r="AG843" s="27" t="str">
        <f t="shared" si="216"/>
        <v>[x]</v>
      </c>
    </row>
    <row r="844" spans="16:33" ht="16.5" x14ac:dyDescent="0.2">
      <c r="P844" s="13">
        <v>788</v>
      </c>
      <c r="Q844" s="14">
        <f t="shared" si="201"/>
        <v>40</v>
      </c>
      <c r="R844" s="14">
        <f t="shared" si="202"/>
        <v>1606048</v>
      </c>
      <c r="S844" s="14" t="str">
        <f t="shared" si="206"/>
        <v>神器7碎片6等级17</v>
      </c>
      <c r="T844" s="29" t="s">
        <v>520</v>
      </c>
      <c r="U844" s="14">
        <f t="shared" si="203"/>
        <v>17</v>
      </c>
      <c r="V844" s="36">
        <f t="shared" si="207"/>
        <v>1.5779999999999998</v>
      </c>
      <c r="W844" s="17">
        <f t="shared" si="204"/>
        <v>4.7339999999999993E-2</v>
      </c>
      <c r="X844" s="14">
        <f t="shared" si="208"/>
        <v>1</v>
      </c>
      <c r="Y844" s="14">
        <f t="shared" si="209"/>
        <v>2</v>
      </c>
      <c r="Z844" s="14">
        <f t="shared" si="210"/>
        <v>3</v>
      </c>
      <c r="AA844" s="14" t="str">
        <f t="shared" si="211"/>
        <v>AtkExt</v>
      </c>
      <c r="AB844" s="14">
        <f t="shared" si="205"/>
        <v>3215</v>
      </c>
      <c r="AC844" s="14" t="str">
        <f t="shared" si="212"/>
        <v>DefExt</v>
      </c>
      <c r="AD844" s="14">
        <f t="shared" si="213"/>
        <v>1607</v>
      </c>
      <c r="AE844" s="14" t="str">
        <f t="shared" si="214"/>
        <v>HPExt</v>
      </c>
      <c r="AF844" s="27">
        <f t="shared" si="215"/>
        <v>9651</v>
      </c>
      <c r="AG844" s="27" t="str">
        <f t="shared" si="216"/>
        <v>[x]</v>
      </c>
    </row>
    <row r="845" spans="16:33" ht="16.5" x14ac:dyDescent="0.2">
      <c r="P845" s="13">
        <v>789</v>
      </c>
      <c r="Q845" s="14">
        <f t="shared" si="201"/>
        <v>40</v>
      </c>
      <c r="R845" s="14">
        <f t="shared" si="202"/>
        <v>1606048</v>
      </c>
      <c r="S845" s="14" t="str">
        <f t="shared" si="206"/>
        <v>神器7碎片6等级18</v>
      </c>
      <c r="T845" s="29" t="s">
        <v>520</v>
      </c>
      <c r="U845" s="14">
        <f t="shared" si="203"/>
        <v>18</v>
      </c>
      <c r="V845" s="36">
        <f t="shared" si="207"/>
        <v>1.698</v>
      </c>
      <c r="W845" s="17">
        <f t="shared" si="204"/>
        <v>5.0939999999999999E-2</v>
      </c>
      <c r="X845" s="14">
        <f t="shared" si="208"/>
        <v>1</v>
      </c>
      <c r="Y845" s="14">
        <f t="shared" si="209"/>
        <v>2</v>
      </c>
      <c r="Z845" s="14">
        <f t="shared" si="210"/>
        <v>3</v>
      </c>
      <c r="AA845" s="14" t="str">
        <f t="shared" si="211"/>
        <v>AtkExt</v>
      </c>
      <c r="AB845" s="14">
        <f t="shared" si="205"/>
        <v>3460</v>
      </c>
      <c r="AC845" s="14" t="str">
        <f t="shared" si="212"/>
        <v>DefExt</v>
      </c>
      <c r="AD845" s="14">
        <f t="shared" si="213"/>
        <v>1729</v>
      </c>
      <c r="AE845" s="14" t="str">
        <f t="shared" si="214"/>
        <v>HPExt</v>
      </c>
      <c r="AF845" s="27">
        <f t="shared" si="215"/>
        <v>10385</v>
      </c>
      <c r="AG845" s="27" t="str">
        <f t="shared" si="216"/>
        <v>[x]</v>
      </c>
    </row>
    <row r="846" spans="16:33" ht="16.5" x14ac:dyDescent="0.2">
      <c r="P846" s="13">
        <v>790</v>
      </c>
      <c r="Q846" s="14">
        <f t="shared" si="201"/>
        <v>40</v>
      </c>
      <c r="R846" s="14">
        <f t="shared" si="202"/>
        <v>1606048</v>
      </c>
      <c r="S846" s="14" t="str">
        <f t="shared" si="206"/>
        <v>神器7碎片6等级19</v>
      </c>
      <c r="T846" s="29" t="s">
        <v>520</v>
      </c>
      <c r="U846" s="14">
        <f t="shared" si="203"/>
        <v>19</v>
      </c>
      <c r="V846" s="36">
        <f t="shared" si="207"/>
        <v>1.8220000000000001</v>
      </c>
      <c r="W846" s="17">
        <f t="shared" si="204"/>
        <v>5.466E-2</v>
      </c>
      <c r="X846" s="14">
        <f t="shared" si="208"/>
        <v>1</v>
      </c>
      <c r="Y846" s="14">
        <f t="shared" si="209"/>
        <v>2</v>
      </c>
      <c r="Z846" s="14">
        <f t="shared" si="210"/>
        <v>3</v>
      </c>
      <c r="AA846" s="14" t="str">
        <f t="shared" si="211"/>
        <v>AtkExt</v>
      </c>
      <c r="AB846" s="14">
        <f t="shared" si="205"/>
        <v>3712</v>
      </c>
      <c r="AC846" s="14" t="str">
        <f t="shared" si="212"/>
        <v>DefExt</v>
      </c>
      <c r="AD846" s="14">
        <f t="shared" si="213"/>
        <v>1855</v>
      </c>
      <c r="AE846" s="14" t="str">
        <f t="shared" si="214"/>
        <v>HPExt</v>
      </c>
      <c r="AF846" s="27">
        <f t="shared" si="215"/>
        <v>11143</v>
      </c>
      <c r="AG846" s="27" t="str">
        <f t="shared" si="216"/>
        <v>[x]</v>
      </c>
    </row>
    <row r="847" spans="16:33" ht="16.5" x14ac:dyDescent="0.2">
      <c r="P847" s="13">
        <v>791</v>
      </c>
      <c r="Q847" s="14">
        <f t="shared" si="201"/>
        <v>40</v>
      </c>
      <c r="R847" s="14">
        <f t="shared" si="202"/>
        <v>1606048</v>
      </c>
      <c r="S847" s="14" t="str">
        <f t="shared" si="206"/>
        <v>神器7碎片6等级20</v>
      </c>
      <c r="T847" s="29" t="s">
        <v>520</v>
      </c>
      <c r="U847" s="14">
        <f t="shared" si="203"/>
        <v>20</v>
      </c>
      <c r="V847" s="36">
        <f t="shared" si="207"/>
        <v>1.95</v>
      </c>
      <c r="W847" s="17">
        <f t="shared" si="204"/>
        <v>5.8499999999999996E-2</v>
      </c>
      <c r="X847" s="14">
        <f t="shared" si="208"/>
        <v>1</v>
      </c>
      <c r="Y847" s="14">
        <f t="shared" si="209"/>
        <v>2</v>
      </c>
      <c r="Z847" s="14">
        <f t="shared" si="210"/>
        <v>3</v>
      </c>
      <c r="AA847" s="14" t="str">
        <f t="shared" si="211"/>
        <v>AtkExt</v>
      </c>
      <c r="AB847" s="14">
        <f t="shared" si="205"/>
        <v>3973</v>
      </c>
      <c r="AC847" s="14" t="str">
        <f t="shared" si="212"/>
        <v>DefExt</v>
      </c>
      <c r="AD847" s="14">
        <f t="shared" si="213"/>
        <v>1985</v>
      </c>
      <c r="AE847" s="14" t="str">
        <f t="shared" si="214"/>
        <v>HPExt</v>
      </c>
      <c r="AF847" s="27">
        <f t="shared" si="215"/>
        <v>11926</v>
      </c>
      <c r="AG847" s="27" t="str">
        <f t="shared" si="216"/>
        <v>[x]</v>
      </c>
    </row>
    <row r="848" spans="16:33" ht="16.5" x14ac:dyDescent="0.2">
      <c r="P848" s="13">
        <v>792</v>
      </c>
      <c r="Q848" s="14">
        <f t="shared" si="201"/>
        <v>40</v>
      </c>
      <c r="R848" s="14">
        <f t="shared" si="202"/>
        <v>1606048</v>
      </c>
      <c r="S848" s="14" t="str">
        <f t="shared" si="206"/>
        <v>神器7碎片6等级21</v>
      </c>
      <c r="T848" s="29" t="s">
        <v>520</v>
      </c>
      <c r="U848" s="14">
        <f t="shared" si="203"/>
        <v>21</v>
      </c>
      <c r="V848" s="36">
        <f t="shared" si="207"/>
        <v>2.0819999999999999</v>
      </c>
      <c r="W848" s="17">
        <f t="shared" si="204"/>
        <v>6.2459999999999995E-2</v>
      </c>
      <c r="X848" s="14">
        <f t="shared" si="208"/>
        <v>1</v>
      </c>
      <c r="Y848" s="14">
        <f t="shared" si="209"/>
        <v>2</v>
      </c>
      <c r="Z848" s="14">
        <f t="shared" si="210"/>
        <v>3</v>
      </c>
      <c r="AA848" s="14" t="str">
        <f t="shared" si="211"/>
        <v>AtkExt</v>
      </c>
      <c r="AB848" s="14">
        <f t="shared" si="205"/>
        <v>4242</v>
      </c>
      <c r="AC848" s="14" t="str">
        <f t="shared" si="212"/>
        <v>DefExt</v>
      </c>
      <c r="AD848" s="14">
        <f t="shared" si="213"/>
        <v>2120</v>
      </c>
      <c r="AE848" s="14" t="str">
        <f t="shared" si="214"/>
        <v>HPExt</v>
      </c>
      <c r="AF848" s="27">
        <f t="shared" si="215"/>
        <v>12733</v>
      </c>
      <c r="AG848" s="27" t="str">
        <f t="shared" si="216"/>
        <v>[x]</v>
      </c>
    </row>
    <row r="849" spans="16:33" ht="16.5" x14ac:dyDescent="0.2">
      <c r="P849" s="13">
        <v>793</v>
      </c>
      <c r="Q849" s="14">
        <f t="shared" si="201"/>
        <v>41</v>
      </c>
      <c r="R849" s="14">
        <f t="shared" si="202"/>
        <v>1606049</v>
      </c>
      <c r="S849" s="14" t="str">
        <f t="shared" si="206"/>
        <v>神器7碎片7等级1</v>
      </c>
      <c r="T849" s="29" t="s">
        <v>520</v>
      </c>
      <c r="U849" s="14">
        <f t="shared" si="203"/>
        <v>1</v>
      </c>
      <c r="V849" s="36">
        <f t="shared" si="207"/>
        <v>0.20200000000000001</v>
      </c>
      <c r="W849" s="17">
        <f t="shared" si="204"/>
        <v>1.0100000000000001E-2</v>
      </c>
      <c r="X849" s="14">
        <f t="shared" si="208"/>
        <v>1</v>
      </c>
      <c r="Y849" s="14">
        <f t="shared" si="209"/>
        <v>3</v>
      </c>
      <c r="Z849" s="14">
        <f t="shared" si="210"/>
        <v>0</v>
      </c>
      <c r="AA849" s="14" t="str">
        <f t="shared" si="211"/>
        <v>AtkExt</v>
      </c>
      <c r="AB849" s="14">
        <f t="shared" si="205"/>
        <v>1372</v>
      </c>
      <c r="AC849" s="14" t="str">
        <f t="shared" si="212"/>
        <v>HPExt</v>
      </c>
      <c r="AD849" s="14">
        <f t="shared" si="213"/>
        <v>4118</v>
      </c>
      <c r="AE849" s="14" t="str">
        <f t="shared" si="214"/>
        <v>[x]</v>
      </c>
      <c r="AF849" s="27" t="str">
        <f t="shared" si="215"/>
        <v>[x]</v>
      </c>
      <c r="AG849" s="27">
        <f t="shared" si="216"/>
        <v>1</v>
      </c>
    </row>
    <row r="850" spans="16:33" ht="16.5" x14ac:dyDescent="0.2">
      <c r="P850" s="13">
        <v>794</v>
      </c>
      <c r="Q850" s="14">
        <f t="shared" si="201"/>
        <v>41</v>
      </c>
      <c r="R850" s="14">
        <f t="shared" si="202"/>
        <v>1606049</v>
      </c>
      <c r="S850" s="14" t="str">
        <f t="shared" si="206"/>
        <v>神器7碎片7等级2</v>
      </c>
      <c r="T850" s="29" t="s">
        <v>520</v>
      </c>
      <c r="U850" s="14">
        <f t="shared" si="203"/>
        <v>2</v>
      </c>
      <c r="V850" s="36">
        <f t="shared" si="207"/>
        <v>0.25800000000000001</v>
      </c>
      <c r="W850" s="17">
        <f t="shared" si="204"/>
        <v>1.2900000000000002E-2</v>
      </c>
      <c r="X850" s="14">
        <f t="shared" si="208"/>
        <v>1</v>
      </c>
      <c r="Y850" s="14">
        <f t="shared" si="209"/>
        <v>3</v>
      </c>
      <c r="Z850" s="14">
        <f t="shared" si="210"/>
        <v>0</v>
      </c>
      <c r="AA850" s="14" t="str">
        <f t="shared" si="211"/>
        <v>AtkExt</v>
      </c>
      <c r="AB850" s="14">
        <f t="shared" si="205"/>
        <v>1752</v>
      </c>
      <c r="AC850" s="14" t="str">
        <f t="shared" si="212"/>
        <v>HPExt</v>
      </c>
      <c r="AD850" s="14">
        <f t="shared" si="213"/>
        <v>5259</v>
      </c>
      <c r="AE850" s="14" t="str">
        <f t="shared" si="214"/>
        <v>[x]</v>
      </c>
      <c r="AF850" s="27" t="str">
        <f t="shared" si="215"/>
        <v>[x]</v>
      </c>
      <c r="AG850" s="27">
        <f t="shared" si="216"/>
        <v>2</v>
      </c>
    </row>
    <row r="851" spans="16:33" ht="16.5" x14ac:dyDescent="0.2">
      <c r="P851" s="13">
        <v>795</v>
      </c>
      <c r="Q851" s="14">
        <f t="shared" si="201"/>
        <v>41</v>
      </c>
      <c r="R851" s="14">
        <f t="shared" si="202"/>
        <v>1606049</v>
      </c>
      <c r="S851" s="14" t="str">
        <f t="shared" si="206"/>
        <v>神器7碎片7等级3</v>
      </c>
      <c r="T851" s="29" t="s">
        <v>520</v>
      </c>
      <c r="U851" s="14">
        <f t="shared" si="203"/>
        <v>3</v>
      </c>
      <c r="V851" s="36">
        <f t="shared" si="207"/>
        <v>0.31800000000000006</v>
      </c>
      <c r="W851" s="17">
        <f t="shared" si="204"/>
        <v>1.5900000000000004E-2</v>
      </c>
      <c r="X851" s="14">
        <f t="shared" si="208"/>
        <v>1</v>
      </c>
      <c r="Y851" s="14">
        <f t="shared" si="209"/>
        <v>3</v>
      </c>
      <c r="Z851" s="14">
        <f t="shared" si="210"/>
        <v>0</v>
      </c>
      <c r="AA851" s="14" t="str">
        <f t="shared" si="211"/>
        <v>AtkExt</v>
      </c>
      <c r="AB851" s="14">
        <f t="shared" si="205"/>
        <v>2160</v>
      </c>
      <c r="AC851" s="14" t="str">
        <f t="shared" si="212"/>
        <v>HPExt</v>
      </c>
      <c r="AD851" s="14">
        <f t="shared" si="213"/>
        <v>6483</v>
      </c>
      <c r="AE851" s="14" t="str">
        <f t="shared" si="214"/>
        <v>[x]</v>
      </c>
      <c r="AF851" s="27" t="str">
        <f t="shared" si="215"/>
        <v>[x]</v>
      </c>
      <c r="AG851" s="27">
        <f t="shared" si="216"/>
        <v>3</v>
      </c>
    </row>
    <row r="852" spans="16:33" ht="16.5" x14ac:dyDescent="0.2">
      <c r="P852" s="13">
        <v>796</v>
      </c>
      <c r="Q852" s="14">
        <f t="shared" si="201"/>
        <v>41</v>
      </c>
      <c r="R852" s="14">
        <f t="shared" si="202"/>
        <v>1606049</v>
      </c>
      <c r="S852" s="14" t="str">
        <f t="shared" si="206"/>
        <v>神器7碎片7等级4</v>
      </c>
      <c r="T852" s="29" t="s">
        <v>520</v>
      </c>
      <c r="U852" s="14">
        <f t="shared" si="203"/>
        <v>4</v>
      </c>
      <c r="V852" s="36">
        <f t="shared" si="207"/>
        <v>0.38200000000000001</v>
      </c>
      <c r="W852" s="17">
        <f t="shared" si="204"/>
        <v>1.9100000000000002E-2</v>
      </c>
      <c r="X852" s="14">
        <f t="shared" si="208"/>
        <v>1</v>
      </c>
      <c r="Y852" s="14">
        <f t="shared" si="209"/>
        <v>3</v>
      </c>
      <c r="Z852" s="14">
        <f t="shared" si="210"/>
        <v>0</v>
      </c>
      <c r="AA852" s="14" t="str">
        <f t="shared" si="211"/>
        <v>AtkExt</v>
      </c>
      <c r="AB852" s="14">
        <f t="shared" si="205"/>
        <v>2594</v>
      </c>
      <c r="AC852" s="14" t="str">
        <f t="shared" si="212"/>
        <v>HPExt</v>
      </c>
      <c r="AD852" s="14">
        <f t="shared" si="213"/>
        <v>7787</v>
      </c>
      <c r="AE852" s="14" t="str">
        <f t="shared" si="214"/>
        <v>[x]</v>
      </c>
      <c r="AF852" s="27" t="str">
        <f t="shared" si="215"/>
        <v>[x]</v>
      </c>
      <c r="AG852" s="27">
        <f t="shared" si="216"/>
        <v>4</v>
      </c>
    </row>
    <row r="853" spans="16:33" ht="16.5" x14ac:dyDescent="0.2">
      <c r="P853" s="13">
        <v>797</v>
      </c>
      <c r="Q853" s="14">
        <f t="shared" si="201"/>
        <v>41</v>
      </c>
      <c r="R853" s="14">
        <f t="shared" si="202"/>
        <v>1606049</v>
      </c>
      <c r="S853" s="14" t="str">
        <f t="shared" si="206"/>
        <v>神器7碎片7等级5</v>
      </c>
      <c r="T853" s="29" t="s">
        <v>520</v>
      </c>
      <c r="U853" s="14">
        <f t="shared" si="203"/>
        <v>5</v>
      </c>
      <c r="V853" s="36">
        <f t="shared" si="207"/>
        <v>0.45</v>
      </c>
      <c r="W853" s="17">
        <f t="shared" si="204"/>
        <v>2.2500000000000003E-2</v>
      </c>
      <c r="X853" s="14">
        <f t="shared" si="208"/>
        <v>1</v>
      </c>
      <c r="Y853" s="14">
        <f t="shared" si="209"/>
        <v>3</v>
      </c>
      <c r="Z853" s="14">
        <f t="shared" si="210"/>
        <v>0</v>
      </c>
      <c r="AA853" s="14" t="str">
        <f t="shared" si="211"/>
        <v>AtkExt</v>
      </c>
      <c r="AB853" s="14">
        <f t="shared" si="205"/>
        <v>3056</v>
      </c>
      <c r="AC853" s="14" t="str">
        <f t="shared" si="212"/>
        <v>HPExt</v>
      </c>
      <c r="AD853" s="14">
        <f t="shared" si="213"/>
        <v>9174</v>
      </c>
      <c r="AE853" s="14" t="str">
        <f t="shared" si="214"/>
        <v>[x]</v>
      </c>
      <c r="AF853" s="27" t="str">
        <f t="shared" si="215"/>
        <v>[x]</v>
      </c>
      <c r="AG853" s="27">
        <f t="shared" si="216"/>
        <v>5</v>
      </c>
    </row>
    <row r="854" spans="16:33" ht="16.5" x14ac:dyDescent="0.2">
      <c r="P854" s="13">
        <v>798</v>
      </c>
      <c r="Q854" s="14">
        <f t="shared" si="201"/>
        <v>41</v>
      </c>
      <c r="R854" s="14">
        <f t="shared" si="202"/>
        <v>1606049</v>
      </c>
      <c r="S854" s="14" t="str">
        <f t="shared" si="206"/>
        <v>神器7碎片7等级6</v>
      </c>
      <c r="T854" s="29" t="s">
        <v>520</v>
      </c>
      <c r="U854" s="14">
        <f t="shared" si="203"/>
        <v>6</v>
      </c>
      <c r="V854" s="36">
        <f t="shared" si="207"/>
        <v>0.52200000000000002</v>
      </c>
      <c r="W854" s="17">
        <f t="shared" si="204"/>
        <v>2.6100000000000002E-2</v>
      </c>
      <c r="X854" s="14">
        <f t="shared" si="208"/>
        <v>1</v>
      </c>
      <c r="Y854" s="14">
        <f t="shared" si="209"/>
        <v>3</v>
      </c>
      <c r="Z854" s="14">
        <f t="shared" si="210"/>
        <v>0</v>
      </c>
      <c r="AA854" s="14" t="str">
        <f t="shared" si="211"/>
        <v>AtkExt</v>
      </c>
      <c r="AB854" s="14">
        <f t="shared" si="205"/>
        <v>3545</v>
      </c>
      <c r="AC854" s="14" t="str">
        <f t="shared" si="212"/>
        <v>HPExt</v>
      </c>
      <c r="AD854" s="14">
        <f t="shared" si="213"/>
        <v>10642</v>
      </c>
      <c r="AE854" s="14" t="str">
        <f t="shared" si="214"/>
        <v>[x]</v>
      </c>
      <c r="AF854" s="27" t="str">
        <f t="shared" si="215"/>
        <v>[x]</v>
      </c>
      <c r="AG854" s="27">
        <f t="shared" si="216"/>
        <v>6</v>
      </c>
    </row>
    <row r="855" spans="16:33" ht="16.5" x14ac:dyDescent="0.2">
      <c r="P855" s="13">
        <v>799</v>
      </c>
      <c r="Q855" s="14">
        <f t="shared" si="201"/>
        <v>41</v>
      </c>
      <c r="R855" s="14">
        <f t="shared" si="202"/>
        <v>1606049</v>
      </c>
      <c r="S855" s="14" t="str">
        <f t="shared" si="206"/>
        <v>神器7碎片7等级7</v>
      </c>
      <c r="T855" s="29" t="s">
        <v>520</v>
      </c>
      <c r="U855" s="14">
        <f t="shared" si="203"/>
        <v>7</v>
      </c>
      <c r="V855" s="36">
        <f t="shared" si="207"/>
        <v>0.59799999999999998</v>
      </c>
      <c r="W855" s="17">
        <f t="shared" si="204"/>
        <v>2.9899999999999999E-2</v>
      </c>
      <c r="X855" s="14">
        <f t="shared" si="208"/>
        <v>1</v>
      </c>
      <c r="Y855" s="14">
        <f t="shared" si="209"/>
        <v>3</v>
      </c>
      <c r="Z855" s="14">
        <f t="shared" si="210"/>
        <v>0</v>
      </c>
      <c r="AA855" s="14" t="str">
        <f t="shared" si="211"/>
        <v>AtkExt</v>
      </c>
      <c r="AB855" s="14">
        <f t="shared" si="205"/>
        <v>4062</v>
      </c>
      <c r="AC855" s="14" t="str">
        <f t="shared" si="212"/>
        <v>HPExt</v>
      </c>
      <c r="AD855" s="14">
        <f t="shared" si="213"/>
        <v>12191</v>
      </c>
      <c r="AE855" s="14" t="str">
        <f t="shared" si="214"/>
        <v>[x]</v>
      </c>
      <c r="AF855" s="27" t="str">
        <f t="shared" si="215"/>
        <v>[x]</v>
      </c>
      <c r="AG855" s="27">
        <f t="shared" si="216"/>
        <v>7</v>
      </c>
    </row>
    <row r="856" spans="16:33" ht="16.5" x14ac:dyDescent="0.2">
      <c r="P856" s="13">
        <v>800</v>
      </c>
      <c r="Q856" s="14">
        <f t="shared" si="201"/>
        <v>41</v>
      </c>
      <c r="R856" s="14">
        <f t="shared" si="202"/>
        <v>1606049</v>
      </c>
      <c r="S856" s="14" t="str">
        <f t="shared" si="206"/>
        <v>神器7碎片7等级8</v>
      </c>
      <c r="T856" s="29" t="s">
        <v>520</v>
      </c>
      <c r="U856" s="14">
        <f t="shared" si="203"/>
        <v>8</v>
      </c>
      <c r="V856" s="36">
        <f t="shared" si="207"/>
        <v>0.67800000000000005</v>
      </c>
      <c r="W856" s="17">
        <f t="shared" si="204"/>
        <v>3.3900000000000007E-2</v>
      </c>
      <c r="X856" s="14">
        <f t="shared" si="208"/>
        <v>1</v>
      </c>
      <c r="Y856" s="14">
        <f t="shared" si="209"/>
        <v>3</v>
      </c>
      <c r="Z856" s="14">
        <f t="shared" si="210"/>
        <v>0</v>
      </c>
      <c r="AA856" s="14" t="str">
        <f t="shared" si="211"/>
        <v>AtkExt</v>
      </c>
      <c r="AB856" s="14">
        <f t="shared" si="205"/>
        <v>4605</v>
      </c>
      <c r="AC856" s="14" t="str">
        <f t="shared" si="212"/>
        <v>HPExt</v>
      </c>
      <c r="AD856" s="14">
        <f t="shared" si="213"/>
        <v>13822</v>
      </c>
      <c r="AE856" s="14" t="str">
        <f t="shared" si="214"/>
        <v>[x]</v>
      </c>
      <c r="AF856" s="27" t="str">
        <f t="shared" si="215"/>
        <v>[x]</v>
      </c>
      <c r="AG856" s="27">
        <f t="shared" si="216"/>
        <v>8</v>
      </c>
    </row>
    <row r="857" spans="16:33" ht="16.5" x14ac:dyDescent="0.2">
      <c r="P857" s="13">
        <v>801</v>
      </c>
      <c r="Q857" s="14">
        <f t="shared" si="201"/>
        <v>41</v>
      </c>
      <c r="R857" s="14">
        <f t="shared" si="202"/>
        <v>1606049</v>
      </c>
      <c r="S857" s="14" t="str">
        <f t="shared" si="206"/>
        <v>神器7碎片7等级9</v>
      </c>
      <c r="T857" s="29" t="s">
        <v>520</v>
      </c>
      <c r="U857" s="14">
        <f t="shared" si="203"/>
        <v>9</v>
      </c>
      <c r="V857" s="36">
        <f t="shared" si="207"/>
        <v>0.76200000000000001</v>
      </c>
      <c r="W857" s="17">
        <f t="shared" si="204"/>
        <v>3.8100000000000002E-2</v>
      </c>
      <c r="X857" s="14">
        <f t="shared" si="208"/>
        <v>1</v>
      </c>
      <c r="Y857" s="14">
        <f t="shared" si="209"/>
        <v>3</v>
      </c>
      <c r="Z857" s="14">
        <f t="shared" si="210"/>
        <v>0</v>
      </c>
      <c r="AA857" s="14" t="str">
        <f t="shared" si="211"/>
        <v>AtkExt</v>
      </c>
      <c r="AB857" s="14">
        <f t="shared" si="205"/>
        <v>5176</v>
      </c>
      <c r="AC857" s="14" t="str">
        <f t="shared" si="212"/>
        <v>HPExt</v>
      </c>
      <c r="AD857" s="14">
        <f t="shared" si="213"/>
        <v>15535</v>
      </c>
      <c r="AE857" s="14" t="str">
        <f t="shared" si="214"/>
        <v>[x]</v>
      </c>
      <c r="AF857" s="27" t="str">
        <f t="shared" si="215"/>
        <v>[x]</v>
      </c>
      <c r="AG857" s="27">
        <f t="shared" si="216"/>
        <v>9</v>
      </c>
    </row>
    <row r="858" spans="16:33" ht="16.5" x14ac:dyDescent="0.2">
      <c r="P858" s="13">
        <v>802</v>
      </c>
      <c r="Q858" s="14">
        <f t="shared" si="201"/>
        <v>41</v>
      </c>
      <c r="R858" s="14">
        <f t="shared" si="202"/>
        <v>1606049</v>
      </c>
      <c r="S858" s="14" t="str">
        <f t="shared" si="206"/>
        <v>神器7碎片7等级10</v>
      </c>
      <c r="T858" s="29" t="s">
        <v>520</v>
      </c>
      <c r="U858" s="14">
        <f t="shared" si="203"/>
        <v>10</v>
      </c>
      <c r="V858" s="36">
        <f t="shared" si="207"/>
        <v>0.85000000000000009</v>
      </c>
      <c r="W858" s="17">
        <f t="shared" si="204"/>
        <v>4.250000000000001E-2</v>
      </c>
      <c r="X858" s="14">
        <f t="shared" si="208"/>
        <v>1</v>
      </c>
      <c r="Y858" s="14">
        <f t="shared" si="209"/>
        <v>3</v>
      </c>
      <c r="Z858" s="14">
        <f t="shared" si="210"/>
        <v>0</v>
      </c>
      <c r="AA858" s="14" t="str">
        <f t="shared" si="211"/>
        <v>AtkExt</v>
      </c>
      <c r="AB858" s="14">
        <f t="shared" si="205"/>
        <v>5773</v>
      </c>
      <c r="AC858" s="14" t="str">
        <f t="shared" si="212"/>
        <v>HPExt</v>
      </c>
      <c r="AD858" s="14">
        <f t="shared" si="213"/>
        <v>17329</v>
      </c>
      <c r="AE858" s="14" t="str">
        <f t="shared" si="214"/>
        <v>[x]</v>
      </c>
      <c r="AF858" s="27" t="str">
        <f t="shared" si="215"/>
        <v>[x]</v>
      </c>
      <c r="AG858" s="27">
        <f t="shared" si="216"/>
        <v>10</v>
      </c>
    </row>
    <row r="859" spans="16:33" ht="16.5" x14ac:dyDescent="0.2">
      <c r="P859" s="13">
        <v>803</v>
      </c>
      <c r="Q859" s="14">
        <f t="shared" si="201"/>
        <v>41</v>
      </c>
      <c r="R859" s="14">
        <f t="shared" si="202"/>
        <v>1606049</v>
      </c>
      <c r="S859" s="14" t="str">
        <f t="shared" si="206"/>
        <v>神器7碎片7等级11</v>
      </c>
      <c r="T859" s="29" t="s">
        <v>520</v>
      </c>
      <c r="U859" s="14">
        <f t="shared" si="203"/>
        <v>11</v>
      </c>
      <c r="V859" s="36">
        <f t="shared" si="207"/>
        <v>0.94200000000000006</v>
      </c>
      <c r="W859" s="17">
        <f t="shared" si="204"/>
        <v>4.7100000000000003E-2</v>
      </c>
      <c r="X859" s="14">
        <f t="shared" si="208"/>
        <v>1</v>
      </c>
      <c r="Y859" s="14">
        <f t="shared" si="209"/>
        <v>3</v>
      </c>
      <c r="Z859" s="14">
        <f t="shared" si="210"/>
        <v>0</v>
      </c>
      <c r="AA859" s="14" t="str">
        <f t="shared" si="211"/>
        <v>AtkExt</v>
      </c>
      <c r="AB859" s="14">
        <f t="shared" si="205"/>
        <v>6398</v>
      </c>
      <c r="AC859" s="14" t="str">
        <f t="shared" si="212"/>
        <v>HPExt</v>
      </c>
      <c r="AD859" s="14">
        <f t="shared" si="213"/>
        <v>19204</v>
      </c>
      <c r="AE859" s="14" t="str">
        <f t="shared" si="214"/>
        <v>[x]</v>
      </c>
      <c r="AF859" s="27" t="str">
        <f t="shared" si="215"/>
        <v>[x]</v>
      </c>
      <c r="AG859" s="27">
        <f t="shared" si="216"/>
        <v>11</v>
      </c>
    </row>
    <row r="860" spans="16:33" ht="16.5" x14ac:dyDescent="0.2">
      <c r="P860" s="13">
        <v>804</v>
      </c>
      <c r="Q860" s="14">
        <f t="shared" si="201"/>
        <v>41</v>
      </c>
      <c r="R860" s="14">
        <f t="shared" si="202"/>
        <v>1606049</v>
      </c>
      <c r="S860" s="14" t="str">
        <f t="shared" si="206"/>
        <v>神器7碎片7等级12</v>
      </c>
      <c r="T860" s="29" t="s">
        <v>520</v>
      </c>
      <c r="U860" s="14">
        <f t="shared" si="203"/>
        <v>12</v>
      </c>
      <c r="V860" s="36">
        <f t="shared" si="207"/>
        <v>1.0380000000000003</v>
      </c>
      <c r="W860" s="17">
        <f t="shared" si="204"/>
        <v>5.1900000000000016E-2</v>
      </c>
      <c r="X860" s="14">
        <f t="shared" si="208"/>
        <v>1</v>
      </c>
      <c r="Y860" s="14">
        <f t="shared" si="209"/>
        <v>3</v>
      </c>
      <c r="Z860" s="14">
        <f t="shared" si="210"/>
        <v>0</v>
      </c>
      <c r="AA860" s="14" t="str">
        <f t="shared" si="211"/>
        <v>AtkExt</v>
      </c>
      <c r="AB860" s="14">
        <f t="shared" si="205"/>
        <v>7050</v>
      </c>
      <c r="AC860" s="14" t="str">
        <f t="shared" si="212"/>
        <v>HPExt</v>
      </c>
      <c r="AD860" s="14">
        <f t="shared" si="213"/>
        <v>21161</v>
      </c>
      <c r="AE860" s="14" t="str">
        <f t="shared" si="214"/>
        <v>[x]</v>
      </c>
      <c r="AF860" s="27" t="str">
        <f t="shared" si="215"/>
        <v>[x]</v>
      </c>
      <c r="AG860" s="27">
        <f t="shared" si="216"/>
        <v>12</v>
      </c>
    </row>
    <row r="861" spans="16:33" ht="16.5" x14ac:dyDescent="0.2">
      <c r="P861" s="13">
        <v>805</v>
      </c>
      <c r="Q861" s="14">
        <f t="shared" si="201"/>
        <v>41</v>
      </c>
      <c r="R861" s="14">
        <f t="shared" si="202"/>
        <v>1606049</v>
      </c>
      <c r="S861" s="14" t="str">
        <f t="shared" si="206"/>
        <v>神器7碎片7等级13</v>
      </c>
      <c r="T861" s="29" t="s">
        <v>520</v>
      </c>
      <c r="U861" s="14">
        <f t="shared" si="203"/>
        <v>13</v>
      </c>
      <c r="V861" s="36">
        <f t="shared" si="207"/>
        <v>1.1380000000000001</v>
      </c>
      <c r="W861" s="17">
        <f t="shared" si="204"/>
        <v>5.6900000000000006E-2</v>
      </c>
      <c r="X861" s="14">
        <f t="shared" si="208"/>
        <v>1</v>
      </c>
      <c r="Y861" s="14">
        <f t="shared" si="209"/>
        <v>3</v>
      </c>
      <c r="Z861" s="14">
        <f t="shared" si="210"/>
        <v>0</v>
      </c>
      <c r="AA861" s="14" t="str">
        <f t="shared" si="211"/>
        <v>AtkExt</v>
      </c>
      <c r="AB861" s="14">
        <f t="shared" si="205"/>
        <v>7730</v>
      </c>
      <c r="AC861" s="14" t="str">
        <f t="shared" si="212"/>
        <v>HPExt</v>
      </c>
      <c r="AD861" s="14">
        <f t="shared" si="213"/>
        <v>23200</v>
      </c>
      <c r="AE861" s="14" t="str">
        <f t="shared" si="214"/>
        <v>[x]</v>
      </c>
      <c r="AF861" s="27" t="str">
        <f t="shared" si="215"/>
        <v>[x]</v>
      </c>
      <c r="AG861" s="27">
        <f t="shared" si="216"/>
        <v>13</v>
      </c>
    </row>
    <row r="862" spans="16:33" ht="16.5" x14ac:dyDescent="0.2">
      <c r="P862" s="13">
        <v>806</v>
      </c>
      <c r="Q862" s="14">
        <f t="shared" si="201"/>
        <v>41</v>
      </c>
      <c r="R862" s="14">
        <f t="shared" si="202"/>
        <v>1606049</v>
      </c>
      <c r="S862" s="14" t="str">
        <f t="shared" si="206"/>
        <v>神器7碎片7等级14</v>
      </c>
      <c r="T862" s="29" t="s">
        <v>520</v>
      </c>
      <c r="U862" s="14">
        <f t="shared" si="203"/>
        <v>14</v>
      </c>
      <c r="V862" s="36">
        <f t="shared" si="207"/>
        <v>1.242</v>
      </c>
      <c r="W862" s="17">
        <f t="shared" si="204"/>
        <v>6.2100000000000002E-2</v>
      </c>
      <c r="X862" s="14">
        <f t="shared" si="208"/>
        <v>1</v>
      </c>
      <c r="Y862" s="14">
        <f t="shared" si="209"/>
        <v>3</v>
      </c>
      <c r="Z862" s="14">
        <f t="shared" si="210"/>
        <v>0</v>
      </c>
      <c r="AA862" s="14" t="str">
        <f t="shared" si="211"/>
        <v>AtkExt</v>
      </c>
      <c r="AB862" s="14">
        <f t="shared" si="205"/>
        <v>8436</v>
      </c>
      <c r="AC862" s="14" t="str">
        <f t="shared" si="212"/>
        <v>HPExt</v>
      </c>
      <c r="AD862" s="14">
        <f t="shared" si="213"/>
        <v>25320</v>
      </c>
      <c r="AE862" s="14" t="str">
        <f t="shared" si="214"/>
        <v>[x]</v>
      </c>
      <c r="AF862" s="27" t="str">
        <f t="shared" si="215"/>
        <v>[x]</v>
      </c>
      <c r="AG862" s="27">
        <f t="shared" si="216"/>
        <v>14</v>
      </c>
    </row>
    <row r="863" spans="16:33" ht="16.5" x14ac:dyDescent="0.2">
      <c r="P863" s="13">
        <v>807</v>
      </c>
      <c r="Q863" s="14">
        <f t="shared" si="201"/>
        <v>41</v>
      </c>
      <c r="R863" s="14">
        <f t="shared" si="202"/>
        <v>1606049</v>
      </c>
      <c r="S863" s="14" t="str">
        <f t="shared" si="206"/>
        <v>神器7碎片7等级15</v>
      </c>
      <c r="T863" s="29" t="s">
        <v>520</v>
      </c>
      <c r="U863" s="14">
        <f t="shared" si="203"/>
        <v>15</v>
      </c>
      <c r="V863" s="36">
        <f t="shared" si="207"/>
        <v>1.35</v>
      </c>
      <c r="W863" s="17">
        <f t="shared" si="204"/>
        <v>6.7500000000000004E-2</v>
      </c>
      <c r="X863" s="14">
        <f t="shared" si="208"/>
        <v>1</v>
      </c>
      <c r="Y863" s="14">
        <f t="shared" si="209"/>
        <v>3</v>
      </c>
      <c r="Z863" s="14">
        <f t="shared" si="210"/>
        <v>0</v>
      </c>
      <c r="AA863" s="14" t="str">
        <f t="shared" si="211"/>
        <v>AtkExt</v>
      </c>
      <c r="AB863" s="14">
        <f t="shared" si="205"/>
        <v>9170</v>
      </c>
      <c r="AC863" s="14" t="str">
        <f t="shared" si="212"/>
        <v>HPExt</v>
      </c>
      <c r="AD863" s="14">
        <f t="shared" si="213"/>
        <v>27522</v>
      </c>
      <c r="AE863" s="14" t="str">
        <f t="shared" si="214"/>
        <v>[x]</v>
      </c>
      <c r="AF863" s="27" t="str">
        <f t="shared" si="215"/>
        <v>[x]</v>
      </c>
      <c r="AG863" s="27">
        <f t="shared" si="216"/>
        <v>15</v>
      </c>
    </row>
    <row r="864" spans="16:33" ht="16.5" x14ac:dyDescent="0.2">
      <c r="P864" s="13">
        <v>808</v>
      </c>
      <c r="Q864" s="14">
        <f t="shared" si="201"/>
        <v>41</v>
      </c>
      <c r="R864" s="14">
        <f t="shared" si="202"/>
        <v>1606049</v>
      </c>
      <c r="S864" s="14" t="str">
        <f t="shared" si="206"/>
        <v>神器7碎片7等级16</v>
      </c>
      <c r="T864" s="29" t="s">
        <v>520</v>
      </c>
      <c r="U864" s="14">
        <f t="shared" si="203"/>
        <v>16</v>
      </c>
      <c r="V864" s="36">
        <f t="shared" si="207"/>
        <v>1.4620000000000002</v>
      </c>
      <c r="W864" s="17">
        <f t="shared" si="204"/>
        <v>7.3100000000000012E-2</v>
      </c>
      <c r="X864" s="14">
        <f t="shared" si="208"/>
        <v>1</v>
      </c>
      <c r="Y864" s="14">
        <f t="shared" si="209"/>
        <v>3</v>
      </c>
      <c r="Z864" s="14">
        <f t="shared" si="210"/>
        <v>0</v>
      </c>
      <c r="AA864" s="14" t="str">
        <f t="shared" si="211"/>
        <v>AtkExt</v>
      </c>
      <c r="AB864" s="14">
        <f t="shared" si="205"/>
        <v>9931</v>
      </c>
      <c r="AC864" s="14" t="str">
        <f t="shared" si="212"/>
        <v>HPExt</v>
      </c>
      <c r="AD864" s="14">
        <f t="shared" si="213"/>
        <v>29806</v>
      </c>
      <c r="AE864" s="14" t="str">
        <f t="shared" si="214"/>
        <v>[x]</v>
      </c>
      <c r="AF864" s="27" t="str">
        <f t="shared" si="215"/>
        <v>[x]</v>
      </c>
      <c r="AG864" s="27">
        <f t="shared" si="216"/>
        <v>16</v>
      </c>
    </row>
    <row r="865" spans="16:33" ht="16.5" x14ac:dyDescent="0.2">
      <c r="P865" s="13">
        <v>809</v>
      </c>
      <c r="Q865" s="14">
        <f t="shared" si="201"/>
        <v>41</v>
      </c>
      <c r="R865" s="14">
        <f t="shared" si="202"/>
        <v>1606049</v>
      </c>
      <c r="S865" s="14" t="str">
        <f t="shared" si="206"/>
        <v>神器7碎片7等级17</v>
      </c>
      <c r="T865" s="29" t="s">
        <v>520</v>
      </c>
      <c r="U865" s="14">
        <f t="shared" si="203"/>
        <v>17</v>
      </c>
      <c r="V865" s="36">
        <f t="shared" si="207"/>
        <v>1.5779999999999998</v>
      </c>
      <c r="W865" s="17">
        <f t="shared" si="204"/>
        <v>7.8899999999999998E-2</v>
      </c>
      <c r="X865" s="14">
        <f t="shared" si="208"/>
        <v>1</v>
      </c>
      <c r="Y865" s="14">
        <f t="shared" si="209"/>
        <v>3</v>
      </c>
      <c r="Z865" s="14">
        <f t="shared" si="210"/>
        <v>0</v>
      </c>
      <c r="AA865" s="14" t="str">
        <f t="shared" si="211"/>
        <v>AtkExt</v>
      </c>
      <c r="AB865" s="14">
        <f t="shared" si="205"/>
        <v>10719</v>
      </c>
      <c r="AC865" s="14" t="str">
        <f t="shared" si="212"/>
        <v>HPExt</v>
      </c>
      <c r="AD865" s="14">
        <f t="shared" si="213"/>
        <v>32171</v>
      </c>
      <c r="AE865" s="14" t="str">
        <f t="shared" si="214"/>
        <v>[x]</v>
      </c>
      <c r="AF865" s="27" t="str">
        <f t="shared" si="215"/>
        <v>[x]</v>
      </c>
      <c r="AG865" s="27">
        <f t="shared" si="216"/>
        <v>17</v>
      </c>
    </row>
    <row r="866" spans="16:33" ht="16.5" x14ac:dyDescent="0.2">
      <c r="P866" s="13">
        <v>810</v>
      </c>
      <c r="Q866" s="14">
        <f t="shared" si="201"/>
        <v>41</v>
      </c>
      <c r="R866" s="14">
        <f t="shared" si="202"/>
        <v>1606049</v>
      </c>
      <c r="S866" s="14" t="str">
        <f t="shared" si="206"/>
        <v>神器7碎片7等级18</v>
      </c>
      <c r="T866" s="29" t="s">
        <v>520</v>
      </c>
      <c r="U866" s="14">
        <f t="shared" si="203"/>
        <v>18</v>
      </c>
      <c r="V866" s="36">
        <f t="shared" si="207"/>
        <v>1.698</v>
      </c>
      <c r="W866" s="17">
        <f t="shared" si="204"/>
        <v>8.4900000000000003E-2</v>
      </c>
      <c r="X866" s="14">
        <f t="shared" si="208"/>
        <v>1</v>
      </c>
      <c r="Y866" s="14">
        <f t="shared" si="209"/>
        <v>3</v>
      </c>
      <c r="Z866" s="14">
        <f t="shared" si="210"/>
        <v>0</v>
      </c>
      <c r="AA866" s="14" t="str">
        <f t="shared" si="211"/>
        <v>AtkExt</v>
      </c>
      <c r="AB866" s="14">
        <f t="shared" si="205"/>
        <v>11534</v>
      </c>
      <c r="AC866" s="14" t="str">
        <f t="shared" si="212"/>
        <v>HPExt</v>
      </c>
      <c r="AD866" s="14">
        <f t="shared" si="213"/>
        <v>34617</v>
      </c>
      <c r="AE866" s="14" t="str">
        <f t="shared" si="214"/>
        <v>[x]</v>
      </c>
      <c r="AF866" s="27" t="str">
        <f t="shared" si="215"/>
        <v>[x]</v>
      </c>
      <c r="AG866" s="27">
        <f t="shared" si="216"/>
        <v>18</v>
      </c>
    </row>
    <row r="867" spans="16:33" ht="16.5" x14ac:dyDescent="0.2">
      <c r="P867" s="13">
        <v>811</v>
      </c>
      <c r="Q867" s="14">
        <f t="shared" si="201"/>
        <v>41</v>
      </c>
      <c r="R867" s="14">
        <f t="shared" si="202"/>
        <v>1606049</v>
      </c>
      <c r="S867" s="14" t="str">
        <f t="shared" si="206"/>
        <v>神器7碎片7等级19</v>
      </c>
      <c r="T867" s="29" t="s">
        <v>520</v>
      </c>
      <c r="U867" s="14">
        <f t="shared" si="203"/>
        <v>19</v>
      </c>
      <c r="V867" s="36">
        <f t="shared" si="207"/>
        <v>1.8220000000000001</v>
      </c>
      <c r="W867" s="17">
        <f t="shared" si="204"/>
        <v>9.1100000000000014E-2</v>
      </c>
      <c r="X867" s="14">
        <f t="shared" si="208"/>
        <v>1</v>
      </c>
      <c r="Y867" s="14">
        <f t="shared" si="209"/>
        <v>3</v>
      </c>
      <c r="Z867" s="14">
        <f t="shared" si="210"/>
        <v>0</v>
      </c>
      <c r="AA867" s="14" t="str">
        <f t="shared" si="211"/>
        <v>AtkExt</v>
      </c>
      <c r="AB867" s="14">
        <f t="shared" si="205"/>
        <v>12376</v>
      </c>
      <c r="AC867" s="14" t="str">
        <f t="shared" si="212"/>
        <v>HPExt</v>
      </c>
      <c r="AD867" s="14">
        <f t="shared" si="213"/>
        <v>37145</v>
      </c>
      <c r="AE867" s="14" t="str">
        <f t="shared" si="214"/>
        <v>[x]</v>
      </c>
      <c r="AF867" s="27" t="str">
        <f t="shared" si="215"/>
        <v>[x]</v>
      </c>
      <c r="AG867" s="27">
        <f t="shared" si="216"/>
        <v>19</v>
      </c>
    </row>
    <row r="868" spans="16:33" ht="16.5" x14ac:dyDescent="0.2">
      <c r="P868" s="13">
        <v>812</v>
      </c>
      <c r="Q868" s="14">
        <f t="shared" si="201"/>
        <v>41</v>
      </c>
      <c r="R868" s="14">
        <f t="shared" si="202"/>
        <v>1606049</v>
      </c>
      <c r="S868" s="14" t="str">
        <f t="shared" si="206"/>
        <v>神器7碎片7等级20</v>
      </c>
      <c r="T868" s="29" t="s">
        <v>520</v>
      </c>
      <c r="U868" s="14">
        <f t="shared" si="203"/>
        <v>20</v>
      </c>
      <c r="V868" s="36">
        <f t="shared" si="207"/>
        <v>1.95</v>
      </c>
      <c r="W868" s="17">
        <f t="shared" si="204"/>
        <v>9.7500000000000003E-2</v>
      </c>
      <c r="X868" s="14">
        <f t="shared" si="208"/>
        <v>1</v>
      </c>
      <c r="Y868" s="14">
        <f t="shared" si="209"/>
        <v>3</v>
      </c>
      <c r="Z868" s="14">
        <f t="shared" si="210"/>
        <v>0</v>
      </c>
      <c r="AA868" s="14" t="str">
        <f t="shared" si="211"/>
        <v>AtkExt</v>
      </c>
      <c r="AB868" s="14">
        <f t="shared" si="205"/>
        <v>13245</v>
      </c>
      <c r="AC868" s="14" t="str">
        <f t="shared" si="212"/>
        <v>HPExt</v>
      </c>
      <c r="AD868" s="14">
        <f t="shared" si="213"/>
        <v>39755</v>
      </c>
      <c r="AE868" s="14" t="str">
        <f t="shared" si="214"/>
        <v>[x]</v>
      </c>
      <c r="AF868" s="27" t="str">
        <f t="shared" si="215"/>
        <v>[x]</v>
      </c>
      <c r="AG868" s="27">
        <f t="shared" si="216"/>
        <v>20</v>
      </c>
    </row>
    <row r="869" spans="16:33" ht="16.5" x14ac:dyDescent="0.2">
      <c r="P869" s="13">
        <v>813</v>
      </c>
      <c r="Q869" s="14">
        <f t="shared" si="201"/>
        <v>41</v>
      </c>
      <c r="R869" s="14">
        <f t="shared" si="202"/>
        <v>1606049</v>
      </c>
      <c r="S869" s="14" t="str">
        <f t="shared" si="206"/>
        <v>神器7碎片7等级21</v>
      </c>
      <c r="T869" s="29" t="s">
        <v>520</v>
      </c>
      <c r="U869" s="14">
        <f t="shared" si="203"/>
        <v>21</v>
      </c>
      <c r="V869" s="36">
        <f t="shared" si="207"/>
        <v>2.0819999999999999</v>
      </c>
      <c r="W869" s="17">
        <f t="shared" si="204"/>
        <v>0.1041</v>
      </c>
      <c r="X869" s="14">
        <f t="shared" si="208"/>
        <v>1</v>
      </c>
      <c r="Y869" s="14">
        <f t="shared" si="209"/>
        <v>3</v>
      </c>
      <c r="Z869" s="14">
        <f t="shared" si="210"/>
        <v>0</v>
      </c>
      <c r="AA869" s="14" t="str">
        <f t="shared" si="211"/>
        <v>AtkExt</v>
      </c>
      <c r="AB869" s="14">
        <f t="shared" si="205"/>
        <v>14142</v>
      </c>
      <c r="AC869" s="14" t="str">
        <f t="shared" si="212"/>
        <v>HPExt</v>
      </c>
      <c r="AD869" s="14">
        <f t="shared" si="213"/>
        <v>42446</v>
      </c>
      <c r="AE869" s="14" t="str">
        <f t="shared" si="214"/>
        <v>[x]</v>
      </c>
      <c r="AF869" s="27" t="str">
        <f t="shared" si="215"/>
        <v>[x]</v>
      </c>
      <c r="AG869" s="27">
        <f t="shared" si="216"/>
        <v>21</v>
      </c>
    </row>
    <row r="870" spans="16:33" ht="16.5" x14ac:dyDescent="0.2">
      <c r="P870" s="13">
        <v>814</v>
      </c>
      <c r="Q870" s="14">
        <f t="shared" si="201"/>
        <v>42</v>
      </c>
      <c r="R870" s="14">
        <f t="shared" si="202"/>
        <v>1606050</v>
      </c>
      <c r="S870" s="14" t="str">
        <f t="shared" si="206"/>
        <v>神器7碎片8等级1</v>
      </c>
      <c r="T870" s="29" t="s">
        <v>520</v>
      </c>
      <c r="U870" s="14">
        <f t="shared" si="203"/>
        <v>1</v>
      </c>
      <c r="V870" s="36">
        <f t="shared" si="207"/>
        <v>0.20200000000000001</v>
      </c>
      <c r="W870" s="17">
        <f t="shared" si="204"/>
        <v>1.0100000000000001E-2</v>
      </c>
      <c r="X870" s="14">
        <f t="shared" si="208"/>
        <v>1</v>
      </c>
      <c r="Y870" s="14">
        <f t="shared" si="209"/>
        <v>3</v>
      </c>
      <c r="Z870" s="14">
        <f t="shared" si="210"/>
        <v>0</v>
      </c>
      <c r="AA870" s="14" t="str">
        <f t="shared" si="211"/>
        <v>AtkExt</v>
      </c>
      <c r="AB870" s="14">
        <f t="shared" si="205"/>
        <v>686</v>
      </c>
      <c r="AC870" s="14" t="str">
        <f t="shared" si="212"/>
        <v>HPExt</v>
      </c>
      <c r="AD870" s="14">
        <f t="shared" si="213"/>
        <v>2059</v>
      </c>
      <c r="AE870" s="14" t="str">
        <f t="shared" si="214"/>
        <v>[x]</v>
      </c>
      <c r="AF870" s="27" t="str">
        <f t="shared" si="215"/>
        <v>[x]</v>
      </c>
      <c r="AG870" s="27">
        <f t="shared" si="216"/>
        <v>3</v>
      </c>
    </row>
    <row r="871" spans="16:33" ht="16.5" x14ac:dyDescent="0.2">
      <c r="P871" s="13">
        <v>815</v>
      </c>
      <c r="Q871" s="14">
        <f t="shared" si="201"/>
        <v>42</v>
      </c>
      <c r="R871" s="14">
        <f t="shared" si="202"/>
        <v>1606050</v>
      </c>
      <c r="S871" s="14" t="str">
        <f t="shared" si="206"/>
        <v>神器7碎片8等级2</v>
      </c>
      <c r="T871" s="29" t="s">
        <v>520</v>
      </c>
      <c r="U871" s="14">
        <f t="shared" si="203"/>
        <v>2</v>
      </c>
      <c r="V871" s="36">
        <f t="shared" si="207"/>
        <v>0.25800000000000001</v>
      </c>
      <c r="W871" s="17">
        <f t="shared" si="204"/>
        <v>1.2900000000000002E-2</v>
      </c>
      <c r="X871" s="14">
        <f t="shared" si="208"/>
        <v>1</v>
      </c>
      <c r="Y871" s="14">
        <f t="shared" si="209"/>
        <v>3</v>
      </c>
      <c r="Z871" s="14">
        <f t="shared" si="210"/>
        <v>0</v>
      </c>
      <c r="AA871" s="14" t="str">
        <f t="shared" si="211"/>
        <v>AtkExt</v>
      </c>
      <c r="AB871" s="14">
        <f t="shared" si="205"/>
        <v>876</v>
      </c>
      <c r="AC871" s="14" t="str">
        <f t="shared" si="212"/>
        <v>HPExt</v>
      </c>
      <c r="AD871" s="14">
        <f t="shared" si="213"/>
        <v>2629</v>
      </c>
      <c r="AE871" s="14" t="str">
        <f t="shared" si="214"/>
        <v>[x]</v>
      </c>
      <c r="AF871" s="27" t="str">
        <f t="shared" si="215"/>
        <v>[x]</v>
      </c>
      <c r="AG871" s="27">
        <f t="shared" si="216"/>
        <v>6</v>
      </c>
    </row>
    <row r="872" spans="16:33" ht="16.5" x14ac:dyDescent="0.2">
      <c r="P872" s="13">
        <v>816</v>
      </c>
      <c r="Q872" s="14">
        <f t="shared" si="201"/>
        <v>42</v>
      </c>
      <c r="R872" s="14">
        <f t="shared" si="202"/>
        <v>1606050</v>
      </c>
      <c r="S872" s="14" t="str">
        <f t="shared" si="206"/>
        <v>神器7碎片8等级3</v>
      </c>
      <c r="T872" s="29" t="s">
        <v>520</v>
      </c>
      <c r="U872" s="14">
        <f t="shared" si="203"/>
        <v>3</v>
      </c>
      <c r="V872" s="36">
        <f t="shared" si="207"/>
        <v>0.31800000000000006</v>
      </c>
      <c r="W872" s="17">
        <f t="shared" si="204"/>
        <v>1.5900000000000004E-2</v>
      </c>
      <c r="X872" s="14">
        <f t="shared" si="208"/>
        <v>1</v>
      </c>
      <c r="Y872" s="14">
        <f t="shared" si="209"/>
        <v>3</v>
      </c>
      <c r="Z872" s="14">
        <f t="shared" si="210"/>
        <v>0</v>
      </c>
      <c r="AA872" s="14" t="str">
        <f t="shared" si="211"/>
        <v>AtkExt</v>
      </c>
      <c r="AB872" s="14">
        <f t="shared" si="205"/>
        <v>1080</v>
      </c>
      <c r="AC872" s="14" t="str">
        <f t="shared" si="212"/>
        <v>HPExt</v>
      </c>
      <c r="AD872" s="14">
        <f t="shared" si="213"/>
        <v>3241</v>
      </c>
      <c r="AE872" s="14" t="str">
        <f t="shared" si="214"/>
        <v>[x]</v>
      </c>
      <c r="AF872" s="27" t="str">
        <f t="shared" si="215"/>
        <v>[x]</v>
      </c>
      <c r="AG872" s="27">
        <f t="shared" si="216"/>
        <v>9</v>
      </c>
    </row>
    <row r="873" spans="16:33" ht="16.5" x14ac:dyDescent="0.2">
      <c r="P873" s="13">
        <v>817</v>
      </c>
      <c r="Q873" s="14">
        <f t="shared" si="201"/>
        <v>42</v>
      </c>
      <c r="R873" s="14">
        <f t="shared" si="202"/>
        <v>1606050</v>
      </c>
      <c r="S873" s="14" t="str">
        <f t="shared" si="206"/>
        <v>神器7碎片8等级4</v>
      </c>
      <c r="T873" s="29" t="s">
        <v>520</v>
      </c>
      <c r="U873" s="14">
        <f t="shared" si="203"/>
        <v>4</v>
      </c>
      <c r="V873" s="36">
        <f t="shared" si="207"/>
        <v>0.38200000000000001</v>
      </c>
      <c r="W873" s="17">
        <f t="shared" si="204"/>
        <v>1.9100000000000002E-2</v>
      </c>
      <c r="X873" s="14">
        <f t="shared" si="208"/>
        <v>1</v>
      </c>
      <c r="Y873" s="14">
        <f t="shared" si="209"/>
        <v>3</v>
      </c>
      <c r="Z873" s="14">
        <f t="shared" si="210"/>
        <v>0</v>
      </c>
      <c r="AA873" s="14" t="str">
        <f t="shared" si="211"/>
        <v>AtkExt</v>
      </c>
      <c r="AB873" s="14">
        <f t="shared" si="205"/>
        <v>1297</v>
      </c>
      <c r="AC873" s="14" t="str">
        <f t="shared" si="212"/>
        <v>HPExt</v>
      </c>
      <c r="AD873" s="14">
        <f t="shared" si="213"/>
        <v>3893</v>
      </c>
      <c r="AE873" s="14" t="str">
        <f t="shared" si="214"/>
        <v>[x]</v>
      </c>
      <c r="AF873" s="27" t="str">
        <f t="shared" si="215"/>
        <v>[x]</v>
      </c>
      <c r="AG873" s="27">
        <f t="shared" si="216"/>
        <v>12</v>
      </c>
    </row>
    <row r="874" spans="16:33" ht="16.5" x14ac:dyDescent="0.2">
      <c r="P874" s="13">
        <v>818</v>
      </c>
      <c r="Q874" s="14">
        <f t="shared" si="201"/>
        <v>42</v>
      </c>
      <c r="R874" s="14">
        <f t="shared" si="202"/>
        <v>1606050</v>
      </c>
      <c r="S874" s="14" t="str">
        <f t="shared" si="206"/>
        <v>神器7碎片8等级5</v>
      </c>
      <c r="T874" s="29" t="s">
        <v>520</v>
      </c>
      <c r="U874" s="14">
        <f t="shared" si="203"/>
        <v>5</v>
      </c>
      <c r="V874" s="36">
        <f t="shared" si="207"/>
        <v>0.45</v>
      </c>
      <c r="W874" s="17">
        <f t="shared" si="204"/>
        <v>2.2500000000000003E-2</v>
      </c>
      <c r="X874" s="14">
        <f t="shared" si="208"/>
        <v>1</v>
      </c>
      <c r="Y874" s="14">
        <f t="shared" si="209"/>
        <v>3</v>
      </c>
      <c r="Z874" s="14">
        <f t="shared" si="210"/>
        <v>0</v>
      </c>
      <c r="AA874" s="14" t="str">
        <f t="shared" si="211"/>
        <v>AtkExt</v>
      </c>
      <c r="AB874" s="14">
        <f t="shared" si="205"/>
        <v>1528</v>
      </c>
      <c r="AC874" s="14" t="str">
        <f t="shared" si="212"/>
        <v>HPExt</v>
      </c>
      <c r="AD874" s="14">
        <f t="shared" si="213"/>
        <v>4587</v>
      </c>
      <c r="AE874" s="14" t="str">
        <f t="shared" si="214"/>
        <v>[x]</v>
      </c>
      <c r="AF874" s="27" t="str">
        <f t="shared" si="215"/>
        <v>[x]</v>
      </c>
      <c r="AG874" s="27">
        <f t="shared" si="216"/>
        <v>15</v>
      </c>
    </row>
    <row r="875" spans="16:33" ht="16.5" x14ac:dyDescent="0.2">
      <c r="P875" s="13">
        <v>819</v>
      </c>
      <c r="Q875" s="14">
        <f t="shared" si="201"/>
        <v>42</v>
      </c>
      <c r="R875" s="14">
        <f t="shared" si="202"/>
        <v>1606050</v>
      </c>
      <c r="S875" s="14" t="str">
        <f t="shared" si="206"/>
        <v>神器7碎片8等级6</v>
      </c>
      <c r="T875" s="29" t="s">
        <v>520</v>
      </c>
      <c r="U875" s="14">
        <f t="shared" si="203"/>
        <v>6</v>
      </c>
      <c r="V875" s="36">
        <f t="shared" si="207"/>
        <v>0.52200000000000002</v>
      </c>
      <c r="W875" s="17">
        <f t="shared" si="204"/>
        <v>2.6100000000000002E-2</v>
      </c>
      <c r="X875" s="14">
        <f t="shared" si="208"/>
        <v>1</v>
      </c>
      <c r="Y875" s="14">
        <f t="shared" si="209"/>
        <v>3</v>
      </c>
      <c r="Z875" s="14">
        <f t="shared" si="210"/>
        <v>0</v>
      </c>
      <c r="AA875" s="14" t="str">
        <f t="shared" si="211"/>
        <v>AtkExt</v>
      </c>
      <c r="AB875" s="14">
        <f t="shared" si="205"/>
        <v>1772</v>
      </c>
      <c r="AC875" s="14" t="str">
        <f t="shared" si="212"/>
        <v>HPExt</v>
      </c>
      <c r="AD875" s="14">
        <f t="shared" si="213"/>
        <v>5321</v>
      </c>
      <c r="AE875" s="14" t="str">
        <f t="shared" si="214"/>
        <v>[x]</v>
      </c>
      <c r="AF875" s="27" t="str">
        <f t="shared" si="215"/>
        <v>[x]</v>
      </c>
      <c r="AG875" s="27">
        <f t="shared" si="216"/>
        <v>18</v>
      </c>
    </row>
    <row r="876" spans="16:33" ht="16.5" x14ac:dyDescent="0.2">
      <c r="P876" s="13">
        <v>820</v>
      </c>
      <c r="Q876" s="14">
        <f t="shared" si="201"/>
        <v>42</v>
      </c>
      <c r="R876" s="14">
        <f t="shared" si="202"/>
        <v>1606050</v>
      </c>
      <c r="S876" s="14" t="str">
        <f t="shared" si="206"/>
        <v>神器7碎片8等级7</v>
      </c>
      <c r="T876" s="29" t="s">
        <v>520</v>
      </c>
      <c r="U876" s="14">
        <f t="shared" si="203"/>
        <v>7</v>
      </c>
      <c r="V876" s="36">
        <f t="shared" si="207"/>
        <v>0.59799999999999998</v>
      </c>
      <c r="W876" s="17">
        <f t="shared" si="204"/>
        <v>2.9899999999999999E-2</v>
      </c>
      <c r="X876" s="14">
        <f t="shared" si="208"/>
        <v>1</v>
      </c>
      <c r="Y876" s="14">
        <f t="shared" si="209"/>
        <v>3</v>
      </c>
      <c r="Z876" s="14">
        <f t="shared" si="210"/>
        <v>0</v>
      </c>
      <c r="AA876" s="14" t="str">
        <f t="shared" si="211"/>
        <v>AtkExt</v>
      </c>
      <c r="AB876" s="14">
        <f t="shared" si="205"/>
        <v>2031</v>
      </c>
      <c r="AC876" s="14" t="str">
        <f t="shared" si="212"/>
        <v>HPExt</v>
      </c>
      <c r="AD876" s="14">
        <f t="shared" si="213"/>
        <v>6095</v>
      </c>
      <c r="AE876" s="14" t="str">
        <f t="shared" si="214"/>
        <v>[x]</v>
      </c>
      <c r="AF876" s="27" t="str">
        <f t="shared" si="215"/>
        <v>[x]</v>
      </c>
      <c r="AG876" s="27">
        <f t="shared" si="216"/>
        <v>21</v>
      </c>
    </row>
    <row r="877" spans="16:33" ht="16.5" x14ac:dyDescent="0.2">
      <c r="P877" s="13">
        <v>821</v>
      </c>
      <c r="Q877" s="14">
        <f t="shared" si="201"/>
        <v>42</v>
      </c>
      <c r="R877" s="14">
        <f t="shared" si="202"/>
        <v>1606050</v>
      </c>
      <c r="S877" s="14" t="str">
        <f t="shared" si="206"/>
        <v>神器7碎片8等级8</v>
      </c>
      <c r="T877" s="29" t="s">
        <v>520</v>
      </c>
      <c r="U877" s="14">
        <f t="shared" si="203"/>
        <v>8</v>
      </c>
      <c r="V877" s="36">
        <f t="shared" si="207"/>
        <v>0.67800000000000005</v>
      </c>
      <c r="W877" s="17">
        <f t="shared" si="204"/>
        <v>3.3900000000000007E-2</v>
      </c>
      <c r="X877" s="14">
        <f t="shared" si="208"/>
        <v>1</v>
      </c>
      <c r="Y877" s="14">
        <f t="shared" si="209"/>
        <v>3</v>
      </c>
      <c r="Z877" s="14">
        <f t="shared" si="210"/>
        <v>0</v>
      </c>
      <c r="AA877" s="14" t="str">
        <f t="shared" si="211"/>
        <v>AtkExt</v>
      </c>
      <c r="AB877" s="14">
        <f t="shared" si="205"/>
        <v>2302</v>
      </c>
      <c r="AC877" s="14" t="str">
        <f t="shared" si="212"/>
        <v>HPExt</v>
      </c>
      <c r="AD877" s="14">
        <f t="shared" si="213"/>
        <v>6911</v>
      </c>
      <c r="AE877" s="14" t="str">
        <f t="shared" si="214"/>
        <v>[x]</v>
      </c>
      <c r="AF877" s="27" t="str">
        <f t="shared" si="215"/>
        <v>[x]</v>
      </c>
      <c r="AG877" s="27">
        <f t="shared" si="216"/>
        <v>24</v>
      </c>
    </row>
    <row r="878" spans="16:33" ht="16.5" x14ac:dyDescent="0.2">
      <c r="P878" s="13">
        <v>822</v>
      </c>
      <c r="Q878" s="14">
        <f t="shared" si="201"/>
        <v>42</v>
      </c>
      <c r="R878" s="14">
        <f t="shared" si="202"/>
        <v>1606050</v>
      </c>
      <c r="S878" s="14" t="str">
        <f t="shared" si="206"/>
        <v>神器7碎片8等级9</v>
      </c>
      <c r="T878" s="29" t="s">
        <v>520</v>
      </c>
      <c r="U878" s="14">
        <f t="shared" si="203"/>
        <v>9</v>
      </c>
      <c r="V878" s="36">
        <f t="shared" si="207"/>
        <v>0.76200000000000001</v>
      </c>
      <c r="W878" s="17">
        <f t="shared" si="204"/>
        <v>3.8100000000000002E-2</v>
      </c>
      <c r="X878" s="14">
        <f t="shared" si="208"/>
        <v>1</v>
      </c>
      <c r="Y878" s="14">
        <f t="shared" si="209"/>
        <v>3</v>
      </c>
      <c r="Z878" s="14">
        <f t="shared" si="210"/>
        <v>0</v>
      </c>
      <c r="AA878" s="14" t="str">
        <f t="shared" si="211"/>
        <v>AtkExt</v>
      </c>
      <c r="AB878" s="14">
        <f t="shared" si="205"/>
        <v>2588</v>
      </c>
      <c r="AC878" s="14" t="str">
        <f t="shared" si="212"/>
        <v>HPExt</v>
      </c>
      <c r="AD878" s="14">
        <f t="shared" si="213"/>
        <v>7767</v>
      </c>
      <c r="AE878" s="14" t="str">
        <f t="shared" si="214"/>
        <v>[x]</v>
      </c>
      <c r="AF878" s="27" t="str">
        <f t="shared" si="215"/>
        <v>[x]</v>
      </c>
      <c r="AG878" s="27">
        <f t="shared" si="216"/>
        <v>27</v>
      </c>
    </row>
    <row r="879" spans="16:33" ht="16.5" x14ac:dyDescent="0.2">
      <c r="P879" s="13">
        <v>823</v>
      </c>
      <c r="Q879" s="14">
        <f t="shared" si="201"/>
        <v>42</v>
      </c>
      <c r="R879" s="14">
        <f t="shared" si="202"/>
        <v>1606050</v>
      </c>
      <c r="S879" s="14" t="str">
        <f t="shared" si="206"/>
        <v>神器7碎片8等级10</v>
      </c>
      <c r="T879" s="29" t="s">
        <v>520</v>
      </c>
      <c r="U879" s="14">
        <f t="shared" si="203"/>
        <v>10</v>
      </c>
      <c r="V879" s="36">
        <f t="shared" si="207"/>
        <v>0.85000000000000009</v>
      </c>
      <c r="W879" s="17">
        <f t="shared" si="204"/>
        <v>4.250000000000001E-2</v>
      </c>
      <c r="X879" s="14">
        <f t="shared" si="208"/>
        <v>1</v>
      </c>
      <c r="Y879" s="14">
        <f t="shared" si="209"/>
        <v>3</v>
      </c>
      <c r="Z879" s="14">
        <f t="shared" si="210"/>
        <v>0</v>
      </c>
      <c r="AA879" s="14" t="str">
        <f t="shared" si="211"/>
        <v>AtkExt</v>
      </c>
      <c r="AB879" s="14">
        <f t="shared" si="205"/>
        <v>2886</v>
      </c>
      <c r="AC879" s="14" t="str">
        <f t="shared" si="212"/>
        <v>HPExt</v>
      </c>
      <c r="AD879" s="14">
        <f t="shared" si="213"/>
        <v>8664</v>
      </c>
      <c r="AE879" s="14" t="str">
        <f t="shared" si="214"/>
        <v>[x]</v>
      </c>
      <c r="AF879" s="27" t="str">
        <f t="shared" si="215"/>
        <v>[x]</v>
      </c>
      <c r="AG879" s="27">
        <f t="shared" si="216"/>
        <v>30</v>
      </c>
    </row>
    <row r="880" spans="16:33" ht="16.5" x14ac:dyDescent="0.2">
      <c r="P880" s="13">
        <v>824</v>
      </c>
      <c r="Q880" s="14">
        <f t="shared" si="201"/>
        <v>42</v>
      </c>
      <c r="R880" s="14">
        <f t="shared" si="202"/>
        <v>1606050</v>
      </c>
      <c r="S880" s="14" t="str">
        <f t="shared" si="206"/>
        <v>神器7碎片8等级11</v>
      </c>
      <c r="T880" s="29" t="s">
        <v>520</v>
      </c>
      <c r="U880" s="14">
        <f t="shared" si="203"/>
        <v>11</v>
      </c>
      <c r="V880" s="36">
        <f t="shared" si="207"/>
        <v>0.94200000000000006</v>
      </c>
      <c r="W880" s="17">
        <f t="shared" si="204"/>
        <v>4.7100000000000003E-2</v>
      </c>
      <c r="X880" s="14">
        <f t="shared" si="208"/>
        <v>1</v>
      </c>
      <c r="Y880" s="14">
        <f t="shared" si="209"/>
        <v>3</v>
      </c>
      <c r="Z880" s="14">
        <f t="shared" si="210"/>
        <v>0</v>
      </c>
      <c r="AA880" s="14" t="str">
        <f t="shared" si="211"/>
        <v>AtkExt</v>
      </c>
      <c r="AB880" s="14">
        <f t="shared" si="205"/>
        <v>3199</v>
      </c>
      <c r="AC880" s="14" t="str">
        <f t="shared" si="212"/>
        <v>HPExt</v>
      </c>
      <c r="AD880" s="14">
        <f t="shared" si="213"/>
        <v>9602</v>
      </c>
      <c r="AE880" s="14" t="str">
        <f t="shared" si="214"/>
        <v>[x]</v>
      </c>
      <c r="AF880" s="27" t="str">
        <f t="shared" si="215"/>
        <v>[x]</v>
      </c>
      <c r="AG880" s="27">
        <f t="shared" si="216"/>
        <v>33</v>
      </c>
    </row>
    <row r="881" spans="16:33" ht="16.5" x14ac:dyDescent="0.2">
      <c r="P881" s="13">
        <v>825</v>
      </c>
      <c r="Q881" s="14">
        <f t="shared" si="201"/>
        <v>42</v>
      </c>
      <c r="R881" s="14">
        <f t="shared" si="202"/>
        <v>1606050</v>
      </c>
      <c r="S881" s="14" t="str">
        <f t="shared" si="206"/>
        <v>神器7碎片8等级12</v>
      </c>
      <c r="T881" s="29" t="s">
        <v>520</v>
      </c>
      <c r="U881" s="14">
        <f t="shared" si="203"/>
        <v>12</v>
      </c>
      <c r="V881" s="36">
        <f t="shared" si="207"/>
        <v>1.0380000000000003</v>
      </c>
      <c r="W881" s="17">
        <f t="shared" si="204"/>
        <v>5.1900000000000016E-2</v>
      </c>
      <c r="X881" s="14">
        <f t="shared" si="208"/>
        <v>1</v>
      </c>
      <c r="Y881" s="14">
        <f t="shared" si="209"/>
        <v>3</v>
      </c>
      <c r="Z881" s="14">
        <f t="shared" si="210"/>
        <v>0</v>
      </c>
      <c r="AA881" s="14" t="str">
        <f t="shared" si="211"/>
        <v>AtkExt</v>
      </c>
      <c r="AB881" s="14">
        <f t="shared" si="205"/>
        <v>3525</v>
      </c>
      <c r="AC881" s="14" t="str">
        <f t="shared" si="212"/>
        <v>HPExt</v>
      </c>
      <c r="AD881" s="14">
        <f t="shared" si="213"/>
        <v>10580</v>
      </c>
      <c r="AE881" s="14" t="str">
        <f t="shared" si="214"/>
        <v>[x]</v>
      </c>
      <c r="AF881" s="27" t="str">
        <f t="shared" si="215"/>
        <v>[x]</v>
      </c>
      <c r="AG881" s="27">
        <f t="shared" si="216"/>
        <v>36</v>
      </c>
    </row>
    <row r="882" spans="16:33" ht="16.5" x14ac:dyDescent="0.2">
      <c r="P882" s="13">
        <v>826</v>
      </c>
      <c r="Q882" s="14">
        <f t="shared" si="201"/>
        <v>42</v>
      </c>
      <c r="R882" s="14">
        <f t="shared" si="202"/>
        <v>1606050</v>
      </c>
      <c r="S882" s="14" t="str">
        <f t="shared" si="206"/>
        <v>神器7碎片8等级13</v>
      </c>
      <c r="T882" s="29" t="s">
        <v>520</v>
      </c>
      <c r="U882" s="14">
        <f t="shared" si="203"/>
        <v>13</v>
      </c>
      <c r="V882" s="36">
        <f t="shared" si="207"/>
        <v>1.1380000000000001</v>
      </c>
      <c r="W882" s="17">
        <f t="shared" si="204"/>
        <v>5.6900000000000006E-2</v>
      </c>
      <c r="X882" s="14">
        <f t="shared" si="208"/>
        <v>1</v>
      </c>
      <c r="Y882" s="14">
        <f t="shared" si="209"/>
        <v>3</v>
      </c>
      <c r="Z882" s="14">
        <f t="shared" si="210"/>
        <v>0</v>
      </c>
      <c r="AA882" s="14" t="str">
        <f t="shared" si="211"/>
        <v>AtkExt</v>
      </c>
      <c r="AB882" s="14">
        <f t="shared" si="205"/>
        <v>3865</v>
      </c>
      <c r="AC882" s="14" t="str">
        <f t="shared" si="212"/>
        <v>HPExt</v>
      </c>
      <c r="AD882" s="14">
        <f t="shared" si="213"/>
        <v>11600</v>
      </c>
      <c r="AE882" s="14" t="str">
        <f t="shared" si="214"/>
        <v>[x]</v>
      </c>
      <c r="AF882" s="27" t="str">
        <f t="shared" si="215"/>
        <v>[x]</v>
      </c>
      <c r="AG882" s="27">
        <f t="shared" si="216"/>
        <v>39</v>
      </c>
    </row>
    <row r="883" spans="16:33" ht="16.5" x14ac:dyDescent="0.2">
      <c r="P883" s="13">
        <v>827</v>
      </c>
      <c r="Q883" s="14">
        <f t="shared" si="201"/>
        <v>42</v>
      </c>
      <c r="R883" s="14">
        <f t="shared" si="202"/>
        <v>1606050</v>
      </c>
      <c r="S883" s="14" t="str">
        <f t="shared" si="206"/>
        <v>神器7碎片8等级14</v>
      </c>
      <c r="T883" s="29" t="s">
        <v>520</v>
      </c>
      <c r="U883" s="14">
        <f t="shared" si="203"/>
        <v>14</v>
      </c>
      <c r="V883" s="36">
        <f t="shared" si="207"/>
        <v>1.242</v>
      </c>
      <c r="W883" s="17">
        <f t="shared" si="204"/>
        <v>6.2100000000000002E-2</v>
      </c>
      <c r="X883" s="14">
        <f t="shared" si="208"/>
        <v>1</v>
      </c>
      <c r="Y883" s="14">
        <f t="shared" si="209"/>
        <v>3</v>
      </c>
      <c r="Z883" s="14">
        <f t="shared" si="210"/>
        <v>0</v>
      </c>
      <c r="AA883" s="14" t="str">
        <f t="shared" si="211"/>
        <v>AtkExt</v>
      </c>
      <c r="AB883" s="14">
        <f t="shared" si="205"/>
        <v>4218</v>
      </c>
      <c r="AC883" s="14" t="str">
        <f t="shared" si="212"/>
        <v>HPExt</v>
      </c>
      <c r="AD883" s="14">
        <f t="shared" si="213"/>
        <v>12660</v>
      </c>
      <c r="AE883" s="14" t="str">
        <f t="shared" si="214"/>
        <v>[x]</v>
      </c>
      <c r="AF883" s="27" t="str">
        <f t="shared" si="215"/>
        <v>[x]</v>
      </c>
      <c r="AG883" s="27">
        <f t="shared" si="216"/>
        <v>42</v>
      </c>
    </row>
    <row r="884" spans="16:33" ht="16.5" x14ac:dyDescent="0.2">
      <c r="P884" s="13">
        <v>828</v>
      </c>
      <c r="Q884" s="14">
        <f t="shared" si="201"/>
        <v>42</v>
      </c>
      <c r="R884" s="14">
        <f t="shared" si="202"/>
        <v>1606050</v>
      </c>
      <c r="S884" s="14" t="str">
        <f t="shared" si="206"/>
        <v>神器7碎片8等级15</v>
      </c>
      <c r="T884" s="29" t="s">
        <v>520</v>
      </c>
      <c r="U884" s="14">
        <f t="shared" si="203"/>
        <v>15</v>
      </c>
      <c r="V884" s="36">
        <f t="shared" si="207"/>
        <v>1.35</v>
      </c>
      <c r="W884" s="17">
        <f t="shared" si="204"/>
        <v>6.7500000000000004E-2</v>
      </c>
      <c r="X884" s="14">
        <f t="shared" si="208"/>
        <v>1</v>
      </c>
      <c r="Y884" s="14">
        <f t="shared" si="209"/>
        <v>3</v>
      </c>
      <c r="Z884" s="14">
        <f t="shared" si="210"/>
        <v>0</v>
      </c>
      <c r="AA884" s="14" t="str">
        <f t="shared" si="211"/>
        <v>AtkExt</v>
      </c>
      <c r="AB884" s="14">
        <f t="shared" si="205"/>
        <v>4585</v>
      </c>
      <c r="AC884" s="14" t="str">
        <f t="shared" si="212"/>
        <v>HPExt</v>
      </c>
      <c r="AD884" s="14">
        <f t="shared" si="213"/>
        <v>13761</v>
      </c>
      <c r="AE884" s="14" t="str">
        <f t="shared" si="214"/>
        <v>[x]</v>
      </c>
      <c r="AF884" s="27" t="str">
        <f t="shared" si="215"/>
        <v>[x]</v>
      </c>
      <c r="AG884" s="27">
        <f t="shared" si="216"/>
        <v>45</v>
      </c>
    </row>
    <row r="885" spans="16:33" ht="16.5" x14ac:dyDescent="0.2">
      <c r="P885" s="13">
        <v>829</v>
      </c>
      <c r="Q885" s="14">
        <f t="shared" si="201"/>
        <v>42</v>
      </c>
      <c r="R885" s="14">
        <f t="shared" si="202"/>
        <v>1606050</v>
      </c>
      <c r="S885" s="14" t="str">
        <f t="shared" si="206"/>
        <v>神器7碎片8等级16</v>
      </c>
      <c r="T885" s="29" t="s">
        <v>520</v>
      </c>
      <c r="U885" s="14">
        <f t="shared" si="203"/>
        <v>16</v>
      </c>
      <c r="V885" s="36">
        <f t="shared" si="207"/>
        <v>1.4620000000000002</v>
      </c>
      <c r="W885" s="17">
        <f t="shared" si="204"/>
        <v>7.3100000000000012E-2</v>
      </c>
      <c r="X885" s="14">
        <f t="shared" si="208"/>
        <v>1</v>
      </c>
      <c r="Y885" s="14">
        <f t="shared" si="209"/>
        <v>3</v>
      </c>
      <c r="Z885" s="14">
        <f t="shared" si="210"/>
        <v>0</v>
      </c>
      <c r="AA885" s="14" t="str">
        <f t="shared" si="211"/>
        <v>AtkExt</v>
      </c>
      <c r="AB885" s="14">
        <f t="shared" si="205"/>
        <v>4965</v>
      </c>
      <c r="AC885" s="14" t="str">
        <f t="shared" si="212"/>
        <v>HPExt</v>
      </c>
      <c r="AD885" s="14">
        <f t="shared" si="213"/>
        <v>14903</v>
      </c>
      <c r="AE885" s="14" t="str">
        <f t="shared" si="214"/>
        <v>[x]</v>
      </c>
      <c r="AF885" s="27" t="str">
        <f t="shared" si="215"/>
        <v>[x]</v>
      </c>
      <c r="AG885" s="27">
        <f t="shared" si="216"/>
        <v>48</v>
      </c>
    </row>
    <row r="886" spans="16:33" ht="16.5" x14ac:dyDescent="0.2">
      <c r="P886" s="13">
        <v>830</v>
      </c>
      <c r="Q886" s="14">
        <f t="shared" si="201"/>
        <v>42</v>
      </c>
      <c r="R886" s="14">
        <f t="shared" si="202"/>
        <v>1606050</v>
      </c>
      <c r="S886" s="14" t="str">
        <f t="shared" si="206"/>
        <v>神器7碎片8等级17</v>
      </c>
      <c r="T886" s="29" t="s">
        <v>520</v>
      </c>
      <c r="U886" s="14">
        <f t="shared" si="203"/>
        <v>17</v>
      </c>
      <c r="V886" s="36">
        <f t="shared" si="207"/>
        <v>1.5779999999999998</v>
      </c>
      <c r="W886" s="17">
        <f t="shared" si="204"/>
        <v>7.8899999999999998E-2</v>
      </c>
      <c r="X886" s="14">
        <f t="shared" si="208"/>
        <v>1</v>
      </c>
      <c r="Y886" s="14">
        <f t="shared" si="209"/>
        <v>3</v>
      </c>
      <c r="Z886" s="14">
        <f t="shared" si="210"/>
        <v>0</v>
      </c>
      <c r="AA886" s="14" t="str">
        <f t="shared" si="211"/>
        <v>AtkExt</v>
      </c>
      <c r="AB886" s="14">
        <f t="shared" si="205"/>
        <v>5359</v>
      </c>
      <c r="AC886" s="14" t="str">
        <f t="shared" si="212"/>
        <v>HPExt</v>
      </c>
      <c r="AD886" s="14">
        <f t="shared" si="213"/>
        <v>16085</v>
      </c>
      <c r="AE886" s="14" t="str">
        <f t="shared" si="214"/>
        <v>[x]</v>
      </c>
      <c r="AF886" s="27" t="str">
        <f t="shared" si="215"/>
        <v>[x]</v>
      </c>
      <c r="AG886" s="27">
        <f t="shared" si="216"/>
        <v>51</v>
      </c>
    </row>
    <row r="887" spans="16:33" ht="16.5" x14ac:dyDescent="0.2">
      <c r="P887" s="13">
        <v>831</v>
      </c>
      <c r="Q887" s="14">
        <f t="shared" si="201"/>
        <v>42</v>
      </c>
      <c r="R887" s="14">
        <f t="shared" si="202"/>
        <v>1606050</v>
      </c>
      <c r="S887" s="14" t="str">
        <f t="shared" si="206"/>
        <v>神器7碎片8等级18</v>
      </c>
      <c r="T887" s="29" t="s">
        <v>520</v>
      </c>
      <c r="U887" s="14">
        <f t="shared" si="203"/>
        <v>18</v>
      </c>
      <c r="V887" s="36">
        <f t="shared" si="207"/>
        <v>1.698</v>
      </c>
      <c r="W887" s="17">
        <f t="shared" si="204"/>
        <v>8.4900000000000003E-2</v>
      </c>
      <c r="X887" s="14">
        <f t="shared" si="208"/>
        <v>1</v>
      </c>
      <c r="Y887" s="14">
        <f t="shared" si="209"/>
        <v>3</v>
      </c>
      <c r="Z887" s="14">
        <f t="shared" si="210"/>
        <v>0</v>
      </c>
      <c r="AA887" s="14" t="str">
        <f t="shared" si="211"/>
        <v>AtkExt</v>
      </c>
      <c r="AB887" s="14">
        <f t="shared" si="205"/>
        <v>5767</v>
      </c>
      <c r="AC887" s="14" t="str">
        <f t="shared" si="212"/>
        <v>HPExt</v>
      </c>
      <c r="AD887" s="14">
        <f t="shared" si="213"/>
        <v>17308</v>
      </c>
      <c r="AE887" s="14" t="str">
        <f t="shared" si="214"/>
        <v>[x]</v>
      </c>
      <c r="AF887" s="27" t="str">
        <f t="shared" si="215"/>
        <v>[x]</v>
      </c>
      <c r="AG887" s="27">
        <f t="shared" si="216"/>
        <v>54</v>
      </c>
    </row>
    <row r="888" spans="16:33" ht="16.5" x14ac:dyDescent="0.2">
      <c r="P888" s="13">
        <v>832</v>
      </c>
      <c r="Q888" s="14">
        <f t="shared" si="201"/>
        <v>42</v>
      </c>
      <c r="R888" s="14">
        <f t="shared" si="202"/>
        <v>1606050</v>
      </c>
      <c r="S888" s="14" t="str">
        <f t="shared" si="206"/>
        <v>神器7碎片8等级19</v>
      </c>
      <c r="T888" s="29" t="s">
        <v>520</v>
      </c>
      <c r="U888" s="14">
        <f t="shared" si="203"/>
        <v>19</v>
      </c>
      <c r="V888" s="36">
        <f t="shared" si="207"/>
        <v>1.8220000000000001</v>
      </c>
      <c r="W888" s="17">
        <f t="shared" si="204"/>
        <v>9.1100000000000014E-2</v>
      </c>
      <c r="X888" s="14">
        <f t="shared" si="208"/>
        <v>1</v>
      </c>
      <c r="Y888" s="14">
        <f t="shared" si="209"/>
        <v>3</v>
      </c>
      <c r="Z888" s="14">
        <f t="shared" si="210"/>
        <v>0</v>
      </c>
      <c r="AA888" s="14" t="str">
        <f t="shared" si="211"/>
        <v>AtkExt</v>
      </c>
      <c r="AB888" s="14">
        <f t="shared" si="205"/>
        <v>6188</v>
      </c>
      <c r="AC888" s="14" t="str">
        <f t="shared" si="212"/>
        <v>HPExt</v>
      </c>
      <c r="AD888" s="14">
        <f t="shared" si="213"/>
        <v>18572</v>
      </c>
      <c r="AE888" s="14" t="str">
        <f t="shared" si="214"/>
        <v>[x]</v>
      </c>
      <c r="AF888" s="27" t="str">
        <f t="shared" si="215"/>
        <v>[x]</v>
      </c>
      <c r="AG888" s="27">
        <f t="shared" si="216"/>
        <v>57</v>
      </c>
    </row>
    <row r="889" spans="16:33" ht="16.5" x14ac:dyDescent="0.2">
      <c r="P889" s="13">
        <v>833</v>
      </c>
      <c r="Q889" s="14">
        <f>MATCH(P889-1,$X$4:$X$46,1)</f>
        <v>42</v>
      </c>
      <c r="R889" s="14">
        <f>INDEX($S$5:$S$46,Q889)</f>
        <v>1606050</v>
      </c>
      <c r="S889" s="14" t="str">
        <f t="shared" si="206"/>
        <v>神器7碎片8等级20</v>
      </c>
      <c r="T889" s="29" t="s">
        <v>520</v>
      </c>
      <c r="U889" s="14">
        <f t="shared" si="203"/>
        <v>20</v>
      </c>
      <c r="V889" s="36">
        <f t="shared" si="207"/>
        <v>1.95</v>
      </c>
      <c r="W889" s="17">
        <f>INDEX($V$5:$V$46,Q889)*V889</f>
        <v>9.7500000000000003E-2</v>
      </c>
      <c r="X889" s="14">
        <f t="shared" si="208"/>
        <v>1</v>
      </c>
      <c r="Y889" s="14">
        <f t="shared" si="209"/>
        <v>3</v>
      </c>
      <c r="Z889" s="14">
        <f t="shared" si="210"/>
        <v>0</v>
      </c>
      <c r="AA889" s="14" t="str">
        <f t="shared" si="211"/>
        <v>AtkExt</v>
      </c>
      <c r="AB889" s="14">
        <f t="shared" si="205"/>
        <v>6622</v>
      </c>
      <c r="AC889" s="14" t="str">
        <f t="shared" si="212"/>
        <v>HPExt</v>
      </c>
      <c r="AD889" s="14">
        <f t="shared" si="213"/>
        <v>19877</v>
      </c>
      <c r="AE889" s="14" t="str">
        <f t="shared" si="214"/>
        <v>[x]</v>
      </c>
      <c r="AF889" s="27" t="str">
        <f t="shared" si="215"/>
        <v>[x]</v>
      </c>
      <c r="AG889" s="27">
        <f t="shared" si="216"/>
        <v>60</v>
      </c>
    </row>
    <row r="890" spans="16:33" ht="16.5" x14ac:dyDescent="0.2">
      <c r="P890" s="13">
        <v>834</v>
      </c>
      <c r="Q890" s="14">
        <f>MATCH(P890-1,$X$4:$X$46,1)</f>
        <v>42</v>
      </c>
      <c r="R890" s="14">
        <f>INDEX($S$5:$S$46,Q890)</f>
        <v>1606050</v>
      </c>
      <c r="S890" s="14" t="str">
        <f>INDEX($P$5:$P$46,Q890)&amp;"碎片"&amp;INDEX($R$5:$R$46,Q890)&amp;"等级"&amp;U890</f>
        <v>神器7碎片8等级21</v>
      </c>
      <c r="T890" s="29" t="s">
        <v>520</v>
      </c>
      <c r="U890" s="14">
        <f t="shared" si="203"/>
        <v>21</v>
      </c>
      <c r="V890" s="36">
        <f>15%+U890*5%+U890*U890*0.2%</f>
        <v>2.0819999999999999</v>
      </c>
      <c r="W890" s="17">
        <f>INDEX($V$5:$V$46,Q890)*V890</f>
        <v>0.1041</v>
      </c>
      <c r="X890" s="14">
        <f t="shared" si="208"/>
        <v>1</v>
      </c>
      <c r="Y890" s="14">
        <f t="shared" si="209"/>
        <v>3</v>
      </c>
      <c r="Z890" s="14">
        <f t="shared" si="210"/>
        <v>0</v>
      </c>
      <c r="AA890" s="14" t="str">
        <f>INDEX($Y$3:$AA$3,X890)</f>
        <v>AtkExt</v>
      </c>
      <c r="AB890" s="14">
        <f t="shared" si="205"/>
        <v>7071</v>
      </c>
      <c r="AC890" s="14" t="str">
        <f>IF(Y890&gt;0,INDEX($Y$3:$AA$3,Y890),"[x]")</f>
        <v>HPExt</v>
      </c>
      <c r="AD890" s="14">
        <f>IF(Y890&gt;0,INT(INDEX($E$4:$G$4,Y890)*W890*INDEX($Y$5:$AA$46,Q890,Y890)),"[x]")</f>
        <v>21223</v>
      </c>
      <c r="AE890" s="14" t="str">
        <f>IF(Z890&gt;0,INDEX($Y$3:$AA$3,Z890),"[x]")</f>
        <v>[x]</v>
      </c>
      <c r="AF890" s="27" t="str">
        <f>IF(Z890&gt;0,INT(INDEX($E$4:$G$4,Z890)*W890*INDEX($Y$5:$AA$46,Q890,Z890)),"[x]")</f>
        <v>[x]</v>
      </c>
      <c r="AG890" s="27">
        <f>IF(INDEX($AE$5:$AE$46,Q890)&gt;0,INDEX($AE$5:$AE$46,Q890)*U890,"[x]")</f>
        <v>63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6"/>
  <sheetViews>
    <sheetView workbookViewId="0">
      <selection activeCell="U22" sqref="U22"/>
    </sheetView>
  </sheetViews>
  <sheetFormatPr defaultRowHeight="14.25" x14ac:dyDescent="0.2"/>
  <cols>
    <col min="1" max="1" width="9" customWidth="1"/>
    <col min="3" max="3" width="9" style="37"/>
    <col min="5" max="5" width="8.75" customWidth="1"/>
    <col min="6" max="6" width="8.25" customWidth="1"/>
    <col min="7" max="7" width="8.25" style="37" customWidth="1"/>
    <col min="8" max="8" width="10.375" style="20" customWidth="1"/>
    <col min="9" max="9" width="11.375" style="20" customWidth="1"/>
    <col min="10" max="10" width="11.375" customWidth="1"/>
    <col min="11" max="11" width="13.375" style="20" customWidth="1"/>
    <col min="12" max="12" width="11.875" customWidth="1"/>
    <col min="13" max="13" width="11.375" style="20" customWidth="1"/>
    <col min="14" max="14" width="9.25" style="37" customWidth="1"/>
    <col min="15" max="15" width="10.25" customWidth="1"/>
    <col min="16" max="16" width="9.5" style="37" customWidth="1"/>
    <col min="17" max="17" width="9.125" style="37" customWidth="1"/>
    <col min="18" max="18" width="9.875" customWidth="1"/>
    <col min="19" max="19" width="9.75" customWidth="1"/>
    <col min="20" max="20" width="9.375" customWidth="1"/>
  </cols>
  <sheetData>
    <row r="2" spans="1:20" ht="16.5" x14ac:dyDescent="0.2">
      <c r="A2" s="15" t="s">
        <v>894</v>
      </c>
      <c r="B2" s="13">
        <v>7</v>
      </c>
      <c r="H2" s="20">
        <f>H53</f>
        <v>36782</v>
      </c>
      <c r="I2" s="37">
        <f>I53</f>
        <v>18380</v>
      </c>
      <c r="J2" s="37">
        <f>J53</f>
        <v>165555</v>
      </c>
    </row>
    <row r="3" spans="1:20" ht="17.25" x14ac:dyDescent="0.2">
      <c r="A3" s="12" t="s">
        <v>889</v>
      </c>
      <c r="B3" s="12" t="s">
        <v>890</v>
      </c>
      <c r="C3" s="12" t="s">
        <v>891</v>
      </c>
      <c r="D3" s="12" t="s">
        <v>308</v>
      </c>
      <c r="E3" s="12" t="s">
        <v>892</v>
      </c>
      <c r="F3" s="12" t="s">
        <v>310</v>
      </c>
      <c r="G3" s="12" t="s">
        <v>893</v>
      </c>
      <c r="H3" s="12" t="s">
        <v>308</v>
      </c>
      <c r="I3" s="12" t="s">
        <v>892</v>
      </c>
      <c r="J3" s="12" t="s">
        <v>310</v>
      </c>
      <c r="L3" s="12" t="s">
        <v>13</v>
      </c>
      <c r="M3" s="12" t="s">
        <v>171</v>
      </c>
      <c r="N3" s="12" t="s">
        <v>895</v>
      </c>
      <c r="O3" s="12" t="s">
        <v>174</v>
      </c>
      <c r="P3" s="12" t="s">
        <v>896</v>
      </c>
      <c r="Q3" s="12" t="s">
        <v>897</v>
      </c>
      <c r="R3" s="12" t="s">
        <v>308</v>
      </c>
      <c r="S3" s="12" t="s">
        <v>713</v>
      </c>
      <c r="T3" s="12" t="s">
        <v>310</v>
      </c>
    </row>
    <row r="4" spans="1:20" ht="16.5" x14ac:dyDescent="0.2">
      <c r="A4" s="13">
        <v>1</v>
      </c>
      <c r="B4" s="13">
        <v>5</v>
      </c>
      <c r="C4" s="42">
        <v>0.3</v>
      </c>
      <c r="D4" s="14">
        <f>INT(INDEX(新属性投放!$D$42:$D$62,专属武器!$B4)*专属武器!$C4*$B$2)</f>
        <v>52</v>
      </c>
      <c r="E4" s="14">
        <f>INT(INDEX(新属性投放!$E$42:$E$62,专属武器!$B4)*专属武器!$C4*$B$2)</f>
        <v>26</v>
      </c>
      <c r="F4" s="14">
        <f>INT(INDEX(新属性投放!$F$42:$F$62,专属武器!$B4)*专属武器!$C4*$B$2)</f>
        <v>235</v>
      </c>
      <c r="G4" s="14">
        <f>ROUND(H4/H$2,4)</f>
        <v>1.4E-3</v>
      </c>
      <c r="H4" s="14">
        <f>SUM(D$4:D4)</f>
        <v>52</v>
      </c>
      <c r="I4" s="14">
        <f>SUM(E$4:E4)</f>
        <v>26</v>
      </c>
      <c r="J4" s="14">
        <f>SUM(F$4:F4)</f>
        <v>235</v>
      </c>
      <c r="L4" s="13">
        <v>1102001</v>
      </c>
      <c r="M4" s="13" t="s">
        <v>150</v>
      </c>
      <c r="N4" s="13">
        <v>5</v>
      </c>
      <c r="O4" s="13">
        <f>INDEX(新属性投放!$L$6:$L$10,专属武器!N4)</f>
        <v>1.5</v>
      </c>
      <c r="P4" s="13">
        <f>INDEX(职业属性倾向!H:H,MATCH(专属武器!L4,职业属性倾向!A:A,0))</f>
        <v>1.5</v>
      </c>
      <c r="Q4" s="13">
        <f>INDEX(职业属性倾向!J:J,MATCH(专属武器!L4,职业属性倾向!A:A,0))</f>
        <v>0.75</v>
      </c>
      <c r="R4" s="14">
        <f>INT(H$2*$O4*P4)</f>
        <v>82759</v>
      </c>
      <c r="S4" s="14">
        <f>INT(I$2*$O4)</f>
        <v>27570</v>
      </c>
      <c r="T4" s="14">
        <f>INT(J$2*$O4*Q4)</f>
        <v>186249</v>
      </c>
    </row>
    <row r="5" spans="1:20" ht="16.5" x14ac:dyDescent="0.2">
      <c r="A5" s="13">
        <v>2</v>
      </c>
      <c r="B5" s="13">
        <v>5</v>
      </c>
      <c r="C5" s="42">
        <v>0.3</v>
      </c>
      <c r="D5" s="14">
        <f>INT(INDEX(新属性投放!$D$42:$D$62,专属武器!$B5)*专属武器!$C5*$B$2)</f>
        <v>52</v>
      </c>
      <c r="E5" s="14">
        <f>INT(INDEX(新属性投放!$E$42:$E$62,专属武器!$B5)*专属武器!$C5*$B$2)</f>
        <v>26</v>
      </c>
      <c r="F5" s="14">
        <f>INT(INDEX(新属性投放!$F$42:$F$62,专属武器!$B5)*专属武器!$C5*$B$2)</f>
        <v>235</v>
      </c>
      <c r="G5" s="14">
        <f t="shared" ref="G5:G53" si="0">ROUND(H5/H$2,4)</f>
        <v>2.8E-3</v>
      </c>
      <c r="H5" s="14">
        <f>SUM(D$4:D5)</f>
        <v>104</v>
      </c>
      <c r="I5" s="14">
        <f>SUM(E$4:E5)</f>
        <v>52</v>
      </c>
      <c r="J5" s="14">
        <f>SUM(F$4:F5)</f>
        <v>470</v>
      </c>
      <c r="L5" s="13">
        <v>1102002</v>
      </c>
      <c r="M5" s="13" t="s">
        <v>151</v>
      </c>
      <c r="N5" s="13">
        <v>3</v>
      </c>
      <c r="O5" s="13">
        <f>INDEX(新属性投放!$L$6:$L$10,专属武器!N5)</f>
        <v>1.1499999999999999</v>
      </c>
      <c r="P5" s="13">
        <f>INDEX(职业属性倾向!H:H,MATCH(专属武器!L5,职业属性倾向!A:A,0))</f>
        <v>0.5</v>
      </c>
      <c r="Q5" s="13">
        <f>INDEX(职业属性倾向!J:J,MATCH(专属武器!L5,职业属性倾向!A:A,0))</f>
        <v>1.25</v>
      </c>
      <c r="R5" s="14">
        <f t="shared" ref="R5:R17" si="1">INT(H$2*$O5*P5)</f>
        <v>21149</v>
      </c>
      <c r="S5" s="14">
        <f t="shared" ref="S5:S17" si="2">INT(I$2*$O5)</f>
        <v>21137</v>
      </c>
      <c r="T5" s="14">
        <f t="shared" ref="T5:T17" si="3">INT(J$2*$O5*Q5)</f>
        <v>237985</v>
      </c>
    </row>
    <row r="6" spans="1:20" ht="16.5" x14ac:dyDescent="0.2">
      <c r="A6" s="13">
        <v>3</v>
      </c>
      <c r="B6" s="13">
        <v>5</v>
      </c>
      <c r="C6" s="42">
        <v>0.4</v>
      </c>
      <c r="D6" s="14">
        <f>INT(INDEX(新属性投放!$D$42:$D$62,专属武器!$B6)*专属武器!$C6*$B$2)</f>
        <v>70</v>
      </c>
      <c r="E6" s="14">
        <f>INT(INDEX(新属性投放!$E$42:$E$62,专属武器!$B6)*专属武器!$C6*$B$2)</f>
        <v>35</v>
      </c>
      <c r="F6" s="14">
        <f>INT(INDEX(新属性投放!$F$42:$F$62,专属武器!$B6)*专属武器!$C6*$B$2)</f>
        <v>313</v>
      </c>
      <c r="G6" s="14">
        <f t="shared" si="0"/>
        <v>4.7000000000000002E-3</v>
      </c>
      <c r="H6" s="14">
        <f>SUM(D$4:D6)</f>
        <v>174</v>
      </c>
      <c r="I6" s="14">
        <f>SUM(E$4:E6)</f>
        <v>87</v>
      </c>
      <c r="J6" s="14">
        <f>SUM(F$4:F6)</f>
        <v>783</v>
      </c>
      <c r="L6" s="13">
        <v>1102003</v>
      </c>
      <c r="M6" s="13" t="s">
        <v>152</v>
      </c>
      <c r="N6" s="13">
        <v>4</v>
      </c>
      <c r="O6" s="13">
        <f>INDEX(新属性投放!$L$6:$L$10,专属武器!N6)</f>
        <v>1.3</v>
      </c>
      <c r="P6" s="13">
        <f>INDEX(职业属性倾向!H:H,MATCH(专属武器!L6,职业属性倾向!A:A,0))</f>
        <v>1.8</v>
      </c>
      <c r="Q6" s="13">
        <f>INDEX(职业属性倾向!J:J,MATCH(专属武器!L6,职业属性倾向!A:A,0))</f>
        <v>0.5</v>
      </c>
      <c r="R6" s="14">
        <f t="shared" si="1"/>
        <v>86069</v>
      </c>
      <c r="S6" s="14">
        <f t="shared" si="2"/>
        <v>23894</v>
      </c>
      <c r="T6" s="14">
        <f t="shared" si="3"/>
        <v>107610</v>
      </c>
    </row>
    <row r="7" spans="1:20" s="20" customFormat="1" ht="16.5" x14ac:dyDescent="0.2">
      <c r="A7" s="13">
        <v>4</v>
      </c>
      <c r="B7" s="13">
        <v>6</v>
      </c>
      <c r="C7" s="42">
        <v>0.3</v>
      </c>
      <c r="D7" s="14">
        <f>INT(INDEX(新属性投放!$D$42:$D$62,专属武器!$B7)*专属武器!$C7*$B$2)</f>
        <v>63</v>
      </c>
      <c r="E7" s="14">
        <f>INT(INDEX(新属性投放!$E$42:$E$62,专属武器!$B7)*专属武器!$C7*$B$2)</f>
        <v>31</v>
      </c>
      <c r="F7" s="14">
        <f>INT(INDEX(新属性投放!$F$42:$F$62,专属武器!$B7)*专属武器!$C7*$B$2)</f>
        <v>283</v>
      </c>
      <c r="G7" s="14">
        <f t="shared" si="0"/>
        <v>6.4000000000000003E-3</v>
      </c>
      <c r="H7" s="14">
        <f>SUM(D$4:D7)</f>
        <v>237</v>
      </c>
      <c r="I7" s="14">
        <f>SUM(E$4:E7)</f>
        <v>118</v>
      </c>
      <c r="J7" s="14">
        <f>SUM(F$4:F7)</f>
        <v>1066</v>
      </c>
      <c r="L7" s="13">
        <v>1102005</v>
      </c>
      <c r="M7" s="13" t="s">
        <v>154</v>
      </c>
      <c r="N7" s="13">
        <v>3</v>
      </c>
      <c r="O7" s="13">
        <f>INDEX(新属性投放!$L$6:$L$10,专属武器!N7)</f>
        <v>1.1499999999999999</v>
      </c>
      <c r="P7" s="13">
        <f>INDEX(职业属性倾向!H:H,MATCH(专属武器!L7,职业属性倾向!A:A,0))</f>
        <v>0.5</v>
      </c>
      <c r="Q7" s="13">
        <f>INDEX(职业属性倾向!J:J,MATCH(专属武器!L7,职业属性倾向!A:A,0))</f>
        <v>1.5</v>
      </c>
      <c r="R7" s="14">
        <f t="shared" si="1"/>
        <v>21149</v>
      </c>
      <c r="S7" s="14">
        <f t="shared" si="2"/>
        <v>21137</v>
      </c>
      <c r="T7" s="14">
        <f t="shared" si="3"/>
        <v>285582</v>
      </c>
    </row>
    <row r="8" spans="1:20" s="20" customFormat="1" ht="16.5" x14ac:dyDescent="0.2">
      <c r="A8" s="13">
        <v>5</v>
      </c>
      <c r="B8" s="13">
        <v>6</v>
      </c>
      <c r="C8" s="42">
        <v>0.3</v>
      </c>
      <c r="D8" s="14">
        <f>INT(INDEX(新属性投放!$D$42:$D$62,专属武器!$B8)*专属武器!$C8*$B$2)</f>
        <v>63</v>
      </c>
      <c r="E8" s="14">
        <f>INT(INDEX(新属性投放!$E$42:$E$62,专属武器!$B8)*专属武器!$C8*$B$2)</f>
        <v>31</v>
      </c>
      <c r="F8" s="14">
        <f>INT(INDEX(新属性投放!$F$42:$F$62,专属武器!$B8)*专属武器!$C8*$B$2)</f>
        <v>283</v>
      </c>
      <c r="G8" s="14">
        <f t="shared" si="0"/>
        <v>8.2000000000000007E-3</v>
      </c>
      <c r="H8" s="14">
        <f>SUM(D$4:D8)</f>
        <v>300</v>
      </c>
      <c r="I8" s="14">
        <f>SUM(E$4:E8)</f>
        <v>149</v>
      </c>
      <c r="J8" s="14">
        <f>SUM(F$4:F8)</f>
        <v>1349</v>
      </c>
      <c r="L8" s="13">
        <v>1102006</v>
      </c>
      <c r="M8" s="13" t="s">
        <v>155</v>
      </c>
      <c r="N8" s="13">
        <v>5</v>
      </c>
      <c r="O8" s="13">
        <f>INDEX(新属性投放!$L$6:$L$10,专属武器!N8)</f>
        <v>1.5</v>
      </c>
      <c r="P8" s="13">
        <f>INDEX(职业属性倾向!H:H,MATCH(专属武器!L8,职业属性倾向!A:A,0))</f>
        <v>1.5</v>
      </c>
      <c r="Q8" s="13">
        <f>INDEX(职业属性倾向!J:J,MATCH(专属武器!L8,职业属性倾向!A:A,0))</f>
        <v>0.5</v>
      </c>
      <c r="R8" s="14">
        <f t="shared" si="1"/>
        <v>82759</v>
      </c>
      <c r="S8" s="14">
        <f t="shared" si="2"/>
        <v>27570</v>
      </c>
      <c r="T8" s="14">
        <f t="shared" si="3"/>
        <v>124166</v>
      </c>
    </row>
    <row r="9" spans="1:20" s="20" customFormat="1" ht="16.5" x14ac:dyDescent="0.2">
      <c r="A9" s="13">
        <v>6</v>
      </c>
      <c r="B9" s="13">
        <v>6</v>
      </c>
      <c r="C9" s="42">
        <v>0.4</v>
      </c>
      <c r="D9" s="14">
        <f>INT(INDEX(新属性投放!$D$42:$D$62,专属武器!$B9)*专属武器!$C9*$B$2)</f>
        <v>84</v>
      </c>
      <c r="E9" s="14">
        <f>INT(INDEX(新属性投放!$E$42:$E$62,专属武器!$B9)*专属武器!$C9*$B$2)</f>
        <v>42</v>
      </c>
      <c r="F9" s="14">
        <f>INT(INDEX(新属性投放!$F$42:$F$62,专属武器!$B9)*专属武器!$C9*$B$2)</f>
        <v>378</v>
      </c>
      <c r="G9" s="14">
        <f t="shared" si="0"/>
        <v>1.04E-2</v>
      </c>
      <c r="H9" s="14">
        <f>SUM(D$4:D9)</f>
        <v>384</v>
      </c>
      <c r="I9" s="14">
        <f>SUM(E$4:E9)</f>
        <v>191</v>
      </c>
      <c r="J9" s="14">
        <f>SUM(F$4:F9)</f>
        <v>1727</v>
      </c>
      <c r="K9" s="16"/>
      <c r="L9" s="13">
        <v>1102007</v>
      </c>
      <c r="M9" s="13" t="s">
        <v>156</v>
      </c>
      <c r="N9" s="13">
        <v>4</v>
      </c>
      <c r="O9" s="13">
        <f>INDEX(新属性投放!$L$6:$L$10,专属武器!N9)</f>
        <v>1.3</v>
      </c>
      <c r="P9" s="13">
        <f>INDEX(职业属性倾向!H:H,MATCH(专属武器!L9,职业属性倾向!A:A,0))</f>
        <v>1.4</v>
      </c>
      <c r="Q9" s="13">
        <f>INDEX(职业属性倾向!J:J,MATCH(专属武器!L9,职业属性倾向!A:A,0))</f>
        <v>0.8</v>
      </c>
      <c r="R9" s="14">
        <f t="shared" si="1"/>
        <v>66943</v>
      </c>
      <c r="S9" s="14">
        <f t="shared" si="2"/>
        <v>23894</v>
      </c>
      <c r="T9" s="14">
        <f t="shared" si="3"/>
        <v>172177</v>
      </c>
    </row>
    <row r="10" spans="1:20" ht="16.5" x14ac:dyDescent="0.2">
      <c r="A10" s="13">
        <v>7</v>
      </c>
      <c r="B10" s="13">
        <v>7</v>
      </c>
      <c r="C10" s="42">
        <v>0.3</v>
      </c>
      <c r="D10" s="14">
        <f>INT(INDEX(新属性投放!$D$42:$D$62,专属武器!$B10)*专属武器!$C10*$B$2)</f>
        <v>73</v>
      </c>
      <c r="E10" s="14">
        <f>INT(INDEX(新属性投放!$E$42:$E$62,专属武器!$B10)*专属武器!$C10*$B$2)</f>
        <v>36</v>
      </c>
      <c r="F10" s="14">
        <f>INT(INDEX(新属性投放!$F$42:$F$62,专属武器!$B10)*专属武器!$C10*$B$2)</f>
        <v>329</v>
      </c>
      <c r="G10" s="14">
        <f t="shared" si="0"/>
        <v>1.24E-2</v>
      </c>
      <c r="H10" s="14">
        <f>SUM(D$4:D10)</f>
        <v>457</v>
      </c>
      <c r="I10" s="14">
        <f>SUM(E$4:E10)</f>
        <v>227</v>
      </c>
      <c r="J10" s="14">
        <f>SUM(F$4:F10)</f>
        <v>2056</v>
      </c>
      <c r="K10" s="16"/>
      <c r="L10" s="13">
        <v>1102008</v>
      </c>
      <c r="M10" s="13" t="s">
        <v>157</v>
      </c>
      <c r="N10" s="13">
        <v>4</v>
      </c>
      <c r="O10" s="13">
        <f>INDEX(新属性投放!$L$6:$L$10,专属武器!N10)</f>
        <v>1.3</v>
      </c>
      <c r="P10" s="13">
        <f>INDEX(职业属性倾向!H:H,MATCH(专属武器!L10,职业属性倾向!A:A,0))</f>
        <v>2</v>
      </c>
      <c r="Q10" s="13">
        <f>INDEX(职业属性倾向!J:J,MATCH(专属武器!L10,职业属性倾向!A:A,0))</f>
        <v>0.5</v>
      </c>
      <c r="R10" s="14">
        <f t="shared" si="1"/>
        <v>95633</v>
      </c>
      <c r="S10" s="14">
        <f t="shared" si="2"/>
        <v>23894</v>
      </c>
      <c r="T10" s="14">
        <f t="shared" si="3"/>
        <v>107610</v>
      </c>
    </row>
    <row r="11" spans="1:20" ht="16.5" x14ac:dyDescent="0.2">
      <c r="A11" s="13">
        <v>8</v>
      </c>
      <c r="B11" s="13">
        <v>7</v>
      </c>
      <c r="C11" s="42">
        <v>0.3</v>
      </c>
      <c r="D11" s="14">
        <f>INT(INDEX(新属性投放!$D$42:$D$62,专属武器!$B11)*专属武器!$C11*$B$2)</f>
        <v>73</v>
      </c>
      <c r="E11" s="14">
        <f>INT(INDEX(新属性投放!$E$42:$E$62,专属武器!$B11)*专属武器!$C11*$B$2)</f>
        <v>36</v>
      </c>
      <c r="F11" s="14">
        <f>INT(INDEX(新属性投放!$F$42:$F$62,专属武器!$B11)*专属武器!$C11*$B$2)</f>
        <v>329</v>
      </c>
      <c r="G11" s="14">
        <f t="shared" si="0"/>
        <v>1.44E-2</v>
      </c>
      <c r="H11" s="14">
        <f>SUM(D$4:D11)</f>
        <v>530</v>
      </c>
      <c r="I11" s="14">
        <f>SUM(E$4:E11)</f>
        <v>263</v>
      </c>
      <c r="J11" s="14">
        <f>SUM(F$4:F11)</f>
        <v>2385</v>
      </c>
      <c r="K11" s="16"/>
      <c r="L11" s="13">
        <v>1102009</v>
      </c>
      <c r="M11" s="13" t="s">
        <v>158</v>
      </c>
      <c r="N11" s="13">
        <v>4</v>
      </c>
      <c r="O11" s="13">
        <f>INDEX(新属性投放!$L$6:$L$10,专属武器!N11)</f>
        <v>1.3</v>
      </c>
      <c r="P11" s="13">
        <f>INDEX(职业属性倾向!H:H,MATCH(专属武器!L11,职业属性倾向!A:A,0))</f>
        <v>0.5</v>
      </c>
      <c r="Q11" s="13">
        <f>INDEX(职业属性倾向!J:J,MATCH(专属武器!L11,职业属性倾向!A:A,0))</f>
        <v>1</v>
      </c>
      <c r="R11" s="14">
        <f t="shared" si="1"/>
        <v>23908</v>
      </c>
      <c r="S11" s="14">
        <f t="shared" si="2"/>
        <v>23894</v>
      </c>
      <c r="T11" s="14">
        <f t="shared" si="3"/>
        <v>215221</v>
      </c>
    </row>
    <row r="12" spans="1:20" ht="16.5" x14ac:dyDescent="0.2">
      <c r="A12" s="13">
        <v>9</v>
      </c>
      <c r="B12" s="13">
        <v>7</v>
      </c>
      <c r="C12" s="42">
        <v>0.4</v>
      </c>
      <c r="D12" s="14">
        <f>INT(INDEX(新属性投放!$D$42:$D$62,专属武器!$B12)*专属武器!$C12*$B$2)</f>
        <v>98</v>
      </c>
      <c r="E12" s="14">
        <f>INT(INDEX(新属性投放!$E$42:$E$62,专属武器!$B12)*专属武器!$C12*$B$2)</f>
        <v>49</v>
      </c>
      <c r="F12" s="14">
        <f>INT(INDEX(新属性投放!$F$42:$F$62,专属武器!$B12)*专属武器!$C12*$B$2)</f>
        <v>439</v>
      </c>
      <c r="G12" s="14">
        <f t="shared" si="0"/>
        <v>1.7100000000000001E-2</v>
      </c>
      <c r="H12" s="14">
        <f>SUM(D$4:D12)</f>
        <v>628</v>
      </c>
      <c r="I12" s="14">
        <f>SUM(E$4:E12)</f>
        <v>312</v>
      </c>
      <c r="J12" s="14">
        <f>SUM(F$4:F12)</f>
        <v>2824</v>
      </c>
      <c r="K12" s="16"/>
      <c r="L12" s="13">
        <v>1102010</v>
      </c>
      <c r="M12" s="13" t="s">
        <v>159</v>
      </c>
      <c r="N12" s="13">
        <v>4</v>
      </c>
      <c r="O12" s="13">
        <f>INDEX(新属性投放!$L$6:$L$10,专属武器!N12)</f>
        <v>1.3</v>
      </c>
      <c r="P12" s="13">
        <f>INDEX(职业属性倾向!H:H,MATCH(专属武器!L12,职业属性倾向!A:A,0))</f>
        <v>1.5</v>
      </c>
      <c r="Q12" s="13">
        <f>INDEX(职业属性倾向!J:J,MATCH(专属武器!L12,职业属性倾向!A:A,0))</f>
        <v>0.75</v>
      </c>
      <c r="R12" s="14">
        <f t="shared" si="1"/>
        <v>71724</v>
      </c>
      <c r="S12" s="14">
        <f t="shared" si="2"/>
        <v>23894</v>
      </c>
      <c r="T12" s="14">
        <f t="shared" si="3"/>
        <v>161416</v>
      </c>
    </row>
    <row r="13" spans="1:20" ht="16.5" x14ac:dyDescent="0.2">
      <c r="A13" s="13">
        <v>10</v>
      </c>
      <c r="B13" s="13">
        <v>8</v>
      </c>
      <c r="C13" s="42">
        <v>0.3</v>
      </c>
      <c r="D13" s="14">
        <f>INT(INDEX(新属性投放!$D$42:$D$62,专属武器!$B13)*专属武器!$C13*$B$2)</f>
        <v>94</v>
      </c>
      <c r="E13" s="14">
        <f>INT(INDEX(新属性投放!$E$42:$E$62,专属武器!$B13)*专属武器!$C13*$B$2)</f>
        <v>47</v>
      </c>
      <c r="F13" s="14">
        <f>INT(INDEX(新属性投放!$F$42:$F$62,专属武器!$B13)*专属武器!$C13*$B$2)</f>
        <v>424</v>
      </c>
      <c r="G13" s="14">
        <f t="shared" si="0"/>
        <v>1.9599999999999999E-2</v>
      </c>
      <c r="H13" s="14">
        <f>SUM(D$4:D13)</f>
        <v>722</v>
      </c>
      <c r="I13" s="14">
        <f>SUM(E$4:E13)</f>
        <v>359</v>
      </c>
      <c r="J13" s="14">
        <f>SUM(F$4:F13)</f>
        <v>3248</v>
      </c>
      <c r="K13" s="16"/>
      <c r="L13" s="13">
        <v>1102011</v>
      </c>
      <c r="M13" s="13" t="s">
        <v>160</v>
      </c>
      <c r="N13" s="13">
        <v>4</v>
      </c>
      <c r="O13" s="13">
        <f>INDEX(新属性投放!$L$6:$L$10,专属武器!N13)</f>
        <v>1.3</v>
      </c>
      <c r="P13" s="13">
        <f>INDEX(职业属性倾向!H:H,MATCH(专属武器!L13,职业属性倾向!A:A,0))</f>
        <v>0.8</v>
      </c>
      <c r="Q13" s="13">
        <f>INDEX(职业属性倾向!J:J,MATCH(专属武器!L13,职业属性倾向!A:A,0))</f>
        <v>1.7</v>
      </c>
      <c r="R13" s="14">
        <f t="shared" si="1"/>
        <v>38253</v>
      </c>
      <c r="S13" s="14">
        <f t="shared" si="2"/>
        <v>23894</v>
      </c>
      <c r="T13" s="14">
        <f t="shared" si="3"/>
        <v>365876</v>
      </c>
    </row>
    <row r="14" spans="1:20" ht="16.5" x14ac:dyDescent="0.2">
      <c r="A14" s="13">
        <v>11</v>
      </c>
      <c r="B14" s="13">
        <v>8</v>
      </c>
      <c r="C14" s="42">
        <v>0.3</v>
      </c>
      <c r="D14" s="14">
        <f>INT(INDEX(新属性投放!$D$42:$D$62,专属武器!$B14)*专属武器!$C14*$B$2)</f>
        <v>94</v>
      </c>
      <c r="E14" s="14">
        <f>INT(INDEX(新属性投放!$E$42:$E$62,专属武器!$B14)*专属武器!$C14*$B$2)</f>
        <v>47</v>
      </c>
      <c r="F14" s="14">
        <f>INT(INDEX(新属性投放!$F$42:$F$62,专属武器!$B14)*专属武器!$C14*$B$2)</f>
        <v>424</v>
      </c>
      <c r="G14" s="14">
        <f t="shared" si="0"/>
        <v>2.2200000000000001E-2</v>
      </c>
      <c r="H14" s="14">
        <f>SUM(D$4:D14)</f>
        <v>816</v>
      </c>
      <c r="I14" s="14">
        <f>SUM(E$4:E14)</f>
        <v>406</v>
      </c>
      <c r="J14" s="14">
        <f>SUM(F$4:F14)</f>
        <v>3672</v>
      </c>
      <c r="K14" s="16"/>
      <c r="L14" s="13">
        <v>1102012</v>
      </c>
      <c r="M14" s="13" t="s">
        <v>161</v>
      </c>
      <c r="N14" s="13">
        <v>5</v>
      </c>
      <c r="O14" s="13">
        <f>INDEX(新属性投放!$L$6:$L$10,专属武器!N14)</f>
        <v>1.5</v>
      </c>
      <c r="P14" s="13">
        <f>INDEX(职业属性倾向!H:H,MATCH(专属武器!L14,职业属性倾向!A:A,0))</f>
        <v>1</v>
      </c>
      <c r="Q14" s="13">
        <f>INDEX(职业属性倾向!J:J,MATCH(专属武器!L14,职业属性倾向!A:A,0))</f>
        <v>1</v>
      </c>
      <c r="R14" s="14">
        <f t="shared" si="1"/>
        <v>55173</v>
      </c>
      <c r="S14" s="14">
        <f t="shared" si="2"/>
        <v>27570</v>
      </c>
      <c r="T14" s="14">
        <f t="shared" si="3"/>
        <v>248332</v>
      </c>
    </row>
    <row r="15" spans="1:20" ht="16.5" x14ac:dyDescent="0.2">
      <c r="A15" s="13">
        <v>12</v>
      </c>
      <c r="B15" s="13">
        <v>8</v>
      </c>
      <c r="C15" s="42">
        <v>0.4</v>
      </c>
      <c r="D15" s="14">
        <f>INT(INDEX(新属性投放!$D$42:$D$62,专属武器!$B15)*专属武器!$C15*$B$2)</f>
        <v>126</v>
      </c>
      <c r="E15" s="14">
        <f>INT(INDEX(新属性投放!$E$42:$E$62,专属武器!$B15)*专属武器!$C15*$B$2)</f>
        <v>63</v>
      </c>
      <c r="F15" s="14">
        <f>INT(INDEX(新属性投放!$F$42:$F$62,专属武器!$B15)*专属武器!$C15*$B$2)</f>
        <v>565</v>
      </c>
      <c r="G15" s="14">
        <f t="shared" si="0"/>
        <v>2.5600000000000001E-2</v>
      </c>
      <c r="H15" s="14">
        <f>SUM(D$4:D15)</f>
        <v>942</v>
      </c>
      <c r="I15" s="14">
        <f>SUM(E$4:E15)</f>
        <v>469</v>
      </c>
      <c r="J15" s="14">
        <f>SUM(F$4:F15)</f>
        <v>4237</v>
      </c>
      <c r="K15" s="16"/>
      <c r="L15" s="13">
        <v>1102014</v>
      </c>
      <c r="M15" s="13" t="s">
        <v>163</v>
      </c>
      <c r="N15" s="13">
        <v>3</v>
      </c>
      <c r="O15" s="13">
        <f>INDEX(新属性投放!$L$6:$L$10,专属武器!N15)</f>
        <v>1.1499999999999999</v>
      </c>
      <c r="P15" s="13">
        <f>INDEX(职业属性倾向!H:H,MATCH(专属武器!L15,职业属性倾向!A:A,0))</f>
        <v>1.5</v>
      </c>
      <c r="Q15" s="13">
        <f>INDEX(职业属性倾向!J:J,MATCH(专属武器!L15,职业属性倾向!A:A,0))</f>
        <v>0.5</v>
      </c>
      <c r="R15" s="14">
        <f t="shared" si="1"/>
        <v>63448</v>
      </c>
      <c r="S15" s="14">
        <f t="shared" si="2"/>
        <v>21137</v>
      </c>
      <c r="T15" s="14">
        <f t="shared" si="3"/>
        <v>95194</v>
      </c>
    </row>
    <row r="16" spans="1:20" ht="16.5" x14ac:dyDescent="0.2">
      <c r="A16" s="13">
        <v>13</v>
      </c>
      <c r="B16" s="13">
        <v>9</v>
      </c>
      <c r="C16" s="42">
        <v>0.3</v>
      </c>
      <c r="D16" s="14">
        <f>INT(INDEX(新属性投放!$D$42:$D$62,专属武器!$B16)*专属武器!$C16*$B$2)</f>
        <v>126</v>
      </c>
      <c r="E16" s="14">
        <f>INT(INDEX(新属性投放!$E$42:$E$62,专属武器!$B16)*专属武器!$C16*$B$2)</f>
        <v>63</v>
      </c>
      <c r="F16" s="14">
        <f>INT(INDEX(新属性投放!$F$42:$F$62,专属武器!$B16)*专属武器!$C16*$B$2)</f>
        <v>567</v>
      </c>
      <c r="G16" s="14">
        <f t="shared" si="0"/>
        <v>2.9000000000000001E-2</v>
      </c>
      <c r="H16" s="14">
        <f>SUM(D$4:D16)</f>
        <v>1068</v>
      </c>
      <c r="I16" s="14">
        <f>SUM(E$4:E16)</f>
        <v>532</v>
      </c>
      <c r="J16" s="14">
        <f>SUM(F$4:F16)</f>
        <v>4804</v>
      </c>
      <c r="K16" s="16"/>
      <c r="L16" s="13">
        <v>1102016</v>
      </c>
      <c r="M16" s="13" t="s">
        <v>165</v>
      </c>
      <c r="N16" s="13">
        <v>4</v>
      </c>
      <c r="O16" s="13">
        <f>INDEX(新属性投放!$L$6:$L$10,专属武器!N16)</f>
        <v>1.3</v>
      </c>
      <c r="P16" s="13">
        <f>INDEX(职业属性倾向!H:H,MATCH(专属武器!L16,职业属性倾向!A:A,0))</f>
        <v>0.5</v>
      </c>
      <c r="Q16" s="13">
        <f>INDEX(职业属性倾向!J:J,MATCH(专属武器!L16,职业属性倾向!A:A,0))</f>
        <v>1</v>
      </c>
      <c r="R16" s="14">
        <f t="shared" si="1"/>
        <v>23908</v>
      </c>
      <c r="S16" s="14">
        <f t="shared" si="2"/>
        <v>23894</v>
      </c>
      <c r="T16" s="14">
        <f t="shared" si="3"/>
        <v>215221</v>
      </c>
    </row>
    <row r="17" spans="1:20" ht="16.5" x14ac:dyDescent="0.2">
      <c r="A17" s="13">
        <v>14</v>
      </c>
      <c r="B17" s="13">
        <v>9</v>
      </c>
      <c r="C17" s="42">
        <v>0.3</v>
      </c>
      <c r="D17" s="14">
        <f>INT(INDEX(新属性投放!$D$42:$D$62,专属武器!$B17)*专属武器!$C17*$B$2)</f>
        <v>126</v>
      </c>
      <c r="E17" s="14">
        <f>INT(INDEX(新属性投放!$E$42:$E$62,专属武器!$B17)*专属武器!$C17*$B$2)</f>
        <v>63</v>
      </c>
      <c r="F17" s="14">
        <f>INT(INDEX(新属性投放!$F$42:$F$62,专属武器!$B17)*专属武器!$C17*$B$2)</f>
        <v>567</v>
      </c>
      <c r="G17" s="14">
        <f t="shared" si="0"/>
        <v>3.2500000000000001E-2</v>
      </c>
      <c r="H17" s="14">
        <f>SUM(D$4:D17)</f>
        <v>1194</v>
      </c>
      <c r="I17" s="14">
        <f>SUM(E$4:E17)</f>
        <v>595</v>
      </c>
      <c r="J17" s="14">
        <f>SUM(F$4:F17)</f>
        <v>5371</v>
      </c>
      <c r="K17" s="16"/>
      <c r="L17" s="13">
        <v>1102017</v>
      </c>
      <c r="M17" s="13" t="s">
        <v>166</v>
      </c>
      <c r="N17" s="13">
        <v>3</v>
      </c>
      <c r="O17" s="13">
        <f>INDEX(新属性投放!$L$6:$L$10,专属武器!N17)</f>
        <v>1.1499999999999999</v>
      </c>
      <c r="P17" s="13">
        <f>INDEX(职业属性倾向!H:H,MATCH(专属武器!L17,职业属性倾向!A:A,0))</f>
        <v>2</v>
      </c>
      <c r="Q17" s="13">
        <f>INDEX(职业属性倾向!J:J,MATCH(专属武器!L17,职业属性倾向!A:A,0))</f>
        <v>0.5</v>
      </c>
      <c r="R17" s="14">
        <f t="shared" si="1"/>
        <v>84598</v>
      </c>
      <c r="S17" s="14">
        <f t="shared" si="2"/>
        <v>21137</v>
      </c>
      <c r="T17" s="14">
        <f t="shared" si="3"/>
        <v>95194</v>
      </c>
    </row>
    <row r="18" spans="1:20" ht="16.5" x14ac:dyDescent="0.2">
      <c r="A18" s="13">
        <v>15</v>
      </c>
      <c r="B18" s="13">
        <v>9</v>
      </c>
      <c r="C18" s="42">
        <v>0.4</v>
      </c>
      <c r="D18" s="14">
        <f>INT(INDEX(新属性投放!$D$42:$D$62,专属武器!$B18)*专属武器!$C18*$B$2)</f>
        <v>168</v>
      </c>
      <c r="E18" s="14">
        <f>INT(INDEX(新属性投放!$E$42:$E$62,专属武器!$B18)*专属武器!$C18*$B$2)</f>
        <v>84</v>
      </c>
      <c r="F18" s="14">
        <f>INT(INDEX(新属性投放!$F$42:$F$62,专属武器!$B18)*专属武器!$C18*$B$2)</f>
        <v>756</v>
      </c>
      <c r="G18" s="14">
        <f t="shared" si="0"/>
        <v>3.6999999999999998E-2</v>
      </c>
      <c r="H18" s="14">
        <f>SUM(D$4:D18)</f>
        <v>1362</v>
      </c>
      <c r="I18" s="14">
        <f>SUM(E$4:E18)</f>
        <v>679</v>
      </c>
      <c r="J18" s="14">
        <f>SUM(F$4:F18)</f>
        <v>6127</v>
      </c>
      <c r="K18" s="16"/>
      <c r="L18" s="13">
        <v>1102020</v>
      </c>
      <c r="M18" s="13" t="s">
        <v>169</v>
      </c>
      <c r="N18" s="13">
        <v>3</v>
      </c>
      <c r="O18" s="13">
        <f>INDEX(新属性投放!$L$6:$L$10,专属武器!N18)</f>
        <v>1.1499999999999999</v>
      </c>
      <c r="P18" s="13">
        <f>INDEX(职业属性倾向!H:H,MATCH(专属武器!L18,职业属性倾向!A:A,0))</f>
        <v>2</v>
      </c>
      <c r="Q18" s="13">
        <f>INDEX(职业属性倾向!J:J,MATCH(专属武器!L18,职业属性倾向!A:A,0))</f>
        <v>0.5</v>
      </c>
      <c r="R18" s="14">
        <f>INT(H$2*$O18*P18)</f>
        <v>84598</v>
      </c>
      <c r="S18" s="14">
        <f>INT(I$2*$O18)</f>
        <v>21137</v>
      </c>
      <c r="T18" s="14">
        <f>INT(J$2*$O18*Q18)</f>
        <v>95194</v>
      </c>
    </row>
    <row r="19" spans="1:20" ht="16.5" x14ac:dyDescent="0.2">
      <c r="A19" s="13">
        <v>16</v>
      </c>
      <c r="B19" s="13">
        <v>10</v>
      </c>
      <c r="C19" s="42">
        <v>0.3</v>
      </c>
      <c r="D19" s="14">
        <f>INT(INDEX(新属性投放!$D$42:$D$62,专属武器!$B19)*专属武器!$C19*$B$2)</f>
        <v>164</v>
      </c>
      <c r="E19" s="14">
        <f>INT(INDEX(新属性投放!$E$42:$E$62,专属武器!$B19)*专属武器!$C19*$B$2)</f>
        <v>82</v>
      </c>
      <c r="F19" s="14">
        <f>INT(INDEX(新属性投放!$F$42:$F$62,专属武器!$B19)*专属武器!$C19*$B$2)</f>
        <v>741</v>
      </c>
      <c r="G19" s="14">
        <f t="shared" si="0"/>
        <v>4.1500000000000002E-2</v>
      </c>
      <c r="H19" s="14">
        <f>SUM(D$4:D19)</f>
        <v>1526</v>
      </c>
      <c r="I19" s="14">
        <f>SUM(E$4:E19)</f>
        <v>761</v>
      </c>
      <c r="J19" s="14">
        <f>SUM(F$4:F19)</f>
        <v>6868</v>
      </c>
      <c r="K19" s="16"/>
      <c r="L19" s="13">
        <v>1102021</v>
      </c>
      <c r="M19" s="13" t="s">
        <v>170</v>
      </c>
      <c r="N19" s="13">
        <v>3</v>
      </c>
      <c r="O19" s="13">
        <f>INDEX(新属性投放!$L$6:$L$10,专属武器!N19)</f>
        <v>1.1499999999999999</v>
      </c>
      <c r="P19" s="13">
        <f>INDEX(职业属性倾向!H:H,MATCH(专属武器!L19,职业属性倾向!A:A,0))</f>
        <v>1.5</v>
      </c>
      <c r="Q19" s="13">
        <f>INDEX(职业属性倾向!J:J,MATCH(专属武器!L19,职业属性倾向!A:A,0))</f>
        <v>0.75</v>
      </c>
      <c r="R19" s="14">
        <f>INT(H$2*$O19*P19)</f>
        <v>63448</v>
      </c>
      <c r="S19" s="14">
        <f>INT(I$2*$O19)</f>
        <v>21137</v>
      </c>
      <c r="T19" s="14">
        <f>INT(J$2*$O19*Q19)</f>
        <v>142791</v>
      </c>
    </row>
    <row r="20" spans="1:20" ht="16.5" x14ac:dyDescent="0.2">
      <c r="A20" s="13">
        <v>17</v>
      </c>
      <c r="B20" s="13">
        <v>10</v>
      </c>
      <c r="C20" s="42">
        <v>0.3</v>
      </c>
      <c r="D20" s="14">
        <f>INT(INDEX(新属性投放!$D$42:$D$62,专属武器!$B20)*专属武器!$C20*$B$2)</f>
        <v>164</v>
      </c>
      <c r="E20" s="14">
        <f>INT(INDEX(新属性投放!$E$42:$E$62,专属武器!$B20)*专属武器!$C20*$B$2)</f>
        <v>82</v>
      </c>
      <c r="F20" s="14">
        <f>INT(INDEX(新属性投放!$F$42:$F$62,专属武器!$B20)*专属武器!$C20*$B$2)</f>
        <v>741</v>
      </c>
      <c r="G20" s="14">
        <f t="shared" si="0"/>
        <v>4.5900000000000003E-2</v>
      </c>
      <c r="H20" s="14">
        <f>SUM(D$4:D20)</f>
        <v>1690</v>
      </c>
      <c r="I20" s="14">
        <f>SUM(E$4:E20)</f>
        <v>843</v>
      </c>
      <c r="J20" s="14">
        <f>SUM(F$4:F20)</f>
        <v>7609</v>
      </c>
      <c r="K20" s="16"/>
    </row>
    <row r="21" spans="1:20" ht="16.5" x14ac:dyDescent="0.2">
      <c r="A21" s="13">
        <v>18</v>
      </c>
      <c r="B21" s="13">
        <v>10</v>
      </c>
      <c r="C21" s="42">
        <v>0.4</v>
      </c>
      <c r="D21" s="14">
        <f>INT(INDEX(新属性投放!$D$42:$D$62,专属武器!$B21)*专属武器!$C21*$B$2)</f>
        <v>219</v>
      </c>
      <c r="E21" s="14">
        <f>INT(INDEX(新属性投放!$E$42:$E$62,专属武器!$B21)*专属武器!$C21*$B$2)</f>
        <v>109</v>
      </c>
      <c r="F21" s="14">
        <f>INT(INDEX(新属性投放!$F$42:$F$62,专属武器!$B21)*专属武器!$C21*$B$2)</f>
        <v>988</v>
      </c>
      <c r="G21" s="14">
        <f t="shared" si="0"/>
        <v>5.1900000000000002E-2</v>
      </c>
      <c r="H21" s="14">
        <f>SUM(D$4:D21)</f>
        <v>1909</v>
      </c>
      <c r="I21" s="14">
        <f>SUM(E$4:E21)</f>
        <v>952</v>
      </c>
      <c r="J21" s="14">
        <f>SUM(F$4:F21)</f>
        <v>8597</v>
      </c>
      <c r="K21" s="16"/>
    </row>
    <row r="22" spans="1:20" ht="16.5" x14ac:dyDescent="0.2">
      <c r="A22" s="13">
        <v>19</v>
      </c>
      <c r="B22" s="13">
        <v>11</v>
      </c>
      <c r="C22" s="42">
        <v>0.3</v>
      </c>
      <c r="D22" s="14">
        <f>INT(INDEX(新属性投放!$D$42:$D$62,专属武器!$B22)*专属武器!$C22*$B$2)</f>
        <v>217</v>
      </c>
      <c r="E22" s="14">
        <f>INT(INDEX(新属性投放!$E$42:$E$62,专属武器!$B22)*专属武器!$C22*$B$2)</f>
        <v>108</v>
      </c>
      <c r="F22" s="14">
        <f>INT(INDEX(新属性投放!$F$42:$F$62,专属武器!$B22)*专属武器!$C22*$B$2)</f>
        <v>976</v>
      </c>
      <c r="G22" s="14">
        <f t="shared" si="0"/>
        <v>5.7799999999999997E-2</v>
      </c>
      <c r="H22" s="14">
        <f>SUM(D$4:D22)</f>
        <v>2126</v>
      </c>
      <c r="I22" s="14">
        <f>SUM(E$4:E22)</f>
        <v>1060</v>
      </c>
      <c r="J22" s="14">
        <f>SUM(F$4:F22)</f>
        <v>9573</v>
      </c>
      <c r="K22" s="16"/>
    </row>
    <row r="23" spans="1:20" ht="16.5" x14ac:dyDescent="0.2">
      <c r="A23" s="13">
        <v>20</v>
      </c>
      <c r="B23" s="13">
        <v>11</v>
      </c>
      <c r="C23" s="42">
        <v>0.3</v>
      </c>
      <c r="D23" s="14">
        <f>INT(INDEX(新属性投放!$D$42:$D$62,专属武器!$B23)*专属武器!$C23*$B$2)</f>
        <v>217</v>
      </c>
      <c r="E23" s="14">
        <f>INT(INDEX(新属性投放!$E$42:$E$62,专属武器!$B23)*专属武器!$C23*$B$2)</f>
        <v>108</v>
      </c>
      <c r="F23" s="14">
        <f>INT(INDEX(新属性投放!$F$42:$F$62,专属武器!$B23)*专属武器!$C23*$B$2)</f>
        <v>976</v>
      </c>
      <c r="G23" s="14">
        <f t="shared" si="0"/>
        <v>6.3700000000000007E-2</v>
      </c>
      <c r="H23" s="14">
        <f>SUM(D$4:D23)</f>
        <v>2343</v>
      </c>
      <c r="I23" s="14">
        <f>SUM(E$4:E23)</f>
        <v>1168</v>
      </c>
      <c r="J23" s="14">
        <f>SUM(F$4:F23)</f>
        <v>10549</v>
      </c>
      <c r="K23" s="16"/>
    </row>
    <row r="24" spans="1:20" ht="16.5" x14ac:dyDescent="0.2">
      <c r="A24" s="13">
        <v>21</v>
      </c>
      <c r="B24" s="13">
        <v>11</v>
      </c>
      <c r="C24" s="42">
        <v>0.4</v>
      </c>
      <c r="D24" s="14">
        <f>INT(INDEX(新属性投放!$D$42:$D$62,专属武器!$B24)*专属武器!$C24*$B$2)</f>
        <v>289</v>
      </c>
      <c r="E24" s="14">
        <f>INT(INDEX(新属性投放!$E$42:$E$62,专属武器!$B24)*专属武器!$C24*$B$2)</f>
        <v>144</v>
      </c>
      <c r="F24" s="14">
        <f>INT(INDEX(新属性投放!$F$42:$F$62,专属武器!$B24)*专属武器!$C24*$B$2)</f>
        <v>1302</v>
      </c>
      <c r="G24" s="14">
        <f t="shared" si="0"/>
        <v>7.1599999999999997E-2</v>
      </c>
      <c r="H24" s="14">
        <f>SUM(D$4:D24)</f>
        <v>2632</v>
      </c>
      <c r="I24" s="14">
        <f>SUM(E$4:E24)</f>
        <v>1312</v>
      </c>
      <c r="J24" s="14">
        <f>SUM(F$4:F24)</f>
        <v>11851</v>
      </c>
      <c r="K24" s="16"/>
    </row>
    <row r="25" spans="1:20" ht="16.5" x14ac:dyDescent="0.2">
      <c r="A25" s="13">
        <v>22</v>
      </c>
      <c r="B25" s="13">
        <v>12</v>
      </c>
      <c r="C25" s="42">
        <v>0.3</v>
      </c>
      <c r="D25" s="14">
        <f>INT(INDEX(新属性投放!$D$42:$D$62,专属武器!$B25)*专属武器!$C25*$B$2)</f>
        <v>284</v>
      </c>
      <c r="E25" s="14">
        <f>INT(INDEX(新属性投放!$E$42:$E$62,专属武器!$B25)*专属武器!$C25*$B$2)</f>
        <v>142</v>
      </c>
      <c r="F25" s="14">
        <f>INT(INDEX(新属性投放!$F$42:$F$62,专属武器!$B25)*专属武器!$C25*$B$2)</f>
        <v>1281</v>
      </c>
      <c r="G25" s="14">
        <f t="shared" si="0"/>
        <v>7.9299999999999995E-2</v>
      </c>
      <c r="H25" s="14">
        <f>SUM(D$4:D25)</f>
        <v>2916</v>
      </c>
      <c r="I25" s="14">
        <f>SUM(E$4:E25)</f>
        <v>1454</v>
      </c>
      <c r="J25" s="14">
        <f>SUM(F$4:F25)</f>
        <v>13132</v>
      </c>
      <c r="K25" s="16"/>
    </row>
    <row r="26" spans="1:20" ht="16.5" x14ac:dyDescent="0.2">
      <c r="A26" s="13">
        <v>23</v>
      </c>
      <c r="B26" s="13">
        <v>12</v>
      </c>
      <c r="C26" s="42">
        <v>0.3</v>
      </c>
      <c r="D26" s="14">
        <f>INT(INDEX(新属性投放!$D$42:$D$62,专属武器!$B26)*专属武器!$C26*$B$2)</f>
        <v>284</v>
      </c>
      <c r="E26" s="14">
        <f>INT(INDEX(新属性投放!$E$42:$E$62,专属武器!$B26)*专属武器!$C26*$B$2)</f>
        <v>142</v>
      </c>
      <c r="F26" s="14">
        <f>INT(INDEX(新属性投放!$F$42:$F$62,专属武器!$B26)*专属武器!$C26*$B$2)</f>
        <v>1281</v>
      </c>
      <c r="G26" s="14">
        <f t="shared" si="0"/>
        <v>8.6999999999999994E-2</v>
      </c>
      <c r="H26" s="14">
        <f>SUM(D$4:D26)</f>
        <v>3200</v>
      </c>
      <c r="I26" s="14">
        <f>SUM(E$4:E26)</f>
        <v>1596</v>
      </c>
      <c r="J26" s="14">
        <f>SUM(F$4:F26)</f>
        <v>14413</v>
      </c>
      <c r="K26" s="16"/>
    </row>
    <row r="27" spans="1:20" ht="16.5" x14ac:dyDescent="0.2">
      <c r="A27" s="13">
        <v>24</v>
      </c>
      <c r="B27" s="13">
        <v>12</v>
      </c>
      <c r="C27" s="42">
        <v>0.4</v>
      </c>
      <c r="D27" s="14">
        <f>INT(INDEX(新属性投放!$D$42:$D$62,专属武器!$B27)*专属武器!$C27*$B$2)</f>
        <v>379</v>
      </c>
      <c r="E27" s="14">
        <f>INT(INDEX(新属性投放!$E$42:$E$62,专属武器!$B27)*专属武器!$C27*$B$2)</f>
        <v>189</v>
      </c>
      <c r="F27" s="14">
        <f>INT(INDEX(新属性投放!$F$42:$F$62,专属武器!$B27)*专属武器!$C27*$B$2)</f>
        <v>1708</v>
      </c>
      <c r="G27" s="14">
        <f t="shared" si="0"/>
        <v>9.7299999999999998E-2</v>
      </c>
      <c r="H27" s="14">
        <f>SUM(D$4:D27)</f>
        <v>3579</v>
      </c>
      <c r="I27" s="14">
        <f>SUM(E$4:E27)</f>
        <v>1785</v>
      </c>
      <c r="J27" s="14">
        <f>SUM(F$4:F27)</f>
        <v>16121</v>
      </c>
      <c r="K27" s="16"/>
    </row>
    <row r="28" spans="1:20" ht="16.5" x14ac:dyDescent="0.2">
      <c r="A28" s="13">
        <v>25</v>
      </c>
      <c r="B28" s="13">
        <v>13</v>
      </c>
      <c r="C28" s="42">
        <v>0.3</v>
      </c>
      <c r="D28" s="14">
        <f>INT(INDEX(新属性投放!$D$42:$D$62,专属武器!$B28)*专属武器!$C28*$B$2)</f>
        <v>373</v>
      </c>
      <c r="E28" s="14">
        <f>INT(INDEX(新属性投放!$E$42:$E$62,专属武器!$B28)*专属武器!$C28*$B$2)</f>
        <v>186</v>
      </c>
      <c r="F28" s="14">
        <f>INT(INDEX(新属性投放!$F$42:$F$62,专属武器!$B28)*专属武器!$C28*$B$2)</f>
        <v>1682</v>
      </c>
      <c r="G28" s="14">
        <f t="shared" si="0"/>
        <v>0.1074</v>
      </c>
      <c r="H28" s="14">
        <f>SUM(D$4:D28)</f>
        <v>3952</v>
      </c>
      <c r="I28" s="14">
        <f>SUM(E$4:E28)</f>
        <v>1971</v>
      </c>
      <c r="J28" s="14">
        <f>SUM(F$4:F28)</f>
        <v>17803</v>
      </c>
      <c r="K28" s="16"/>
    </row>
    <row r="29" spans="1:20" ht="16.5" x14ac:dyDescent="0.2">
      <c r="A29" s="13">
        <v>26</v>
      </c>
      <c r="B29" s="13">
        <v>13</v>
      </c>
      <c r="C29" s="42">
        <v>0.3</v>
      </c>
      <c r="D29" s="14">
        <f>INT(INDEX(新属性投放!$D$42:$D$62,专属武器!$B29)*专属武器!$C29*$B$2)</f>
        <v>373</v>
      </c>
      <c r="E29" s="14">
        <f>INT(INDEX(新属性投放!$E$42:$E$62,专属武器!$B29)*专属武器!$C29*$B$2)</f>
        <v>186</v>
      </c>
      <c r="F29" s="14">
        <f>INT(INDEX(新属性投放!$F$42:$F$62,专属武器!$B29)*专属武器!$C29*$B$2)</f>
        <v>1682</v>
      </c>
      <c r="G29" s="14">
        <f t="shared" si="0"/>
        <v>0.1176</v>
      </c>
      <c r="H29" s="14">
        <f>SUM(D$4:D29)</f>
        <v>4325</v>
      </c>
      <c r="I29" s="14">
        <f>SUM(E$4:E29)</f>
        <v>2157</v>
      </c>
      <c r="J29" s="14">
        <f>SUM(F$4:F29)</f>
        <v>19485</v>
      </c>
      <c r="K29" s="16"/>
    </row>
    <row r="30" spans="1:20" ht="16.5" x14ac:dyDescent="0.2">
      <c r="A30" s="13">
        <v>27</v>
      </c>
      <c r="B30" s="13">
        <v>13</v>
      </c>
      <c r="C30" s="42">
        <v>0.4</v>
      </c>
      <c r="D30" s="14">
        <f>INT(INDEX(新属性投放!$D$42:$D$62,专属武器!$B30)*专属武器!$C30*$B$2)</f>
        <v>498</v>
      </c>
      <c r="E30" s="14">
        <f>INT(INDEX(新属性投放!$E$42:$E$62,专属武器!$B30)*专属武器!$C30*$B$2)</f>
        <v>249</v>
      </c>
      <c r="F30" s="14">
        <f>INT(INDEX(新属性投放!$F$42:$F$62,专属武器!$B30)*专属武器!$C30*$B$2)</f>
        <v>2242</v>
      </c>
      <c r="G30" s="14">
        <f t="shared" si="0"/>
        <v>0.13109999999999999</v>
      </c>
      <c r="H30" s="14">
        <f>SUM(D$4:D30)</f>
        <v>4823</v>
      </c>
      <c r="I30" s="14">
        <f>SUM(E$4:E30)</f>
        <v>2406</v>
      </c>
      <c r="J30" s="14">
        <f>SUM(F$4:F30)</f>
        <v>21727</v>
      </c>
      <c r="K30" s="16"/>
    </row>
    <row r="31" spans="1:20" ht="16.5" x14ac:dyDescent="0.2">
      <c r="A31" s="13">
        <v>28</v>
      </c>
      <c r="B31" s="13">
        <v>14</v>
      </c>
      <c r="C31" s="42">
        <v>0.3</v>
      </c>
      <c r="D31" s="14">
        <f>INT(INDEX(新属性投放!$D$42:$D$62,专属武器!$B31)*专属武器!$C31*$B$2)</f>
        <v>490</v>
      </c>
      <c r="E31" s="14">
        <f>INT(INDEX(新属性投放!$E$42:$E$62,专属武器!$B31)*专属武器!$C31*$B$2)</f>
        <v>245</v>
      </c>
      <c r="F31" s="14">
        <f>INT(INDEX(新属性投放!$F$42:$F$62,专属武器!$B31)*专属武器!$C31*$B$2)</f>
        <v>2207</v>
      </c>
      <c r="G31" s="14">
        <f t="shared" si="0"/>
        <v>0.1444</v>
      </c>
      <c r="H31" s="14">
        <f>SUM(D$4:D31)</f>
        <v>5313</v>
      </c>
      <c r="I31" s="14">
        <f>SUM(E$4:E31)</f>
        <v>2651</v>
      </c>
      <c r="J31" s="14">
        <f>SUM(F$4:F31)</f>
        <v>23934</v>
      </c>
      <c r="K31" s="16"/>
    </row>
    <row r="32" spans="1:20" ht="16.5" x14ac:dyDescent="0.2">
      <c r="A32" s="13">
        <v>29</v>
      </c>
      <c r="B32" s="13">
        <v>14</v>
      </c>
      <c r="C32" s="42">
        <v>0.3</v>
      </c>
      <c r="D32" s="14">
        <f>INT(INDEX(新属性投放!$D$42:$D$62,专属武器!$B32)*专属武器!$C32*$B$2)</f>
        <v>490</v>
      </c>
      <c r="E32" s="14">
        <f>INT(INDEX(新属性投放!$E$42:$E$62,专属武器!$B32)*专属武器!$C32*$B$2)</f>
        <v>245</v>
      </c>
      <c r="F32" s="14">
        <f>INT(INDEX(新属性投放!$F$42:$F$62,专属武器!$B32)*专属武器!$C32*$B$2)</f>
        <v>2207</v>
      </c>
      <c r="G32" s="14">
        <f t="shared" si="0"/>
        <v>0.1578</v>
      </c>
      <c r="H32" s="14">
        <f>SUM(D$4:D32)</f>
        <v>5803</v>
      </c>
      <c r="I32" s="14">
        <f>SUM(E$4:E32)</f>
        <v>2896</v>
      </c>
      <c r="J32" s="14">
        <f>SUM(F$4:F32)</f>
        <v>26141</v>
      </c>
      <c r="K32" s="16"/>
    </row>
    <row r="33" spans="1:11" ht="16.5" x14ac:dyDescent="0.2">
      <c r="A33" s="13">
        <v>30</v>
      </c>
      <c r="B33" s="13">
        <v>14</v>
      </c>
      <c r="C33" s="42">
        <v>0.4</v>
      </c>
      <c r="D33" s="14">
        <f>INT(INDEX(新属性投放!$D$42:$D$62,专属武器!$B33)*专属武器!$C33*$B$2)</f>
        <v>654</v>
      </c>
      <c r="E33" s="14">
        <f>INT(INDEX(新属性投放!$E$42:$E$62,专属武器!$B33)*专属武器!$C33*$B$2)</f>
        <v>327</v>
      </c>
      <c r="F33" s="14">
        <f>INT(INDEX(新属性投放!$F$42:$F$62,专属武器!$B33)*专属武器!$C33*$B$2)</f>
        <v>2942</v>
      </c>
      <c r="G33" s="14">
        <f t="shared" si="0"/>
        <v>0.17549999999999999</v>
      </c>
      <c r="H33" s="14">
        <f>SUM(D$4:D33)</f>
        <v>6457</v>
      </c>
      <c r="I33" s="14">
        <f>SUM(E$4:E33)</f>
        <v>3223</v>
      </c>
      <c r="J33" s="14">
        <f>SUM(F$4:F33)</f>
        <v>29083</v>
      </c>
      <c r="K33" s="16"/>
    </row>
    <row r="34" spans="1:11" ht="16.5" x14ac:dyDescent="0.2">
      <c r="A34" s="13">
        <v>31</v>
      </c>
      <c r="B34" s="13">
        <v>15</v>
      </c>
      <c r="C34" s="42">
        <v>0.3</v>
      </c>
      <c r="D34" s="14">
        <f>INT(INDEX(新属性投放!$D$42:$D$62,专属武器!$B34)*专属武器!$C34*$B$2)</f>
        <v>643</v>
      </c>
      <c r="E34" s="14">
        <f>INT(INDEX(新属性投放!$E$42:$E$62,专属武器!$B34)*专属武器!$C34*$B$2)</f>
        <v>321</v>
      </c>
      <c r="F34" s="14">
        <f>INT(INDEX(新属性投放!$F$42:$F$62,专属武器!$B34)*专属武器!$C34*$B$2)</f>
        <v>2895</v>
      </c>
      <c r="G34" s="14">
        <f t="shared" si="0"/>
        <v>0.193</v>
      </c>
      <c r="H34" s="14">
        <f>SUM(D$4:D34)</f>
        <v>7100</v>
      </c>
      <c r="I34" s="14">
        <f>SUM(E$4:E34)</f>
        <v>3544</v>
      </c>
      <c r="J34" s="14">
        <f>SUM(F$4:F34)</f>
        <v>31978</v>
      </c>
      <c r="K34" s="16"/>
    </row>
    <row r="35" spans="1:11" ht="16.5" x14ac:dyDescent="0.2">
      <c r="A35" s="13">
        <v>32</v>
      </c>
      <c r="B35" s="13">
        <v>15</v>
      </c>
      <c r="C35" s="42">
        <v>0.3</v>
      </c>
      <c r="D35" s="14">
        <f>INT(INDEX(新属性投放!$D$42:$D$62,专属武器!$B35)*专属武器!$C35*$B$2)</f>
        <v>643</v>
      </c>
      <c r="E35" s="14">
        <f>INT(INDEX(新属性投放!$E$42:$E$62,专属武器!$B35)*专属武器!$C35*$B$2)</f>
        <v>321</v>
      </c>
      <c r="F35" s="14">
        <f>INT(INDEX(新属性投放!$F$42:$F$62,专属武器!$B35)*专属武器!$C35*$B$2)</f>
        <v>2895</v>
      </c>
      <c r="G35" s="14">
        <f t="shared" si="0"/>
        <v>0.21049999999999999</v>
      </c>
      <c r="H35" s="14">
        <f>SUM(D$4:D35)</f>
        <v>7743</v>
      </c>
      <c r="I35" s="14">
        <f>SUM(E$4:E35)</f>
        <v>3865</v>
      </c>
      <c r="J35" s="14">
        <f>SUM(F$4:F35)</f>
        <v>34873</v>
      </c>
      <c r="K35" s="16"/>
    </row>
    <row r="36" spans="1:11" ht="16.5" x14ac:dyDescent="0.2">
      <c r="A36" s="13">
        <v>33</v>
      </c>
      <c r="B36" s="13">
        <v>15</v>
      </c>
      <c r="C36" s="42">
        <v>0.4</v>
      </c>
      <c r="D36" s="14">
        <f>INT(INDEX(新属性投放!$D$42:$D$62,专属武器!$B36)*专属武器!$C36*$B$2)</f>
        <v>858</v>
      </c>
      <c r="E36" s="14">
        <f>INT(INDEX(新属性投放!$E$42:$E$62,专属武器!$B36)*专属武器!$C36*$B$2)</f>
        <v>429</v>
      </c>
      <c r="F36" s="14">
        <f>INT(INDEX(新属性投放!$F$42:$F$62,专属武器!$B36)*专属武器!$C36*$B$2)</f>
        <v>3861</v>
      </c>
      <c r="G36" s="14">
        <f t="shared" si="0"/>
        <v>0.23380000000000001</v>
      </c>
      <c r="H36" s="14">
        <f>SUM(D$4:D36)</f>
        <v>8601</v>
      </c>
      <c r="I36" s="14">
        <f>SUM(E$4:E36)</f>
        <v>4294</v>
      </c>
      <c r="J36" s="14">
        <f>SUM(F$4:F36)</f>
        <v>38734</v>
      </c>
      <c r="K36" s="16"/>
    </row>
    <row r="37" spans="1:11" ht="16.5" x14ac:dyDescent="0.2">
      <c r="A37" s="13">
        <v>34</v>
      </c>
      <c r="B37" s="13">
        <v>16</v>
      </c>
      <c r="C37" s="42">
        <v>0.3</v>
      </c>
      <c r="D37" s="14">
        <f>INT(INDEX(新属性投放!$D$42:$D$62,专属武器!$B37)*专属武器!$C37*$B$2)</f>
        <v>845</v>
      </c>
      <c r="E37" s="14">
        <f>INT(INDEX(新属性投放!$E$42:$E$62,专属武器!$B37)*专属武器!$C37*$B$2)</f>
        <v>422</v>
      </c>
      <c r="F37" s="14">
        <f>INT(INDEX(新属性投放!$F$42:$F$62,专属武器!$B37)*专属武器!$C37*$B$2)</f>
        <v>3803</v>
      </c>
      <c r="G37" s="14">
        <f t="shared" si="0"/>
        <v>0.25679999999999997</v>
      </c>
      <c r="H37" s="14">
        <f>SUM(D$4:D37)</f>
        <v>9446</v>
      </c>
      <c r="I37" s="14">
        <f>SUM(E$4:E37)</f>
        <v>4716</v>
      </c>
      <c r="J37" s="14">
        <f>SUM(F$4:F37)</f>
        <v>42537</v>
      </c>
      <c r="K37" s="16"/>
    </row>
    <row r="38" spans="1:11" ht="16.5" x14ac:dyDescent="0.2">
      <c r="A38" s="13">
        <v>35</v>
      </c>
      <c r="B38" s="13">
        <v>16</v>
      </c>
      <c r="C38" s="42">
        <v>0.3</v>
      </c>
      <c r="D38" s="14">
        <f>INT(INDEX(新属性投放!$D$42:$D$62,专属武器!$B38)*专属武器!$C38*$B$2)</f>
        <v>845</v>
      </c>
      <c r="E38" s="14">
        <f>INT(INDEX(新属性投放!$E$42:$E$62,专属武器!$B38)*专属武器!$C38*$B$2)</f>
        <v>422</v>
      </c>
      <c r="F38" s="14">
        <f>INT(INDEX(新属性投放!$F$42:$F$62,专属武器!$B38)*专属武器!$C38*$B$2)</f>
        <v>3803</v>
      </c>
      <c r="G38" s="14">
        <f t="shared" si="0"/>
        <v>0.27979999999999999</v>
      </c>
      <c r="H38" s="14">
        <f>SUM(D$4:D38)</f>
        <v>10291</v>
      </c>
      <c r="I38" s="14">
        <f>SUM(E$4:E38)</f>
        <v>5138</v>
      </c>
      <c r="J38" s="14">
        <f>SUM(F$4:F38)</f>
        <v>46340</v>
      </c>
      <c r="K38" s="16"/>
    </row>
    <row r="39" spans="1:11" ht="16.5" x14ac:dyDescent="0.2">
      <c r="A39" s="13">
        <v>36</v>
      </c>
      <c r="B39" s="13">
        <v>16</v>
      </c>
      <c r="C39" s="42">
        <v>0.4</v>
      </c>
      <c r="D39" s="14">
        <f>INT(INDEX(新属性投放!$D$42:$D$62,专属武器!$B39)*专属武器!$C39*$B$2)</f>
        <v>1126</v>
      </c>
      <c r="E39" s="14">
        <f>INT(INDEX(新属性投放!$E$42:$E$62,专属武器!$B39)*专属武器!$C39*$B$2)</f>
        <v>563</v>
      </c>
      <c r="F39" s="14">
        <f>INT(INDEX(新属性投放!$F$42:$F$62,专属武器!$B39)*专属武器!$C39*$B$2)</f>
        <v>5070</v>
      </c>
      <c r="G39" s="14">
        <f t="shared" si="0"/>
        <v>0.31040000000000001</v>
      </c>
      <c r="H39" s="14">
        <f>SUM(D$4:D39)</f>
        <v>11417</v>
      </c>
      <c r="I39" s="14">
        <f>SUM(E$4:E39)</f>
        <v>5701</v>
      </c>
      <c r="J39" s="14">
        <f>SUM(F$4:F39)</f>
        <v>51410</v>
      </c>
      <c r="K39" s="16"/>
    </row>
    <row r="40" spans="1:11" ht="16.5" x14ac:dyDescent="0.2">
      <c r="A40" s="13">
        <v>37</v>
      </c>
      <c r="B40" s="13">
        <v>17</v>
      </c>
      <c r="C40" s="42">
        <v>0.3</v>
      </c>
      <c r="D40" s="14">
        <f>INT(INDEX(新属性投放!$D$42:$D$62,专属武器!$B40)*专属武器!$C40*$B$2)</f>
        <v>1109</v>
      </c>
      <c r="E40" s="14">
        <f>INT(INDEX(新属性投放!$E$42:$E$62,专属武器!$B40)*专属武器!$C40*$B$2)</f>
        <v>554</v>
      </c>
      <c r="F40" s="14">
        <f>INT(INDEX(新属性投放!$F$42:$F$62,专属武器!$B40)*专属武器!$C40*$B$2)</f>
        <v>4991</v>
      </c>
      <c r="G40" s="14">
        <f t="shared" si="0"/>
        <v>0.34050000000000002</v>
      </c>
      <c r="H40" s="14">
        <f>SUM(D$4:D40)</f>
        <v>12526</v>
      </c>
      <c r="I40" s="14">
        <f>SUM(E$4:E40)</f>
        <v>6255</v>
      </c>
      <c r="J40" s="14">
        <f>SUM(F$4:F40)</f>
        <v>56401</v>
      </c>
      <c r="K40" s="16"/>
    </row>
    <row r="41" spans="1:11" ht="16.5" x14ac:dyDescent="0.2">
      <c r="A41" s="13">
        <v>38</v>
      </c>
      <c r="B41" s="13">
        <v>17</v>
      </c>
      <c r="C41" s="42">
        <v>0.3</v>
      </c>
      <c r="D41" s="14">
        <f>INT(INDEX(新属性投放!$D$42:$D$62,专属武器!$B41)*专属武器!$C41*$B$2)</f>
        <v>1109</v>
      </c>
      <c r="E41" s="14">
        <f>INT(INDEX(新属性投放!$E$42:$E$62,专属武器!$B41)*专属武器!$C41*$B$2)</f>
        <v>554</v>
      </c>
      <c r="F41" s="14">
        <f>INT(INDEX(新属性投放!$F$42:$F$62,专属武器!$B41)*专属武器!$C41*$B$2)</f>
        <v>4991</v>
      </c>
      <c r="G41" s="14">
        <f t="shared" si="0"/>
        <v>0.37069999999999997</v>
      </c>
      <c r="H41" s="14">
        <f>SUM(D$4:D41)</f>
        <v>13635</v>
      </c>
      <c r="I41" s="14">
        <f>SUM(E$4:E41)</f>
        <v>6809</v>
      </c>
      <c r="J41" s="14">
        <f>SUM(F$4:F41)</f>
        <v>61392</v>
      </c>
      <c r="K41" s="16"/>
    </row>
    <row r="42" spans="1:11" ht="16.5" x14ac:dyDescent="0.2">
      <c r="A42" s="13">
        <v>39</v>
      </c>
      <c r="B42" s="13">
        <v>17</v>
      </c>
      <c r="C42" s="42">
        <v>0.4</v>
      </c>
      <c r="D42" s="14">
        <f>INT(INDEX(新属性投放!$D$42:$D$62,专属武器!$B42)*专属武器!$C42*$B$2)</f>
        <v>1479</v>
      </c>
      <c r="E42" s="14">
        <f>INT(INDEX(新属性投放!$E$42:$E$62,专属武器!$B42)*专属武器!$C42*$B$2)</f>
        <v>739</v>
      </c>
      <c r="F42" s="14">
        <f>INT(INDEX(新属性投放!$F$42:$F$62,专属武器!$B42)*专属武器!$C42*$B$2)</f>
        <v>6655</v>
      </c>
      <c r="G42" s="14">
        <f t="shared" si="0"/>
        <v>0.41089999999999999</v>
      </c>
      <c r="H42" s="14">
        <f>SUM(D$4:D42)</f>
        <v>15114</v>
      </c>
      <c r="I42" s="14">
        <f>SUM(E$4:E42)</f>
        <v>7548</v>
      </c>
      <c r="J42" s="14">
        <f>SUM(F$4:F42)</f>
        <v>68047</v>
      </c>
      <c r="K42" s="16"/>
    </row>
    <row r="43" spans="1:11" ht="16.5" x14ac:dyDescent="0.2">
      <c r="A43" s="13">
        <v>40</v>
      </c>
      <c r="B43" s="13">
        <v>18</v>
      </c>
      <c r="C43" s="42">
        <v>0.3</v>
      </c>
      <c r="D43" s="14">
        <f>INT(INDEX(新属性投放!$D$42:$D$62,专属武器!$B43)*专属武器!$C43*$B$2)</f>
        <v>1455</v>
      </c>
      <c r="E43" s="14">
        <f>INT(INDEX(新属性投放!$E$42:$E$62,专属武器!$B43)*专属武器!$C43*$B$2)</f>
        <v>727</v>
      </c>
      <c r="F43" s="14">
        <f>INT(INDEX(新属性投放!$F$42:$F$62,专属武器!$B43)*专属武器!$C43*$B$2)</f>
        <v>6549</v>
      </c>
      <c r="G43" s="14">
        <f t="shared" si="0"/>
        <v>0.45050000000000001</v>
      </c>
      <c r="H43" s="14">
        <f>SUM(D$4:D43)</f>
        <v>16569</v>
      </c>
      <c r="I43" s="14">
        <f>SUM(E$4:E43)</f>
        <v>8275</v>
      </c>
      <c r="J43" s="14">
        <f>SUM(F$4:F43)</f>
        <v>74596</v>
      </c>
      <c r="K43" s="16"/>
    </row>
    <row r="44" spans="1:11" ht="16.5" x14ac:dyDescent="0.2">
      <c r="A44" s="13">
        <v>41</v>
      </c>
      <c r="B44" s="13">
        <v>18</v>
      </c>
      <c r="C44" s="42">
        <v>0.3</v>
      </c>
      <c r="D44" s="14">
        <f>INT(INDEX(新属性投放!$D$42:$D$62,专属武器!$B44)*专属武器!$C44*$B$2)</f>
        <v>1455</v>
      </c>
      <c r="E44" s="14">
        <f>INT(INDEX(新属性投放!$E$42:$E$62,专属武器!$B44)*专属武器!$C44*$B$2)</f>
        <v>727</v>
      </c>
      <c r="F44" s="14">
        <f>INT(INDEX(新属性投放!$F$42:$F$62,专属武器!$B44)*专属武器!$C44*$B$2)</f>
        <v>6549</v>
      </c>
      <c r="G44" s="14">
        <f t="shared" si="0"/>
        <v>0.49</v>
      </c>
      <c r="H44" s="14">
        <f>SUM(D$4:D44)</f>
        <v>18024</v>
      </c>
      <c r="I44" s="14">
        <f>SUM(E$4:E44)</f>
        <v>9002</v>
      </c>
      <c r="J44" s="14">
        <f>SUM(F$4:F44)</f>
        <v>81145</v>
      </c>
      <c r="K44" s="16"/>
    </row>
    <row r="45" spans="1:11" ht="16.5" x14ac:dyDescent="0.2">
      <c r="A45" s="13">
        <v>42</v>
      </c>
      <c r="B45" s="13">
        <v>18</v>
      </c>
      <c r="C45" s="42">
        <v>0.4</v>
      </c>
      <c r="D45" s="14">
        <f>INT(INDEX(新属性投放!$D$42:$D$62,专属武器!$B45)*专属武器!$C45*$B$2)</f>
        <v>1941</v>
      </c>
      <c r="E45" s="14">
        <f>INT(INDEX(新属性投放!$E$42:$E$62,专属武器!$B45)*专属武器!$C45*$B$2)</f>
        <v>970</v>
      </c>
      <c r="F45" s="14">
        <f>INT(INDEX(新属性投放!$F$42:$F$62,专属武器!$B45)*专属武器!$C45*$B$2)</f>
        <v>8733</v>
      </c>
      <c r="G45" s="14">
        <f t="shared" si="0"/>
        <v>0.54279999999999995</v>
      </c>
      <c r="H45" s="14">
        <f>SUM(D$4:D45)</f>
        <v>19965</v>
      </c>
      <c r="I45" s="14">
        <f>SUM(E$4:E45)</f>
        <v>9972</v>
      </c>
      <c r="J45" s="14">
        <f>SUM(F$4:F45)</f>
        <v>89878</v>
      </c>
      <c r="K45" s="16"/>
    </row>
    <row r="46" spans="1:11" ht="16.5" x14ac:dyDescent="0.2">
      <c r="A46" s="13">
        <v>43</v>
      </c>
      <c r="B46" s="13">
        <v>19</v>
      </c>
      <c r="C46" s="42">
        <v>0.3</v>
      </c>
      <c r="D46" s="14">
        <f>INT(INDEX(新属性投放!$D$42:$D$62,专属武器!$B46)*专属武器!$C46*$B$2)</f>
        <v>1910</v>
      </c>
      <c r="E46" s="14">
        <f>INT(INDEX(新属性投放!$E$42:$E$62,专属武器!$B46)*专属武器!$C46*$B$2)</f>
        <v>955</v>
      </c>
      <c r="F46" s="14">
        <f>INT(INDEX(新属性投放!$F$42:$F$62,专属武器!$B46)*专属武器!$C46*$B$2)</f>
        <v>8597</v>
      </c>
      <c r="G46" s="14">
        <f t="shared" si="0"/>
        <v>0.59470000000000001</v>
      </c>
      <c r="H46" s="14">
        <f>SUM(D$4:D46)</f>
        <v>21875</v>
      </c>
      <c r="I46" s="14">
        <f>SUM(E$4:E46)</f>
        <v>10927</v>
      </c>
      <c r="J46" s="14">
        <f>SUM(F$4:F46)</f>
        <v>98475</v>
      </c>
      <c r="K46" s="16"/>
    </row>
    <row r="47" spans="1:11" ht="16.5" x14ac:dyDescent="0.2">
      <c r="A47" s="13">
        <v>44</v>
      </c>
      <c r="B47" s="13">
        <v>19</v>
      </c>
      <c r="C47" s="42">
        <v>0.3</v>
      </c>
      <c r="D47" s="14">
        <f>INT(INDEX(新属性投放!$D$42:$D$62,专属武器!$B47)*专属武器!$C47*$B$2)</f>
        <v>1910</v>
      </c>
      <c r="E47" s="14">
        <f>INT(INDEX(新属性投放!$E$42:$E$62,专属武器!$B47)*专属武器!$C47*$B$2)</f>
        <v>955</v>
      </c>
      <c r="F47" s="14">
        <f>INT(INDEX(新属性投放!$F$42:$F$62,专属武器!$B47)*专属武器!$C47*$B$2)</f>
        <v>8597</v>
      </c>
      <c r="G47" s="14">
        <f t="shared" si="0"/>
        <v>0.64659999999999995</v>
      </c>
      <c r="H47" s="14">
        <f>SUM(D$4:D47)</f>
        <v>23785</v>
      </c>
      <c r="I47" s="14">
        <f>SUM(E$4:E47)</f>
        <v>11882</v>
      </c>
      <c r="J47" s="14">
        <f>SUM(F$4:F47)</f>
        <v>107072</v>
      </c>
      <c r="K47" s="16"/>
    </row>
    <row r="48" spans="1:11" ht="16.5" x14ac:dyDescent="0.2">
      <c r="A48" s="13">
        <v>45</v>
      </c>
      <c r="B48" s="13">
        <v>19</v>
      </c>
      <c r="C48" s="42">
        <v>0.4</v>
      </c>
      <c r="D48" s="14">
        <f>INT(INDEX(新属性投放!$D$42:$D$62,专属武器!$B48)*专属武器!$C48*$B$2)</f>
        <v>2547</v>
      </c>
      <c r="E48" s="14">
        <f>INT(INDEX(新属性投放!$E$42:$E$62,专属武器!$B48)*专属武器!$C48*$B$2)</f>
        <v>1273</v>
      </c>
      <c r="F48" s="14">
        <f>INT(INDEX(新属性投放!$F$42:$F$62,专属武器!$B48)*专属武器!$C48*$B$2)</f>
        <v>11463</v>
      </c>
      <c r="G48" s="14">
        <f t="shared" si="0"/>
        <v>0.71589999999999998</v>
      </c>
      <c r="H48" s="14">
        <f>SUM(D$4:D48)</f>
        <v>26332</v>
      </c>
      <c r="I48" s="14">
        <f>SUM(E$4:E48)</f>
        <v>13155</v>
      </c>
      <c r="J48" s="14">
        <f>SUM(F$4:F48)</f>
        <v>118535</v>
      </c>
      <c r="K48" s="16"/>
    </row>
    <row r="49" spans="1:11" ht="16.5" x14ac:dyDescent="0.2">
      <c r="A49" s="13">
        <v>46</v>
      </c>
      <c r="B49" s="13">
        <v>20</v>
      </c>
      <c r="C49" s="43">
        <v>0.25</v>
      </c>
      <c r="D49" s="14">
        <f>INT(INDEX(新属性投放!$D$42:$D$62,专属武器!$B49)*专属武器!$C49*$B$2)</f>
        <v>2090</v>
      </c>
      <c r="E49" s="14">
        <f>INT(INDEX(新属性投放!$E$42:$E$62,专属武器!$B49)*专属武器!$C49*$B$2)</f>
        <v>1045</v>
      </c>
      <c r="F49" s="14">
        <f>INT(INDEX(新属性投放!$F$42:$F$62,专属武器!$B49)*专属武器!$C49*$B$2)</f>
        <v>9404</v>
      </c>
      <c r="G49" s="14">
        <f t="shared" si="0"/>
        <v>0.77270000000000005</v>
      </c>
      <c r="H49" s="14">
        <f>SUM(D$4:D49)</f>
        <v>28422</v>
      </c>
      <c r="I49" s="14">
        <f>SUM(E$4:E49)</f>
        <v>14200</v>
      </c>
      <c r="J49" s="14">
        <f>SUM(F$4:F49)</f>
        <v>127939</v>
      </c>
      <c r="K49" s="16"/>
    </row>
    <row r="50" spans="1:11" ht="16.5" x14ac:dyDescent="0.2">
      <c r="A50" s="13">
        <v>47</v>
      </c>
      <c r="B50" s="13">
        <v>20</v>
      </c>
      <c r="C50" s="43">
        <v>0.25</v>
      </c>
      <c r="D50" s="14">
        <f>INT(INDEX(新属性投放!$D$42:$D$62,专属武器!$B50)*专属武器!$C50*$B$2)</f>
        <v>2090</v>
      </c>
      <c r="E50" s="14">
        <f>INT(INDEX(新属性投放!$E$42:$E$62,专属武器!$B50)*专属武器!$C50*$B$2)</f>
        <v>1045</v>
      </c>
      <c r="F50" s="14">
        <f>INT(INDEX(新属性投放!$F$42:$F$62,专属武器!$B50)*专属武器!$C50*$B$2)</f>
        <v>9404</v>
      </c>
      <c r="G50" s="14">
        <f t="shared" si="0"/>
        <v>0.82950000000000002</v>
      </c>
      <c r="H50" s="14">
        <f>SUM(D$4:D50)</f>
        <v>30512</v>
      </c>
      <c r="I50" s="14">
        <f>SUM(E$4:E50)</f>
        <v>15245</v>
      </c>
      <c r="J50" s="14">
        <f>SUM(F$4:F50)</f>
        <v>137343</v>
      </c>
      <c r="K50" s="16"/>
    </row>
    <row r="51" spans="1:11" ht="16.5" x14ac:dyDescent="0.2">
      <c r="A51" s="13">
        <v>48</v>
      </c>
      <c r="B51" s="13">
        <v>20</v>
      </c>
      <c r="C51" s="43">
        <v>0.25</v>
      </c>
      <c r="D51" s="14">
        <f>INT(INDEX(新属性投放!$D$42:$D$62,专属武器!$B51)*专属武器!$C51*$B$2)</f>
        <v>2090</v>
      </c>
      <c r="E51" s="14">
        <f>INT(INDEX(新属性投放!$E$42:$E$62,专属武器!$B51)*专属武器!$C51*$B$2)</f>
        <v>1045</v>
      </c>
      <c r="F51" s="14">
        <f>INT(INDEX(新属性投放!$F$42:$F$62,专属武器!$B51)*专属武器!$C51*$B$2)</f>
        <v>9404</v>
      </c>
      <c r="G51" s="14">
        <f t="shared" si="0"/>
        <v>0.88639999999999997</v>
      </c>
      <c r="H51" s="14">
        <f>SUM(D$4:D51)</f>
        <v>32602</v>
      </c>
      <c r="I51" s="14">
        <f>SUM(E$4:E51)</f>
        <v>16290</v>
      </c>
      <c r="J51" s="14">
        <f>SUM(F$4:F51)</f>
        <v>146747</v>
      </c>
      <c r="K51" s="16"/>
    </row>
    <row r="52" spans="1:11" ht="16.5" x14ac:dyDescent="0.2">
      <c r="A52" s="13">
        <v>49</v>
      </c>
      <c r="B52" s="13">
        <v>20</v>
      </c>
      <c r="C52" s="43">
        <v>0.25</v>
      </c>
      <c r="D52" s="14">
        <f>INT(INDEX(新属性投放!$D$42:$D$62,专属武器!$B52)*专属武器!$C52*$B$2)</f>
        <v>2090</v>
      </c>
      <c r="E52" s="14">
        <f>INT(INDEX(新属性投放!$E$42:$E$62,专属武器!$B52)*专属武器!$C52*$B$2)</f>
        <v>1045</v>
      </c>
      <c r="F52" s="14">
        <f>INT(INDEX(新属性投放!$F$42:$F$62,专属武器!$B52)*专属武器!$C52*$B$2)</f>
        <v>9404</v>
      </c>
      <c r="G52" s="14">
        <f t="shared" si="0"/>
        <v>0.94320000000000004</v>
      </c>
      <c r="H52" s="14">
        <f>SUM(D$4:D52)</f>
        <v>34692</v>
      </c>
      <c r="I52" s="14">
        <f>SUM(E$4:E52)</f>
        <v>17335</v>
      </c>
      <c r="J52" s="14">
        <f>SUM(F$4:F52)</f>
        <v>156151</v>
      </c>
      <c r="K52" s="16"/>
    </row>
    <row r="53" spans="1:11" ht="16.5" x14ac:dyDescent="0.2">
      <c r="A53" s="13">
        <v>50</v>
      </c>
      <c r="B53" s="13">
        <v>20</v>
      </c>
      <c r="C53" s="43">
        <v>0.25</v>
      </c>
      <c r="D53" s="14">
        <f>INT(INDEX(新属性投放!$D$42:$D$62,专属武器!$B53)*专属武器!$C53*$B$2)</f>
        <v>2090</v>
      </c>
      <c r="E53" s="14">
        <f>INT(INDEX(新属性投放!$E$42:$E$62,专属武器!$B53)*专属武器!$C53*$B$2)</f>
        <v>1045</v>
      </c>
      <c r="F53" s="14">
        <f>INT(INDEX(新属性投放!$F$42:$F$62,专属武器!$B53)*专属武器!$C53*$B$2)</f>
        <v>9404</v>
      </c>
      <c r="G53" s="14">
        <f t="shared" si="0"/>
        <v>1</v>
      </c>
      <c r="H53" s="14">
        <f>SUM(D$4:D53)</f>
        <v>36782</v>
      </c>
      <c r="I53" s="14">
        <f>SUM(E$4:E53)</f>
        <v>18380</v>
      </c>
      <c r="J53" s="14">
        <f>SUM(F$4:F53)</f>
        <v>165555</v>
      </c>
      <c r="K53" s="16"/>
    </row>
    <row r="54" spans="1:1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workbookViewId="0">
      <selection activeCell="M12" sqref="M12"/>
    </sheetView>
  </sheetViews>
  <sheetFormatPr defaultRowHeight="14.25" x14ac:dyDescent="0.2"/>
  <cols>
    <col min="1" max="1" width="9" style="20"/>
    <col min="2" max="2" width="22.25" customWidth="1"/>
    <col min="3" max="3" width="16" style="20" customWidth="1"/>
    <col min="4" max="4" width="12.625" customWidth="1"/>
    <col min="5" max="5" width="16.125" style="20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0" customWidth="1"/>
    <col min="20" max="20" width="10.875" customWidth="1"/>
  </cols>
  <sheetData>
    <row r="3" spans="1:20" s="20" customFormat="1" ht="20.25" x14ac:dyDescent="0.2">
      <c r="C3" s="65" t="s">
        <v>370</v>
      </c>
      <c r="D3" s="65"/>
      <c r="E3" s="65"/>
      <c r="F3" s="65"/>
      <c r="G3" s="65" t="s">
        <v>371</v>
      </c>
      <c r="H3" s="65"/>
      <c r="I3" s="65"/>
      <c r="J3" s="65"/>
    </row>
    <row r="4" spans="1:20" ht="17.25" x14ac:dyDescent="0.2">
      <c r="A4" s="22" t="s">
        <v>367</v>
      </c>
      <c r="B4" s="22" t="s">
        <v>347</v>
      </c>
      <c r="C4" s="22" t="s">
        <v>368</v>
      </c>
      <c r="D4" s="22" t="s">
        <v>369</v>
      </c>
      <c r="E4" s="22" t="s">
        <v>368</v>
      </c>
      <c r="F4" s="22" t="s">
        <v>369</v>
      </c>
      <c r="G4" s="22" t="s">
        <v>368</v>
      </c>
      <c r="H4" s="22" t="s">
        <v>369</v>
      </c>
      <c r="I4" s="22" t="s">
        <v>368</v>
      </c>
      <c r="J4" s="22" t="s">
        <v>369</v>
      </c>
      <c r="P4" s="12" t="s">
        <v>389</v>
      </c>
      <c r="Q4" s="12" t="s">
        <v>376</v>
      </c>
      <c r="R4" s="12" t="s">
        <v>390</v>
      </c>
      <c r="S4" s="12" t="s">
        <v>377</v>
      </c>
      <c r="T4" s="12" t="s">
        <v>374</v>
      </c>
    </row>
    <row r="5" spans="1:20" ht="16.5" x14ac:dyDescent="0.2">
      <c r="A5" s="13">
        <v>1</v>
      </c>
      <c r="B5" s="21" t="s">
        <v>265</v>
      </c>
      <c r="C5" s="13" t="s">
        <v>375</v>
      </c>
      <c r="D5" s="28">
        <v>0.12</v>
      </c>
      <c r="E5" s="13"/>
      <c r="F5" s="13"/>
      <c r="G5" s="13" t="s">
        <v>375</v>
      </c>
      <c r="H5" s="28">
        <v>0.2</v>
      </c>
      <c r="I5" s="13"/>
      <c r="J5" s="13"/>
      <c r="L5" t="s">
        <v>406</v>
      </c>
      <c r="O5" s="15" t="s">
        <v>372</v>
      </c>
      <c r="P5" s="28">
        <v>0.12</v>
      </c>
      <c r="Q5" s="28">
        <v>0.25</v>
      </c>
      <c r="R5" s="28">
        <v>0.12</v>
      </c>
      <c r="S5" s="28">
        <v>0.2</v>
      </c>
      <c r="T5" s="28">
        <v>0.06</v>
      </c>
    </row>
    <row r="6" spans="1:20" ht="16.5" x14ac:dyDescent="0.2">
      <c r="A6" s="13">
        <v>2</v>
      </c>
      <c r="B6" s="21" t="s">
        <v>267</v>
      </c>
      <c r="C6" s="13" t="s">
        <v>378</v>
      </c>
      <c r="D6" s="28">
        <v>0.25</v>
      </c>
      <c r="E6" s="13"/>
      <c r="F6" s="13"/>
      <c r="G6" s="13" t="s">
        <v>378</v>
      </c>
      <c r="H6" s="28">
        <v>0.5</v>
      </c>
      <c r="I6" s="13"/>
      <c r="J6" s="13"/>
      <c r="L6" t="s">
        <v>405</v>
      </c>
      <c r="O6" s="15" t="s">
        <v>373</v>
      </c>
      <c r="P6" s="28">
        <v>0.2</v>
      </c>
      <c r="Q6" s="28">
        <v>0.5</v>
      </c>
      <c r="R6" s="28">
        <v>0.2</v>
      </c>
      <c r="S6" s="28">
        <v>0.4</v>
      </c>
      <c r="T6" s="28">
        <v>0.12</v>
      </c>
    </row>
    <row r="7" spans="1:20" ht="16.5" x14ac:dyDescent="0.2">
      <c r="A7" s="13">
        <v>3</v>
      </c>
      <c r="B7" s="21" t="s">
        <v>357</v>
      </c>
      <c r="C7" s="13" t="s">
        <v>379</v>
      </c>
      <c r="D7" s="28">
        <v>0.12</v>
      </c>
      <c r="E7" s="13"/>
      <c r="F7" s="13"/>
      <c r="G7" s="13" t="s">
        <v>379</v>
      </c>
      <c r="H7" s="28">
        <v>0.2</v>
      </c>
      <c r="I7" s="13"/>
      <c r="J7" s="13"/>
      <c r="L7" t="s">
        <v>407</v>
      </c>
    </row>
    <row r="8" spans="1:20" ht="16.5" x14ac:dyDescent="0.2">
      <c r="A8" s="13">
        <v>4</v>
      </c>
      <c r="B8" s="21" t="s">
        <v>82</v>
      </c>
      <c r="C8" s="21" t="s">
        <v>380</v>
      </c>
      <c r="D8" s="28">
        <v>0.12</v>
      </c>
      <c r="E8" s="13"/>
      <c r="F8" s="13"/>
      <c r="G8" s="21" t="s">
        <v>380</v>
      </c>
      <c r="H8" s="28">
        <v>0.2</v>
      </c>
      <c r="I8" s="13"/>
      <c r="J8" s="13"/>
      <c r="L8" t="s">
        <v>408</v>
      </c>
    </row>
    <row r="9" spans="1:20" ht="16.5" x14ac:dyDescent="0.2">
      <c r="A9" s="13">
        <v>5</v>
      </c>
      <c r="B9" s="21" t="s">
        <v>348</v>
      </c>
      <c r="C9" s="13" t="s">
        <v>381</v>
      </c>
      <c r="D9" s="28">
        <v>0.12</v>
      </c>
      <c r="E9" s="13"/>
      <c r="F9" s="13"/>
      <c r="G9" s="13" t="s">
        <v>381</v>
      </c>
      <c r="H9" s="28">
        <v>0.2</v>
      </c>
      <c r="I9" s="13"/>
      <c r="J9" s="13"/>
    </row>
    <row r="10" spans="1:20" ht="16.5" x14ac:dyDescent="0.2">
      <c r="A10" s="13">
        <v>6</v>
      </c>
      <c r="B10" s="21" t="s">
        <v>358</v>
      </c>
      <c r="C10" s="13" t="s">
        <v>383</v>
      </c>
      <c r="D10" s="28">
        <v>0.25</v>
      </c>
      <c r="E10" s="13"/>
      <c r="F10" s="13"/>
      <c r="G10" s="13" t="s">
        <v>382</v>
      </c>
      <c r="H10" s="28">
        <v>0.25</v>
      </c>
      <c r="I10" s="13"/>
      <c r="J10" s="13"/>
    </row>
    <row r="11" spans="1:20" ht="16.5" x14ac:dyDescent="0.2">
      <c r="A11" s="13">
        <v>7</v>
      </c>
      <c r="B11" s="21" t="s">
        <v>349</v>
      </c>
      <c r="C11" s="21" t="s">
        <v>384</v>
      </c>
      <c r="D11" s="28">
        <v>0.12</v>
      </c>
      <c r="E11" s="13"/>
      <c r="F11" s="13"/>
      <c r="G11" s="21" t="s">
        <v>384</v>
      </c>
      <c r="H11" s="28">
        <v>0.2</v>
      </c>
      <c r="I11" s="13"/>
      <c r="J11" s="13"/>
    </row>
    <row r="12" spans="1:20" ht="16.5" x14ac:dyDescent="0.2">
      <c r="A12" s="13">
        <v>8</v>
      </c>
      <c r="B12" s="21" t="s">
        <v>266</v>
      </c>
      <c r="C12" s="13" t="s">
        <v>54</v>
      </c>
      <c r="D12" s="28">
        <v>0.2</v>
      </c>
      <c r="E12" s="13"/>
      <c r="F12" s="13"/>
      <c r="G12" s="13" t="s">
        <v>54</v>
      </c>
      <c r="H12" s="28">
        <v>0.4</v>
      </c>
      <c r="I12" s="13"/>
      <c r="J12" s="13"/>
    </row>
    <row r="13" spans="1:20" ht="16.5" x14ac:dyDescent="0.2">
      <c r="A13" s="13">
        <v>9</v>
      </c>
      <c r="B13" s="21" t="s">
        <v>350</v>
      </c>
      <c r="C13" s="21" t="s">
        <v>385</v>
      </c>
      <c r="D13" s="28">
        <v>0.2</v>
      </c>
      <c r="E13" s="13"/>
      <c r="F13" s="13"/>
      <c r="G13" s="21" t="s">
        <v>385</v>
      </c>
      <c r="H13" s="28">
        <v>0.4</v>
      </c>
      <c r="I13" s="13"/>
      <c r="J13" s="13"/>
    </row>
    <row r="14" spans="1:20" ht="16.5" x14ac:dyDescent="0.2">
      <c r="A14" s="13">
        <v>10</v>
      </c>
      <c r="B14" s="21" t="s">
        <v>351</v>
      </c>
      <c r="C14" s="13" t="s">
        <v>386</v>
      </c>
      <c r="D14" s="28">
        <v>0.12</v>
      </c>
      <c r="E14" s="13"/>
      <c r="F14" s="13"/>
      <c r="G14" s="13" t="s">
        <v>386</v>
      </c>
      <c r="H14" s="28">
        <v>0.2</v>
      </c>
      <c r="I14" s="13"/>
      <c r="J14" s="13"/>
    </row>
    <row r="15" spans="1:20" ht="16.5" x14ac:dyDescent="0.2">
      <c r="A15" s="13">
        <v>11</v>
      </c>
      <c r="B15" s="21" t="s">
        <v>352</v>
      </c>
      <c r="C15" s="13" t="s">
        <v>387</v>
      </c>
      <c r="D15" s="28">
        <v>0.12</v>
      </c>
      <c r="E15" s="13"/>
      <c r="F15" s="13"/>
      <c r="G15" s="13" t="s">
        <v>387</v>
      </c>
      <c r="H15" s="28">
        <v>0.2</v>
      </c>
      <c r="I15" s="13"/>
      <c r="J15" s="13"/>
    </row>
    <row r="16" spans="1:20" ht="16.5" x14ac:dyDescent="0.2">
      <c r="A16" s="13">
        <v>12</v>
      </c>
      <c r="B16" s="21" t="s">
        <v>353</v>
      </c>
      <c r="C16" s="13" t="s">
        <v>388</v>
      </c>
      <c r="D16" s="28">
        <v>0.12</v>
      </c>
      <c r="E16" s="13"/>
      <c r="F16" s="13"/>
      <c r="G16" s="13" t="s">
        <v>388</v>
      </c>
      <c r="H16" s="28">
        <v>0.2</v>
      </c>
      <c r="I16" s="13"/>
      <c r="J16" s="13"/>
    </row>
    <row r="17" spans="1:10" ht="16.5" x14ac:dyDescent="0.2">
      <c r="A17" s="13">
        <v>13</v>
      </c>
      <c r="B17" s="21" t="s">
        <v>359</v>
      </c>
      <c r="C17" s="13" t="s">
        <v>391</v>
      </c>
      <c r="D17" s="13">
        <v>1</v>
      </c>
      <c r="E17" s="13"/>
      <c r="F17" s="13"/>
      <c r="G17" s="13" t="s">
        <v>391</v>
      </c>
      <c r="H17" s="13">
        <v>2</v>
      </c>
      <c r="I17" s="13"/>
      <c r="J17" s="13"/>
    </row>
    <row r="18" spans="1:10" ht="16.5" x14ac:dyDescent="0.2">
      <c r="A18" s="13">
        <v>14</v>
      </c>
      <c r="B18" s="21" t="s">
        <v>360</v>
      </c>
      <c r="C18" s="13" t="s">
        <v>392</v>
      </c>
      <c r="D18" s="13">
        <v>1</v>
      </c>
      <c r="E18" s="13"/>
      <c r="F18" s="13"/>
      <c r="G18" s="13" t="s">
        <v>392</v>
      </c>
      <c r="H18" s="13">
        <v>2</v>
      </c>
      <c r="I18" s="13"/>
      <c r="J18" s="13"/>
    </row>
    <row r="19" spans="1:10" ht="16.5" x14ac:dyDescent="0.2">
      <c r="A19" s="13">
        <v>15</v>
      </c>
      <c r="B19" s="21" t="s">
        <v>354</v>
      </c>
      <c r="C19" s="13" t="s">
        <v>393</v>
      </c>
      <c r="D19" s="13">
        <v>1</v>
      </c>
      <c r="E19" s="13"/>
      <c r="F19" s="13"/>
      <c r="G19" s="13" t="s">
        <v>393</v>
      </c>
      <c r="H19" s="13">
        <v>2</v>
      </c>
      <c r="I19" s="13"/>
      <c r="J19" s="13"/>
    </row>
    <row r="20" spans="1:10" ht="16.5" x14ac:dyDescent="0.2">
      <c r="A20" s="13">
        <v>16</v>
      </c>
      <c r="B20" s="21" t="s">
        <v>361</v>
      </c>
      <c r="C20" s="13" t="s">
        <v>394</v>
      </c>
      <c r="D20" s="13">
        <v>2</v>
      </c>
      <c r="E20" s="28">
        <v>0.25</v>
      </c>
      <c r="F20" s="13"/>
      <c r="G20" s="13" t="s">
        <v>394</v>
      </c>
      <c r="H20" s="13">
        <v>3</v>
      </c>
      <c r="I20" s="28">
        <v>0.35</v>
      </c>
      <c r="J20" s="13"/>
    </row>
    <row r="21" spans="1:10" ht="16.5" x14ac:dyDescent="0.2">
      <c r="A21" s="13">
        <v>17</v>
      </c>
      <c r="B21" s="21" t="s">
        <v>396</v>
      </c>
      <c r="C21" s="13"/>
      <c r="D21" s="28">
        <v>0.3</v>
      </c>
      <c r="E21" s="13"/>
      <c r="F21" s="13"/>
      <c r="G21" s="13"/>
      <c r="H21" s="28">
        <v>0.5</v>
      </c>
      <c r="I21" s="13"/>
      <c r="J21" s="13"/>
    </row>
    <row r="22" spans="1:10" ht="16.5" x14ac:dyDescent="0.2">
      <c r="A22" s="13">
        <v>18</v>
      </c>
      <c r="B22" s="21" t="s">
        <v>395</v>
      </c>
      <c r="C22" s="13" t="s">
        <v>388</v>
      </c>
      <c r="D22" s="28">
        <v>0.06</v>
      </c>
      <c r="E22" s="13"/>
      <c r="F22" s="13"/>
      <c r="G22" s="13" t="s">
        <v>388</v>
      </c>
      <c r="H22" s="28">
        <v>0.1</v>
      </c>
      <c r="I22" s="13"/>
      <c r="J22" s="13"/>
    </row>
    <row r="23" spans="1:10" ht="21.75" customHeight="1" x14ac:dyDescent="0.2">
      <c r="A23" s="13">
        <v>19</v>
      </c>
      <c r="B23" s="21" t="s">
        <v>362</v>
      </c>
      <c r="C23" s="13" t="s">
        <v>397</v>
      </c>
      <c r="D23" s="28">
        <v>-0.2</v>
      </c>
      <c r="E23" s="13" t="s">
        <v>398</v>
      </c>
      <c r="F23" s="28">
        <v>-0.3</v>
      </c>
      <c r="G23" s="13" t="s">
        <v>397</v>
      </c>
      <c r="H23" s="28">
        <v>-0.2</v>
      </c>
      <c r="I23" s="13" t="s">
        <v>398</v>
      </c>
      <c r="J23" s="28">
        <v>-0.4</v>
      </c>
    </row>
    <row r="24" spans="1:10" ht="16.5" x14ac:dyDescent="0.2">
      <c r="A24" s="13">
        <v>20</v>
      </c>
      <c r="B24" s="21" t="s">
        <v>355</v>
      </c>
      <c r="C24" s="13" t="s">
        <v>399</v>
      </c>
      <c r="D24" s="28">
        <v>-0.2</v>
      </c>
      <c r="E24" s="13" t="s">
        <v>400</v>
      </c>
      <c r="F24" s="28">
        <v>0.25</v>
      </c>
      <c r="G24" s="13" t="s">
        <v>399</v>
      </c>
      <c r="H24" s="28">
        <v>-0.2</v>
      </c>
      <c r="I24" s="13" t="s">
        <v>400</v>
      </c>
      <c r="J24" s="28">
        <v>0.35</v>
      </c>
    </row>
    <row r="25" spans="1:10" ht="16.5" x14ac:dyDescent="0.2">
      <c r="A25" s="13">
        <v>21</v>
      </c>
      <c r="B25" s="21" t="s">
        <v>356</v>
      </c>
      <c r="C25" s="13" t="s">
        <v>401</v>
      </c>
      <c r="D25" s="28">
        <v>0.06</v>
      </c>
      <c r="E25" s="13" t="s">
        <v>402</v>
      </c>
      <c r="F25" s="28">
        <v>0.06</v>
      </c>
      <c r="G25" s="13" t="s">
        <v>401</v>
      </c>
      <c r="H25" s="28">
        <v>0.12</v>
      </c>
      <c r="I25" s="13" t="s">
        <v>402</v>
      </c>
      <c r="J25" s="28">
        <v>0.12</v>
      </c>
    </row>
    <row r="26" spans="1:10" ht="16.5" x14ac:dyDescent="0.2">
      <c r="A26" s="13">
        <v>22</v>
      </c>
      <c r="B26" s="21" t="s">
        <v>363</v>
      </c>
      <c r="C26" s="13" t="s">
        <v>388</v>
      </c>
      <c r="D26" s="28">
        <v>0.06</v>
      </c>
      <c r="E26" s="13" t="s">
        <v>403</v>
      </c>
      <c r="F26" s="28">
        <v>0.06</v>
      </c>
      <c r="G26" s="13" t="s">
        <v>388</v>
      </c>
      <c r="H26" s="28">
        <v>0.12</v>
      </c>
      <c r="I26" s="13" t="s">
        <v>403</v>
      </c>
      <c r="J26" s="28">
        <v>0.12</v>
      </c>
    </row>
    <row r="27" spans="1:10" ht="16.5" x14ac:dyDescent="0.2">
      <c r="A27" s="13">
        <v>23</v>
      </c>
      <c r="B27" s="21" t="s">
        <v>364</v>
      </c>
      <c r="C27" s="13" t="s">
        <v>400</v>
      </c>
      <c r="D27" s="13"/>
      <c r="E27" s="13" t="s">
        <v>404</v>
      </c>
      <c r="F27" s="13"/>
      <c r="G27" s="13"/>
      <c r="H27" s="13"/>
      <c r="I27" s="13"/>
      <c r="J27" s="13"/>
    </row>
    <row r="28" spans="1:10" ht="16.5" x14ac:dyDescent="0.2">
      <c r="A28" s="13">
        <v>24</v>
      </c>
      <c r="B28" s="21" t="s">
        <v>365</v>
      </c>
      <c r="C28" s="13"/>
      <c r="D28" s="13"/>
      <c r="E28" s="13"/>
      <c r="F28" s="13"/>
      <c r="G28" s="13"/>
      <c r="H28" s="13"/>
      <c r="I28" s="13"/>
      <c r="J28" s="13"/>
    </row>
    <row r="29" spans="1:10" ht="16.5" x14ac:dyDescent="0.2">
      <c r="A29" s="13">
        <v>25</v>
      </c>
      <c r="B29" s="21" t="s">
        <v>366</v>
      </c>
      <c r="C29" s="13"/>
      <c r="D29" s="13"/>
      <c r="E29" s="13"/>
      <c r="F29" s="13"/>
      <c r="G29" s="13"/>
      <c r="H29" s="13"/>
      <c r="I29" s="13"/>
      <c r="J29" s="13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workbookViewId="0">
      <selection activeCell="O26" sqref="O26"/>
    </sheetView>
  </sheetViews>
  <sheetFormatPr defaultRowHeight="14.25" x14ac:dyDescent="0.2"/>
  <cols>
    <col min="3" max="3" width="10.625" style="20" customWidth="1"/>
    <col min="14" max="16" width="9" style="37"/>
  </cols>
  <sheetData>
    <row r="2" spans="1:30" s="20" customFormat="1" ht="20.25" x14ac:dyDescent="0.2">
      <c r="A2" s="65" t="s">
        <v>533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N2" s="37"/>
      <c r="O2" s="37"/>
      <c r="P2" s="37"/>
      <c r="R2" s="65" t="s">
        <v>120</v>
      </c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spans="1:30" ht="16.5" x14ac:dyDescent="0.2">
      <c r="A3" s="15" t="s">
        <v>528</v>
      </c>
      <c r="B3" s="13">
        <v>3</v>
      </c>
      <c r="C3" s="15" t="s">
        <v>110</v>
      </c>
      <c r="D3" s="13">
        <v>1</v>
      </c>
      <c r="R3" s="15" t="s">
        <v>528</v>
      </c>
      <c r="S3" s="13">
        <v>3</v>
      </c>
      <c r="T3" s="15" t="s">
        <v>110</v>
      </c>
      <c r="U3" s="13">
        <v>1</v>
      </c>
      <c r="V3" s="20"/>
      <c r="W3" s="20"/>
      <c r="X3" s="20"/>
      <c r="Y3" s="20"/>
      <c r="Z3" s="20"/>
      <c r="AA3" s="20"/>
      <c r="AB3" s="20"/>
      <c r="AC3" s="20"/>
    </row>
    <row r="4" spans="1:30" ht="17.25" x14ac:dyDescent="0.2">
      <c r="A4" s="12" t="s">
        <v>526</v>
      </c>
      <c r="B4" s="12" t="s">
        <v>527</v>
      </c>
      <c r="C4" s="12" t="s">
        <v>534</v>
      </c>
      <c r="D4" s="12" t="s">
        <v>103</v>
      </c>
      <c r="E4" s="12" t="s">
        <v>104</v>
      </c>
      <c r="F4" s="12" t="s">
        <v>102</v>
      </c>
      <c r="G4" s="12" t="s">
        <v>529</v>
      </c>
      <c r="H4" s="12" t="s">
        <v>100</v>
      </c>
      <c r="I4" s="12" t="s">
        <v>532</v>
      </c>
      <c r="J4" s="12" t="s">
        <v>530</v>
      </c>
      <c r="K4" s="12" t="s">
        <v>531</v>
      </c>
      <c r="L4" s="12" t="s">
        <v>45</v>
      </c>
      <c r="R4" s="12" t="s">
        <v>526</v>
      </c>
      <c r="S4" s="12" t="s">
        <v>527</v>
      </c>
      <c r="T4" s="12" t="s">
        <v>534</v>
      </c>
      <c r="U4" s="12" t="s">
        <v>103</v>
      </c>
      <c r="V4" s="12" t="s">
        <v>104</v>
      </c>
      <c r="W4" s="12" t="s">
        <v>102</v>
      </c>
      <c r="X4" s="12" t="s">
        <v>529</v>
      </c>
      <c r="Y4" s="12" t="s">
        <v>100</v>
      </c>
      <c r="Z4" s="12" t="s">
        <v>532</v>
      </c>
      <c r="AA4" s="12" t="s">
        <v>530</v>
      </c>
      <c r="AB4" s="12" t="s">
        <v>531</v>
      </c>
      <c r="AC4" s="12" t="s">
        <v>45</v>
      </c>
    </row>
    <row r="5" spans="1:30" ht="16.5" x14ac:dyDescent="0.2">
      <c r="A5" s="13">
        <v>1</v>
      </c>
      <c r="B5" s="13">
        <v>1</v>
      </c>
      <c r="C5" s="14">
        <f>INDEX(新属性投放!$L$6:$L$10,属性汇总!$B$3)*INDEX(新属性投放!$Q$6:$Q$10,属性汇总!$D$3)</f>
        <v>1.1499999999999999</v>
      </c>
      <c r="D5" s="14">
        <f>INDEX(新属性投放!J$14:J$34,属性汇总!$B5)*$C5</f>
        <v>57.499999999999993</v>
      </c>
      <c r="E5" s="14">
        <f>INDEX(新属性投放!K$14:K$34,属性汇总!$B5)*$C5</f>
        <v>0</v>
      </c>
      <c r="F5" s="14">
        <f>INDEX(新属性投放!L$14:L$34,属性汇总!$B5)*$C5</f>
        <v>287.5</v>
      </c>
      <c r="G5" s="14">
        <f>INDEX(新属性投放!D$14:D$34,属性汇总!$B5)*$C5</f>
        <v>11.5</v>
      </c>
      <c r="H5" s="14">
        <f>INDEX(新属性投放!E$14:E$34,属性汇总!$B5)*$C5</f>
        <v>5.75</v>
      </c>
      <c r="I5" s="14">
        <f>INDEX(新属性投放!F$14:F$34,属性汇总!$B5)*$C5</f>
        <v>34.5</v>
      </c>
      <c r="J5" s="14">
        <f>ROUND(D5+($A5-INDEX(新属性投放!$B$14:$B$34,属性汇总!$B5))*属性汇总!G5,0)</f>
        <v>58</v>
      </c>
      <c r="K5" s="14">
        <f>ROUND(E5+($A5-INDEX(新属性投放!$B$14:$B$34,属性汇总!$B5))*属性汇总!H5,0)</f>
        <v>0</v>
      </c>
      <c r="L5" s="14">
        <f>ROUND(F5+($A5-INDEX(新属性投放!$B$14:$B$34,属性汇总!$B5))*属性汇总!I5,0)</f>
        <v>288</v>
      </c>
      <c r="R5" s="13">
        <v>1</v>
      </c>
      <c r="S5" s="13">
        <v>1</v>
      </c>
      <c r="T5" s="14">
        <f>INDEX(新属性投放!$L$6:$L$10,$S$3)*INDEX(新属性投放!$Q$6:$Q$10,$U$3)</f>
        <v>1.1499999999999999</v>
      </c>
      <c r="U5" s="14">
        <f>INDEX(新属性投放!J$42:J$62,属性汇总!$S5)*$T5</f>
        <v>229.99999999999997</v>
      </c>
      <c r="V5" s="14">
        <f>INDEX(新属性投放!K$42:K$62,属性汇总!$S5)*$T5</f>
        <v>114.99999999999999</v>
      </c>
      <c r="W5" s="14">
        <f>INDEX(新属性投放!L$42:L$62,属性汇总!$S5)*$T5</f>
        <v>517.5</v>
      </c>
      <c r="X5" s="14">
        <f>INDEX(新属性投放!$D$42:$D$62,属性汇总!$S5)*$T5</f>
        <v>11.5</v>
      </c>
      <c r="Y5" s="14">
        <f>INDEX(新属性投放!$E$42:$E$62,属性汇总!$S5)*$T5</f>
        <v>5.75</v>
      </c>
      <c r="Z5" s="14">
        <f>INDEX(新属性投放!$F$42:$F$62,属性汇总!$S5)*$T5</f>
        <v>51.749999999999993</v>
      </c>
      <c r="AA5" s="14">
        <f>ROUND(U5+($R5-INDEX(新属性投放!$B$42:$B$62,属性汇总!$S5))*属性汇总!X5,0)</f>
        <v>230</v>
      </c>
      <c r="AB5" s="14">
        <f>ROUND(V5+($R5-INDEX(新属性投放!$B$42:$B$62,属性汇总!$S5))*属性汇总!Y5,0)</f>
        <v>115</v>
      </c>
      <c r="AC5" s="14">
        <f>ROUND(W5+($R5-INDEX(新属性投放!$B$42:$B$62,属性汇总!$S5))*属性汇总!Z5,0)</f>
        <v>518</v>
      </c>
    </row>
    <row r="6" spans="1:30" ht="16.5" x14ac:dyDescent="0.2">
      <c r="A6" s="13">
        <v>2</v>
      </c>
      <c r="B6" s="13">
        <v>1</v>
      </c>
      <c r="C6" s="14">
        <f>INDEX(新属性投放!$L$6:$L$10,属性汇总!$B$3)*INDEX(新属性投放!$Q$6:$Q$10,属性汇总!$D$3)</f>
        <v>1.1499999999999999</v>
      </c>
      <c r="D6" s="14">
        <f>INDEX(新属性投放!J$14:J$34,属性汇总!$B6)*$C6</f>
        <v>57.499999999999993</v>
      </c>
      <c r="E6" s="14">
        <f>INDEX(新属性投放!K$14:K$34,属性汇总!$B6)*$C6</f>
        <v>0</v>
      </c>
      <c r="F6" s="14">
        <f>INDEX(新属性投放!L$14:L$34,属性汇总!$B6)*$C6</f>
        <v>287.5</v>
      </c>
      <c r="G6" s="14">
        <f>INDEX(新属性投放!D$14:D$34,属性汇总!$B6)*$C6</f>
        <v>11.5</v>
      </c>
      <c r="H6" s="14">
        <f>INDEX(新属性投放!E$14:E$34,属性汇总!$B6)*$C6</f>
        <v>5.75</v>
      </c>
      <c r="I6" s="14">
        <f>INDEX(新属性投放!F$14:F$34,属性汇总!$B6)*$C6</f>
        <v>34.5</v>
      </c>
      <c r="J6" s="14">
        <f>ROUND(D6+($A6-INDEX(新属性投放!$B$14:$B$34,属性汇总!$B6))*属性汇总!G6,0)</f>
        <v>69</v>
      </c>
      <c r="K6" s="14">
        <f>ROUND(E6+($A6-INDEX(新属性投放!$B$14:$B$34,属性汇总!$B6))*属性汇总!H6,0)</f>
        <v>6</v>
      </c>
      <c r="L6" s="14">
        <f>ROUND(F6+($A6-INDEX(新属性投放!$B$14:$B$34,属性汇总!$B6))*属性汇总!I6,0)</f>
        <v>322</v>
      </c>
      <c r="R6" s="13">
        <v>2</v>
      </c>
      <c r="S6" s="13">
        <v>1</v>
      </c>
      <c r="T6" s="14">
        <f>INDEX(新属性投放!$L$6:$L$10,$S$3)*INDEX(新属性投放!$Q$6:$Q$10,$U$3)</f>
        <v>1.1499999999999999</v>
      </c>
      <c r="U6" s="14">
        <f>INDEX(新属性投放!J$42:J$62,属性汇总!$S6)*$T6</f>
        <v>229.99999999999997</v>
      </c>
      <c r="V6" s="14">
        <f>INDEX(新属性投放!K$42:K$62,属性汇总!$S6)*$T6</f>
        <v>114.99999999999999</v>
      </c>
      <c r="W6" s="14">
        <f>INDEX(新属性投放!L$42:L$62,属性汇总!$S6)*$T6</f>
        <v>517.5</v>
      </c>
      <c r="X6" s="14">
        <f>INDEX(新属性投放!$D$42:$D$62,属性汇总!$S6)*$T6</f>
        <v>11.5</v>
      </c>
      <c r="Y6" s="14">
        <f>INDEX(新属性投放!$E$42:$E$62,属性汇总!$S6)*$T6</f>
        <v>5.75</v>
      </c>
      <c r="Z6" s="14">
        <f>INDEX(新属性投放!$F$42:$F$62,属性汇总!$S6)*$T6</f>
        <v>51.749999999999993</v>
      </c>
      <c r="AA6" s="14">
        <f>ROUND(U6+($R6-INDEX(新属性投放!$B$42:$B$62,属性汇总!$S6))*属性汇总!X6,0)</f>
        <v>242</v>
      </c>
      <c r="AB6" s="14">
        <f>ROUND(V6+($R6-INDEX(新属性投放!$B$42:$B$62,属性汇总!$S6))*属性汇总!Y6,0)</f>
        <v>121</v>
      </c>
      <c r="AC6" s="14">
        <f>ROUND(W6+($R6-INDEX(新属性投放!$B$42:$B$62,属性汇总!$S6))*属性汇总!Z6,0)</f>
        <v>569</v>
      </c>
      <c r="AD6" s="37"/>
    </row>
    <row r="7" spans="1:30" ht="16.5" x14ac:dyDescent="0.2">
      <c r="A7" s="13">
        <v>3</v>
      </c>
      <c r="B7" s="13">
        <v>1</v>
      </c>
      <c r="C7" s="14">
        <f>INDEX(新属性投放!$L$6:$L$10,属性汇总!$B$3)*INDEX(新属性投放!$Q$6:$Q$10,属性汇总!$D$3)</f>
        <v>1.1499999999999999</v>
      </c>
      <c r="D7" s="14">
        <f>INDEX(新属性投放!J$14:J$34,属性汇总!$B7)*$C7</f>
        <v>57.499999999999993</v>
      </c>
      <c r="E7" s="14">
        <f>INDEX(新属性投放!K$14:K$34,属性汇总!$B7)*$C7</f>
        <v>0</v>
      </c>
      <c r="F7" s="14">
        <f>INDEX(新属性投放!L$14:L$34,属性汇总!$B7)*$C7</f>
        <v>287.5</v>
      </c>
      <c r="G7" s="14">
        <f>INDEX(新属性投放!D$14:D$34,属性汇总!$B7)*$C7</f>
        <v>11.5</v>
      </c>
      <c r="H7" s="14">
        <f>INDEX(新属性投放!E$14:E$34,属性汇总!$B7)*$C7</f>
        <v>5.75</v>
      </c>
      <c r="I7" s="14">
        <f>INDEX(新属性投放!F$14:F$34,属性汇总!$B7)*$C7</f>
        <v>34.5</v>
      </c>
      <c r="J7" s="14">
        <f>ROUND(D7+($A7-INDEX(新属性投放!$B$14:$B$34,属性汇总!$B7))*属性汇总!G7,0)</f>
        <v>81</v>
      </c>
      <c r="K7" s="14">
        <f>ROUND(E7+($A7-INDEX(新属性投放!$B$14:$B$34,属性汇总!$B7))*属性汇总!H7,0)</f>
        <v>12</v>
      </c>
      <c r="L7" s="14">
        <f>ROUND(F7+($A7-INDEX(新属性投放!$B$14:$B$34,属性汇总!$B7))*属性汇总!I7,0)</f>
        <v>357</v>
      </c>
      <c r="R7" s="13">
        <v>3</v>
      </c>
      <c r="S7" s="13">
        <v>1</v>
      </c>
      <c r="T7" s="14">
        <f>INDEX(新属性投放!$L$6:$L$10,$S$3)*INDEX(新属性投放!$Q$6:$Q$10,$U$3)</f>
        <v>1.1499999999999999</v>
      </c>
      <c r="U7" s="14">
        <f>INDEX(新属性投放!J$42:J$62,属性汇总!$S7)*$T7</f>
        <v>229.99999999999997</v>
      </c>
      <c r="V7" s="14">
        <f>INDEX(新属性投放!K$42:K$62,属性汇总!$S7)*$T7</f>
        <v>114.99999999999999</v>
      </c>
      <c r="W7" s="14">
        <f>INDEX(新属性投放!L$42:L$62,属性汇总!$S7)*$T7</f>
        <v>517.5</v>
      </c>
      <c r="X7" s="14">
        <f>INDEX(新属性投放!$D$42:$D$62,属性汇总!$S7)*$T7</f>
        <v>11.5</v>
      </c>
      <c r="Y7" s="14">
        <f>INDEX(新属性投放!$E$42:$E$62,属性汇总!$S7)*$T7</f>
        <v>5.75</v>
      </c>
      <c r="Z7" s="14">
        <f>INDEX(新属性投放!$F$42:$F$62,属性汇总!$S7)*$T7</f>
        <v>51.749999999999993</v>
      </c>
      <c r="AA7" s="14">
        <f>ROUND(U7+($R7-INDEX(新属性投放!$B$42:$B$62,属性汇总!$S7))*属性汇总!X7,0)</f>
        <v>253</v>
      </c>
      <c r="AB7" s="14">
        <f>ROUND(V7+($R7-INDEX(新属性投放!$B$42:$B$62,属性汇总!$S7))*属性汇总!Y7,0)</f>
        <v>127</v>
      </c>
      <c r="AC7" s="14">
        <f>ROUND(W7+($R7-INDEX(新属性投放!$B$42:$B$62,属性汇总!$S7))*属性汇总!Z7,0)</f>
        <v>621</v>
      </c>
      <c r="AD7" s="37"/>
    </row>
    <row r="8" spans="1:30" ht="16.5" x14ac:dyDescent="0.2">
      <c r="A8" s="13">
        <v>4</v>
      </c>
      <c r="B8" s="13">
        <v>1</v>
      </c>
      <c r="C8" s="14">
        <f>INDEX(新属性投放!$L$6:$L$10,属性汇总!$B$3)*INDEX(新属性投放!$Q$6:$Q$10,属性汇总!$D$3)</f>
        <v>1.1499999999999999</v>
      </c>
      <c r="D8" s="14">
        <f>INDEX(新属性投放!J$14:J$34,属性汇总!$B8)*$C8</f>
        <v>57.499999999999993</v>
      </c>
      <c r="E8" s="14">
        <f>INDEX(新属性投放!K$14:K$34,属性汇总!$B8)*$C8</f>
        <v>0</v>
      </c>
      <c r="F8" s="14">
        <f>INDEX(新属性投放!L$14:L$34,属性汇总!$B8)*$C8</f>
        <v>287.5</v>
      </c>
      <c r="G8" s="14">
        <f>INDEX(新属性投放!D$14:D$34,属性汇总!$B8)*$C8</f>
        <v>11.5</v>
      </c>
      <c r="H8" s="14">
        <f>INDEX(新属性投放!E$14:E$34,属性汇总!$B8)*$C8</f>
        <v>5.75</v>
      </c>
      <c r="I8" s="14">
        <f>INDEX(新属性投放!F$14:F$34,属性汇总!$B8)*$C8</f>
        <v>34.5</v>
      </c>
      <c r="J8" s="14">
        <f>ROUND(D8+($A8-INDEX(新属性投放!$B$14:$B$34,属性汇总!$B8))*属性汇总!G8,0)</f>
        <v>92</v>
      </c>
      <c r="K8" s="14">
        <f>ROUND(E8+($A8-INDEX(新属性投放!$B$14:$B$34,属性汇总!$B8))*属性汇总!H8,0)</f>
        <v>17</v>
      </c>
      <c r="L8" s="14">
        <f>ROUND(F8+($A8-INDEX(新属性投放!$B$14:$B$34,属性汇总!$B8))*属性汇总!I8,0)</f>
        <v>391</v>
      </c>
      <c r="R8" s="13">
        <v>4</v>
      </c>
      <c r="S8" s="13">
        <v>1</v>
      </c>
      <c r="T8" s="14">
        <f>INDEX(新属性投放!$L$6:$L$10,$S$3)*INDEX(新属性投放!$Q$6:$Q$10,$U$3)</f>
        <v>1.1499999999999999</v>
      </c>
      <c r="U8" s="14">
        <f>INDEX(新属性投放!J$42:J$62,属性汇总!$S8)*$T8</f>
        <v>229.99999999999997</v>
      </c>
      <c r="V8" s="14">
        <f>INDEX(新属性投放!K$42:K$62,属性汇总!$S8)*$T8</f>
        <v>114.99999999999999</v>
      </c>
      <c r="W8" s="14">
        <f>INDEX(新属性投放!L$42:L$62,属性汇总!$S8)*$T8</f>
        <v>517.5</v>
      </c>
      <c r="X8" s="14">
        <f>INDEX(新属性投放!$D$42:$D$62,属性汇总!$S8)*$T8</f>
        <v>11.5</v>
      </c>
      <c r="Y8" s="14">
        <f>INDEX(新属性投放!$E$42:$E$62,属性汇总!$S8)*$T8</f>
        <v>5.75</v>
      </c>
      <c r="Z8" s="14">
        <f>INDEX(新属性投放!$F$42:$F$62,属性汇总!$S8)*$T8</f>
        <v>51.749999999999993</v>
      </c>
      <c r="AA8" s="14">
        <f>ROUND(U8+($R8-INDEX(新属性投放!$B$42:$B$62,属性汇总!$S8))*属性汇总!X8,0)</f>
        <v>265</v>
      </c>
      <c r="AB8" s="14">
        <f>ROUND(V8+($R8-INDEX(新属性投放!$B$42:$B$62,属性汇总!$S8))*属性汇总!Y8,0)</f>
        <v>132</v>
      </c>
      <c r="AC8" s="14">
        <f>ROUND(W8+($R8-INDEX(新属性投放!$B$42:$B$62,属性汇总!$S8))*属性汇总!Z8,0)</f>
        <v>673</v>
      </c>
      <c r="AD8" s="37"/>
    </row>
    <row r="9" spans="1:30" ht="16.5" x14ac:dyDescent="0.2">
      <c r="A9" s="13">
        <v>5</v>
      </c>
      <c r="B9" s="13">
        <v>1</v>
      </c>
      <c r="C9" s="14">
        <f>INDEX(新属性投放!$L$6:$L$10,属性汇总!$B$3)*INDEX(新属性投放!$Q$6:$Q$10,属性汇总!$D$3)</f>
        <v>1.1499999999999999</v>
      </c>
      <c r="D9" s="14">
        <f>INDEX(新属性投放!J$14:J$34,属性汇总!$B9)*$C9</f>
        <v>57.499999999999993</v>
      </c>
      <c r="E9" s="14">
        <f>INDEX(新属性投放!K$14:K$34,属性汇总!$B9)*$C9</f>
        <v>0</v>
      </c>
      <c r="F9" s="14">
        <f>INDEX(新属性投放!L$14:L$34,属性汇总!$B9)*$C9</f>
        <v>287.5</v>
      </c>
      <c r="G9" s="14">
        <f>INDEX(新属性投放!D$14:D$34,属性汇总!$B9)*$C9</f>
        <v>11.5</v>
      </c>
      <c r="H9" s="14">
        <f>INDEX(新属性投放!E$14:E$34,属性汇总!$B9)*$C9</f>
        <v>5.75</v>
      </c>
      <c r="I9" s="14">
        <f>INDEX(新属性投放!F$14:F$34,属性汇总!$B9)*$C9</f>
        <v>34.5</v>
      </c>
      <c r="J9" s="14">
        <f>ROUND(D9+($A9-INDEX(新属性投放!$B$14:$B$34,属性汇总!$B9))*属性汇总!G9,0)</f>
        <v>104</v>
      </c>
      <c r="K9" s="14">
        <f>ROUND(E9+($A9-INDEX(新属性投放!$B$14:$B$34,属性汇总!$B9))*属性汇总!H9,0)</f>
        <v>23</v>
      </c>
      <c r="L9" s="14">
        <f>ROUND(F9+($A9-INDEX(新属性投放!$B$14:$B$34,属性汇总!$B9))*属性汇总!I9,0)</f>
        <v>426</v>
      </c>
      <c r="R9" s="13">
        <v>5</v>
      </c>
      <c r="S9" s="13">
        <v>1</v>
      </c>
      <c r="T9" s="14">
        <f>INDEX(新属性投放!$L$6:$L$10,$S$3)*INDEX(新属性投放!$Q$6:$Q$10,$U$3)</f>
        <v>1.1499999999999999</v>
      </c>
      <c r="U9" s="14">
        <f>INDEX(新属性投放!J$42:J$62,属性汇总!$S9)*$T9</f>
        <v>229.99999999999997</v>
      </c>
      <c r="V9" s="14">
        <f>INDEX(新属性投放!K$42:K$62,属性汇总!$S9)*$T9</f>
        <v>114.99999999999999</v>
      </c>
      <c r="W9" s="14">
        <f>INDEX(新属性投放!L$42:L$62,属性汇总!$S9)*$T9</f>
        <v>517.5</v>
      </c>
      <c r="X9" s="14">
        <f>INDEX(新属性投放!$D$42:$D$62,属性汇总!$S9)*$T9</f>
        <v>11.5</v>
      </c>
      <c r="Y9" s="14">
        <f>INDEX(新属性投放!$E$42:$E$62,属性汇总!$S9)*$T9</f>
        <v>5.75</v>
      </c>
      <c r="Z9" s="14">
        <f>INDEX(新属性投放!$F$42:$F$62,属性汇总!$S9)*$T9</f>
        <v>51.749999999999993</v>
      </c>
      <c r="AA9" s="14">
        <f>ROUND(U9+($R9-INDEX(新属性投放!$B$42:$B$62,属性汇总!$S9))*属性汇总!X9,0)</f>
        <v>276</v>
      </c>
      <c r="AB9" s="14">
        <f>ROUND(V9+($R9-INDEX(新属性投放!$B$42:$B$62,属性汇总!$S9))*属性汇总!Y9,0)</f>
        <v>138</v>
      </c>
      <c r="AC9" s="14">
        <f>ROUND(W9+($R9-INDEX(新属性投放!$B$42:$B$62,属性汇总!$S9))*属性汇总!Z9,0)</f>
        <v>725</v>
      </c>
      <c r="AD9" s="37"/>
    </row>
    <row r="10" spans="1:30" ht="16.5" x14ac:dyDescent="0.2">
      <c r="A10" s="13">
        <v>6</v>
      </c>
      <c r="B10" s="13">
        <v>1</v>
      </c>
      <c r="C10" s="14">
        <f>INDEX(新属性投放!$L$6:$L$10,属性汇总!$B$3)*INDEX(新属性投放!$Q$6:$Q$10,属性汇总!$D$3)</f>
        <v>1.1499999999999999</v>
      </c>
      <c r="D10" s="14">
        <f>INDEX(新属性投放!J$14:J$34,属性汇总!$B10)*$C10</f>
        <v>57.499999999999993</v>
      </c>
      <c r="E10" s="14">
        <f>INDEX(新属性投放!K$14:K$34,属性汇总!$B10)*$C10</f>
        <v>0</v>
      </c>
      <c r="F10" s="14">
        <f>INDEX(新属性投放!L$14:L$34,属性汇总!$B10)*$C10</f>
        <v>287.5</v>
      </c>
      <c r="G10" s="14">
        <f>INDEX(新属性投放!D$14:D$34,属性汇总!$B10)*$C10</f>
        <v>11.5</v>
      </c>
      <c r="H10" s="14">
        <f>INDEX(新属性投放!E$14:E$34,属性汇总!$B10)*$C10</f>
        <v>5.75</v>
      </c>
      <c r="I10" s="14">
        <f>INDEX(新属性投放!F$14:F$34,属性汇总!$B10)*$C10</f>
        <v>34.5</v>
      </c>
      <c r="J10" s="14">
        <f>ROUND(D10+($A10-INDEX(新属性投放!$B$14:$B$34,属性汇总!$B10))*属性汇总!G10,0)</f>
        <v>115</v>
      </c>
      <c r="K10" s="14">
        <f>ROUND(E10+($A10-INDEX(新属性投放!$B$14:$B$34,属性汇总!$B10))*属性汇总!H10,0)</f>
        <v>29</v>
      </c>
      <c r="L10" s="14">
        <f>ROUND(F10+($A10-INDEX(新属性投放!$B$14:$B$34,属性汇总!$B10))*属性汇总!I10,0)</f>
        <v>460</v>
      </c>
      <c r="R10" s="13">
        <v>6</v>
      </c>
      <c r="S10" s="13">
        <v>1</v>
      </c>
      <c r="T10" s="14">
        <f>INDEX(新属性投放!$L$6:$L$10,$S$3)*INDEX(新属性投放!$Q$6:$Q$10,$U$3)</f>
        <v>1.1499999999999999</v>
      </c>
      <c r="U10" s="14">
        <f>INDEX(新属性投放!J$42:J$62,属性汇总!$S10)*$T10</f>
        <v>229.99999999999997</v>
      </c>
      <c r="V10" s="14">
        <f>INDEX(新属性投放!K$42:K$62,属性汇总!$S10)*$T10</f>
        <v>114.99999999999999</v>
      </c>
      <c r="W10" s="14">
        <f>INDEX(新属性投放!L$42:L$62,属性汇总!$S10)*$T10</f>
        <v>517.5</v>
      </c>
      <c r="X10" s="14">
        <f>INDEX(新属性投放!$D$42:$D$62,属性汇总!$S10)*$T10</f>
        <v>11.5</v>
      </c>
      <c r="Y10" s="14">
        <f>INDEX(新属性投放!$E$42:$E$62,属性汇总!$S10)*$T10</f>
        <v>5.75</v>
      </c>
      <c r="Z10" s="14">
        <f>INDEX(新属性投放!$F$42:$F$62,属性汇总!$S10)*$T10</f>
        <v>51.749999999999993</v>
      </c>
      <c r="AA10" s="14">
        <f>ROUND(U10+($R10-INDEX(新属性投放!$B$42:$B$62,属性汇总!$S10))*属性汇总!X10,0)</f>
        <v>288</v>
      </c>
      <c r="AB10" s="14">
        <f>ROUND(V10+($R10-INDEX(新属性投放!$B$42:$B$62,属性汇总!$S10))*属性汇总!Y10,0)</f>
        <v>144</v>
      </c>
      <c r="AC10" s="14">
        <f>ROUND(W10+($R10-INDEX(新属性投放!$B$42:$B$62,属性汇总!$S10))*属性汇总!Z10,0)</f>
        <v>776</v>
      </c>
      <c r="AD10" s="37"/>
    </row>
    <row r="11" spans="1:30" ht="16.5" x14ac:dyDescent="0.2">
      <c r="A11" s="13">
        <v>7</v>
      </c>
      <c r="B11" s="13">
        <v>1</v>
      </c>
      <c r="C11" s="14">
        <f>INDEX(新属性投放!$L$6:$L$10,属性汇总!$B$3)*INDEX(新属性投放!$Q$6:$Q$10,属性汇总!$D$3)</f>
        <v>1.1499999999999999</v>
      </c>
      <c r="D11" s="14">
        <f>INDEX(新属性投放!J$14:J$34,属性汇总!$B11)*$C11</f>
        <v>57.499999999999993</v>
      </c>
      <c r="E11" s="14">
        <f>INDEX(新属性投放!K$14:K$34,属性汇总!$B11)*$C11</f>
        <v>0</v>
      </c>
      <c r="F11" s="14">
        <f>INDEX(新属性投放!L$14:L$34,属性汇总!$B11)*$C11</f>
        <v>287.5</v>
      </c>
      <c r="G11" s="14">
        <f>INDEX(新属性投放!D$14:D$34,属性汇总!$B11)*$C11</f>
        <v>11.5</v>
      </c>
      <c r="H11" s="14">
        <f>INDEX(新属性投放!E$14:E$34,属性汇总!$B11)*$C11</f>
        <v>5.75</v>
      </c>
      <c r="I11" s="14">
        <f>INDEX(新属性投放!F$14:F$34,属性汇总!$B11)*$C11</f>
        <v>34.5</v>
      </c>
      <c r="J11" s="14">
        <f>ROUND(D11+($A11-INDEX(新属性投放!$B$14:$B$34,属性汇总!$B11))*属性汇总!G11,0)</f>
        <v>127</v>
      </c>
      <c r="K11" s="14">
        <f>ROUND(E11+($A11-INDEX(新属性投放!$B$14:$B$34,属性汇总!$B11))*属性汇总!H11,0)</f>
        <v>35</v>
      </c>
      <c r="L11" s="14">
        <f>ROUND(F11+($A11-INDEX(新属性投放!$B$14:$B$34,属性汇总!$B11))*属性汇总!I11,0)</f>
        <v>495</v>
      </c>
      <c r="R11" s="13">
        <v>7</v>
      </c>
      <c r="S11" s="13">
        <v>1</v>
      </c>
      <c r="T11" s="14">
        <f>INDEX(新属性投放!$L$6:$L$10,$S$3)*INDEX(新属性投放!$Q$6:$Q$10,$U$3)</f>
        <v>1.1499999999999999</v>
      </c>
      <c r="U11" s="14">
        <f>INDEX(新属性投放!J$42:J$62,属性汇总!$S11)*$T11</f>
        <v>229.99999999999997</v>
      </c>
      <c r="V11" s="14">
        <f>INDEX(新属性投放!K$42:K$62,属性汇总!$S11)*$T11</f>
        <v>114.99999999999999</v>
      </c>
      <c r="W11" s="14">
        <f>INDEX(新属性投放!L$42:L$62,属性汇总!$S11)*$T11</f>
        <v>517.5</v>
      </c>
      <c r="X11" s="14">
        <f>INDEX(新属性投放!$D$42:$D$62,属性汇总!$S11)*$T11</f>
        <v>11.5</v>
      </c>
      <c r="Y11" s="14">
        <f>INDEX(新属性投放!$E$42:$E$62,属性汇总!$S11)*$T11</f>
        <v>5.75</v>
      </c>
      <c r="Z11" s="14">
        <f>INDEX(新属性投放!$F$42:$F$62,属性汇总!$S11)*$T11</f>
        <v>51.749999999999993</v>
      </c>
      <c r="AA11" s="14">
        <f>ROUND(U11+($R11-INDEX(新属性投放!$B$42:$B$62,属性汇总!$S11))*属性汇总!X11,0)</f>
        <v>299</v>
      </c>
      <c r="AB11" s="14">
        <f>ROUND(V11+($R11-INDEX(新属性投放!$B$42:$B$62,属性汇总!$S11))*属性汇总!Y11,0)</f>
        <v>150</v>
      </c>
      <c r="AC11" s="14">
        <f>ROUND(W11+($R11-INDEX(新属性投放!$B$42:$B$62,属性汇总!$S11))*属性汇总!Z11,0)</f>
        <v>828</v>
      </c>
      <c r="AD11" s="37"/>
    </row>
    <row r="12" spans="1:30" ht="16.5" x14ac:dyDescent="0.2">
      <c r="A12" s="13">
        <v>8</v>
      </c>
      <c r="B12" s="13">
        <v>1</v>
      </c>
      <c r="C12" s="14">
        <f>INDEX(新属性投放!$L$6:$L$10,属性汇总!$B$3)*INDEX(新属性投放!$Q$6:$Q$10,属性汇总!$D$3)</f>
        <v>1.1499999999999999</v>
      </c>
      <c r="D12" s="14">
        <f>INDEX(新属性投放!J$14:J$34,属性汇总!$B12)*$C12</f>
        <v>57.499999999999993</v>
      </c>
      <c r="E12" s="14">
        <f>INDEX(新属性投放!K$14:K$34,属性汇总!$B12)*$C12</f>
        <v>0</v>
      </c>
      <c r="F12" s="14">
        <f>INDEX(新属性投放!L$14:L$34,属性汇总!$B12)*$C12</f>
        <v>287.5</v>
      </c>
      <c r="G12" s="14">
        <f>INDEX(新属性投放!D$14:D$34,属性汇总!$B12)*$C12</f>
        <v>11.5</v>
      </c>
      <c r="H12" s="14">
        <f>INDEX(新属性投放!E$14:E$34,属性汇总!$B12)*$C12</f>
        <v>5.75</v>
      </c>
      <c r="I12" s="14">
        <f>INDEX(新属性投放!F$14:F$34,属性汇总!$B12)*$C12</f>
        <v>34.5</v>
      </c>
      <c r="J12" s="14">
        <f>ROUND(D12+($A12-INDEX(新属性投放!$B$14:$B$34,属性汇总!$B12))*属性汇总!G12,0)</f>
        <v>138</v>
      </c>
      <c r="K12" s="14">
        <f>ROUND(E12+($A12-INDEX(新属性投放!$B$14:$B$34,属性汇总!$B12))*属性汇总!H12,0)</f>
        <v>40</v>
      </c>
      <c r="L12" s="14">
        <f>ROUND(F12+($A12-INDEX(新属性投放!$B$14:$B$34,属性汇总!$B12))*属性汇总!I12,0)</f>
        <v>529</v>
      </c>
      <c r="R12" s="13">
        <v>8</v>
      </c>
      <c r="S12" s="13">
        <v>1</v>
      </c>
      <c r="T12" s="14">
        <f>INDEX(新属性投放!$L$6:$L$10,$S$3)*INDEX(新属性投放!$Q$6:$Q$10,$U$3)</f>
        <v>1.1499999999999999</v>
      </c>
      <c r="U12" s="14">
        <f>INDEX(新属性投放!J$42:J$62,属性汇总!$S12)*$T12</f>
        <v>229.99999999999997</v>
      </c>
      <c r="V12" s="14">
        <f>INDEX(新属性投放!K$42:K$62,属性汇总!$S12)*$T12</f>
        <v>114.99999999999999</v>
      </c>
      <c r="W12" s="14">
        <f>INDEX(新属性投放!L$42:L$62,属性汇总!$S12)*$T12</f>
        <v>517.5</v>
      </c>
      <c r="X12" s="14">
        <f>INDEX(新属性投放!$D$42:$D$62,属性汇总!$S12)*$T12</f>
        <v>11.5</v>
      </c>
      <c r="Y12" s="14">
        <f>INDEX(新属性投放!$E$42:$E$62,属性汇总!$S12)*$T12</f>
        <v>5.75</v>
      </c>
      <c r="Z12" s="14">
        <f>INDEX(新属性投放!$F$42:$F$62,属性汇总!$S12)*$T12</f>
        <v>51.749999999999993</v>
      </c>
      <c r="AA12" s="14">
        <f>ROUND(U12+($R12-INDEX(新属性投放!$B$42:$B$62,属性汇总!$S12))*属性汇总!X12,0)</f>
        <v>311</v>
      </c>
      <c r="AB12" s="14">
        <f>ROUND(V12+($R12-INDEX(新属性投放!$B$42:$B$62,属性汇总!$S12))*属性汇总!Y12,0)</f>
        <v>155</v>
      </c>
      <c r="AC12" s="14">
        <f>ROUND(W12+($R12-INDEX(新属性投放!$B$42:$B$62,属性汇总!$S12))*属性汇总!Z12,0)</f>
        <v>880</v>
      </c>
      <c r="AD12" s="37"/>
    </row>
    <row r="13" spans="1:30" ht="16.5" x14ac:dyDescent="0.2">
      <c r="A13" s="13">
        <v>9</v>
      </c>
      <c r="B13" s="13">
        <v>1</v>
      </c>
      <c r="C13" s="14">
        <f>INDEX(新属性投放!$L$6:$L$10,属性汇总!$B$3)*INDEX(新属性投放!$Q$6:$Q$10,属性汇总!$D$3)</f>
        <v>1.1499999999999999</v>
      </c>
      <c r="D13" s="14">
        <f>INDEX(新属性投放!J$14:J$34,属性汇总!$B13)*$C13</f>
        <v>57.499999999999993</v>
      </c>
      <c r="E13" s="14">
        <f>INDEX(新属性投放!K$14:K$34,属性汇总!$B13)*$C13</f>
        <v>0</v>
      </c>
      <c r="F13" s="14">
        <f>INDEX(新属性投放!L$14:L$34,属性汇总!$B13)*$C13</f>
        <v>287.5</v>
      </c>
      <c r="G13" s="14">
        <f>INDEX(新属性投放!D$14:D$34,属性汇总!$B13)*$C13</f>
        <v>11.5</v>
      </c>
      <c r="H13" s="14">
        <f>INDEX(新属性投放!E$14:E$34,属性汇总!$B13)*$C13</f>
        <v>5.75</v>
      </c>
      <c r="I13" s="14">
        <f>INDEX(新属性投放!F$14:F$34,属性汇总!$B13)*$C13</f>
        <v>34.5</v>
      </c>
      <c r="J13" s="14">
        <f>ROUND(D13+($A13-INDEX(新属性投放!$B$14:$B$34,属性汇总!$B13))*属性汇总!G13,0)</f>
        <v>150</v>
      </c>
      <c r="K13" s="14">
        <f>ROUND(E13+($A13-INDEX(新属性投放!$B$14:$B$34,属性汇总!$B13))*属性汇总!H13,0)</f>
        <v>46</v>
      </c>
      <c r="L13" s="14">
        <f>ROUND(F13+($A13-INDEX(新属性投放!$B$14:$B$34,属性汇总!$B13))*属性汇总!I13,0)</f>
        <v>564</v>
      </c>
      <c r="R13" s="13">
        <v>9</v>
      </c>
      <c r="S13" s="13">
        <v>1</v>
      </c>
      <c r="T13" s="14">
        <f>INDEX(新属性投放!$L$6:$L$10,$S$3)*INDEX(新属性投放!$Q$6:$Q$10,$U$3)</f>
        <v>1.1499999999999999</v>
      </c>
      <c r="U13" s="14">
        <f>INDEX(新属性投放!J$42:J$62,属性汇总!$S13)*$T13</f>
        <v>229.99999999999997</v>
      </c>
      <c r="V13" s="14">
        <f>INDEX(新属性投放!K$42:K$62,属性汇总!$S13)*$T13</f>
        <v>114.99999999999999</v>
      </c>
      <c r="W13" s="14">
        <f>INDEX(新属性投放!L$42:L$62,属性汇总!$S13)*$T13</f>
        <v>517.5</v>
      </c>
      <c r="X13" s="14">
        <f>INDEX(新属性投放!$D$42:$D$62,属性汇总!$S13)*$T13</f>
        <v>11.5</v>
      </c>
      <c r="Y13" s="14">
        <f>INDEX(新属性投放!$E$42:$E$62,属性汇总!$S13)*$T13</f>
        <v>5.75</v>
      </c>
      <c r="Z13" s="14">
        <f>INDEX(新属性投放!$F$42:$F$62,属性汇总!$S13)*$T13</f>
        <v>51.749999999999993</v>
      </c>
      <c r="AA13" s="14">
        <f>ROUND(U13+($R13-INDEX(新属性投放!$B$42:$B$62,属性汇总!$S13))*属性汇总!X13,0)</f>
        <v>322</v>
      </c>
      <c r="AB13" s="14">
        <f>ROUND(V13+($R13-INDEX(新属性投放!$B$42:$B$62,属性汇总!$S13))*属性汇总!Y13,0)</f>
        <v>161</v>
      </c>
      <c r="AC13" s="14">
        <f>ROUND(W13+($R13-INDEX(新属性投放!$B$42:$B$62,属性汇总!$S13))*属性汇总!Z13,0)</f>
        <v>932</v>
      </c>
      <c r="AD13" s="37"/>
    </row>
    <row r="14" spans="1:30" ht="16.5" x14ac:dyDescent="0.2">
      <c r="A14" s="13">
        <v>10</v>
      </c>
      <c r="B14" s="13">
        <v>1</v>
      </c>
      <c r="C14" s="14">
        <f>INDEX(新属性投放!$L$6:$L$10,属性汇总!$B$3)*INDEX(新属性投放!$Q$6:$Q$10,属性汇总!$D$3)</f>
        <v>1.1499999999999999</v>
      </c>
      <c r="D14" s="14">
        <f>INDEX(新属性投放!J$14:J$34,属性汇总!$B14)*$C14</f>
        <v>57.499999999999993</v>
      </c>
      <c r="E14" s="14">
        <f>INDEX(新属性投放!K$14:K$34,属性汇总!$B14)*$C14</f>
        <v>0</v>
      </c>
      <c r="F14" s="14">
        <f>INDEX(新属性投放!L$14:L$34,属性汇总!$B14)*$C14</f>
        <v>287.5</v>
      </c>
      <c r="G14" s="14">
        <f>INDEX(新属性投放!D$14:D$34,属性汇总!$B14)*$C14</f>
        <v>11.5</v>
      </c>
      <c r="H14" s="14">
        <f>INDEX(新属性投放!E$14:E$34,属性汇总!$B14)*$C14</f>
        <v>5.75</v>
      </c>
      <c r="I14" s="14">
        <f>INDEX(新属性投放!F$14:F$34,属性汇总!$B14)*$C14</f>
        <v>34.5</v>
      </c>
      <c r="J14" s="14">
        <f>ROUND(D14+($A14-INDEX(新属性投放!$B$14:$B$34,属性汇总!$B14))*属性汇总!G14,0)</f>
        <v>161</v>
      </c>
      <c r="K14" s="14">
        <f>ROUND(E14+($A14-INDEX(新属性投放!$B$14:$B$34,属性汇总!$B14))*属性汇总!H14,0)</f>
        <v>52</v>
      </c>
      <c r="L14" s="14">
        <f>ROUND(F14+($A14-INDEX(新属性投放!$B$14:$B$34,属性汇总!$B14))*属性汇总!I14,0)</f>
        <v>598</v>
      </c>
      <c r="R14" s="13">
        <v>10</v>
      </c>
      <c r="S14" s="13">
        <v>1</v>
      </c>
      <c r="T14" s="14">
        <f>INDEX(新属性投放!$L$6:$L$10,$S$3)*INDEX(新属性投放!$Q$6:$Q$10,$U$3)</f>
        <v>1.1499999999999999</v>
      </c>
      <c r="U14" s="14">
        <f>INDEX(新属性投放!J$42:J$62,属性汇总!$S14)*$T14</f>
        <v>229.99999999999997</v>
      </c>
      <c r="V14" s="14">
        <f>INDEX(新属性投放!K$42:K$62,属性汇总!$S14)*$T14</f>
        <v>114.99999999999999</v>
      </c>
      <c r="W14" s="14">
        <f>INDEX(新属性投放!L$42:L$62,属性汇总!$S14)*$T14</f>
        <v>517.5</v>
      </c>
      <c r="X14" s="14">
        <f>INDEX(新属性投放!$D$42:$D$62,属性汇总!$S14)*$T14</f>
        <v>11.5</v>
      </c>
      <c r="Y14" s="14">
        <f>INDEX(新属性投放!$E$42:$E$62,属性汇总!$S14)*$T14</f>
        <v>5.75</v>
      </c>
      <c r="Z14" s="14">
        <f>INDEX(新属性投放!$F$42:$F$62,属性汇总!$S14)*$T14</f>
        <v>51.749999999999993</v>
      </c>
      <c r="AA14" s="14">
        <f>ROUND(U14+($R14-INDEX(新属性投放!$B$42:$B$62,属性汇总!$S14))*属性汇总!X14,0)</f>
        <v>334</v>
      </c>
      <c r="AB14" s="14">
        <f>ROUND(V14+($R14-INDEX(新属性投放!$B$42:$B$62,属性汇总!$S14))*属性汇总!Y14,0)</f>
        <v>167</v>
      </c>
      <c r="AC14" s="14">
        <f>ROUND(W14+($R14-INDEX(新属性投放!$B$42:$B$62,属性汇总!$S14))*属性汇总!Z14,0)</f>
        <v>983</v>
      </c>
      <c r="AD14" s="37"/>
    </row>
    <row r="15" spans="1:30" ht="16.5" x14ac:dyDescent="0.2">
      <c r="A15" s="13">
        <v>10</v>
      </c>
      <c r="B15" s="13">
        <v>2</v>
      </c>
      <c r="C15" s="14">
        <f>INDEX(新属性投放!$L$6:$L$10,属性汇总!$B$3)*INDEX(新属性投放!$Q$6:$Q$10,属性汇总!$D$3)</f>
        <v>1.1499999999999999</v>
      </c>
      <c r="D15" s="14">
        <f>INDEX(新属性投放!J$14:J$34,属性汇总!$B15)*$C15</f>
        <v>172.5</v>
      </c>
      <c r="E15" s="14">
        <f>INDEX(新属性投放!K$14:K$34,属性汇总!$B15)*$C15</f>
        <v>64.399999999999991</v>
      </c>
      <c r="F15" s="14">
        <f>INDEX(新属性投放!L$14:L$34,属性汇总!$B15)*$C15</f>
        <v>632.5</v>
      </c>
      <c r="G15" s="14">
        <f>INDEX(新属性投放!D$14:D$34,属性汇总!$B15)*$C15</f>
        <v>11.5</v>
      </c>
      <c r="H15" s="14">
        <f>INDEX(新属性投放!E$14:E$34,属性汇总!$B15)*$C15</f>
        <v>5.75</v>
      </c>
      <c r="I15" s="14">
        <f>INDEX(新属性投放!F$14:F$34,属性汇总!$B15)*$C15</f>
        <v>34.5</v>
      </c>
      <c r="J15" s="14">
        <f>ROUND(D15+($A15-INDEX(新属性投放!$B$14:$B$34,属性汇总!$B15))*属性汇总!G15,0)</f>
        <v>173</v>
      </c>
      <c r="K15" s="14">
        <f>ROUND(E15+($A15-INDEX(新属性投放!$B$14:$B$34,属性汇总!$B15))*属性汇总!H15,0)</f>
        <v>64</v>
      </c>
      <c r="L15" s="14">
        <f>ROUND(F15+($A15-INDEX(新属性投放!$B$14:$B$34,属性汇总!$B15))*属性汇总!I15,0)</f>
        <v>633</v>
      </c>
      <c r="R15" s="13">
        <v>10</v>
      </c>
      <c r="S15" s="13">
        <v>2</v>
      </c>
      <c r="T15" s="14">
        <f>INDEX(新属性投放!$L$6:$L$10,$S$3)*INDEX(新属性投放!$Q$6:$Q$10,$U$3)</f>
        <v>1.1499999999999999</v>
      </c>
      <c r="U15" s="14">
        <f>INDEX(新属性投放!J$42:J$62,属性汇总!$S15)*$T15</f>
        <v>362.25</v>
      </c>
      <c r="V15" s="14">
        <f>INDEX(新属性投放!K$42:K$62,属性汇总!$S15)*$T15</f>
        <v>178.25</v>
      </c>
      <c r="W15" s="14">
        <f>INDEX(新属性投放!L$42:L$62,属性汇总!$S15)*$T15</f>
        <v>1242</v>
      </c>
      <c r="X15" s="14">
        <f>INDEX(新属性投放!$D$42:$D$62,属性汇总!$S15)*$T15</f>
        <v>11.5</v>
      </c>
      <c r="Y15" s="14">
        <f>INDEX(新属性投放!$E$42:$E$62,属性汇总!$S15)*$T15</f>
        <v>5.75</v>
      </c>
      <c r="Z15" s="14">
        <f>INDEX(新属性投放!$F$42:$F$62,属性汇总!$S15)*$T15</f>
        <v>51.749999999999993</v>
      </c>
      <c r="AA15" s="14">
        <f>ROUND(U15+($R15-INDEX(新属性投放!$B$42:$B$62,属性汇总!$S15))*属性汇总!X15,0)</f>
        <v>362</v>
      </c>
      <c r="AB15" s="14">
        <f>ROUND(V15+($R15-INDEX(新属性投放!$B$42:$B$62,属性汇总!$S15))*属性汇总!Y15,0)</f>
        <v>178</v>
      </c>
      <c r="AC15" s="14">
        <f>ROUND(W15+($R15-INDEX(新属性投放!$B$42:$B$62,属性汇总!$S15))*属性汇总!Z15,0)</f>
        <v>1242</v>
      </c>
      <c r="AD15" s="37"/>
    </row>
    <row r="16" spans="1:30" ht="16.5" x14ac:dyDescent="0.2">
      <c r="A16" s="13">
        <v>11</v>
      </c>
      <c r="B16" s="13">
        <v>2</v>
      </c>
      <c r="C16" s="14">
        <f>INDEX(新属性投放!$L$6:$L$10,属性汇总!$B$3)*INDEX(新属性投放!$Q$6:$Q$10,属性汇总!$D$3)</f>
        <v>1.1499999999999999</v>
      </c>
      <c r="D16" s="14">
        <f>INDEX(新属性投放!J$14:J$34,属性汇总!$B16)*$C16</f>
        <v>172.5</v>
      </c>
      <c r="E16" s="14">
        <f>INDEX(新属性投放!K$14:K$34,属性汇总!$B16)*$C16</f>
        <v>64.399999999999991</v>
      </c>
      <c r="F16" s="14">
        <f>INDEX(新属性投放!L$14:L$34,属性汇总!$B16)*$C16</f>
        <v>632.5</v>
      </c>
      <c r="G16" s="14">
        <f>INDEX(新属性投放!D$14:D$34,属性汇总!$B16)*$C16</f>
        <v>11.5</v>
      </c>
      <c r="H16" s="14">
        <f>INDEX(新属性投放!E$14:E$34,属性汇总!$B16)*$C16</f>
        <v>5.75</v>
      </c>
      <c r="I16" s="14">
        <f>INDEX(新属性投放!F$14:F$34,属性汇总!$B16)*$C16</f>
        <v>34.5</v>
      </c>
      <c r="J16" s="14">
        <f>ROUND(D16+($A16-INDEX(新属性投放!$B$14:$B$34,属性汇总!$B16))*属性汇总!G16,0)</f>
        <v>184</v>
      </c>
      <c r="K16" s="14">
        <f>ROUND(E16+($A16-INDEX(新属性投放!$B$14:$B$34,属性汇总!$B16))*属性汇总!H16,0)</f>
        <v>70</v>
      </c>
      <c r="L16" s="14">
        <f>ROUND(F16+($A16-INDEX(新属性投放!$B$14:$B$34,属性汇总!$B16))*属性汇总!I16,0)</f>
        <v>667</v>
      </c>
      <c r="R16" s="13">
        <v>11</v>
      </c>
      <c r="S16" s="13">
        <v>2</v>
      </c>
      <c r="T16" s="14">
        <f>INDEX(新属性投放!$L$6:$L$10,$S$3)*INDEX(新属性投放!$Q$6:$Q$10,$U$3)</f>
        <v>1.1499999999999999</v>
      </c>
      <c r="U16" s="14">
        <f>INDEX(新属性投放!J$42:J$62,属性汇总!$S16)*$T16</f>
        <v>362.25</v>
      </c>
      <c r="V16" s="14">
        <f>INDEX(新属性投放!K$42:K$62,属性汇总!$S16)*$T16</f>
        <v>178.25</v>
      </c>
      <c r="W16" s="14">
        <f>INDEX(新属性投放!L$42:L$62,属性汇总!$S16)*$T16</f>
        <v>1242</v>
      </c>
      <c r="X16" s="14">
        <f>INDEX(新属性投放!$D$42:$D$62,属性汇总!$S16)*$T16</f>
        <v>11.5</v>
      </c>
      <c r="Y16" s="14">
        <f>INDEX(新属性投放!$E$42:$E$62,属性汇总!$S16)*$T16</f>
        <v>5.75</v>
      </c>
      <c r="Z16" s="14">
        <f>INDEX(新属性投放!$F$42:$F$62,属性汇总!$S16)*$T16</f>
        <v>51.749999999999993</v>
      </c>
      <c r="AA16" s="14">
        <f>ROUND(U16+($R16-INDEX(新属性投放!$B$42:$B$62,属性汇总!$S16))*属性汇总!X16,0)</f>
        <v>374</v>
      </c>
      <c r="AB16" s="14">
        <f>ROUND(V16+($R16-INDEX(新属性投放!$B$42:$B$62,属性汇总!$S16))*属性汇总!Y16,0)</f>
        <v>184</v>
      </c>
      <c r="AC16" s="14">
        <f>ROUND(W16+($R16-INDEX(新属性投放!$B$42:$B$62,属性汇总!$S16))*属性汇总!Z16,0)</f>
        <v>1294</v>
      </c>
      <c r="AD16" s="37"/>
    </row>
    <row r="17" spans="1:30" ht="16.5" x14ac:dyDescent="0.2">
      <c r="A17" s="13">
        <v>12</v>
      </c>
      <c r="B17" s="13">
        <v>2</v>
      </c>
      <c r="C17" s="14">
        <f>INDEX(新属性投放!$L$6:$L$10,属性汇总!$B$3)*INDEX(新属性投放!$Q$6:$Q$10,属性汇总!$D$3)</f>
        <v>1.1499999999999999</v>
      </c>
      <c r="D17" s="14">
        <f>INDEX(新属性投放!J$14:J$34,属性汇总!$B17)*$C17</f>
        <v>172.5</v>
      </c>
      <c r="E17" s="14">
        <f>INDEX(新属性投放!K$14:K$34,属性汇总!$B17)*$C17</f>
        <v>64.399999999999991</v>
      </c>
      <c r="F17" s="14">
        <f>INDEX(新属性投放!L$14:L$34,属性汇总!$B17)*$C17</f>
        <v>632.5</v>
      </c>
      <c r="G17" s="14">
        <f>INDEX(新属性投放!D$14:D$34,属性汇总!$B17)*$C17</f>
        <v>11.5</v>
      </c>
      <c r="H17" s="14">
        <f>INDEX(新属性投放!E$14:E$34,属性汇总!$B17)*$C17</f>
        <v>5.75</v>
      </c>
      <c r="I17" s="14">
        <f>INDEX(新属性投放!F$14:F$34,属性汇总!$B17)*$C17</f>
        <v>34.5</v>
      </c>
      <c r="J17" s="14">
        <f>ROUND(D17+($A17-INDEX(新属性投放!$B$14:$B$34,属性汇总!$B17))*属性汇总!G17,0)</f>
        <v>196</v>
      </c>
      <c r="K17" s="14">
        <f>ROUND(E17+($A17-INDEX(新属性投放!$B$14:$B$34,属性汇总!$B17))*属性汇总!H17,0)</f>
        <v>76</v>
      </c>
      <c r="L17" s="14">
        <f>ROUND(F17+($A17-INDEX(新属性投放!$B$14:$B$34,属性汇总!$B17))*属性汇总!I17,0)</f>
        <v>702</v>
      </c>
      <c r="R17" s="13">
        <v>12</v>
      </c>
      <c r="S17" s="13">
        <v>2</v>
      </c>
      <c r="T17" s="14">
        <f>INDEX(新属性投放!$L$6:$L$10,$S$3)*INDEX(新属性投放!$Q$6:$Q$10,$U$3)</f>
        <v>1.1499999999999999</v>
      </c>
      <c r="U17" s="14">
        <f>INDEX(新属性投放!J$42:J$62,属性汇总!$S17)*$T17</f>
        <v>362.25</v>
      </c>
      <c r="V17" s="14">
        <f>INDEX(新属性投放!K$42:K$62,属性汇总!$S17)*$T17</f>
        <v>178.25</v>
      </c>
      <c r="W17" s="14">
        <f>INDEX(新属性投放!L$42:L$62,属性汇总!$S17)*$T17</f>
        <v>1242</v>
      </c>
      <c r="X17" s="14">
        <f>INDEX(新属性投放!$D$42:$D$62,属性汇总!$S17)*$T17</f>
        <v>11.5</v>
      </c>
      <c r="Y17" s="14">
        <f>INDEX(新属性投放!$E$42:$E$62,属性汇总!$S17)*$T17</f>
        <v>5.75</v>
      </c>
      <c r="Z17" s="14">
        <f>INDEX(新属性投放!$F$42:$F$62,属性汇总!$S17)*$T17</f>
        <v>51.749999999999993</v>
      </c>
      <c r="AA17" s="14">
        <f>ROUND(U17+($R17-INDEX(新属性投放!$B$42:$B$62,属性汇总!$S17))*属性汇总!X17,0)</f>
        <v>385</v>
      </c>
      <c r="AB17" s="14">
        <f>ROUND(V17+($R17-INDEX(新属性投放!$B$42:$B$62,属性汇总!$S17))*属性汇总!Y17,0)</f>
        <v>190</v>
      </c>
      <c r="AC17" s="14">
        <f>ROUND(W17+($R17-INDEX(新属性投放!$B$42:$B$62,属性汇总!$S17))*属性汇总!Z17,0)</f>
        <v>1346</v>
      </c>
      <c r="AD17" s="37"/>
    </row>
    <row r="18" spans="1:30" ht="16.5" x14ac:dyDescent="0.2">
      <c r="A18" s="13">
        <v>13</v>
      </c>
      <c r="B18" s="13">
        <v>2</v>
      </c>
      <c r="C18" s="14">
        <f>INDEX(新属性投放!$L$6:$L$10,属性汇总!$B$3)*INDEX(新属性投放!$Q$6:$Q$10,属性汇总!$D$3)</f>
        <v>1.1499999999999999</v>
      </c>
      <c r="D18" s="14">
        <f>INDEX(新属性投放!J$14:J$34,属性汇总!$B18)*$C18</f>
        <v>172.5</v>
      </c>
      <c r="E18" s="14">
        <f>INDEX(新属性投放!K$14:K$34,属性汇总!$B18)*$C18</f>
        <v>64.399999999999991</v>
      </c>
      <c r="F18" s="14">
        <f>INDEX(新属性投放!L$14:L$34,属性汇总!$B18)*$C18</f>
        <v>632.5</v>
      </c>
      <c r="G18" s="14">
        <f>INDEX(新属性投放!D$14:D$34,属性汇总!$B18)*$C18</f>
        <v>11.5</v>
      </c>
      <c r="H18" s="14">
        <f>INDEX(新属性投放!E$14:E$34,属性汇总!$B18)*$C18</f>
        <v>5.75</v>
      </c>
      <c r="I18" s="14">
        <f>INDEX(新属性投放!F$14:F$34,属性汇总!$B18)*$C18</f>
        <v>34.5</v>
      </c>
      <c r="J18" s="14">
        <f>ROUND(D18+($A18-INDEX(新属性投放!$B$14:$B$34,属性汇总!$B18))*属性汇总!G18,0)</f>
        <v>207</v>
      </c>
      <c r="K18" s="14">
        <f>ROUND(E18+($A18-INDEX(新属性投放!$B$14:$B$34,属性汇总!$B18))*属性汇总!H18,0)</f>
        <v>82</v>
      </c>
      <c r="L18" s="14">
        <f>ROUND(F18+($A18-INDEX(新属性投放!$B$14:$B$34,属性汇总!$B18))*属性汇总!I18,0)</f>
        <v>736</v>
      </c>
      <c r="R18" s="13">
        <v>13</v>
      </c>
      <c r="S18" s="13">
        <v>2</v>
      </c>
      <c r="T18" s="14">
        <f>INDEX(新属性投放!$L$6:$L$10,$S$3)*INDEX(新属性投放!$Q$6:$Q$10,$U$3)</f>
        <v>1.1499999999999999</v>
      </c>
      <c r="U18" s="14">
        <f>INDEX(新属性投放!J$42:J$62,属性汇总!$S18)*$T18</f>
        <v>362.25</v>
      </c>
      <c r="V18" s="14">
        <f>INDEX(新属性投放!K$42:K$62,属性汇总!$S18)*$T18</f>
        <v>178.25</v>
      </c>
      <c r="W18" s="14">
        <f>INDEX(新属性投放!L$42:L$62,属性汇总!$S18)*$T18</f>
        <v>1242</v>
      </c>
      <c r="X18" s="14">
        <f>INDEX(新属性投放!$D$42:$D$62,属性汇总!$S18)*$T18</f>
        <v>11.5</v>
      </c>
      <c r="Y18" s="14">
        <f>INDEX(新属性投放!$E$42:$E$62,属性汇总!$S18)*$T18</f>
        <v>5.75</v>
      </c>
      <c r="Z18" s="14">
        <f>INDEX(新属性投放!$F$42:$F$62,属性汇总!$S18)*$T18</f>
        <v>51.749999999999993</v>
      </c>
      <c r="AA18" s="14">
        <f>ROUND(U18+($R18-INDEX(新属性投放!$B$42:$B$62,属性汇总!$S18))*属性汇总!X18,0)</f>
        <v>397</v>
      </c>
      <c r="AB18" s="14">
        <f>ROUND(V18+($R18-INDEX(新属性投放!$B$42:$B$62,属性汇总!$S18))*属性汇总!Y18,0)</f>
        <v>196</v>
      </c>
      <c r="AC18" s="14">
        <f>ROUND(W18+($R18-INDEX(新属性投放!$B$42:$B$62,属性汇总!$S18))*属性汇总!Z18,0)</f>
        <v>1397</v>
      </c>
      <c r="AD18" s="37"/>
    </row>
    <row r="19" spans="1:30" ht="16.5" x14ac:dyDescent="0.2">
      <c r="A19" s="13">
        <v>14</v>
      </c>
      <c r="B19" s="13">
        <v>2</v>
      </c>
      <c r="C19" s="14">
        <f>INDEX(新属性投放!$L$6:$L$10,属性汇总!$B$3)*INDEX(新属性投放!$Q$6:$Q$10,属性汇总!$D$3)</f>
        <v>1.1499999999999999</v>
      </c>
      <c r="D19" s="14">
        <f>INDEX(新属性投放!J$14:J$34,属性汇总!$B19)*$C19</f>
        <v>172.5</v>
      </c>
      <c r="E19" s="14">
        <f>INDEX(新属性投放!K$14:K$34,属性汇总!$B19)*$C19</f>
        <v>64.399999999999991</v>
      </c>
      <c r="F19" s="14">
        <f>INDEX(新属性投放!L$14:L$34,属性汇总!$B19)*$C19</f>
        <v>632.5</v>
      </c>
      <c r="G19" s="14">
        <f>INDEX(新属性投放!D$14:D$34,属性汇总!$B19)*$C19</f>
        <v>11.5</v>
      </c>
      <c r="H19" s="14">
        <f>INDEX(新属性投放!E$14:E$34,属性汇总!$B19)*$C19</f>
        <v>5.75</v>
      </c>
      <c r="I19" s="14">
        <f>INDEX(新属性投放!F$14:F$34,属性汇总!$B19)*$C19</f>
        <v>34.5</v>
      </c>
      <c r="J19" s="14">
        <f>ROUND(D19+($A19-INDEX(新属性投放!$B$14:$B$34,属性汇总!$B19))*属性汇总!G19,0)</f>
        <v>219</v>
      </c>
      <c r="K19" s="14">
        <f>ROUND(E19+($A19-INDEX(新属性投放!$B$14:$B$34,属性汇总!$B19))*属性汇总!H19,0)</f>
        <v>87</v>
      </c>
      <c r="L19" s="14">
        <f>ROUND(F19+($A19-INDEX(新属性投放!$B$14:$B$34,属性汇总!$B19))*属性汇总!I19,0)</f>
        <v>771</v>
      </c>
      <c r="R19" s="13">
        <v>14</v>
      </c>
      <c r="S19" s="13">
        <v>2</v>
      </c>
      <c r="T19" s="14">
        <f>INDEX(新属性投放!$L$6:$L$10,$S$3)*INDEX(新属性投放!$Q$6:$Q$10,$U$3)</f>
        <v>1.1499999999999999</v>
      </c>
      <c r="U19" s="14">
        <f>INDEX(新属性投放!J$42:J$62,属性汇总!$S19)*$T19</f>
        <v>362.25</v>
      </c>
      <c r="V19" s="14">
        <f>INDEX(新属性投放!K$42:K$62,属性汇总!$S19)*$T19</f>
        <v>178.25</v>
      </c>
      <c r="W19" s="14">
        <f>INDEX(新属性投放!L$42:L$62,属性汇总!$S19)*$T19</f>
        <v>1242</v>
      </c>
      <c r="X19" s="14">
        <f>INDEX(新属性投放!$D$42:$D$62,属性汇总!$S19)*$T19</f>
        <v>11.5</v>
      </c>
      <c r="Y19" s="14">
        <f>INDEX(新属性投放!$E$42:$E$62,属性汇总!$S19)*$T19</f>
        <v>5.75</v>
      </c>
      <c r="Z19" s="14">
        <f>INDEX(新属性投放!$F$42:$F$62,属性汇总!$S19)*$T19</f>
        <v>51.749999999999993</v>
      </c>
      <c r="AA19" s="14">
        <f>ROUND(U19+($R19-INDEX(新属性投放!$B$42:$B$62,属性汇总!$S19))*属性汇总!X19,0)</f>
        <v>408</v>
      </c>
      <c r="AB19" s="14">
        <f>ROUND(V19+($R19-INDEX(新属性投放!$B$42:$B$62,属性汇总!$S19))*属性汇总!Y19,0)</f>
        <v>201</v>
      </c>
      <c r="AC19" s="14">
        <f>ROUND(W19+($R19-INDEX(新属性投放!$B$42:$B$62,属性汇总!$S19))*属性汇总!Z19,0)</f>
        <v>1449</v>
      </c>
      <c r="AD19" s="37"/>
    </row>
    <row r="20" spans="1:30" s="20" customFormat="1" ht="16.5" x14ac:dyDescent="0.2">
      <c r="A20" s="13">
        <v>15</v>
      </c>
      <c r="B20" s="13">
        <v>2</v>
      </c>
      <c r="C20" s="14">
        <f>INDEX(新属性投放!$L$6:$L$10,属性汇总!$B$3)*INDEX(新属性投放!$Q$6:$Q$10,属性汇总!$D$3)</f>
        <v>1.1499999999999999</v>
      </c>
      <c r="D20" s="14">
        <f>INDEX(新属性投放!J$14:J$34,属性汇总!$B20)*$C20</f>
        <v>172.5</v>
      </c>
      <c r="E20" s="14">
        <f>INDEX(新属性投放!K$14:K$34,属性汇总!$B20)*$C20</f>
        <v>64.399999999999991</v>
      </c>
      <c r="F20" s="14">
        <f>INDEX(新属性投放!L$14:L$34,属性汇总!$B20)*$C20</f>
        <v>632.5</v>
      </c>
      <c r="G20" s="14">
        <f>INDEX(新属性投放!D$14:D$34,属性汇总!$B20)*$C20</f>
        <v>11.5</v>
      </c>
      <c r="H20" s="14">
        <f>INDEX(新属性投放!E$14:E$34,属性汇总!$B20)*$C20</f>
        <v>5.75</v>
      </c>
      <c r="I20" s="14">
        <f>INDEX(新属性投放!F$14:F$34,属性汇总!$B20)*$C20</f>
        <v>34.5</v>
      </c>
      <c r="J20" s="14">
        <f>ROUND(D20+($A20-INDEX(新属性投放!$B$14:$B$34,属性汇总!$B20))*属性汇总!G20,0)</f>
        <v>230</v>
      </c>
      <c r="K20" s="14">
        <f>ROUND(E20+($A20-INDEX(新属性投放!$B$14:$B$34,属性汇总!$B20))*属性汇总!H20,0)</f>
        <v>93</v>
      </c>
      <c r="L20" s="14">
        <f>ROUND(F20+($A20-INDEX(新属性投放!$B$14:$B$34,属性汇总!$B20))*属性汇总!I20,0)</f>
        <v>805</v>
      </c>
      <c r="N20" s="37"/>
      <c r="O20" s="37"/>
      <c r="P20" s="37"/>
      <c r="R20" s="13">
        <v>15</v>
      </c>
      <c r="S20" s="13">
        <v>2</v>
      </c>
      <c r="T20" s="14">
        <f>INDEX(新属性投放!$L$6:$L$10,$S$3)*INDEX(新属性投放!$Q$6:$Q$10,$U$3)</f>
        <v>1.1499999999999999</v>
      </c>
      <c r="U20" s="14">
        <f>INDEX(新属性投放!J$42:J$62,属性汇总!$S20)*$T20</f>
        <v>362.25</v>
      </c>
      <c r="V20" s="14">
        <f>INDEX(新属性投放!K$42:K$62,属性汇总!$S20)*$T20</f>
        <v>178.25</v>
      </c>
      <c r="W20" s="14">
        <f>INDEX(新属性投放!L$42:L$62,属性汇总!$S20)*$T20</f>
        <v>1242</v>
      </c>
      <c r="X20" s="14">
        <f>INDEX(新属性投放!$D$42:$D$62,属性汇总!$S20)*$T20</f>
        <v>11.5</v>
      </c>
      <c r="Y20" s="14">
        <f>INDEX(新属性投放!$E$42:$E$62,属性汇总!$S20)*$T20</f>
        <v>5.75</v>
      </c>
      <c r="Z20" s="14">
        <f>INDEX(新属性投放!$F$42:$F$62,属性汇总!$S20)*$T20</f>
        <v>51.749999999999993</v>
      </c>
      <c r="AA20" s="14">
        <f>ROUND(U20+($R20-INDEX(新属性投放!$B$42:$B$62,属性汇总!$S20))*属性汇总!X20,0)</f>
        <v>420</v>
      </c>
      <c r="AB20" s="14">
        <f>ROUND(V20+($R20-INDEX(新属性投放!$B$42:$B$62,属性汇总!$S20))*属性汇总!Y20,0)</f>
        <v>207</v>
      </c>
      <c r="AC20" s="14">
        <f>ROUND(W20+($R20-INDEX(新属性投放!$B$42:$B$62,属性汇总!$S20))*属性汇总!Z20,0)</f>
        <v>1501</v>
      </c>
      <c r="AD20" s="37"/>
    </row>
    <row r="21" spans="1:30" ht="16.5" x14ac:dyDescent="0.2">
      <c r="A21" s="13">
        <v>16</v>
      </c>
      <c r="B21" s="13">
        <v>2</v>
      </c>
      <c r="C21" s="14">
        <f>INDEX(新属性投放!$L$6:$L$10,属性汇总!$B$3)*INDEX(新属性投放!$Q$6:$Q$10,属性汇总!$D$3)</f>
        <v>1.1499999999999999</v>
      </c>
      <c r="D21" s="14">
        <f>INDEX(新属性投放!J$14:J$34,属性汇总!$B21)*$C21</f>
        <v>172.5</v>
      </c>
      <c r="E21" s="14">
        <f>INDEX(新属性投放!K$14:K$34,属性汇总!$B21)*$C21</f>
        <v>64.399999999999991</v>
      </c>
      <c r="F21" s="14">
        <f>INDEX(新属性投放!L$14:L$34,属性汇总!$B21)*$C21</f>
        <v>632.5</v>
      </c>
      <c r="G21" s="14">
        <f>INDEX(新属性投放!D$14:D$34,属性汇总!$B21)*$C21</f>
        <v>11.5</v>
      </c>
      <c r="H21" s="14">
        <f>INDEX(新属性投放!E$14:E$34,属性汇总!$B21)*$C21</f>
        <v>5.75</v>
      </c>
      <c r="I21" s="14">
        <f>INDEX(新属性投放!F$14:F$34,属性汇总!$B21)*$C21</f>
        <v>34.5</v>
      </c>
      <c r="J21" s="14">
        <f>ROUND(D21+($A21-INDEX(新属性投放!$B$14:$B$34,属性汇总!$B21))*属性汇总!G21,0)</f>
        <v>242</v>
      </c>
      <c r="K21" s="14">
        <f>ROUND(E21+($A21-INDEX(新属性投放!$B$14:$B$34,属性汇总!$B21))*属性汇总!H21,0)</f>
        <v>99</v>
      </c>
      <c r="L21" s="14">
        <f>ROUND(F21+($A21-INDEX(新属性投放!$B$14:$B$34,属性汇总!$B21))*属性汇总!I21,0)</f>
        <v>840</v>
      </c>
      <c r="R21" s="13">
        <v>16</v>
      </c>
      <c r="S21" s="13">
        <v>2</v>
      </c>
      <c r="T21" s="14">
        <f>INDEX(新属性投放!$L$6:$L$10,$S$3)*INDEX(新属性投放!$Q$6:$Q$10,$U$3)</f>
        <v>1.1499999999999999</v>
      </c>
      <c r="U21" s="14">
        <f>INDEX(新属性投放!J$42:J$62,属性汇总!$S21)*$T21</f>
        <v>362.25</v>
      </c>
      <c r="V21" s="14">
        <f>INDEX(新属性投放!K$42:K$62,属性汇总!$S21)*$T21</f>
        <v>178.25</v>
      </c>
      <c r="W21" s="14">
        <f>INDEX(新属性投放!L$42:L$62,属性汇总!$S21)*$T21</f>
        <v>1242</v>
      </c>
      <c r="X21" s="14">
        <f>INDEX(新属性投放!$D$42:$D$62,属性汇总!$S21)*$T21</f>
        <v>11.5</v>
      </c>
      <c r="Y21" s="14">
        <f>INDEX(新属性投放!$E$42:$E$62,属性汇总!$S21)*$T21</f>
        <v>5.75</v>
      </c>
      <c r="Z21" s="14">
        <f>INDEX(新属性投放!$F$42:$F$62,属性汇总!$S21)*$T21</f>
        <v>51.749999999999993</v>
      </c>
      <c r="AA21" s="14">
        <f>ROUND(U21+($R21-INDEX(新属性投放!$B$42:$B$62,属性汇总!$S21))*属性汇总!X21,0)</f>
        <v>431</v>
      </c>
      <c r="AB21" s="14">
        <f>ROUND(V21+($R21-INDEX(新属性投放!$B$42:$B$62,属性汇总!$S21))*属性汇总!Y21,0)</f>
        <v>213</v>
      </c>
      <c r="AC21" s="14">
        <f>ROUND(W21+($R21-INDEX(新属性投放!$B$42:$B$62,属性汇总!$S21))*属性汇总!Z21,0)</f>
        <v>1553</v>
      </c>
      <c r="AD21" s="37"/>
    </row>
    <row r="22" spans="1:30" ht="16.5" x14ac:dyDescent="0.2">
      <c r="A22" s="13">
        <v>17</v>
      </c>
      <c r="B22" s="13">
        <v>2</v>
      </c>
      <c r="C22" s="14">
        <f>INDEX(新属性投放!$L$6:$L$10,属性汇总!$B$3)*INDEX(新属性投放!$Q$6:$Q$10,属性汇总!$D$3)</f>
        <v>1.1499999999999999</v>
      </c>
      <c r="D22" s="14">
        <f>INDEX(新属性投放!J$14:J$34,属性汇总!$B22)*$C22</f>
        <v>172.5</v>
      </c>
      <c r="E22" s="14">
        <f>INDEX(新属性投放!K$14:K$34,属性汇总!$B22)*$C22</f>
        <v>64.399999999999991</v>
      </c>
      <c r="F22" s="14">
        <f>INDEX(新属性投放!L$14:L$34,属性汇总!$B22)*$C22</f>
        <v>632.5</v>
      </c>
      <c r="G22" s="14">
        <f>INDEX(新属性投放!D$14:D$34,属性汇总!$B22)*$C22</f>
        <v>11.5</v>
      </c>
      <c r="H22" s="14">
        <f>INDEX(新属性投放!E$14:E$34,属性汇总!$B22)*$C22</f>
        <v>5.75</v>
      </c>
      <c r="I22" s="14">
        <f>INDEX(新属性投放!F$14:F$34,属性汇总!$B22)*$C22</f>
        <v>34.5</v>
      </c>
      <c r="J22" s="14">
        <f>ROUND(D22+($A22-INDEX(新属性投放!$B$14:$B$34,属性汇总!$B22))*属性汇总!G22,0)</f>
        <v>253</v>
      </c>
      <c r="K22" s="14">
        <f>ROUND(E22+($A22-INDEX(新属性投放!$B$14:$B$34,属性汇总!$B22))*属性汇总!H22,0)</f>
        <v>105</v>
      </c>
      <c r="L22" s="14">
        <f>ROUND(F22+($A22-INDEX(新属性投放!$B$14:$B$34,属性汇总!$B22))*属性汇总!I22,0)</f>
        <v>874</v>
      </c>
      <c r="R22" s="13">
        <v>17</v>
      </c>
      <c r="S22" s="13">
        <v>2</v>
      </c>
      <c r="T22" s="14">
        <f>INDEX(新属性投放!$L$6:$L$10,$S$3)*INDEX(新属性投放!$Q$6:$Q$10,$U$3)</f>
        <v>1.1499999999999999</v>
      </c>
      <c r="U22" s="14">
        <f>INDEX(新属性投放!J$42:J$62,属性汇总!$S22)*$T22</f>
        <v>362.25</v>
      </c>
      <c r="V22" s="14">
        <f>INDEX(新属性投放!K$42:K$62,属性汇总!$S22)*$T22</f>
        <v>178.25</v>
      </c>
      <c r="W22" s="14">
        <f>INDEX(新属性投放!L$42:L$62,属性汇总!$S22)*$T22</f>
        <v>1242</v>
      </c>
      <c r="X22" s="14">
        <f>INDEX(新属性投放!$D$42:$D$62,属性汇总!$S22)*$T22</f>
        <v>11.5</v>
      </c>
      <c r="Y22" s="14">
        <f>INDEX(新属性投放!$E$42:$E$62,属性汇总!$S22)*$T22</f>
        <v>5.75</v>
      </c>
      <c r="Z22" s="14">
        <f>INDEX(新属性投放!$F$42:$F$62,属性汇总!$S22)*$T22</f>
        <v>51.749999999999993</v>
      </c>
      <c r="AA22" s="14">
        <f>ROUND(U22+($R22-INDEX(新属性投放!$B$42:$B$62,属性汇总!$S22))*属性汇总!X22,0)</f>
        <v>443</v>
      </c>
      <c r="AB22" s="14">
        <f>ROUND(V22+($R22-INDEX(新属性投放!$B$42:$B$62,属性汇总!$S22))*属性汇总!Y22,0)</f>
        <v>219</v>
      </c>
      <c r="AC22" s="14">
        <f>ROUND(W22+($R22-INDEX(新属性投放!$B$42:$B$62,属性汇总!$S22))*属性汇总!Z22,0)</f>
        <v>1604</v>
      </c>
      <c r="AD22" s="37"/>
    </row>
    <row r="23" spans="1:30" ht="16.5" x14ac:dyDescent="0.2">
      <c r="A23" s="13">
        <v>18</v>
      </c>
      <c r="B23" s="13">
        <v>2</v>
      </c>
      <c r="C23" s="14">
        <f>INDEX(新属性投放!$L$6:$L$10,属性汇总!$B$3)*INDEX(新属性投放!$Q$6:$Q$10,属性汇总!$D$3)</f>
        <v>1.1499999999999999</v>
      </c>
      <c r="D23" s="14">
        <f>INDEX(新属性投放!J$14:J$34,属性汇总!$B23)*$C23</f>
        <v>172.5</v>
      </c>
      <c r="E23" s="14">
        <f>INDEX(新属性投放!K$14:K$34,属性汇总!$B23)*$C23</f>
        <v>64.399999999999991</v>
      </c>
      <c r="F23" s="14">
        <f>INDEX(新属性投放!L$14:L$34,属性汇总!$B23)*$C23</f>
        <v>632.5</v>
      </c>
      <c r="G23" s="14">
        <f>INDEX(新属性投放!D$14:D$34,属性汇总!$B23)*$C23</f>
        <v>11.5</v>
      </c>
      <c r="H23" s="14">
        <f>INDEX(新属性投放!E$14:E$34,属性汇总!$B23)*$C23</f>
        <v>5.75</v>
      </c>
      <c r="I23" s="14">
        <f>INDEX(新属性投放!F$14:F$34,属性汇总!$B23)*$C23</f>
        <v>34.5</v>
      </c>
      <c r="J23" s="14">
        <f>ROUND(D23+($A23-INDEX(新属性投放!$B$14:$B$34,属性汇总!$B23))*属性汇总!G23,0)</f>
        <v>265</v>
      </c>
      <c r="K23" s="14">
        <f>ROUND(E23+($A23-INDEX(新属性投放!$B$14:$B$34,属性汇总!$B23))*属性汇总!H23,0)</f>
        <v>110</v>
      </c>
      <c r="L23" s="14">
        <f>ROUND(F23+($A23-INDEX(新属性投放!$B$14:$B$34,属性汇总!$B23))*属性汇总!I23,0)</f>
        <v>909</v>
      </c>
      <c r="R23" s="13">
        <v>18</v>
      </c>
      <c r="S23" s="13">
        <v>2</v>
      </c>
      <c r="T23" s="14">
        <f>INDEX(新属性投放!$L$6:$L$10,$S$3)*INDEX(新属性投放!$Q$6:$Q$10,$U$3)</f>
        <v>1.1499999999999999</v>
      </c>
      <c r="U23" s="14">
        <f>INDEX(新属性投放!J$42:J$62,属性汇总!$S23)*$T23</f>
        <v>362.25</v>
      </c>
      <c r="V23" s="14">
        <f>INDEX(新属性投放!K$42:K$62,属性汇总!$S23)*$T23</f>
        <v>178.25</v>
      </c>
      <c r="W23" s="14">
        <f>INDEX(新属性投放!L$42:L$62,属性汇总!$S23)*$T23</f>
        <v>1242</v>
      </c>
      <c r="X23" s="14">
        <f>INDEX(新属性投放!$D$42:$D$62,属性汇总!$S23)*$T23</f>
        <v>11.5</v>
      </c>
      <c r="Y23" s="14">
        <f>INDEX(新属性投放!$E$42:$E$62,属性汇总!$S23)*$T23</f>
        <v>5.75</v>
      </c>
      <c r="Z23" s="14">
        <f>INDEX(新属性投放!$F$42:$F$62,属性汇总!$S23)*$T23</f>
        <v>51.749999999999993</v>
      </c>
      <c r="AA23" s="14">
        <f>ROUND(U23+($R23-INDEX(新属性投放!$B$42:$B$62,属性汇总!$S23))*属性汇总!X23,0)</f>
        <v>454</v>
      </c>
      <c r="AB23" s="14">
        <f>ROUND(V23+($R23-INDEX(新属性投放!$B$42:$B$62,属性汇总!$S23))*属性汇总!Y23,0)</f>
        <v>224</v>
      </c>
      <c r="AC23" s="14">
        <f>ROUND(W23+($R23-INDEX(新属性投放!$B$42:$B$62,属性汇总!$S23))*属性汇总!Z23,0)</f>
        <v>1656</v>
      </c>
      <c r="AD23" s="37"/>
    </row>
    <row r="24" spans="1:30" ht="16.5" x14ac:dyDescent="0.2">
      <c r="A24" s="13">
        <v>19</v>
      </c>
      <c r="B24" s="13">
        <v>2</v>
      </c>
      <c r="C24" s="14">
        <f>INDEX(新属性投放!$L$6:$L$10,属性汇总!$B$3)*INDEX(新属性投放!$Q$6:$Q$10,属性汇总!$D$3)</f>
        <v>1.1499999999999999</v>
      </c>
      <c r="D24" s="14">
        <f>INDEX(新属性投放!J$14:J$34,属性汇总!$B24)*$C24</f>
        <v>172.5</v>
      </c>
      <c r="E24" s="14">
        <f>INDEX(新属性投放!K$14:K$34,属性汇总!$B24)*$C24</f>
        <v>64.399999999999991</v>
      </c>
      <c r="F24" s="14">
        <f>INDEX(新属性投放!L$14:L$34,属性汇总!$B24)*$C24</f>
        <v>632.5</v>
      </c>
      <c r="G24" s="14">
        <f>INDEX(新属性投放!D$14:D$34,属性汇总!$B24)*$C24</f>
        <v>11.5</v>
      </c>
      <c r="H24" s="14">
        <f>INDEX(新属性投放!E$14:E$34,属性汇总!$B24)*$C24</f>
        <v>5.75</v>
      </c>
      <c r="I24" s="14">
        <f>INDEX(新属性投放!F$14:F$34,属性汇总!$B24)*$C24</f>
        <v>34.5</v>
      </c>
      <c r="J24" s="14">
        <f>ROUND(D24+($A24-INDEX(新属性投放!$B$14:$B$34,属性汇总!$B24))*属性汇总!G24,0)</f>
        <v>276</v>
      </c>
      <c r="K24" s="14">
        <f>ROUND(E24+($A24-INDEX(新属性投放!$B$14:$B$34,属性汇总!$B24))*属性汇总!H24,0)</f>
        <v>116</v>
      </c>
      <c r="L24" s="14">
        <f>ROUND(F24+($A24-INDEX(新属性投放!$B$14:$B$34,属性汇总!$B24))*属性汇总!I24,0)</f>
        <v>943</v>
      </c>
      <c r="R24" s="13">
        <v>19</v>
      </c>
      <c r="S24" s="13">
        <v>2</v>
      </c>
      <c r="T24" s="14">
        <f>INDEX(新属性投放!$L$6:$L$10,$S$3)*INDEX(新属性投放!$Q$6:$Q$10,$U$3)</f>
        <v>1.1499999999999999</v>
      </c>
      <c r="U24" s="14">
        <f>INDEX(新属性投放!J$42:J$62,属性汇总!$S24)*$T24</f>
        <v>362.25</v>
      </c>
      <c r="V24" s="14">
        <f>INDEX(新属性投放!K$42:K$62,属性汇总!$S24)*$T24</f>
        <v>178.25</v>
      </c>
      <c r="W24" s="14">
        <f>INDEX(新属性投放!L$42:L$62,属性汇总!$S24)*$T24</f>
        <v>1242</v>
      </c>
      <c r="X24" s="14">
        <f>INDEX(新属性投放!$D$42:$D$62,属性汇总!$S24)*$T24</f>
        <v>11.5</v>
      </c>
      <c r="Y24" s="14">
        <f>INDEX(新属性投放!$E$42:$E$62,属性汇总!$S24)*$T24</f>
        <v>5.75</v>
      </c>
      <c r="Z24" s="14">
        <f>INDEX(新属性投放!$F$42:$F$62,属性汇总!$S24)*$T24</f>
        <v>51.749999999999993</v>
      </c>
      <c r="AA24" s="14">
        <f>ROUND(U24+($R24-INDEX(新属性投放!$B$42:$B$62,属性汇总!$S24))*属性汇总!X24,0)</f>
        <v>466</v>
      </c>
      <c r="AB24" s="14">
        <f>ROUND(V24+($R24-INDEX(新属性投放!$B$42:$B$62,属性汇总!$S24))*属性汇总!Y24,0)</f>
        <v>230</v>
      </c>
      <c r="AC24" s="14">
        <f>ROUND(W24+($R24-INDEX(新属性投放!$B$42:$B$62,属性汇总!$S24))*属性汇总!Z24,0)</f>
        <v>1708</v>
      </c>
      <c r="AD24" s="37"/>
    </row>
    <row r="25" spans="1:30" ht="16.5" x14ac:dyDescent="0.2">
      <c r="A25" s="13">
        <v>20</v>
      </c>
      <c r="B25" s="13">
        <v>2</v>
      </c>
      <c r="C25" s="14">
        <f>INDEX(新属性投放!$L$6:$L$10,属性汇总!$B$3)*INDEX(新属性投放!$Q$6:$Q$10,属性汇总!$D$3)</f>
        <v>1.1499999999999999</v>
      </c>
      <c r="D25" s="14">
        <f>INDEX(新属性投放!J$14:J$34,属性汇总!$B25)*$C25</f>
        <v>172.5</v>
      </c>
      <c r="E25" s="14">
        <f>INDEX(新属性投放!K$14:K$34,属性汇总!$B25)*$C25</f>
        <v>64.399999999999991</v>
      </c>
      <c r="F25" s="14">
        <f>INDEX(新属性投放!L$14:L$34,属性汇总!$B25)*$C25</f>
        <v>632.5</v>
      </c>
      <c r="G25" s="14">
        <f>INDEX(新属性投放!D$14:D$34,属性汇总!$B25)*$C25</f>
        <v>11.5</v>
      </c>
      <c r="H25" s="14">
        <f>INDEX(新属性投放!E$14:E$34,属性汇总!$B25)*$C25</f>
        <v>5.75</v>
      </c>
      <c r="I25" s="14">
        <f>INDEX(新属性投放!F$14:F$34,属性汇总!$B25)*$C25</f>
        <v>34.5</v>
      </c>
      <c r="J25" s="14">
        <f>ROUND(D25+($A25-INDEX(新属性投放!$B$14:$B$34,属性汇总!$B25))*属性汇总!G25,0)</f>
        <v>288</v>
      </c>
      <c r="K25" s="14">
        <f>ROUND(E25+($A25-INDEX(新属性投放!$B$14:$B$34,属性汇总!$B25))*属性汇总!H25,0)</f>
        <v>122</v>
      </c>
      <c r="L25" s="14">
        <f>ROUND(F25+($A25-INDEX(新属性投放!$B$14:$B$34,属性汇总!$B25))*属性汇总!I25,0)</f>
        <v>978</v>
      </c>
      <c r="R25" s="13">
        <v>20</v>
      </c>
      <c r="S25" s="13">
        <v>2</v>
      </c>
      <c r="T25" s="14">
        <f>INDEX(新属性投放!$L$6:$L$10,$S$3)*INDEX(新属性投放!$Q$6:$Q$10,$U$3)</f>
        <v>1.1499999999999999</v>
      </c>
      <c r="U25" s="14">
        <f>INDEX(新属性投放!J$42:J$62,属性汇总!$S25)*$T25</f>
        <v>362.25</v>
      </c>
      <c r="V25" s="14">
        <f>INDEX(新属性投放!K$42:K$62,属性汇总!$S25)*$T25</f>
        <v>178.25</v>
      </c>
      <c r="W25" s="14">
        <f>INDEX(新属性投放!L$42:L$62,属性汇总!$S25)*$T25</f>
        <v>1242</v>
      </c>
      <c r="X25" s="14">
        <f>INDEX(新属性投放!$D$42:$D$62,属性汇总!$S25)*$T25</f>
        <v>11.5</v>
      </c>
      <c r="Y25" s="14">
        <f>INDEX(新属性投放!$E$42:$E$62,属性汇总!$S25)*$T25</f>
        <v>5.75</v>
      </c>
      <c r="Z25" s="14">
        <f>INDEX(新属性投放!$F$42:$F$62,属性汇总!$S25)*$T25</f>
        <v>51.749999999999993</v>
      </c>
      <c r="AA25" s="14">
        <f>ROUND(U25+($R25-INDEX(新属性投放!$B$42:$B$62,属性汇总!$S25))*属性汇总!X25,0)</f>
        <v>477</v>
      </c>
      <c r="AB25" s="14">
        <f>ROUND(V25+($R25-INDEX(新属性投放!$B$42:$B$62,属性汇总!$S25))*属性汇总!Y25,0)</f>
        <v>236</v>
      </c>
      <c r="AC25" s="14">
        <f>ROUND(W25+($R25-INDEX(新属性投放!$B$42:$B$62,属性汇总!$S25))*属性汇总!Z25,0)</f>
        <v>1760</v>
      </c>
      <c r="AD25" s="37"/>
    </row>
    <row r="26" spans="1:30" ht="16.5" x14ac:dyDescent="0.2">
      <c r="A26" s="13">
        <v>20</v>
      </c>
      <c r="B26" s="13">
        <v>3</v>
      </c>
      <c r="C26" s="14">
        <f>INDEX(新属性投放!$L$6:$L$10,属性汇总!$B$3)*INDEX(新属性投放!$Q$6:$Q$10,属性汇总!$D$3)</f>
        <v>1.1499999999999999</v>
      </c>
      <c r="D26" s="14">
        <f>INDEX(新属性投放!J$14:J$34,属性汇总!$B26)*$C26</f>
        <v>316.25</v>
      </c>
      <c r="E26" s="14">
        <f>INDEX(新属性投放!K$14:K$34,属性汇总!$B26)*$C26</f>
        <v>136.85</v>
      </c>
      <c r="F26" s="14">
        <f>INDEX(新属性投放!L$14:L$34,属性汇总!$B26)*$C26</f>
        <v>1063.75</v>
      </c>
      <c r="G26" s="14">
        <f>INDEX(新属性投放!D$14:D$34,属性汇总!$B26)*$C26</f>
        <v>17.25</v>
      </c>
      <c r="H26" s="14">
        <f>INDEX(新属性投放!E$14:E$34,属性汇总!$B26)*$C26</f>
        <v>8.625</v>
      </c>
      <c r="I26" s="14">
        <f>INDEX(新属性投放!F$14:F$34,属性汇总!$B26)*$C26</f>
        <v>51.749999999999993</v>
      </c>
      <c r="J26" s="14">
        <f>ROUND(D26+($A26-INDEX(新属性投放!$B$14:$B$34,属性汇总!$B26))*属性汇总!G26,0)</f>
        <v>316</v>
      </c>
      <c r="K26" s="14">
        <f>ROUND(E26+($A26-INDEX(新属性投放!$B$14:$B$34,属性汇总!$B26))*属性汇总!H26,0)</f>
        <v>137</v>
      </c>
      <c r="L26" s="14">
        <f>ROUND(F26+($A26-INDEX(新属性投放!$B$14:$B$34,属性汇总!$B26))*属性汇总!I26,0)</f>
        <v>1064</v>
      </c>
      <c r="R26" s="13">
        <v>20</v>
      </c>
      <c r="S26" s="13">
        <v>3</v>
      </c>
      <c r="T26" s="14">
        <f>INDEX(新属性投放!$L$6:$L$10,$S$3)*INDEX(新属性投放!$Q$6:$Q$10,$U$3)</f>
        <v>1.1499999999999999</v>
      </c>
      <c r="U26" s="14">
        <f>INDEX(新属性投放!J$42:J$62,属性汇总!$S26)*$T26</f>
        <v>505.99999999999994</v>
      </c>
      <c r="V26" s="14">
        <f>INDEX(新属性投放!K$42:K$62,属性汇总!$S26)*$T26</f>
        <v>250.7</v>
      </c>
      <c r="W26" s="14">
        <f>INDEX(新属性投放!L$42:L$62,属性汇总!$S26)*$T26</f>
        <v>2018.2499999999998</v>
      </c>
      <c r="X26" s="14">
        <f>INDEX(新属性投放!$D$42:$D$62,属性汇总!$S26)*$T26</f>
        <v>17.25</v>
      </c>
      <c r="Y26" s="14">
        <f>INDEX(新属性投放!$E$42:$E$62,属性汇总!$S26)*$T26</f>
        <v>8.625</v>
      </c>
      <c r="Z26" s="14">
        <f>INDEX(新属性投放!$F$42:$F$62,属性汇总!$S26)*$T26</f>
        <v>77.05</v>
      </c>
      <c r="AA26" s="14">
        <f>ROUND(U26+($R26-INDEX(新属性投放!$B$42:$B$62,属性汇总!$S26))*属性汇总!X26,0)</f>
        <v>506</v>
      </c>
      <c r="AB26" s="14">
        <f>ROUND(V26+($R26-INDEX(新属性投放!$B$42:$B$62,属性汇总!$S26))*属性汇总!Y26,0)</f>
        <v>251</v>
      </c>
      <c r="AC26" s="14">
        <f>ROUND(W26+($R26-INDEX(新属性投放!$B$42:$B$62,属性汇总!$S26))*属性汇总!Z26,0)</f>
        <v>2018</v>
      </c>
      <c r="AD26" s="37"/>
    </row>
    <row r="27" spans="1:30" ht="16.5" x14ac:dyDescent="0.2">
      <c r="A27" s="13">
        <v>21</v>
      </c>
      <c r="B27" s="13">
        <v>3</v>
      </c>
      <c r="C27" s="14">
        <f>INDEX(新属性投放!$L$6:$L$10,属性汇总!$B$3)*INDEX(新属性投放!$Q$6:$Q$10,属性汇总!$D$3)</f>
        <v>1.1499999999999999</v>
      </c>
      <c r="D27" s="14">
        <f>INDEX(新属性投放!J$14:J$34,属性汇总!$B27)*$C27</f>
        <v>316.25</v>
      </c>
      <c r="E27" s="14">
        <f>INDEX(新属性投放!K$14:K$34,属性汇总!$B27)*$C27</f>
        <v>136.85</v>
      </c>
      <c r="F27" s="14">
        <f>INDEX(新属性投放!L$14:L$34,属性汇总!$B27)*$C27</f>
        <v>1063.75</v>
      </c>
      <c r="G27" s="14">
        <f>INDEX(新属性投放!D$14:D$34,属性汇总!$B27)*$C27</f>
        <v>17.25</v>
      </c>
      <c r="H27" s="14">
        <f>INDEX(新属性投放!E$14:E$34,属性汇总!$B27)*$C27</f>
        <v>8.625</v>
      </c>
      <c r="I27" s="14">
        <f>INDEX(新属性投放!F$14:F$34,属性汇总!$B27)*$C27</f>
        <v>51.749999999999993</v>
      </c>
      <c r="J27" s="14">
        <f>ROUND(D27+($A27-INDEX(新属性投放!$B$14:$B$34,属性汇总!$B27))*属性汇总!G27,0)</f>
        <v>334</v>
      </c>
      <c r="K27" s="14">
        <f>ROUND(E27+($A27-INDEX(新属性投放!$B$14:$B$34,属性汇总!$B27))*属性汇总!H27,0)</f>
        <v>145</v>
      </c>
      <c r="L27" s="14">
        <f>ROUND(F27+($A27-INDEX(新属性投放!$B$14:$B$34,属性汇总!$B27))*属性汇总!I27,0)</f>
        <v>1116</v>
      </c>
      <c r="R27" s="13">
        <v>21</v>
      </c>
      <c r="S27" s="13">
        <v>3</v>
      </c>
      <c r="T27" s="14">
        <f>INDEX(新属性投放!$L$6:$L$10,$S$3)*INDEX(新属性投放!$Q$6:$Q$10,$U$3)</f>
        <v>1.1499999999999999</v>
      </c>
      <c r="U27" s="14">
        <f>INDEX(新属性投放!J$42:J$62,属性汇总!$S27)*$T27</f>
        <v>505.99999999999994</v>
      </c>
      <c r="V27" s="14">
        <f>INDEX(新属性投放!K$42:K$62,属性汇总!$S27)*$T27</f>
        <v>250.7</v>
      </c>
      <c r="W27" s="14">
        <f>INDEX(新属性投放!L$42:L$62,属性汇总!$S27)*$T27</f>
        <v>2018.2499999999998</v>
      </c>
      <c r="X27" s="14">
        <f>INDEX(新属性投放!$D$42:$D$62,属性汇总!$S27)*$T27</f>
        <v>17.25</v>
      </c>
      <c r="Y27" s="14">
        <f>INDEX(新属性投放!$E$42:$E$62,属性汇总!$S27)*$T27</f>
        <v>8.625</v>
      </c>
      <c r="Z27" s="14">
        <f>INDEX(新属性投放!$F$42:$F$62,属性汇总!$S27)*$T27</f>
        <v>77.05</v>
      </c>
      <c r="AA27" s="14">
        <f>ROUND(U27+($R27-INDEX(新属性投放!$B$42:$B$62,属性汇总!$S27))*属性汇总!X27,0)</f>
        <v>523</v>
      </c>
      <c r="AB27" s="14">
        <f>ROUND(V27+($R27-INDEX(新属性投放!$B$42:$B$62,属性汇总!$S27))*属性汇总!Y27,0)</f>
        <v>259</v>
      </c>
      <c r="AC27" s="14">
        <f>ROUND(W27+($R27-INDEX(新属性投放!$B$42:$B$62,属性汇总!$S27))*属性汇总!Z27,0)</f>
        <v>2095</v>
      </c>
      <c r="AD27" s="37"/>
    </row>
    <row r="28" spans="1:30" ht="16.5" x14ac:dyDescent="0.2">
      <c r="A28" s="13">
        <v>22</v>
      </c>
      <c r="B28" s="13">
        <v>3</v>
      </c>
      <c r="C28" s="14">
        <f>INDEX(新属性投放!$L$6:$L$10,属性汇总!$B$3)*INDEX(新属性投放!$Q$6:$Q$10,属性汇总!$D$3)</f>
        <v>1.1499999999999999</v>
      </c>
      <c r="D28" s="14">
        <f>INDEX(新属性投放!J$14:J$34,属性汇总!$B28)*$C28</f>
        <v>316.25</v>
      </c>
      <c r="E28" s="14">
        <f>INDEX(新属性投放!K$14:K$34,属性汇总!$B28)*$C28</f>
        <v>136.85</v>
      </c>
      <c r="F28" s="14">
        <f>INDEX(新属性投放!L$14:L$34,属性汇总!$B28)*$C28</f>
        <v>1063.75</v>
      </c>
      <c r="G28" s="14">
        <f>INDEX(新属性投放!D$14:D$34,属性汇总!$B28)*$C28</f>
        <v>17.25</v>
      </c>
      <c r="H28" s="14">
        <f>INDEX(新属性投放!E$14:E$34,属性汇总!$B28)*$C28</f>
        <v>8.625</v>
      </c>
      <c r="I28" s="14">
        <f>INDEX(新属性投放!F$14:F$34,属性汇总!$B28)*$C28</f>
        <v>51.749999999999993</v>
      </c>
      <c r="J28" s="14">
        <f>ROUND(D28+($A28-INDEX(新属性投放!$B$14:$B$34,属性汇总!$B28))*属性汇总!G28,0)</f>
        <v>351</v>
      </c>
      <c r="K28" s="14">
        <f>ROUND(E28+($A28-INDEX(新属性投放!$B$14:$B$34,属性汇总!$B28))*属性汇总!H28,0)</f>
        <v>154</v>
      </c>
      <c r="L28" s="14">
        <f>ROUND(F28+($A28-INDEX(新属性投放!$B$14:$B$34,属性汇总!$B28))*属性汇总!I28,0)</f>
        <v>1167</v>
      </c>
      <c r="R28" s="13">
        <v>22</v>
      </c>
      <c r="S28" s="13">
        <v>3</v>
      </c>
      <c r="T28" s="14">
        <f>INDEX(新属性投放!$L$6:$L$10,$S$3)*INDEX(新属性投放!$Q$6:$Q$10,$U$3)</f>
        <v>1.1499999999999999</v>
      </c>
      <c r="U28" s="14">
        <f>INDEX(新属性投放!J$42:J$62,属性汇总!$S28)*$T28</f>
        <v>505.99999999999994</v>
      </c>
      <c r="V28" s="14">
        <f>INDEX(新属性投放!K$42:K$62,属性汇总!$S28)*$T28</f>
        <v>250.7</v>
      </c>
      <c r="W28" s="14">
        <f>INDEX(新属性投放!L$42:L$62,属性汇总!$S28)*$T28</f>
        <v>2018.2499999999998</v>
      </c>
      <c r="X28" s="14">
        <f>INDEX(新属性投放!$D$42:$D$62,属性汇总!$S28)*$T28</f>
        <v>17.25</v>
      </c>
      <c r="Y28" s="14">
        <f>INDEX(新属性投放!$E$42:$E$62,属性汇总!$S28)*$T28</f>
        <v>8.625</v>
      </c>
      <c r="Z28" s="14">
        <f>INDEX(新属性投放!$F$42:$F$62,属性汇总!$S28)*$T28</f>
        <v>77.05</v>
      </c>
      <c r="AA28" s="14">
        <f>ROUND(U28+($R28-INDEX(新属性投放!$B$42:$B$62,属性汇总!$S28))*属性汇总!X28,0)</f>
        <v>541</v>
      </c>
      <c r="AB28" s="14">
        <f>ROUND(V28+($R28-INDEX(新属性投放!$B$42:$B$62,属性汇总!$S28))*属性汇总!Y28,0)</f>
        <v>268</v>
      </c>
      <c r="AC28" s="14">
        <f>ROUND(W28+($R28-INDEX(新属性投放!$B$42:$B$62,属性汇总!$S28))*属性汇总!Z28,0)</f>
        <v>2172</v>
      </c>
      <c r="AD28" s="37"/>
    </row>
    <row r="29" spans="1:30" ht="16.5" x14ac:dyDescent="0.2">
      <c r="A29" s="13">
        <v>23</v>
      </c>
      <c r="B29" s="13">
        <v>3</v>
      </c>
      <c r="C29" s="14">
        <f>INDEX(新属性投放!$L$6:$L$10,属性汇总!$B$3)*INDEX(新属性投放!$Q$6:$Q$10,属性汇总!$D$3)</f>
        <v>1.1499999999999999</v>
      </c>
      <c r="D29" s="14">
        <f>INDEX(新属性投放!J$14:J$34,属性汇总!$B29)*$C29</f>
        <v>316.25</v>
      </c>
      <c r="E29" s="14">
        <f>INDEX(新属性投放!K$14:K$34,属性汇总!$B29)*$C29</f>
        <v>136.85</v>
      </c>
      <c r="F29" s="14">
        <f>INDEX(新属性投放!L$14:L$34,属性汇总!$B29)*$C29</f>
        <v>1063.75</v>
      </c>
      <c r="G29" s="14">
        <f>INDEX(新属性投放!D$14:D$34,属性汇总!$B29)*$C29</f>
        <v>17.25</v>
      </c>
      <c r="H29" s="14">
        <f>INDEX(新属性投放!E$14:E$34,属性汇总!$B29)*$C29</f>
        <v>8.625</v>
      </c>
      <c r="I29" s="14">
        <f>INDEX(新属性投放!F$14:F$34,属性汇总!$B29)*$C29</f>
        <v>51.749999999999993</v>
      </c>
      <c r="J29" s="14">
        <f>ROUND(D29+($A29-INDEX(新属性投放!$B$14:$B$34,属性汇总!$B29))*属性汇总!G29,0)</f>
        <v>368</v>
      </c>
      <c r="K29" s="14">
        <f>ROUND(E29+($A29-INDEX(新属性投放!$B$14:$B$34,属性汇总!$B29))*属性汇总!H29,0)</f>
        <v>163</v>
      </c>
      <c r="L29" s="14">
        <f>ROUND(F29+($A29-INDEX(新属性投放!$B$14:$B$34,属性汇总!$B29))*属性汇总!I29,0)</f>
        <v>1219</v>
      </c>
      <c r="R29" s="13">
        <v>23</v>
      </c>
      <c r="S29" s="13">
        <v>3</v>
      </c>
      <c r="T29" s="14">
        <f>INDEX(新属性投放!$L$6:$L$10,$S$3)*INDEX(新属性投放!$Q$6:$Q$10,$U$3)</f>
        <v>1.1499999999999999</v>
      </c>
      <c r="U29" s="14">
        <f>INDEX(新属性投放!J$42:J$62,属性汇总!$S29)*$T29</f>
        <v>505.99999999999994</v>
      </c>
      <c r="V29" s="14">
        <f>INDEX(新属性投放!K$42:K$62,属性汇总!$S29)*$T29</f>
        <v>250.7</v>
      </c>
      <c r="W29" s="14">
        <f>INDEX(新属性投放!L$42:L$62,属性汇总!$S29)*$T29</f>
        <v>2018.2499999999998</v>
      </c>
      <c r="X29" s="14">
        <f>INDEX(新属性投放!$D$42:$D$62,属性汇总!$S29)*$T29</f>
        <v>17.25</v>
      </c>
      <c r="Y29" s="14">
        <f>INDEX(新属性投放!$E$42:$E$62,属性汇总!$S29)*$T29</f>
        <v>8.625</v>
      </c>
      <c r="Z29" s="14">
        <f>INDEX(新属性投放!$F$42:$F$62,属性汇总!$S29)*$T29</f>
        <v>77.05</v>
      </c>
      <c r="AA29" s="14">
        <f>ROUND(U29+($R29-INDEX(新属性投放!$B$42:$B$62,属性汇总!$S29))*属性汇总!X29,0)</f>
        <v>558</v>
      </c>
      <c r="AB29" s="14">
        <f>ROUND(V29+($R29-INDEX(新属性投放!$B$42:$B$62,属性汇总!$S29))*属性汇总!Y29,0)</f>
        <v>277</v>
      </c>
      <c r="AC29" s="14">
        <f>ROUND(W29+($R29-INDEX(新属性投放!$B$42:$B$62,属性汇总!$S29))*属性汇总!Z29,0)</f>
        <v>2249</v>
      </c>
      <c r="AD29" s="37"/>
    </row>
    <row r="30" spans="1:30" ht="16.5" x14ac:dyDescent="0.2">
      <c r="A30" s="13">
        <v>24</v>
      </c>
      <c r="B30" s="13">
        <v>3</v>
      </c>
      <c r="C30" s="14">
        <f>INDEX(新属性投放!$L$6:$L$10,属性汇总!$B$3)*INDEX(新属性投放!$Q$6:$Q$10,属性汇总!$D$3)</f>
        <v>1.1499999999999999</v>
      </c>
      <c r="D30" s="14">
        <f>INDEX(新属性投放!J$14:J$34,属性汇总!$B30)*$C30</f>
        <v>316.25</v>
      </c>
      <c r="E30" s="14">
        <f>INDEX(新属性投放!K$14:K$34,属性汇总!$B30)*$C30</f>
        <v>136.85</v>
      </c>
      <c r="F30" s="14">
        <f>INDEX(新属性投放!L$14:L$34,属性汇总!$B30)*$C30</f>
        <v>1063.75</v>
      </c>
      <c r="G30" s="14">
        <f>INDEX(新属性投放!D$14:D$34,属性汇总!$B30)*$C30</f>
        <v>17.25</v>
      </c>
      <c r="H30" s="14">
        <f>INDEX(新属性投放!E$14:E$34,属性汇总!$B30)*$C30</f>
        <v>8.625</v>
      </c>
      <c r="I30" s="14">
        <f>INDEX(新属性投放!F$14:F$34,属性汇总!$B30)*$C30</f>
        <v>51.749999999999993</v>
      </c>
      <c r="J30" s="14">
        <f>ROUND(D30+($A30-INDEX(新属性投放!$B$14:$B$34,属性汇总!$B30))*属性汇总!G30,0)</f>
        <v>385</v>
      </c>
      <c r="K30" s="14">
        <f>ROUND(E30+($A30-INDEX(新属性投放!$B$14:$B$34,属性汇总!$B30))*属性汇总!H30,0)</f>
        <v>171</v>
      </c>
      <c r="L30" s="14">
        <f>ROUND(F30+($A30-INDEX(新属性投放!$B$14:$B$34,属性汇总!$B30))*属性汇总!I30,0)</f>
        <v>1271</v>
      </c>
      <c r="R30" s="13">
        <v>24</v>
      </c>
      <c r="S30" s="13">
        <v>3</v>
      </c>
      <c r="T30" s="14">
        <f>INDEX(新属性投放!$L$6:$L$10,$S$3)*INDEX(新属性投放!$Q$6:$Q$10,$U$3)</f>
        <v>1.1499999999999999</v>
      </c>
      <c r="U30" s="14">
        <f>INDEX(新属性投放!J$42:J$62,属性汇总!$S30)*$T30</f>
        <v>505.99999999999994</v>
      </c>
      <c r="V30" s="14">
        <f>INDEX(新属性投放!K$42:K$62,属性汇总!$S30)*$T30</f>
        <v>250.7</v>
      </c>
      <c r="W30" s="14">
        <f>INDEX(新属性投放!L$42:L$62,属性汇总!$S30)*$T30</f>
        <v>2018.2499999999998</v>
      </c>
      <c r="X30" s="14">
        <f>INDEX(新属性投放!$D$42:$D$62,属性汇总!$S30)*$T30</f>
        <v>17.25</v>
      </c>
      <c r="Y30" s="14">
        <f>INDEX(新属性投放!$E$42:$E$62,属性汇总!$S30)*$T30</f>
        <v>8.625</v>
      </c>
      <c r="Z30" s="14">
        <f>INDEX(新属性投放!$F$42:$F$62,属性汇总!$S30)*$T30</f>
        <v>77.05</v>
      </c>
      <c r="AA30" s="14">
        <f>ROUND(U30+($R30-INDEX(新属性投放!$B$42:$B$62,属性汇总!$S30))*属性汇总!X30,0)</f>
        <v>575</v>
      </c>
      <c r="AB30" s="14">
        <f>ROUND(V30+($R30-INDEX(新属性投放!$B$42:$B$62,属性汇总!$S30))*属性汇总!Y30,0)</f>
        <v>285</v>
      </c>
      <c r="AC30" s="14">
        <f>ROUND(W30+($R30-INDEX(新属性投放!$B$42:$B$62,属性汇总!$S30))*属性汇总!Z30,0)</f>
        <v>2326</v>
      </c>
      <c r="AD30" s="37"/>
    </row>
    <row r="31" spans="1:30" ht="16.5" x14ac:dyDescent="0.2">
      <c r="A31" s="13">
        <v>25</v>
      </c>
      <c r="B31" s="13">
        <v>3</v>
      </c>
      <c r="C31" s="14">
        <f>INDEX(新属性投放!$L$6:$L$10,属性汇总!$B$3)*INDEX(新属性投放!$Q$6:$Q$10,属性汇总!$D$3)</f>
        <v>1.1499999999999999</v>
      </c>
      <c r="D31" s="14">
        <f>INDEX(新属性投放!J$14:J$34,属性汇总!$B31)*$C31</f>
        <v>316.25</v>
      </c>
      <c r="E31" s="14">
        <f>INDEX(新属性投放!K$14:K$34,属性汇总!$B31)*$C31</f>
        <v>136.85</v>
      </c>
      <c r="F31" s="14">
        <f>INDEX(新属性投放!L$14:L$34,属性汇总!$B31)*$C31</f>
        <v>1063.75</v>
      </c>
      <c r="G31" s="14">
        <f>INDEX(新属性投放!D$14:D$34,属性汇总!$B31)*$C31</f>
        <v>17.25</v>
      </c>
      <c r="H31" s="14">
        <f>INDEX(新属性投放!E$14:E$34,属性汇总!$B31)*$C31</f>
        <v>8.625</v>
      </c>
      <c r="I31" s="14">
        <f>INDEX(新属性投放!F$14:F$34,属性汇总!$B31)*$C31</f>
        <v>51.749999999999993</v>
      </c>
      <c r="J31" s="14">
        <f>ROUND(D31+($A31-INDEX(新属性投放!$B$14:$B$34,属性汇总!$B31))*属性汇总!G31,0)</f>
        <v>403</v>
      </c>
      <c r="K31" s="14">
        <f>ROUND(E31+($A31-INDEX(新属性投放!$B$14:$B$34,属性汇总!$B31))*属性汇总!H31,0)</f>
        <v>180</v>
      </c>
      <c r="L31" s="14">
        <f>ROUND(F31+($A31-INDEX(新属性投放!$B$14:$B$34,属性汇总!$B31))*属性汇总!I31,0)</f>
        <v>1323</v>
      </c>
      <c r="R31" s="13">
        <v>25</v>
      </c>
      <c r="S31" s="13">
        <v>3</v>
      </c>
      <c r="T31" s="14">
        <f>INDEX(新属性投放!$L$6:$L$10,$S$3)*INDEX(新属性投放!$Q$6:$Q$10,$U$3)</f>
        <v>1.1499999999999999</v>
      </c>
      <c r="U31" s="14">
        <f>INDEX(新属性投放!J$42:J$62,属性汇总!$S31)*$T31</f>
        <v>505.99999999999994</v>
      </c>
      <c r="V31" s="14">
        <f>INDEX(新属性投放!K$42:K$62,属性汇总!$S31)*$T31</f>
        <v>250.7</v>
      </c>
      <c r="W31" s="14">
        <f>INDEX(新属性投放!L$42:L$62,属性汇总!$S31)*$T31</f>
        <v>2018.2499999999998</v>
      </c>
      <c r="X31" s="14">
        <f>INDEX(新属性投放!$D$42:$D$62,属性汇总!$S31)*$T31</f>
        <v>17.25</v>
      </c>
      <c r="Y31" s="14">
        <f>INDEX(新属性投放!$E$42:$E$62,属性汇总!$S31)*$T31</f>
        <v>8.625</v>
      </c>
      <c r="Z31" s="14">
        <f>INDEX(新属性投放!$F$42:$F$62,属性汇总!$S31)*$T31</f>
        <v>77.05</v>
      </c>
      <c r="AA31" s="14">
        <f>ROUND(U31+($R31-INDEX(新属性投放!$B$42:$B$62,属性汇总!$S31))*属性汇总!X31,0)</f>
        <v>592</v>
      </c>
      <c r="AB31" s="14">
        <f>ROUND(V31+($R31-INDEX(新属性投放!$B$42:$B$62,属性汇总!$S31))*属性汇总!Y31,0)</f>
        <v>294</v>
      </c>
      <c r="AC31" s="14">
        <f>ROUND(W31+($R31-INDEX(新属性投放!$B$42:$B$62,属性汇总!$S31))*属性汇总!Z31,0)</f>
        <v>2404</v>
      </c>
      <c r="AD31" s="37"/>
    </row>
    <row r="32" spans="1:30" ht="16.5" x14ac:dyDescent="0.2">
      <c r="A32" s="13">
        <v>26</v>
      </c>
      <c r="B32" s="13">
        <v>3</v>
      </c>
      <c r="C32" s="14">
        <f>INDEX(新属性投放!$L$6:$L$10,属性汇总!$B$3)*INDEX(新属性投放!$Q$6:$Q$10,属性汇总!$D$3)</f>
        <v>1.1499999999999999</v>
      </c>
      <c r="D32" s="14">
        <f>INDEX(新属性投放!J$14:J$34,属性汇总!$B32)*$C32</f>
        <v>316.25</v>
      </c>
      <c r="E32" s="14">
        <f>INDEX(新属性投放!K$14:K$34,属性汇总!$B32)*$C32</f>
        <v>136.85</v>
      </c>
      <c r="F32" s="14">
        <f>INDEX(新属性投放!L$14:L$34,属性汇总!$B32)*$C32</f>
        <v>1063.75</v>
      </c>
      <c r="G32" s="14">
        <f>INDEX(新属性投放!D$14:D$34,属性汇总!$B32)*$C32</f>
        <v>17.25</v>
      </c>
      <c r="H32" s="14">
        <f>INDEX(新属性投放!E$14:E$34,属性汇总!$B32)*$C32</f>
        <v>8.625</v>
      </c>
      <c r="I32" s="14">
        <f>INDEX(新属性投放!F$14:F$34,属性汇总!$B32)*$C32</f>
        <v>51.749999999999993</v>
      </c>
      <c r="J32" s="14">
        <f>ROUND(D32+($A32-INDEX(新属性投放!$B$14:$B$34,属性汇总!$B32))*属性汇总!G32,0)</f>
        <v>420</v>
      </c>
      <c r="K32" s="14">
        <f>ROUND(E32+($A32-INDEX(新属性投放!$B$14:$B$34,属性汇总!$B32))*属性汇总!H32,0)</f>
        <v>189</v>
      </c>
      <c r="L32" s="14">
        <f>ROUND(F32+($A32-INDEX(新属性投放!$B$14:$B$34,属性汇总!$B32))*属性汇总!I32,0)</f>
        <v>1374</v>
      </c>
      <c r="R32" s="13">
        <v>26</v>
      </c>
      <c r="S32" s="13">
        <v>3</v>
      </c>
      <c r="T32" s="14">
        <f>INDEX(新属性投放!$L$6:$L$10,$S$3)*INDEX(新属性投放!$Q$6:$Q$10,$U$3)</f>
        <v>1.1499999999999999</v>
      </c>
      <c r="U32" s="14">
        <f>INDEX(新属性投放!J$42:J$62,属性汇总!$S32)*$T32</f>
        <v>505.99999999999994</v>
      </c>
      <c r="V32" s="14">
        <f>INDEX(新属性投放!K$42:K$62,属性汇总!$S32)*$T32</f>
        <v>250.7</v>
      </c>
      <c r="W32" s="14">
        <f>INDEX(新属性投放!L$42:L$62,属性汇总!$S32)*$T32</f>
        <v>2018.2499999999998</v>
      </c>
      <c r="X32" s="14">
        <f>INDEX(新属性投放!$D$42:$D$62,属性汇总!$S32)*$T32</f>
        <v>17.25</v>
      </c>
      <c r="Y32" s="14">
        <f>INDEX(新属性投放!$E$42:$E$62,属性汇总!$S32)*$T32</f>
        <v>8.625</v>
      </c>
      <c r="Z32" s="14">
        <f>INDEX(新属性投放!$F$42:$F$62,属性汇总!$S32)*$T32</f>
        <v>77.05</v>
      </c>
      <c r="AA32" s="14">
        <f>ROUND(U32+($R32-INDEX(新属性投放!$B$42:$B$62,属性汇总!$S32))*属性汇总!X32,0)</f>
        <v>610</v>
      </c>
      <c r="AB32" s="14">
        <f>ROUND(V32+($R32-INDEX(新属性投放!$B$42:$B$62,属性汇总!$S32))*属性汇总!Y32,0)</f>
        <v>302</v>
      </c>
      <c r="AC32" s="14">
        <f>ROUND(W32+($R32-INDEX(新属性投放!$B$42:$B$62,属性汇总!$S32))*属性汇总!Z32,0)</f>
        <v>2481</v>
      </c>
    </row>
    <row r="33" spans="1:29" ht="16.5" x14ac:dyDescent="0.2">
      <c r="A33" s="13">
        <v>27</v>
      </c>
      <c r="B33" s="13">
        <v>3</v>
      </c>
      <c r="C33" s="14">
        <f>INDEX(新属性投放!$L$6:$L$10,属性汇总!$B$3)*INDEX(新属性投放!$Q$6:$Q$10,属性汇总!$D$3)</f>
        <v>1.1499999999999999</v>
      </c>
      <c r="D33" s="14">
        <f>INDEX(新属性投放!J$14:J$34,属性汇总!$B33)*$C33</f>
        <v>316.25</v>
      </c>
      <c r="E33" s="14">
        <f>INDEX(新属性投放!K$14:K$34,属性汇总!$B33)*$C33</f>
        <v>136.85</v>
      </c>
      <c r="F33" s="14">
        <f>INDEX(新属性投放!L$14:L$34,属性汇总!$B33)*$C33</f>
        <v>1063.75</v>
      </c>
      <c r="G33" s="14">
        <f>INDEX(新属性投放!D$14:D$34,属性汇总!$B33)*$C33</f>
        <v>17.25</v>
      </c>
      <c r="H33" s="14">
        <f>INDEX(新属性投放!E$14:E$34,属性汇总!$B33)*$C33</f>
        <v>8.625</v>
      </c>
      <c r="I33" s="14">
        <f>INDEX(新属性投放!F$14:F$34,属性汇总!$B33)*$C33</f>
        <v>51.749999999999993</v>
      </c>
      <c r="J33" s="14">
        <f>ROUND(D33+($A33-INDEX(新属性投放!$B$14:$B$34,属性汇总!$B33))*属性汇总!G33,0)</f>
        <v>437</v>
      </c>
      <c r="K33" s="14">
        <f>ROUND(E33+($A33-INDEX(新属性投放!$B$14:$B$34,属性汇总!$B33))*属性汇总!H33,0)</f>
        <v>197</v>
      </c>
      <c r="L33" s="14">
        <f>ROUND(F33+($A33-INDEX(新属性投放!$B$14:$B$34,属性汇总!$B33))*属性汇总!I33,0)</f>
        <v>1426</v>
      </c>
      <c r="R33" s="13">
        <v>27</v>
      </c>
      <c r="S33" s="13">
        <v>3</v>
      </c>
      <c r="T33" s="14">
        <f>INDEX(新属性投放!$L$6:$L$10,$S$3)*INDEX(新属性投放!$Q$6:$Q$10,$U$3)</f>
        <v>1.1499999999999999</v>
      </c>
      <c r="U33" s="14">
        <f>INDEX(新属性投放!J$42:J$62,属性汇总!$S33)*$T33</f>
        <v>505.99999999999994</v>
      </c>
      <c r="V33" s="14">
        <f>INDEX(新属性投放!K$42:K$62,属性汇总!$S33)*$T33</f>
        <v>250.7</v>
      </c>
      <c r="W33" s="14">
        <f>INDEX(新属性投放!L$42:L$62,属性汇总!$S33)*$T33</f>
        <v>2018.2499999999998</v>
      </c>
      <c r="X33" s="14">
        <f>INDEX(新属性投放!$D$42:$D$62,属性汇总!$S33)*$T33</f>
        <v>17.25</v>
      </c>
      <c r="Y33" s="14">
        <f>INDEX(新属性投放!$E$42:$E$62,属性汇总!$S33)*$T33</f>
        <v>8.625</v>
      </c>
      <c r="Z33" s="14">
        <f>INDEX(新属性投放!$F$42:$F$62,属性汇总!$S33)*$T33</f>
        <v>77.05</v>
      </c>
      <c r="AA33" s="14">
        <f>ROUND(U33+($R33-INDEX(新属性投放!$B$42:$B$62,属性汇总!$S33))*属性汇总!X33,0)</f>
        <v>627</v>
      </c>
      <c r="AB33" s="14">
        <f>ROUND(V33+($R33-INDEX(新属性投放!$B$42:$B$62,属性汇总!$S33))*属性汇总!Y33,0)</f>
        <v>311</v>
      </c>
      <c r="AC33" s="14">
        <f>ROUND(W33+($R33-INDEX(新属性投放!$B$42:$B$62,属性汇总!$S33))*属性汇总!Z33,0)</f>
        <v>2558</v>
      </c>
    </row>
    <row r="34" spans="1:29" ht="16.5" x14ac:dyDescent="0.2">
      <c r="A34" s="13">
        <v>28</v>
      </c>
      <c r="B34" s="13">
        <v>3</v>
      </c>
      <c r="C34" s="14">
        <f>INDEX(新属性投放!$L$6:$L$10,属性汇总!$B$3)*INDEX(新属性投放!$Q$6:$Q$10,属性汇总!$D$3)</f>
        <v>1.1499999999999999</v>
      </c>
      <c r="D34" s="14">
        <f>INDEX(新属性投放!J$14:J$34,属性汇总!$B34)*$C34</f>
        <v>316.25</v>
      </c>
      <c r="E34" s="14">
        <f>INDEX(新属性投放!K$14:K$34,属性汇总!$B34)*$C34</f>
        <v>136.85</v>
      </c>
      <c r="F34" s="14">
        <f>INDEX(新属性投放!L$14:L$34,属性汇总!$B34)*$C34</f>
        <v>1063.75</v>
      </c>
      <c r="G34" s="14">
        <f>INDEX(新属性投放!D$14:D$34,属性汇总!$B34)*$C34</f>
        <v>17.25</v>
      </c>
      <c r="H34" s="14">
        <f>INDEX(新属性投放!E$14:E$34,属性汇总!$B34)*$C34</f>
        <v>8.625</v>
      </c>
      <c r="I34" s="14">
        <f>INDEX(新属性投放!F$14:F$34,属性汇总!$B34)*$C34</f>
        <v>51.749999999999993</v>
      </c>
      <c r="J34" s="14">
        <f>ROUND(D34+($A34-INDEX(新属性投放!$B$14:$B$34,属性汇总!$B34))*属性汇总!G34,0)</f>
        <v>454</v>
      </c>
      <c r="K34" s="14">
        <f>ROUND(E34+($A34-INDEX(新属性投放!$B$14:$B$34,属性汇总!$B34))*属性汇总!H34,0)</f>
        <v>206</v>
      </c>
      <c r="L34" s="14">
        <f>ROUND(F34+($A34-INDEX(新属性投放!$B$14:$B$34,属性汇总!$B34))*属性汇总!I34,0)</f>
        <v>1478</v>
      </c>
      <c r="R34" s="13">
        <v>28</v>
      </c>
      <c r="S34" s="13">
        <v>3</v>
      </c>
      <c r="T34" s="14">
        <f>INDEX(新属性投放!$L$6:$L$10,$S$3)*INDEX(新属性投放!$Q$6:$Q$10,$U$3)</f>
        <v>1.1499999999999999</v>
      </c>
      <c r="U34" s="14">
        <f>INDEX(新属性投放!J$42:J$62,属性汇总!$S34)*$T34</f>
        <v>505.99999999999994</v>
      </c>
      <c r="V34" s="14">
        <f>INDEX(新属性投放!K$42:K$62,属性汇总!$S34)*$T34</f>
        <v>250.7</v>
      </c>
      <c r="W34" s="14">
        <f>INDEX(新属性投放!L$42:L$62,属性汇总!$S34)*$T34</f>
        <v>2018.2499999999998</v>
      </c>
      <c r="X34" s="14">
        <f>INDEX(新属性投放!$D$42:$D$62,属性汇总!$S34)*$T34</f>
        <v>17.25</v>
      </c>
      <c r="Y34" s="14">
        <f>INDEX(新属性投放!$E$42:$E$62,属性汇总!$S34)*$T34</f>
        <v>8.625</v>
      </c>
      <c r="Z34" s="14">
        <f>INDEX(新属性投放!$F$42:$F$62,属性汇总!$S34)*$T34</f>
        <v>77.05</v>
      </c>
      <c r="AA34" s="14">
        <f>ROUND(U34+($R34-INDEX(新属性投放!$B$42:$B$62,属性汇总!$S34))*属性汇总!X34,0)</f>
        <v>644</v>
      </c>
      <c r="AB34" s="14">
        <f>ROUND(V34+($R34-INDEX(新属性投放!$B$42:$B$62,属性汇总!$S34))*属性汇总!Y34,0)</f>
        <v>320</v>
      </c>
      <c r="AC34" s="14">
        <f>ROUND(W34+($R34-INDEX(新属性投放!$B$42:$B$62,属性汇总!$S34))*属性汇总!Z34,0)</f>
        <v>2635</v>
      </c>
    </row>
    <row r="35" spans="1:29" ht="16.5" x14ac:dyDescent="0.2">
      <c r="A35" s="13">
        <v>29</v>
      </c>
      <c r="B35" s="13">
        <v>3</v>
      </c>
      <c r="C35" s="14">
        <f>INDEX(新属性投放!$L$6:$L$10,属性汇总!$B$3)*INDEX(新属性投放!$Q$6:$Q$10,属性汇总!$D$3)</f>
        <v>1.1499999999999999</v>
      </c>
      <c r="D35" s="14">
        <f>INDEX(新属性投放!J$14:J$34,属性汇总!$B35)*$C35</f>
        <v>316.25</v>
      </c>
      <c r="E35" s="14">
        <f>INDEX(新属性投放!K$14:K$34,属性汇总!$B35)*$C35</f>
        <v>136.85</v>
      </c>
      <c r="F35" s="14">
        <f>INDEX(新属性投放!L$14:L$34,属性汇总!$B35)*$C35</f>
        <v>1063.75</v>
      </c>
      <c r="G35" s="14">
        <f>INDEX(新属性投放!D$14:D$34,属性汇总!$B35)*$C35</f>
        <v>17.25</v>
      </c>
      <c r="H35" s="14">
        <f>INDEX(新属性投放!E$14:E$34,属性汇总!$B35)*$C35</f>
        <v>8.625</v>
      </c>
      <c r="I35" s="14">
        <f>INDEX(新属性投放!F$14:F$34,属性汇总!$B35)*$C35</f>
        <v>51.749999999999993</v>
      </c>
      <c r="J35" s="14">
        <f>ROUND(D35+($A35-INDEX(新属性投放!$B$14:$B$34,属性汇总!$B35))*属性汇总!G35,0)</f>
        <v>472</v>
      </c>
      <c r="K35" s="14">
        <f>ROUND(E35+($A35-INDEX(新属性投放!$B$14:$B$34,属性汇总!$B35))*属性汇总!H35,0)</f>
        <v>214</v>
      </c>
      <c r="L35" s="14">
        <f>ROUND(F35+($A35-INDEX(新属性投放!$B$14:$B$34,属性汇总!$B35))*属性汇总!I35,0)</f>
        <v>1530</v>
      </c>
      <c r="R35" s="13">
        <v>29</v>
      </c>
      <c r="S35" s="13">
        <v>3</v>
      </c>
      <c r="T35" s="14">
        <f>INDEX(新属性投放!$L$6:$L$10,$S$3)*INDEX(新属性投放!$Q$6:$Q$10,$U$3)</f>
        <v>1.1499999999999999</v>
      </c>
      <c r="U35" s="14">
        <f>INDEX(新属性投放!J$42:J$62,属性汇总!$S35)*$T35</f>
        <v>505.99999999999994</v>
      </c>
      <c r="V35" s="14">
        <f>INDEX(新属性投放!K$42:K$62,属性汇总!$S35)*$T35</f>
        <v>250.7</v>
      </c>
      <c r="W35" s="14">
        <f>INDEX(新属性投放!L$42:L$62,属性汇总!$S35)*$T35</f>
        <v>2018.2499999999998</v>
      </c>
      <c r="X35" s="14">
        <f>INDEX(新属性投放!$D$42:$D$62,属性汇总!$S35)*$T35</f>
        <v>17.25</v>
      </c>
      <c r="Y35" s="14">
        <f>INDEX(新属性投放!$E$42:$E$62,属性汇总!$S35)*$T35</f>
        <v>8.625</v>
      </c>
      <c r="Z35" s="14">
        <f>INDEX(新属性投放!$F$42:$F$62,属性汇总!$S35)*$T35</f>
        <v>77.05</v>
      </c>
      <c r="AA35" s="14">
        <f>ROUND(U35+($R35-INDEX(新属性投放!$B$42:$B$62,属性汇总!$S35))*属性汇总!X35,0)</f>
        <v>661</v>
      </c>
      <c r="AB35" s="14">
        <f>ROUND(V35+($R35-INDEX(新属性投放!$B$42:$B$62,属性汇总!$S35))*属性汇总!Y35,0)</f>
        <v>328</v>
      </c>
      <c r="AC35" s="14">
        <f>ROUND(W35+($R35-INDEX(新属性投放!$B$42:$B$62,属性汇总!$S35))*属性汇总!Z35,0)</f>
        <v>2712</v>
      </c>
    </row>
    <row r="36" spans="1:29" s="20" customFormat="1" ht="16.5" x14ac:dyDescent="0.2">
      <c r="A36" s="13">
        <v>30</v>
      </c>
      <c r="B36" s="13">
        <v>3</v>
      </c>
      <c r="C36" s="14">
        <f>INDEX(新属性投放!$L$6:$L$10,属性汇总!$B$3)*INDEX(新属性投放!$Q$6:$Q$10,属性汇总!$D$3)</f>
        <v>1.1499999999999999</v>
      </c>
      <c r="D36" s="14">
        <f>INDEX(新属性投放!J$14:J$34,属性汇总!$B36)*$C36</f>
        <v>316.25</v>
      </c>
      <c r="E36" s="14">
        <f>INDEX(新属性投放!K$14:K$34,属性汇总!$B36)*$C36</f>
        <v>136.85</v>
      </c>
      <c r="F36" s="14">
        <f>INDEX(新属性投放!L$14:L$34,属性汇总!$B36)*$C36</f>
        <v>1063.75</v>
      </c>
      <c r="G36" s="14">
        <f>INDEX(新属性投放!D$14:D$34,属性汇总!$B36)*$C36</f>
        <v>17.25</v>
      </c>
      <c r="H36" s="14">
        <f>INDEX(新属性投放!E$14:E$34,属性汇总!$B36)*$C36</f>
        <v>8.625</v>
      </c>
      <c r="I36" s="14">
        <f>INDEX(新属性投放!F$14:F$34,属性汇总!$B36)*$C36</f>
        <v>51.749999999999993</v>
      </c>
      <c r="J36" s="14">
        <f>ROUND(D36+($A36-INDEX(新属性投放!$B$14:$B$34,属性汇总!$B36))*属性汇总!G36,0)</f>
        <v>489</v>
      </c>
      <c r="K36" s="14">
        <f>ROUND(E36+($A36-INDEX(新属性投放!$B$14:$B$34,属性汇总!$B36))*属性汇总!H36,0)</f>
        <v>223</v>
      </c>
      <c r="L36" s="14">
        <f>ROUND(F36+($A36-INDEX(新属性投放!$B$14:$B$34,属性汇总!$B36))*属性汇总!I36,0)</f>
        <v>1581</v>
      </c>
      <c r="N36" s="37"/>
      <c r="O36" s="37"/>
      <c r="P36" s="37"/>
      <c r="R36" s="13">
        <v>30</v>
      </c>
      <c r="S36" s="13">
        <v>3</v>
      </c>
      <c r="T36" s="14">
        <f>INDEX(新属性投放!$L$6:$L$10,$S$3)*INDEX(新属性投放!$Q$6:$Q$10,$U$3)</f>
        <v>1.1499999999999999</v>
      </c>
      <c r="U36" s="14">
        <f>INDEX(新属性投放!J$42:J$62,属性汇总!$S36)*$T36</f>
        <v>505.99999999999994</v>
      </c>
      <c r="V36" s="14">
        <f>INDEX(新属性投放!K$42:K$62,属性汇总!$S36)*$T36</f>
        <v>250.7</v>
      </c>
      <c r="W36" s="14">
        <f>INDEX(新属性投放!L$42:L$62,属性汇总!$S36)*$T36</f>
        <v>2018.2499999999998</v>
      </c>
      <c r="X36" s="14">
        <f>INDEX(新属性投放!$D$42:$D$62,属性汇总!$S36)*$T36</f>
        <v>17.25</v>
      </c>
      <c r="Y36" s="14">
        <f>INDEX(新属性投放!$E$42:$E$62,属性汇总!$S36)*$T36</f>
        <v>8.625</v>
      </c>
      <c r="Z36" s="14">
        <f>INDEX(新属性投放!$F$42:$F$62,属性汇总!$S36)*$T36</f>
        <v>77.05</v>
      </c>
      <c r="AA36" s="14">
        <f>ROUND(U36+($R36-INDEX(新属性投放!$B$42:$B$62,属性汇总!$S36))*属性汇总!X36,0)</f>
        <v>679</v>
      </c>
      <c r="AB36" s="14">
        <f>ROUND(V36+($R36-INDEX(新属性投放!$B$42:$B$62,属性汇总!$S36))*属性汇总!Y36,0)</f>
        <v>337</v>
      </c>
      <c r="AC36" s="14">
        <f>ROUND(W36+($R36-INDEX(新属性投放!$B$42:$B$62,属性汇总!$S36))*属性汇总!Z36,0)</f>
        <v>2789</v>
      </c>
    </row>
    <row r="37" spans="1:29" s="37" customFormat="1" ht="16.5" x14ac:dyDescent="0.2">
      <c r="A37" s="13">
        <v>31</v>
      </c>
      <c r="B37" s="13">
        <v>3</v>
      </c>
      <c r="C37" s="14">
        <f>INDEX(新属性投放!$L$6:$L$10,属性汇总!$B$3)*INDEX(新属性投放!$Q$6:$Q$10,属性汇总!$D$3)</f>
        <v>1.1499999999999999</v>
      </c>
      <c r="D37" s="14">
        <f>INDEX(新属性投放!J$14:J$34,属性汇总!$B37)*$C37</f>
        <v>316.25</v>
      </c>
      <c r="E37" s="14">
        <f>INDEX(新属性投放!K$14:K$34,属性汇总!$B37)*$C37</f>
        <v>136.85</v>
      </c>
      <c r="F37" s="14">
        <f>INDEX(新属性投放!L$14:L$34,属性汇总!$B37)*$C37</f>
        <v>1063.75</v>
      </c>
      <c r="G37" s="14">
        <f>INDEX(新属性投放!D$14:D$34,属性汇总!$B37)*$C37</f>
        <v>17.25</v>
      </c>
      <c r="H37" s="14">
        <f>INDEX(新属性投放!E$14:E$34,属性汇总!$B37)*$C37</f>
        <v>8.625</v>
      </c>
      <c r="I37" s="14">
        <f>INDEX(新属性投放!F$14:F$34,属性汇总!$B37)*$C37</f>
        <v>51.749999999999993</v>
      </c>
      <c r="J37" s="14">
        <f>ROUND(D37+($A37-INDEX(新属性投放!$B$14:$B$34,属性汇总!$B37))*属性汇总!G37,0)</f>
        <v>506</v>
      </c>
      <c r="K37" s="14">
        <f>ROUND(E37+($A37-INDEX(新属性投放!$B$14:$B$34,属性汇总!$B37))*属性汇总!H37,0)</f>
        <v>232</v>
      </c>
      <c r="L37" s="14">
        <f>ROUND(F37+($A37-INDEX(新属性投放!$B$14:$B$34,属性汇总!$B37))*属性汇总!I37,0)</f>
        <v>1633</v>
      </c>
      <c r="R37" s="13">
        <v>31</v>
      </c>
      <c r="S37" s="13">
        <v>3</v>
      </c>
      <c r="T37" s="14">
        <f>INDEX(新属性投放!$L$6:$L$10,$S$3)*INDEX(新属性投放!$Q$6:$Q$10,$U$3)</f>
        <v>1.1499999999999999</v>
      </c>
      <c r="U37" s="14">
        <f>INDEX(新属性投放!J$42:J$62,属性汇总!$S37)*$T37</f>
        <v>505.99999999999994</v>
      </c>
      <c r="V37" s="14">
        <f>INDEX(新属性投放!K$42:K$62,属性汇总!$S37)*$T37</f>
        <v>250.7</v>
      </c>
      <c r="W37" s="14">
        <f>INDEX(新属性投放!L$42:L$62,属性汇总!$S37)*$T37</f>
        <v>2018.2499999999998</v>
      </c>
      <c r="X37" s="14">
        <f>INDEX(新属性投放!$D$42:$D$62,属性汇总!$S37)*$T37</f>
        <v>17.25</v>
      </c>
      <c r="Y37" s="14">
        <f>INDEX(新属性投放!$E$42:$E$62,属性汇总!$S37)*$T37</f>
        <v>8.625</v>
      </c>
      <c r="Z37" s="14">
        <f>INDEX(新属性投放!$F$42:$F$62,属性汇总!$S37)*$T37</f>
        <v>77.05</v>
      </c>
      <c r="AA37" s="14">
        <f>ROUND(U37+($R37-INDEX(新属性投放!$B$42:$B$62,属性汇总!$S37))*属性汇总!X37,0)</f>
        <v>696</v>
      </c>
      <c r="AB37" s="14">
        <f>ROUND(V37+($R37-INDEX(新属性投放!$B$42:$B$62,属性汇总!$S37))*属性汇总!Y37,0)</f>
        <v>346</v>
      </c>
      <c r="AC37" s="14">
        <f>ROUND(W37+($R37-INDEX(新属性投放!$B$42:$B$62,属性汇总!$S37))*属性汇总!Z37,0)</f>
        <v>2866</v>
      </c>
    </row>
    <row r="38" spans="1:29" ht="16.5" x14ac:dyDescent="0.2">
      <c r="A38" s="13">
        <v>31</v>
      </c>
      <c r="B38" s="13">
        <v>3</v>
      </c>
      <c r="C38" s="14">
        <f>INDEX(新属性投放!$L$6:$L$10,属性汇总!$B$3)*INDEX(新属性投放!$Q$6:$Q$10,属性汇总!$D$3)</f>
        <v>1.1499999999999999</v>
      </c>
      <c r="D38" s="14">
        <f>INDEX(新属性投放!J$14:J$34,属性汇总!$B38)*$C38</f>
        <v>316.25</v>
      </c>
      <c r="E38" s="14">
        <f>INDEX(新属性投放!K$14:K$34,属性汇总!$B38)*$C38</f>
        <v>136.85</v>
      </c>
      <c r="F38" s="14">
        <f>INDEX(新属性投放!L$14:L$34,属性汇总!$B38)*$C38</f>
        <v>1063.75</v>
      </c>
      <c r="G38" s="14">
        <f>INDEX(新属性投放!D$14:D$34,属性汇总!$B38)*$C38</f>
        <v>17.25</v>
      </c>
      <c r="H38" s="14">
        <f>INDEX(新属性投放!E$14:E$34,属性汇总!$B38)*$C38</f>
        <v>8.625</v>
      </c>
      <c r="I38" s="14">
        <f>INDEX(新属性投放!F$14:F$34,属性汇总!$B38)*$C38</f>
        <v>51.749999999999993</v>
      </c>
      <c r="J38" s="14">
        <f>ROUND(D38+($A38-INDEX(新属性投放!$B$14:$B$34,属性汇总!$B38))*属性汇总!G38,0)</f>
        <v>506</v>
      </c>
      <c r="K38" s="14">
        <f>ROUND(E38+($A38-INDEX(新属性投放!$B$14:$B$34,属性汇总!$B38))*属性汇总!H38,0)</f>
        <v>232</v>
      </c>
      <c r="L38" s="14">
        <f>ROUND(F38+($A38-INDEX(新属性投放!$B$14:$B$34,属性汇总!$B38))*属性汇总!I38,0)</f>
        <v>1633</v>
      </c>
      <c r="R38" s="13">
        <v>31</v>
      </c>
      <c r="S38" s="13">
        <v>3</v>
      </c>
      <c r="T38" s="14">
        <f>INDEX(新属性投放!$L$6:$L$10,$S$3)*INDEX(新属性投放!$Q$6:$Q$10,$U$3)</f>
        <v>1.1499999999999999</v>
      </c>
      <c r="U38" s="14">
        <f>INDEX(新属性投放!J$42:J$62,属性汇总!$S38)*$T38</f>
        <v>505.99999999999994</v>
      </c>
      <c r="V38" s="14">
        <f>INDEX(新属性投放!K$42:K$62,属性汇总!$S38)*$T38</f>
        <v>250.7</v>
      </c>
      <c r="W38" s="14">
        <f>INDEX(新属性投放!L$42:L$62,属性汇总!$S38)*$T38</f>
        <v>2018.2499999999998</v>
      </c>
      <c r="X38" s="14">
        <f>INDEX(新属性投放!$D$42:$D$62,属性汇总!$S38)*$T38</f>
        <v>17.25</v>
      </c>
      <c r="Y38" s="14">
        <f>INDEX(新属性投放!$E$42:$E$62,属性汇总!$S38)*$T38</f>
        <v>8.625</v>
      </c>
      <c r="Z38" s="14">
        <f>INDEX(新属性投放!$F$42:$F$62,属性汇总!$S38)*$T38</f>
        <v>77.05</v>
      </c>
      <c r="AA38" s="14">
        <f>ROUND(U38+($R38-INDEX(新属性投放!$B$42:$B$62,属性汇总!$S38))*属性汇总!X38,0)</f>
        <v>696</v>
      </c>
      <c r="AB38" s="14">
        <f>ROUND(V38+($R38-INDEX(新属性投放!$B$42:$B$62,属性汇总!$S38))*属性汇总!Y38,0)</f>
        <v>346</v>
      </c>
      <c r="AC38" s="14">
        <f>ROUND(W38+($R38-INDEX(新属性投放!$B$42:$B$62,属性汇总!$S38))*属性汇总!Z38,0)</f>
        <v>2866</v>
      </c>
    </row>
    <row r="39" spans="1:29" ht="16.5" x14ac:dyDescent="0.2">
      <c r="A39" s="13">
        <v>32</v>
      </c>
      <c r="B39" s="13">
        <v>3</v>
      </c>
      <c r="C39" s="14">
        <f>INDEX(新属性投放!$L$6:$L$10,属性汇总!$B$3)*INDEX(新属性投放!$Q$6:$Q$10,属性汇总!$D$3)</f>
        <v>1.1499999999999999</v>
      </c>
      <c r="D39" s="14">
        <f>INDEX(新属性投放!J$14:J$34,属性汇总!$B39)*$C39</f>
        <v>316.25</v>
      </c>
      <c r="E39" s="14">
        <f>INDEX(新属性投放!K$14:K$34,属性汇总!$B39)*$C39</f>
        <v>136.85</v>
      </c>
      <c r="F39" s="14">
        <f>INDEX(新属性投放!L$14:L$34,属性汇总!$B39)*$C39</f>
        <v>1063.75</v>
      </c>
      <c r="G39" s="14">
        <f>INDEX(新属性投放!D$14:D$34,属性汇总!$B39)*$C39</f>
        <v>17.25</v>
      </c>
      <c r="H39" s="14">
        <f>INDEX(新属性投放!E$14:E$34,属性汇总!$B39)*$C39</f>
        <v>8.625</v>
      </c>
      <c r="I39" s="14">
        <f>INDEX(新属性投放!F$14:F$34,属性汇总!$B39)*$C39</f>
        <v>51.749999999999993</v>
      </c>
      <c r="J39" s="14">
        <f>ROUND(D39+($A39-INDEX(新属性投放!$B$14:$B$34,属性汇总!$B39))*属性汇总!G39,0)</f>
        <v>523</v>
      </c>
      <c r="K39" s="14">
        <f>ROUND(E39+($A39-INDEX(新属性投放!$B$14:$B$34,属性汇总!$B39))*属性汇总!H39,0)</f>
        <v>240</v>
      </c>
      <c r="L39" s="14">
        <f>ROUND(F39+($A39-INDEX(新属性投放!$B$14:$B$34,属性汇总!$B39))*属性汇总!I39,0)</f>
        <v>1685</v>
      </c>
      <c r="R39" s="13">
        <v>32</v>
      </c>
      <c r="S39" s="13">
        <v>3</v>
      </c>
      <c r="T39" s="14">
        <f>INDEX(新属性投放!$L$6:$L$10,$S$3)*INDEX(新属性投放!$Q$6:$Q$10,$U$3)</f>
        <v>1.1499999999999999</v>
      </c>
      <c r="U39" s="14">
        <f>INDEX(新属性投放!J$42:J$62,属性汇总!$S39)*$T39</f>
        <v>505.99999999999994</v>
      </c>
      <c r="V39" s="14">
        <f>INDEX(新属性投放!K$42:K$62,属性汇总!$S39)*$T39</f>
        <v>250.7</v>
      </c>
      <c r="W39" s="14">
        <f>INDEX(新属性投放!L$42:L$62,属性汇总!$S39)*$T39</f>
        <v>2018.2499999999998</v>
      </c>
      <c r="X39" s="14">
        <f>INDEX(新属性投放!$D$42:$D$62,属性汇总!$S39)*$T39</f>
        <v>17.25</v>
      </c>
      <c r="Y39" s="14">
        <f>INDEX(新属性投放!$E$42:$E$62,属性汇总!$S39)*$T39</f>
        <v>8.625</v>
      </c>
      <c r="Z39" s="14">
        <f>INDEX(新属性投放!$F$42:$F$62,属性汇总!$S39)*$T39</f>
        <v>77.05</v>
      </c>
      <c r="AA39" s="14">
        <f>ROUND(U39+($R39-INDEX(新属性投放!$B$42:$B$62,属性汇总!$S39))*属性汇总!X39,0)</f>
        <v>713</v>
      </c>
      <c r="AB39" s="14">
        <f>ROUND(V39+($R39-INDEX(新属性投放!$B$42:$B$62,属性汇总!$S39))*属性汇总!Y39,0)</f>
        <v>354</v>
      </c>
      <c r="AC39" s="14">
        <f>ROUND(W39+($R39-INDEX(新属性投放!$B$42:$B$62,属性汇总!$S39))*属性汇总!Z39,0)</f>
        <v>2943</v>
      </c>
    </row>
    <row r="40" spans="1:29" ht="16.5" x14ac:dyDescent="0.2">
      <c r="A40" s="13">
        <v>33</v>
      </c>
      <c r="B40" s="13">
        <v>3</v>
      </c>
      <c r="C40" s="14">
        <f>INDEX(新属性投放!$L$6:$L$10,属性汇总!$B$3)*INDEX(新属性投放!$Q$6:$Q$10,属性汇总!$D$3)</f>
        <v>1.1499999999999999</v>
      </c>
      <c r="D40" s="14">
        <f>INDEX(新属性投放!J$14:J$34,属性汇总!$B40)*$C40</f>
        <v>316.25</v>
      </c>
      <c r="E40" s="14">
        <f>INDEX(新属性投放!K$14:K$34,属性汇总!$B40)*$C40</f>
        <v>136.85</v>
      </c>
      <c r="F40" s="14">
        <f>INDEX(新属性投放!L$14:L$34,属性汇总!$B40)*$C40</f>
        <v>1063.75</v>
      </c>
      <c r="G40" s="14">
        <f>INDEX(新属性投放!D$14:D$34,属性汇总!$B40)*$C40</f>
        <v>17.25</v>
      </c>
      <c r="H40" s="14">
        <f>INDEX(新属性投放!E$14:E$34,属性汇总!$B40)*$C40</f>
        <v>8.625</v>
      </c>
      <c r="I40" s="14">
        <f>INDEX(新属性投放!F$14:F$34,属性汇总!$B40)*$C40</f>
        <v>51.749999999999993</v>
      </c>
      <c r="J40" s="14">
        <f>ROUND(D40+($A40-INDEX(新属性投放!$B$14:$B$34,属性汇总!$B40))*属性汇总!G40,0)</f>
        <v>541</v>
      </c>
      <c r="K40" s="14">
        <f>ROUND(E40+($A40-INDEX(新属性投放!$B$14:$B$34,属性汇总!$B40))*属性汇总!H40,0)</f>
        <v>249</v>
      </c>
      <c r="L40" s="14">
        <f>ROUND(F40+($A40-INDEX(新属性投放!$B$14:$B$34,属性汇总!$B40))*属性汇总!I40,0)</f>
        <v>1737</v>
      </c>
      <c r="R40" s="13">
        <v>33</v>
      </c>
      <c r="S40" s="13">
        <v>3</v>
      </c>
      <c r="T40" s="14">
        <f>INDEX(新属性投放!$L$6:$L$10,$S$3)*INDEX(新属性投放!$Q$6:$Q$10,$U$3)</f>
        <v>1.1499999999999999</v>
      </c>
      <c r="U40" s="14">
        <f>INDEX(新属性投放!J$42:J$62,属性汇总!$S40)*$T40</f>
        <v>505.99999999999994</v>
      </c>
      <c r="V40" s="14">
        <f>INDEX(新属性投放!K$42:K$62,属性汇总!$S40)*$T40</f>
        <v>250.7</v>
      </c>
      <c r="W40" s="14">
        <f>INDEX(新属性投放!L$42:L$62,属性汇总!$S40)*$T40</f>
        <v>2018.2499999999998</v>
      </c>
      <c r="X40" s="14">
        <f>INDEX(新属性投放!$D$42:$D$62,属性汇总!$S40)*$T40</f>
        <v>17.25</v>
      </c>
      <c r="Y40" s="14">
        <f>INDEX(新属性投放!$E$42:$E$62,属性汇总!$S40)*$T40</f>
        <v>8.625</v>
      </c>
      <c r="Z40" s="14">
        <f>INDEX(新属性投放!$F$42:$F$62,属性汇总!$S40)*$T40</f>
        <v>77.05</v>
      </c>
      <c r="AA40" s="14">
        <f>ROUND(U40+($R40-INDEX(新属性投放!$B$42:$B$62,属性汇总!$S40))*属性汇总!X40,0)</f>
        <v>730</v>
      </c>
      <c r="AB40" s="14">
        <f>ROUND(V40+($R40-INDEX(新属性投放!$B$42:$B$62,属性汇总!$S40))*属性汇总!Y40,0)</f>
        <v>363</v>
      </c>
      <c r="AC40" s="14">
        <f>ROUND(W40+($R40-INDEX(新属性投放!$B$42:$B$62,属性汇总!$S40))*属性汇总!Z40,0)</f>
        <v>3020</v>
      </c>
    </row>
    <row r="41" spans="1:29" ht="16.5" x14ac:dyDescent="0.2">
      <c r="A41" s="13">
        <v>34</v>
      </c>
      <c r="B41" s="13">
        <v>3</v>
      </c>
      <c r="C41" s="14">
        <f>INDEX(新属性投放!$L$6:$L$10,属性汇总!$B$3)*INDEX(新属性投放!$Q$6:$Q$10,属性汇总!$D$3)</f>
        <v>1.1499999999999999</v>
      </c>
      <c r="D41" s="14">
        <f>INDEX(新属性投放!J$14:J$34,属性汇总!$B41)*$C41</f>
        <v>316.25</v>
      </c>
      <c r="E41" s="14">
        <f>INDEX(新属性投放!K$14:K$34,属性汇总!$B41)*$C41</f>
        <v>136.85</v>
      </c>
      <c r="F41" s="14">
        <f>INDEX(新属性投放!L$14:L$34,属性汇总!$B41)*$C41</f>
        <v>1063.75</v>
      </c>
      <c r="G41" s="14">
        <f>INDEX(新属性投放!D$14:D$34,属性汇总!$B41)*$C41</f>
        <v>17.25</v>
      </c>
      <c r="H41" s="14">
        <f>INDEX(新属性投放!E$14:E$34,属性汇总!$B41)*$C41</f>
        <v>8.625</v>
      </c>
      <c r="I41" s="14">
        <f>INDEX(新属性投放!F$14:F$34,属性汇总!$B41)*$C41</f>
        <v>51.749999999999993</v>
      </c>
      <c r="J41" s="14">
        <f>ROUND(D41+($A41-INDEX(新属性投放!$B$14:$B$34,属性汇总!$B41))*属性汇总!G41,0)</f>
        <v>558</v>
      </c>
      <c r="K41" s="14">
        <f>ROUND(E41+($A41-INDEX(新属性投放!$B$14:$B$34,属性汇总!$B41))*属性汇总!H41,0)</f>
        <v>258</v>
      </c>
      <c r="L41" s="14">
        <f>ROUND(F41+($A41-INDEX(新属性投放!$B$14:$B$34,属性汇总!$B41))*属性汇总!I41,0)</f>
        <v>1788</v>
      </c>
      <c r="R41" s="13">
        <v>34</v>
      </c>
      <c r="S41" s="13">
        <v>3</v>
      </c>
      <c r="T41" s="14">
        <f>INDEX(新属性投放!$L$6:$L$10,$S$3)*INDEX(新属性投放!$Q$6:$Q$10,$U$3)</f>
        <v>1.1499999999999999</v>
      </c>
      <c r="U41" s="14">
        <f>INDEX(新属性投放!J$42:J$62,属性汇总!$S41)*$T41</f>
        <v>505.99999999999994</v>
      </c>
      <c r="V41" s="14">
        <f>INDEX(新属性投放!K$42:K$62,属性汇总!$S41)*$T41</f>
        <v>250.7</v>
      </c>
      <c r="W41" s="14">
        <f>INDEX(新属性投放!L$42:L$62,属性汇总!$S41)*$T41</f>
        <v>2018.2499999999998</v>
      </c>
      <c r="X41" s="14">
        <f>INDEX(新属性投放!$D$42:$D$62,属性汇总!$S41)*$T41</f>
        <v>17.25</v>
      </c>
      <c r="Y41" s="14">
        <f>INDEX(新属性投放!$E$42:$E$62,属性汇总!$S41)*$T41</f>
        <v>8.625</v>
      </c>
      <c r="Z41" s="14">
        <f>INDEX(新属性投放!$F$42:$F$62,属性汇总!$S41)*$T41</f>
        <v>77.05</v>
      </c>
      <c r="AA41" s="14">
        <f>ROUND(U41+($R41-INDEX(新属性投放!$B$42:$B$62,属性汇总!$S41))*属性汇总!X41,0)</f>
        <v>748</v>
      </c>
      <c r="AB41" s="14">
        <f>ROUND(V41+($R41-INDEX(新属性投放!$B$42:$B$62,属性汇总!$S41))*属性汇总!Y41,0)</f>
        <v>371</v>
      </c>
      <c r="AC41" s="14">
        <f>ROUND(W41+($R41-INDEX(新属性投放!$B$42:$B$62,属性汇总!$S41))*属性汇总!Z41,0)</f>
        <v>3097</v>
      </c>
    </row>
    <row r="42" spans="1:29" ht="16.5" x14ac:dyDescent="0.2">
      <c r="A42" s="13">
        <v>35</v>
      </c>
      <c r="B42" s="13">
        <v>3</v>
      </c>
      <c r="C42" s="14">
        <f>INDEX(新属性投放!$L$6:$L$10,属性汇总!$B$3)*INDEX(新属性投放!$Q$6:$Q$10,属性汇总!$D$3)</f>
        <v>1.1499999999999999</v>
      </c>
      <c r="D42" s="14">
        <f>INDEX(新属性投放!J$14:J$34,属性汇总!$B42)*$C42</f>
        <v>316.25</v>
      </c>
      <c r="E42" s="14">
        <f>INDEX(新属性投放!K$14:K$34,属性汇总!$B42)*$C42</f>
        <v>136.85</v>
      </c>
      <c r="F42" s="14">
        <f>INDEX(新属性投放!L$14:L$34,属性汇总!$B42)*$C42</f>
        <v>1063.75</v>
      </c>
      <c r="G42" s="14">
        <f>INDEX(新属性投放!D$14:D$34,属性汇总!$B42)*$C42</f>
        <v>17.25</v>
      </c>
      <c r="H42" s="14">
        <f>INDEX(新属性投放!E$14:E$34,属性汇总!$B42)*$C42</f>
        <v>8.625</v>
      </c>
      <c r="I42" s="14">
        <f>INDEX(新属性投放!F$14:F$34,属性汇总!$B42)*$C42</f>
        <v>51.749999999999993</v>
      </c>
      <c r="J42" s="14">
        <f>ROUND(D42+($A42-INDEX(新属性投放!$B$14:$B$34,属性汇总!$B42))*属性汇总!G42,0)</f>
        <v>575</v>
      </c>
      <c r="K42" s="14">
        <f>ROUND(E42+($A42-INDEX(新属性投放!$B$14:$B$34,属性汇总!$B42))*属性汇总!H42,0)</f>
        <v>266</v>
      </c>
      <c r="L42" s="14">
        <f>ROUND(F42+($A42-INDEX(新属性投放!$B$14:$B$34,属性汇总!$B42))*属性汇总!I42,0)</f>
        <v>1840</v>
      </c>
      <c r="R42" s="13">
        <v>35</v>
      </c>
      <c r="S42" s="13">
        <v>3</v>
      </c>
      <c r="T42" s="14">
        <f>INDEX(新属性投放!$L$6:$L$10,$S$3)*INDEX(新属性投放!$Q$6:$Q$10,$U$3)</f>
        <v>1.1499999999999999</v>
      </c>
      <c r="U42" s="14">
        <f>INDEX(新属性投放!J$42:J$62,属性汇总!$S42)*$T42</f>
        <v>505.99999999999994</v>
      </c>
      <c r="V42" s="14">
        <f>INDEX(新属性投放!K$42:K$62,属性汇总!$S42)*$T42</f>
        <v>250.7</v>
      </c>
      <c r="W42" s="14">
        <f>INDEX(新属性投放!L$42:L$62,属性汇总!$S42)*$T42</f>
        <v>2018.2499999999998</v>
      </c>
      <c r="X42" s="14">
        <f>INDEX(新属性投放!$D$42:$D$62,属性汇总!$S42)*$T42</f>
        <v>17.25</v>
      </c>
      <c r="Y42" s="14">
        <f>INDEX(新属性投放!$E$42:$E$62,属性汇总!$S42)*$T42</f>
        <v>8.625</v>
      </c>
      <c r="Z42" s="14">
        <f>INDEX(新属性投放!$F$42:$F$62,属性汇总!$S42)*$T42</f>
        <v>77.05</v>
      </c>
      <c r="AA42" s="14">
        <f>ROUND(U42+($R42-INDEX(新属性投放!$B$42:$B$62,属性汇总!$S42))*属性汇总!X42,0)</f>
        <v>765</v>
      </c>
      <c r="AB42" s="14">
        <f>ROUND(V42+($R42-INDEX(新属性投放!$B$42:$B$62,属性汇总!$S42))*属性汇总!Y42,0)</f>
        <v>380</v>
      </c>
      <c r="AC42" s="14">
        <f>ROUND(W42+($R42-INDEX(新属性投放!$B$42:$B$62,属性汇总!$S42))*属性汇总!Z42,0)</f>
        <v>3174</v>
      </c>
    </row>
    <row r="43" spans="1:29" ht="16.5" x14ac:dyDescent="0.2">
      <c r="A43" s="13">
        <v>36</v>
      </c>
      <c r="B43" s="13">
        <v>3</v>
      </c>
      <c r="C43" s="14">
        <f>INDEX(新属性投放!$L$6:$L$10,属性汇总!$B$3)*INDEX(新属性投放!$Q$6:$Q$10,属性汇总!$D$3)</f>
        <v>1.1499999999999999</v>
      </c>
      <c r="D43" s="14">
        <f>INDEX(新属性投放!J$14:J$34,属性汇总!$B43)*$C43</f>
        <v>316.25</v>
      </c>
      <c r="E43" s="14">
        <f>INDEX(新属性投放!K$14:K$34,属性汇总!$B43)*$C43</f>
        <v>136.85</v>
      </c>
      <c r="F43" s="14">
        <f>INDEX(新属性投放!L$14:L$34,属性汇总!$B43)*$C43</f>
        <v>1063.75</v>
      </c>
      <c r="G43" s="14">
        <f>INDEX(新属性投放!D$14:D$34,属性汇总!$B43)*$C43</f>
        <v>17.25</v>
      </c>
      <c r="H43" s="14">
        <f>INDEX(新属性投放!E$14:E$34,属性汇总!$B43)*$C43</f>
        <v>8.625</v>
      </c>
      <c r="I43" s="14">
        <f>INDEX(新属性投放!F$14:F$34,属性汇总!$B43)*$C43</f>
        <v>51.749999999999993</v>
      </c>
      <c r="J43" s="14">
        <f>ROUND(D43+($A43-INDEX(新属性投放!$B$14:$B$34,属性汇总!$B43))*属性汇总!G43,0)</f>
        <v>592</v>
      </c>
      <c r="K43" s="14">
        <f>ROUND(E43+($A43-INDEX(新属性投放!$B$14:$B$34,属性汇总!$B43))*属性汇总!H43,0)</f>
        <v>275</v>
      </c>
      <c r="L43" s="14">
        <f>ROUND(F43+($A43-INDEX(新属性投放!$B$14:$B$34,属性汇总!$B43))*属性汇总!I43,0)</f>
        <v>1892</v>
      </c>
      <c r="R43" s="13">
        <v>36</v>
      </c>
      <c r="S43" s="13">
        <v>3</v>
      </c>
      <c r="T43" s="14">
        <f>INDEX(新属性投放!$L$6:$L$10,$S$3)*INDEX(新属性投放!$Q$6:$Q$10,$U$3)</f>
        <v>1.1499999999999999</v>
      </c>
      <c r="U43" s="14">
        <f>INDEX(新属性投放!J$42:J$62,属性汇总!$S43)*$T43</f>
        <v>505.99999999999994</v>
      </c>
      <c r="V43" s="14">
        <f>INDEX(新属性投放!K$42:K$62,属性汇总!$S43)*$T43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INDEX(新属性投放!$D$42:$D$62,属性汇总!$S43)*$T43</f>
        <v>17.25</v>
      </c>
      <c r="Y43" s="14">
        <f>INDEX(新属性投放!$E$42:$E$62,属性汇总!$S43)*$T43</f>
        <v>8.625</v>
      </c>
      <c r="Z43" s="14">
        <f>INDEX(新属性投放!$F$42:$F$62,属性汇总!$S43)*$T43</f>
        <v>77.05</v>
      </c>
      <c r="AA43" s="14">
        <f>ROUND(U43+($R43-INDEX(新属性投放!$B$42:$B$62,属性汇总!$S43))*属性汇总!X43,0)</f>
        <v>782</v>
      </c>
      <c r="AB43" s="14">
        <f>ROUND(V43+($R43-INDEX(新属性投放!$B$42:$B$62,属性汇总!$S43))*属性汇总!Y43,0)</f>
        <v>389</v>
      </c>
      <c r="AC43" s="14">
        <f>ROUND(W43+($R43-INDEX(新属性投放!$B$42:$B$62,属性汇总!$S43))*属性汇总!Z43,0)</f>
        <v>3251</v>
      </c>
    </row>
    <row r="44" spans="1:29" ht="16.5" x14ac:dyDescent="0.2">
      <c r="A44" s="13">
        <v>37</v>
      </c>
      <c r="B44" s="13">
        <v>3</v>
      </c>
      <c r="C44" s="14">
        <f>INDEX(新属性投放!$L$6:$L$10,属性汇总!$B$3)*INDEX(新属性投放!$Q$6:$Q$10,属性汇总!$D$3)</f>
        <v>1.1499999999999999</v>
      </c>
      <c r="D44" s="14">
        <f>INDEX(新属性投放!J$14:J$34,属性汇总!$B44)*$C44</f>
        <v>316.25</v>
      </c>
      <c r="E44" s="14">
        <f>INDEX(新属性投放!K$14:K$34,属性汇总!$B44)*$C44</f>
        <v>136.85</v>
      </c>
      <c r="F44" s="14">
        <f>INDEX(新属性投放!L$14:L$34,属性汇总!$B44)*$C44</f>
        <v>1063.75</v>
      </c>
      <c r="G44" s="14">
        <f>INDEX(新属性投放!D$14:D$34,属性汇总!$B44)*$C44</f>
        <v>17.25</v>
      </c>
      <c r="H44" s="14">
        <f>INDEX(新属性投放!E$14:E$34,属性汇总!$B44)*$C44</f>
        <v>8.625</v>
      </c>
      <c r="I44" s="14">
        <f>INDEX(新属性投放!F$14:F$34,属性汇总!$B44)*$C44</f>
        <v>51.749999999999993</v>
      </c>
      <c r="J44" s="14">
        <f>ROUND(D44+($A44-INDEX(新属性投放!$B$14:$B$34,属性汇总!$B44))*属性汇总!G44,0)</f>
        <v>610</v>
      </c>
      <c r="K44" s="14">
        <f>ROUND(E44+($A44-INDEX(新属性投放!$B$14:$B$34,属性汇总!$B44))*属性汇总!H44,0)</f>
        <v>283</v>
      </c>
      <c r="L44" s="14">
        <f>ROUND(F44+($A44-INDEX(新属性投放!$B$14:$B$34,属性汇总!$B44))*属性汇总!I44,0)</f>
        <v>1944</v>
      </c>
      <c r="R44" s="13">
        <v>37</v>
      </c>
      <c r="S44" s="13">
        <v>3</v>
      </c>
      <c r="T44" s="14">
        <f>INDEX(新属性投放!$L$6:$L$10,$S$3)*INDEX(新属性投放!$Q$6:$Q$10,$U$3)</f>
        <v>1.1499999999999999</v>
      </c>
      <c r="U44" s="14">
        <f>INDEX(新属性投放!J$42:J$62,属性汇总!$S44)*$T44</f>
        <v>505.99999999999994</v>
      </c>
      <c r="V44" s="14">
        <f>INDEX(新属性投放!K$42:K$62,属性汇总!$S44)*$T44</f>
        <v>250.7</v>
      </c>
      <c r="W44" s="14">
        <f>INDEX(新属性投放!L$42:L$62,属性汇总!$S44)*$T44</f>
        <v>2018.2499999999998</v>
      </c>
      <c r="X44" s="14">
        <f>INDEX(新属性投放!$D$42:$D$62,属性汇总!$S44)*$T44</f>
        <v>17.25</v>
      </c>
      <c r="Y44" s="14">
        <f>INDEX(新属性投放!$E$42:$E$62,属性汇总!$S44)*$T44</f>
        <v>8.625</v>
      </c>
      <c r="Z44" s="14">
        <f>INDEX(新属性投放!$F$42:$F$62,属性汇总!$S44)*$T44</f>
        <v>77.05</v>
      </c>
      <c r="AA44" s="14">
        <f>ROUND(U44+($R44-INDEX(新属性投放!$B$42:$B$62,属性汇总!$S44))*属性汇总!X44,0)</f>
        <v>799</v>
      </c>
      <c r="AB44" s="14">
        <f>ROUND(V44+($R44-INDEX(新属性投放!$B$42:$B$62,属性汇总!$S44))*属性汇总!Y44,0)</f>
        <v>397</v>
      </c>
      <c r="AC44" s="14">
        <f>ROUND(W44+($R44-INDEX(新属性投放!$B$42:$B$62,属性汇总!$S44))*属性汇总!Z44,0)</f>
        <v>3328</v>
      </c>
    </row>
    <row r="45" spans="1:29" ht="16.5" x14ac:dyDescent="0.2">
      <c r="A45" s="13">
        <v>38</v>
      </c>
      <c r="B45" s="13">
        <v>3</v>
      </c>
      <c r="C45" s="14">
        <f>INDEX(新属性投放!$L$6:$L$10,属性汇总!$B$3)*INDEX(新属性投放!$Q$6:$Q$10,属性汇总!$D$3)</f>
        <v>1.1499999999999999</v>
      </c>
      <c r="D45" s="14">
        <f>INDEX(新属性投放!J$14:J$34,属性汇总!$B45)*$C45</f>
        <v>316.25</v>
      </c>
      <c r="E45" s="14">
        <f>INDEX(新属性投放!K$14:K$34,属性汇总!$B45)*$C45</f>
        <v>136.85</v>
      </c>
      <c r="F45" s="14">
        <f>INDEX(新属性投放!L$14:L$34,属性汇总!$B45)*$C45</f>
        <v>1063.75</v>
      </c>
      <c r="G45" s="14">
        <f>INDEX(新属性投放!D$14:D$34,属性汇总!$B45)*$C45</f>
        <v>17.25</v>
      </c>
      <c r="H45" s="14">
        <f>INDEX(新属性投放!E$14:E$34,属性汇总!$B45)*$C45</f>
        <v>8.625</v>
      </c>
      <c r="I45" s="14">
        <f>INDEX(新属性投放!F$14:F$34,属性汇总!$B45)*$C45</f>
        <v>51.749999999999993</v>
      </c>
      <c r="J45" s="14">
        <f>ROUND(D45+($A45-INDEX(新属性投放!$B$14:$B$34,属性汇总!$B45))*属性汇总!G45,0)</f>
        <v>627</v>
      </c>
      <c r="K45" s="14">
        <f>ROUND(E45+($A45-INDEX(新属性投放!$B$14:$B$34,属性汇总!$B45))*属性汇总!H45,0)</f>
        <v>292</v>
      </c>
      <c r="L45" s="14">
        <f>ROUND(F45+($A45-INDEX(新属性投放!$B$14:$B$34,属性汇总!$B45))*属性汇总!I45,0)</f>
        <v>1995</v>
      </c>
      <c r="R45" s="13">
        <v>38</v>
      </c>
      <c r="S45" s="13">
        <v>3</v>
      </c>
      <c r="T45" s="14">
        <f>INDEX(新属性投放!$L$6:$L$10,$S$3)*INDEX(新属性投放!$Q$6:$Q$10,$U$3)</f>
        <v>1.1499999999999999</v>
      </c>
      <c r="U45" s="14">
        <f>INDEX(新属性投放!J$42:J$62,属性汇总!$S45)*$T45</f>
        <v>505.99999999999994</v>
      </c>
      <c r="V45" s="14">
        <f>INDEX(新属性投放!K$42:K$62,属性汇总!$S45)*$T45</f>
        <v>250.7</v>
      </c>
      <c r="W45" s="14">
        <f>INDEX(新属性投放!L$42:L$62,属性汇总!$S45)*$T45</f>
        <v>2018.2499999999998</v>
      </c>
      <c r="X45" s="14">
        <f>INDEX(新属性投放!$D$42:$D$62,属性汇总!$S45)*$T45</f>
        <v>17.25</v>
      </c>
      <c r="Y45" s="14">
        <f>INDEX(新属性投放!$E$42:$E$62,属性汇总!$S45)*$T45</f>
        <v>8.625</v>
      </c>
      <c r="Z45" s="14">
        <f>INDEX(新属性投放!$F$42:$F$62,属性汇总!$S45)*$T45</f>
        <v>77.05</v>
      </c>
      <c r="AA45" s="14">
        <f>ROUND(U45+($R45-INDEX(新属性投放!$B$42:$B$62,属性汇总!$S45))*属性汇总!X45,0)</f>
        <v>817</v>
      </c>
      <c r="AB45" s="14">
        <f>ROUND(V45+($R45-INDEX(新属性投放!$B$42:$B$62,属性汇总!$S45))*属性汇总!Y45,0)</f>
        <v>406</v>
      </c>
      <c r="AC45" s="14">
        <f>ROUND(W45+($R45-INDEX(新属性投放!$B$42:$B$62,属性汇总!$S45))*属性汇总!Z45,0)</f>
        <v>3405</v>
      </c>
    </row>
    <row r="46" spans="1:29" ht="16.5" x14ac:dyDescent="0.2">
      <c r="A46" s="13">
        <v>39</v>
      </c>
      <c r="B46" s="13">
        <v>3</v>
      </c>
      <c r="C46" s="14">
        <f>INDEX(新属性投放!$L$6:$L$10,属性汇总!$B$3)*INDEX(新属性投放!$Q$6:$Q$10,属性汇总!$D$3)</f>
        <v>1.1499999999999999</v>
      </c>
      <c r="D46" s="14">
        <f>INDEX(新属性投放!J$14:J$34,属性汇总!$B46)*$C46</f>
        <v>316.25</v>
      </c>
      <c r="E46" s="14">
        <f>INDEX(新属性投放!K$14:K$34,属性汇总!$B46)*$C46</f>
        <v>136.85</v>
      </c>
      <c r="F46" s="14">
        <f>INDEX(新属性投放!L$14:L$34,属性汇总!$B46)*$C46</f>
        <v>1063.75</v>
      </c>
      <c r="G46" s="14">
        <f>INDEX(新属性投放!D$14:D$34,属性汇总!$B46)*$C46</f>
        <v>17.25</v>
      </c>
      <c r="H46" s="14">
        <f>INDEX(新属性投放!E$14:E$34,属性汇总!$B46)*$C46</f>
        <v>8.625</v>
      </c>
      <c r="I46" s="14">
        <f>INDEX(新属性投放!F$14:F$34,属性汇总!$B46)*$C46</f>
        <v>51.749999999999993</v>
      </c>
      <c r="J46" s="14">
        <f>ROUND(D46+($A46-INDEX(新属性投放!$B$14:$B$34,属性汇总!$B46))*属性汇总!G46,0)</f>
        <v>644</v>
      </c>
      <c r="K46" s="14">
        <f>ROUND(E46+($A46-INDEX(新属性投放!$B$14:$B$34,属性汇总!$B46))*属性汇总!H46,0)</f>
        <v>301</v>
      </c>
      <c r="L46" s="14">
        <f>ROUND(F46+($A46-INDEX(新属性投放!$B$14:$B$34,属性汇总!$B46))*属性汇总!I46,0)</f>
        <v>2047</v>
      </c>
      <c r="R46" s="13">
        <v>39</v>
      </c>
      <c r="S46" s="13">
        <v>3</v>
      </c>
      <c r="T46" s="14">
        <f>INDEX(新属性投放!$L$6:$L$10,$S$3)*INDEX(新属性投放!$Q$6:$Q$10,$U$3)</f>
        <v>1.1499999999999999</v>
      </c>
      <c r="U46" s="14">
        <f>INDEX(新属性投放!J$42:J$62,属性汇总!$S46)*$T46</f>
        <v>505.99999999999994</v>
      </c>
      <c r="V46" s="14">
        <f>INDEX(新属性投放!K$42:K$62,属性汇总!$S46)*$T46</f>
        <v>250.7</v>
      </c>
      <c r="W46" s="14">
        <f>INDEX(新属性投放!L$42:L$62,属性汇总!$S46)*$T46</f>
        <v>2018.2499999999998</v>
      </c>
      <c r="X46" s="14">
        <f>INDEX(新属性投放!$D$42:$D$62,属性汇总!$S46)*$T46</f>
        <v>17.25</v>
      </c>
      <c r="Y46" s="14">
        <f>INDEX(新属性投放!$E$42:$E$62,属性汇总!$S46)*$T46</f>
        <v>8.625</v>
      </c>
      <c r="Z46" s="14">
        <f>INDEX(新属性投放!$F$42:$F$62,属性汇总!$S46)*$T46</f>
        <v>77.05</v>
      </c>
      <c r="AA46" s="14">
        <f>ROUND(U46+($R46-INDEX(新属性投放!$B$42:$B$62,属性汇总!$S46))*属性汇总!X46,0)</f>
        <v>834</v>
      </c>
      <c r="AB46" s="14">
        <f>ROUND(V46+($R46-INDEX(新属性投放!$B$42:$B$62,属性汇总!$S46))*属性汇总!Y46,0)</f>
        <v>415</v>
      </c>
      <c r="AC46" s="14">
        <f>ROUND(W46+($R46-INDEX(新属性投放!$B$42:$B$62,属性汇总!$S46))*属性汇总!Z46,0)</f>
        <v>3482</v>
      </c>
    </row>
    <row r="47" spans="1:29" ht="16.5" x14ac:dyDescent="0.2">
      <c r="A47" s="13">
        <v>40</v>
      </c>
      <c r="B47" s="13">
        <v>3</v>
      </c>
      <c r="C47" s="14">
        <f>INDEX(新属性投放!$L$6:$L$10,属性汇总!$B$3)*INDEX(新属性投放!$Q$6:$Q$10,属性汇总!$D$3)</f>
        <v>1.1499999999999999</v>
      </c>
      <c r="D47" s="14">
        <f>INDEX(新属性投放!J$14:J$34,属性汇总!$B47)*$C47</f>
        <v>316.25</v>
      </c>
      <c r="E47" s="14">
        <f>INDEX(新属性投放!K$14:K$34,属性汇总!$B47)*$C47</f>
        <v>136.85</v>
      </c>
      <c r="F47" s="14">
        <f>INDEX(新属性投放!L$14:L$34,属性汇总!$B47)*$C47</f>
        <v>1063.75</v>
      </c>
      <c r="G47" s="14">
        <f>INDEX(新属性投放!D$14:D$34,属性汇总!$B47)*$C47</f>
        <v>17.25</v>
      </c>
      <c r="H47" s="14">
        <f>INDEX(新属性投放!E$14:E$34,属性汇总!$B47)*$C47</f>
        <v>8.625</v>
      </c>
      <c r="I47" s="14">
        <f>INDEX(新属性投放!F$14:F$34,属性汇总!$B47)*$C47</f>
        <v>51.749999999999993</v>
      </c>
      <c r="J47" s="14">
        <f>ROUND(D47+($A47-INDEX(新属性投放!$B$14:$B$34,属性汇总!$B47))*属性汇总!G47,0)</f>
        <v>661</v>
      </c>
      <c r="K47" s="14">
        <f>ROUND(E47+($A47-INDEX(新属性投放!$B$14:$B$34,属性汇总!$B47))*属性汇总!H47,0)</f>
        <v>309</v>
      </c>
      <c r="L47" s="14">
        <f>ROUND(F47+($A47-INDEX(新属性投放!$B$14:$B$34,属性汇总!$B47))*属性汇总!I47,0)</f>
        <v>2099</v>
      </c>
      <c r="R47" s="13">
        <v>40</v>
      </c>
      <c r="S47" s="13">
        <v>3</v>
      </c>
      <c r="T47" s="14">
        <f>INDEX(新属性投放!$L$6:$L$10,$S$3)*INDEX(新属性投放!$Q$6:$Q$10,$U$3)</f>
        <v>1.1499999999999999</v>
      </c>
      <c r="U47" s="14">
        <f>INDEX(新属性投放!J$42:J$62,属性汇总!$S47)*$T47</f>
        <v>505.99999999999994</v>
      </c>
      <c r="V47" s="14">
        <f>INDEX(新属性投放!K$42:K$62,属性汇总!$S47)*$T47</f>
        <v>250.7</v>
      </c>
      <c r="W47" s="14">
        <f>INDEX(新属性投放!L$42:L$62,属性汇总!$S47)*$T47</f>
        <v>2018.2499999999998</v>
      </c>
      <c r="X47" s="14">
        <f>INDEX(新属性投放!$D$42:$D$62,属性汇总!$S47)*$T47</f>
        <v>17.25</v>
      </c>
      <c r="Y47" s="14">
        <f>INDEX(新属性投放!$E$42:$E$62,属性汇总!$S47)*$T47</f>
        <v>8.625</v>
      </c>
      <c r="Z47" s="14">
        <f>INDEX(新属性投放!$F$42:$F$62,属性汇总!$S47)*$T47</f>
        <v>77.05</v>
      </c>
      <c r="AA47" s="14">
        <f>ROUND(U47+($R47-INDEX(新属性投放!$B$42:$B$62,属性汇总!$S47))*属性汇总!X47,0)</f>
        <v>851</v>
      </c>
      <c r="AB47" s="14">
        <f>ROUND(V47+($R47-INDEX(新属性投放!$B$42:$B$62,属性汇总!$S47))*属性汇总!Y47,0)</f>
        <v>423</v>
      </c>
      <c r="AC47" s="14">
        <f>ROUND(W47+($R47-INDEX(新属性投放!$B$42:$B$62,属性汇总!$S47))*属性汇总!Z47,0)</f>
        <v>3559</v>
      </c>
    </row>
    <row r="48" spans="1:29" s="37" customFormat="1" ht="16.5" x14ac:dyDescent="0.2">
      <c r="A48" s="13">
        <v>40</v>
      </c>
      <c r="B48" s="13">
        <v>4</v>
      </c>
      <c r="C48" s="14">
        <f>INDEX(新属性投放!$L$6:$L$10,属性汇总!$B$3)*INDEX(新属性投放!$Q$6:$Q$10,属性汇总!$D$3)</f>
        <v>1.1499999999999999</v>
      </c>
      <c r="D48" s="14">
        <f>INDEX(新属性投放!J$14:J$34,属性汇总!$B48)*$C48</f>
        <v>532.44999999999993</v>
      </c>
      <c r="E48" s="14">
        <f>INDEX(新属性投放!K$14:K$34,属性汇总!$B48)*$C48</f>
        <v>244.95</v>
      </c>
      <c r="F48" s="14">
        <f>INDEX(新属性投放!L$14:L$34,属性汇总!$B48)*$C48</f>
        <v>1712.35</v>
      </c>
      <c r="G48" s="14">
        <f>INDEX(新属性投放!D$14:D$34,属性汇总!$B48)*$C48</f>
        <v>23</v>
      </c>
      <c r="H48" s="14">
        <f>INDEX(新属性投放!E$14:E$34,属性汇总!$B48)*$C48</f>
        <v>11.5</v>
      </c>
      <c r="I48" s="14">
        <f>INDEX(新属性投放!F$14:F$34,属性汇总!$B48)*$C48</f>
        <v>69</v>
      </c>
      <c r="J48" s="14">
        <f>ROUND(D48+($A48-INDEX(新属性投放!$B$14:$B$34,属性汇总!$B48))*属性汇总!G48,0)</f>
        <v>762</v>
      </c>
      <c r="K48" s="14">
        <f>ROUND(E48+($A48-INDEX(新属性投放!$B$14:$B$34,属性汇总!$B48))*属性汇总!H48,0)</f>
        <v>360</v>
      </c>
      <c r="L48" s="14">
        <f>ROUND(F48+($A48-INDEX(新属性投放!$B$14:$B$34,属性汇总!$B48))*属性汇总!I48,0)</f>
        <v>2402</v>
      </c>
      <c r="R48" s="13">
        <v>40</v>
      </c>
      <c r="S48" s="13">
        <v>4</v>
      </c>
      <c r="T48" s="14">
        <f>INDEX(新属性投放!$L$6:$L$10,$S$3)*INDEX(新属性投放!$Q$6:$Q$10,$U$3)</f>
        <v>1.1499999999999999</v>
      </c>
      <c r="U48" s="14">
        <f>INDEX(新属性投放!J$42:J$62,属性汇总!$S48)*$T48</f>
        <v>722.19999999999993</v>
      </c>
      <c r="V48" s="14">
        <f>INDEX(新属性投放!K$42:K$62,属性汇总!$S48)*$T48</f>
        <v>358.79999999999995</v>
      </c>
      <c r="W48" s="14">
        <f>INDEX(新属性投放!L$42:L$62,属性汇总!$S48)*$T48</f>
        <v>3182.0499999999997</v>
      </c>
      <c r="X48" s="14">
        <f>INDEX(新属性投放!$D$42:$D$62,属性汇总!$S48)*$T48</f>
        <v>23</v>
      </c>
      <c r="Y48" s="14">
        <f>INDEX(新属性投放!$E$42:$E$62,属性汇总!$S48)*$T48</f>
        <v>11.5</v>
      </c>
      <c r="Z48" s="14">
        <f>INDEX(新属性投放!$F$42:$F$62,属性汇总!$S48)*$T48</f>
        <v>103.49999999999999</v>
      </c>
      <c r="AA48" s="14">
        <f>ROUND(U48+($R48-INDEX(新属性投放!$B$42:$B$62,属性汇总!$S48))*属性汇总!X48,0)</f>
        <v>952</v>
      </c>
      <c r="AB48" s="14">
        <f>ROUND(V48+($R48-INDEX(新属性投放!$B$42:$B$62,属性汇总!$S48))*属性汇总!Y48,0)</f>
        <v>474</v>
      </c>
      <c r="AC48" s="14">
        <f>ROUND(W48+($R48-INDEX(新属性投放!$B$42:$B$62,属性汇总!$S48))*属性汇总!Z48,0)</f>
        <v>4217</v>
      </c>
    </row>
    <row r="49" spans="1:29" s="20" customFormat="1" ht="16.5" x14ac:dyDescent="0.2">
      <c r="A49" s="13">
        <v>41</v>
      </c>
      <c r="B49" s="13">
        <v>4</v>
      </c>
      <c r="C49" s="14">
        <f>INDEX(新属性投放!$L$6:$L$10,属性汇总!$B$3)*INDEX(新属性投放!$Q$6:$Q$10,属性汇总!$D$3)</f>
        <v>1.1499999999999999</v>
      </c>
      <c r="D49" s="14">
        <f>INDEX(新属性投放!J$14:J$34,属性汇总!$B49)*$C49</f>
        <v>532.44999999999993</v>
      </c>
      <c r="E49" s="14">
        <f>INDEX(新属性投放!K$14:K$34,属性汇总!$B49)*$C49</f>
        <v>244.95</v>
      </c>
      <c r="F49" s="14">
        <f>INDEX(新属性投放!L$14:L$34,属性汇总!$B49)*$C49</f>
        <v>1712.35</v>
      </c>
      <c r="G49" s="14">
        <f>INDEX(新属性投放!D$14:D$34,属性汇总!$B49)*$C49</f>
        <v>23</v>
      </c>
      <c r="H49" s="14">
        <f>INDEX(新属性投放!E$14:E$34,属性汇总!$B49)*$C49</f>
        <v>11.5</v>
      </c>
      <c r="I49" s="14">
        <f>INDEX(新属性投放!F$14:F$34,属性汇总!$B49)*$C49</f>
        <v>69</v>
      </c>
      <c r="J49" s="14">
        <f>ROUND(D49+($A49-INDEX(新属性投放!$B$14:$B$34,属性汇总!$B49))*属性汇总!G49,0)</f>
        <v>785</v>
      </c>
      <c r="K49" s="14">
        <f>ROUND(E49+($A49-INDEX(新属性投放!$B$14:$B$34,属性汇总!$B49))*属性汇总!H49,0)</f>
        <v>371</v>
      </c>
      <c r="L49" s="14">
        <f>ROUND(F49+($A49-INDEX(新属性投放!$B$14:$B$34,属性汇总!$B49))*属性汇总!I49,0)</f>
        <v>2471</v>
      </c>
      <c r="N49" s="37"/>
      <c r="O49" s="37"/>
      <c r="P49" s="37"/>
      <c r="R49" s="13">
        <v>41</v>
      </c>
      <c r="S49" s="13">
        <v>4</v>
      </c>
      <c r="T49" s="14">
        <f>INDEX(新属性投放!$L$6:$L$10,$S$3)*INDEX(新属性投放!$Q$6:$Q$10,$U$3)</f>
        <v>1.1499999999999999</v>
      </c>
      <c r="U49" s="14">
        <f>INDEX(新属性投放!J$42:J$62,属性汇总!$S49)*$T49</f>
        <v>722.19999999999993</v>
      </c>
      <c r="V49" s="14">
        <f>INDEX(新属性投放!K$42:K$62,属性汇总!$S49)*$T49</f>
        <v>358.79999999999995</v>
      </c>
      <c r="W49" s="14">
        <f>INDEX(新属性投放!L$42:L$62,属性汇总!$S49)*$T49</f>
        <v>3182.0499999999997</v>
      </c>
      <c r="X49" s="14">
        <f>INDEX(新属性投放!$D$42:$D$62,属性汇总!$S49)*$T49</f>
        <v>23</v>
      </c>
      <c r="Y49" s="14">
        <f>INDEX(新属性投放!$E$42:$E$62,属性汇总!$S49)*$T49</f>
        <v>11.5</v>
      </c>
      <c r="Z49" s="14">
        <f>INDEX(新属性投放!$F$42:$F$62,属性汇总!$S49)*$T49</f>
        <v>103.49999999999999</v>
      </c>
      <c r="AA49" s="14">
        <f>ROUND(U49+($R49-INDEX(新属性投放!$B$42:$B$62,属性汇总!$S49))*属性汇总!X49,0)</f>
        <v>975</v>
      </c>
      <c r="AB49" s="14">
        <f>ROUND(V49+($R49-INDEX(新属性投放!$B$42:$B$62,属性汇总!$S49))*属性汇总!Y49,0)</f>
        <v>485</v>
      </c>
      <c r="AC49" s="14">
        <f>ROUND(W49+($R49-INDEX(新属性投放!$B$42:$B$62,属性汇总!$S49))*属性汇总!Z49,0)</f>
        <v>4321</v>
      </c>
    </row>
    <row r="50" spans="1:29" ht="16.5" x14ac:dyDescent="0.2">
      <c r="A50" s="13">
        <v>42</v>
      </c>
      <c r="B50" s="13">
        <v>4</v>
      </c>
      <c r="C50" s="14">
        <f>INDEX(新属性投放!$L$6:$L$10,属性汇总!$B$3)*INDEX(新属性投放!$Q$6:$Q$10,属性汇总!$D$3)</f>
        <v>1.1499999999999999</v>
      </c>
      <c r="D50" s="14">
        <f>INDEX(新属性投放!J$14:J$34,属性汇总!$B50)*$C50</f>
        <v>532.44999999999993</v>
      </c>
      <c r="E50" s="14">
        <f>INDEX(新属性投放!K$14:K$34,属性汇总!$B50)*$C50</f>
        <v>244.95</v>
      </c>
      <c r="F50" s="14">
        <f>INDEX(新属性投放!L$14:L$34,属性汇总!$B50)*$C50</f>
        <v>1712.35</v>
      </c>
      <c r="G50" s="14">
        <f>INDEX(新属性投放!D$14:D$34,属性汇总!$B50)*$C50</f>
        <v>23</v>
      </c>
      <c r="H50" s="14">
        <f>INDEX(新属性投放!E$14:E$34,属性汇总!$B50)*$C50</f>
        <v>11.5</v>
      </c>
      <c r="I50" s="14">
        <f>INDEX(新属性投放!F$14:F$34,属性汇总!$B50)*$C50</f>
        <v>69</v>
      </c>
      <c r="J50" s="14">
        <f>ROUND(D50+($A50-INDEX(新属性投放!$B$14:$B$34,属性汇总!$B50))*属性汇总!G50,0)</f>
        <v>808</v>
      </c>
      <c r="K50" s="14">
        <f>ROUND(E50+($A50-INDEX(新属性投放!$B$14:$B$34,属性汇总!$B50))*属性汇总!H50,0)</f>
        <v>383</v>
      </c>
      <c r="L50" s="14">
        <f>ROUND(F50+($A50-INDEX(新属性投放!$B$14:$B$34,属性汇总!$B50))*属性汇总!I50,0)</f>
        <v>2540</v>
      </c>
      <c r="R50" s="13">
        <v>42</v>
      </c>
      <c r="S50" s="13">
        <v>4</v>
      </c>
      <c r="T50" s="14">
        <f>INDEX(新属性投放!$L$6:$L$10,$S$3)*INDEX(新属性投放!$Q$6:$Q$10,$U$3)</f>
        <v>1.1499999999999999</v>
      </c>
      <c r="U50" s="14">
        <f>INDEX(新属性投放!J$42:J$62,属性汇总!$S50)*$T50</f>
        <v>722.19999999999993</v>
      </c>
      <c r="V50" s="14">
        <f>INDEX(新属性投放!K$42:K$62,属性汇总!$S50)*$T50</f>
        <v>358.79999999999995</v>
      </c>
      <c r="W50" s="14">
        <f>INDEX(新属性投放!L$42:L$62,属性汇总!$S50)*$T50</f>
        <v>3182.0499999999997</v>
      </c>
      <c r="X50" s="14">
        <f>INDEX(新属性投放!$D$42:$D$62,属性汇总!$S50)*$T50</f>
        <v>23</v>
      </c>
      <c r="Y50" s="14">
        <f>INDEX(新属性投放!$E$42:$E$62,属性汇总!$S50)*$T50</f>
        <v>11.5</v>
      </c>
      <c r="Z50" s="14">
        <f>INDEX(新属性投放!$F$42:$F$62,属性汇总!$S50)*$T50</f>
        <v>103.49999999999999</v>
      </c>
      <c r="AA50" s="14">
        <f>ROUND(U50+($R50-INDEX(新属性投放!$B$42:$B$62,属性汇总!$S50))*属性汇总!X50,0)</f>
        <v>998</v>
      </c>
      <c r="AB50" s="14">
        <f>ROUND(V50+($R50-INDEX(新属性投放!$B$42:$B$62,属性汇总!$S50))*属性汇总!Y50,0)</f>
        <v>497</v>
      </c>
      <c r="AC50" s="14">
        <f>ROUND(W50+($R50-INDEX(新属性投放!$B$42:$B$62,属性汇总!$S50))*属性汇总!Z50,0)</f>
        <v>4424</v>
      </c>
    </row>
    <row r="51" spans="1:29" ht="16.5" x14ac:dyDescent="0.2">
      <c r="A51" s="13">
        <v>43</v>
      </c>
      <c r="B51" s="13">
        <v>4</v>
      </c>
      <c r="C51" s="14">
        <f>INDEX(新属性投放!$L$6:$L$10,属性汇总!$B$3)*INDEX(新属性投放!$Q$6:$Q$10,属性汇总!$D$3)</f>
        <v>1.1499999999999999</v>
      </c>
      <c r="D51" s="14">
        <f>INDEX(新属性投放!J$14:J$34,属性汇总!$B51)*$C51</f>
        <v>532.44999999999993</v>
      </c>
      <c r="E51" s="14">
        <f>INDEX(新属性投放!K$14:K$34,属性汇总!$B51)*$C51</f>
        <v>244.95</v>
      </c>
      <c r="F51" s="14">
        <f>INDEX(新属性投放!L$14:L$34,属性汇总!$B51)*$C51</f>
        <v>1712.35</v>
      </c>
      <c r="G51" s="14">
        <f>INDEX(新属性投放!D$14:D$34,属性汇总!$B51)*$C51</f>
        <v>23</v>
      </c>
      <c r="H51" s="14">
        <f>INDEX(新属性投放!E$14:E$34,属性汇总!$B51)*$C51</f>
        <v>11.5</v>
      </c>
      <c r="I51" s="14">
        <f>INDEX(新属性投放!F$14:F$34,属性汇总!$B51)*$C51</f>
        <v>69</v>
      </c>
      <c r="J51" s="14">
        <f>ROUND(D51+($A51-INDEX(新属性投放!$B$14:$B$34,属性汇总!$B51))*属性汇总!G51,0)</f>
        <v>831</v>
      </c>
      <c r="K51" s="14">
        <f>ROUND(E51+($A51-INDEX(新属性投放!$B$14:$B$34,属性汇总!$B51))*属性汇总!H51,0)</f>
        <v>394</v>
      </c>
      <c r="L51" s="14">
        <f>ROUND(F51+($A51-INDEX(新属性投放!$B$14:$B$34,属性汇总!$B51))*属性汇总!I51,0)</f>
        <v>2609</v>
      </c>
      <c r="R51" s="13">
        <v>43</v>
      </c>
      <c r="S51" s="13">
        <v>4</v>
      </c>
      <c r="T51" s="14">
        <f>INDEX(新属性投放!$L$6:$L$10,$S$3)*INDEX(新属性投放!$Q$6:$Q$10,$U$3)</f>
        <v>1.1499999999999999</v>
      </c>
      <c r="U51" s="14">
        <f>INDEX(新属性投放!J$42:J$62,属性汇总!$S51)*$T51</f>
        <v>722.19999999999993</v>
      </c>
      <c r="V51" s="14">
        <f>INDEX(新属性投放!K$42:K$62,属性汇总!$S51)*$T51</f>
        <v>358.79999999999995</v>
      </c>
      <c r="W51" s="14">
        <f>INDEX(新属性投放!L$42:L$62,属性汇总!$S51)*$T51</f>
        <v>3182.0499999999997</v>
      </c>
      <c r="X51" s="14">
        <f>INDEX(新属性投放!$D$42:$D$62,属性汇总!$S51)*$T51</f>
        <v>23</v>
      </c>
      <c r="Y51" s="14">
        <f>INDEX(新属性投放!$E$42:$E$62,属性汇总!$S51)*$T51</f>
        <v>11.5</v>
      </c>
      <c r="Z51" s="14">
        <f>INDEX(新属性投放!$F$42:$F$62,属性汇总!$S51)*$T51</f>
        <v>103.49999999999999</v>
      </c>
      <c r="AA51" s="14">
        <f>ROUND(U51+($R51-INDEX(新属性投放!$B$42:$B$62,属性汇总!$S51))*属性汇总!X51,0)</f>
        <v>1021</v>
      </c>
      <c r="AB51" s="14">
        <f>ROUND(V51+($R51-INDEX(新属性投放!$B$42:$B$62,属性汇总!$S51))*属性汇总!Y51,0)</f>
        <v>508</v>
      </c>
      <c r="AC51" s="14">
        <f>ROUND(W51+($R51-INDEX(新属性投放!$B$42:$B$62,属性汇总!$S51))*属性汇总!Z51,0)</f>
        <v>4528</v>
      </c>
    </row>
    <row r="52" spans="1:29" ht="16.5" x14ac:dyDescent="0.2">
      <c r="A52" s="13">
        <v>44</v>
      </c>
      <c r="B52" s="13">
        <v>4</v>
      </c>
      <c r="C52" s="14">
        <f>INDEX(新属性投放!$L$6:$L$10,属性汇总!$B$3)*INDEX(新属性投放!$Q$6:$Q$10,属性汇总!$D$3)</f>
        <v>1.1499999999999999</v>
      </c>
      <c r="D52" s="14">
        <f>INDEX(新属性投放!J$14:J$34,属性汇总!$B52)*$C52</f>
        <v>532.44999999999993</v>
      </c>
      <c r="E52" s="14">
        <f>INDEX(新属性投放!K$14:K$34,属性汇总!$B52)*$C52</f>
        <v>244.95</v>
      </c>
      <c r="F52" s="14">
        <f>INDEX(新属性投放!L$14:L$34,属性汇总!$B52)*$C52</f>
        <v>1712.35</v>
      </c>
      <c r="G52" s="14">
        <f>INDEX(新属性投放!D$14:D$34,属性汇总!$B52)*$C52</f>
        <v>23</v>
      </c>
      <c r="H52" s="14">
        <f>INDEX(新属性投放!E$14:E$34,属性汇总!$B52)*$C52</f>
        <v>11.5</v>
      </c>
      <c r="I52" s="14">
        <f>INDEX(新属性投放!F$14:F$34,属性汇总!$B52)*$C52</f>
        <v>69</v>
      </c>
      <c r="J52" s="14">
        <f>ROUND(D52+($A52-INDEX(新属性投放!$B$14:$B$34,属性汇总!$B52))*属性汇总!G52,0)</f>
        <v>854</v>
      </c>
      <c r="K52" s="14">
        <f>ROUND(E52+($A52-INDEX(新属性投放!$B$14:$B$34,属性汇总!$B52))*属性汇总!H52,0)</f>
        <v>406</v>
      </c>
      <c r="L52" s="14">
        <f>ROUND(F52+($A52-INDEX(新属性投放!$B$14:$B$34,属性汇总!$B52))*属性汇总!I52,0)</f>
        <v>2678</v>
      </c>
      <c r="R52" s="13">
        <v>44</v>
      </c>
      <c r="S52" s="13">
        <v>4</v>
      </c>
      <c r="T52" s="14">
        <f>INDEX(新属性投放!$L$6:$L$10,$S$3)*INDEX(新属性投放!$Q$6:$Q$10,$U$3)</f>
        <v>1.1499999999999999</v>
      </c>
      <c r="U52" s="14">
        <f>INDEX(新属性投放!J$42:J$62,属性汇总!$S52)*$T52</f>
        <v>722.19999999999993</v>
      </c>
      <c r="V52" s="14">
        <f>INDEX(新属性投放!K$42:K$62,属性汇总!$S52)*$T52</f>
        <v>358.79999999999995</v>
      </c>
      <c r="W52" s="14">
        <f>INDEX(新属性投放!L$42:L$62,属性汇总!$S52)*$T52</f>
        <v>3182.0499999999997</v>
      </c>
      <c r="X52" s="14">
        <f>INDEX(新属性投放!$D$42:$D$62,属性汇总!$S52)*$T52</f>
        <v>23</v>
      </c>
      <c r="Y52" s="14">
        <f>INDEX(新属性投放!$E$42:$E$62,属性汇总!$S52)*$T52</f>
        <v>11.5</v>
      </c>
      <c r="Z52" s="14">
        <f>INDEX(新属性投放!$F$42:$F$62,属性汇总!$S52)*$T52</f>
        <v>103.49999999999999</v>
      </c>
      <c r="AA52" s="14">
        <f>ROUND(U52+($R52-INDEX(新属性投放!$B$42:$B$62,属性汇总!$S52))*属性汇总!X52,0)</f>
        <v>1044</v>
      </c>
      <c r="AB52" s="14">
        <f>ROUND(V52+($R52-INDEX(新属性投放!$B$42:$B$62,属性汇总!$S52))*属性汇总!Y52,0)</f>
        <v>520</v>
      </c>
      <c r="AC52" s="14">
        <f>ROUND(W52+($R52-INDEX(新属性投放!$B$42:$B$62,属性汇总!$S52))*属性汇总!Z52,0)</f>
        <v>4631</v>
      </c>
    </row>
    <row r="53" spans="1:29" ht="16.5" x14ac:dyDescent="0.2">
      <c r="A53" s="13">
        <v>45</v>
      </c>
      <c r="B53" s="13">
        <v>4</v>
      </c>
      <c r="C53" s="14">
        <f>INDEX(新属性投放!$L$6:$L$10,属性汇总!$B$3)*INDEX(新属性投放!$Q$6:$Q$10,属性汇总!$D$3)</f>
        <v>1.1499999999999999</v>
      </c>
      <c r="D53" s="14">
        <f>INDEX(新属性投放!J$14:J$34,属性汇总!$B53)*$C53</f>
        <v>532.44999999999993</v>
      </c>
      <c r="E53" s="14">
        <f>INDEX(新属性投放!K$14:K$34,属性汇总!$B53)*$C53</f>
        <v>244.95</v>
      </c>
      <c r="F53" s="14">
        <f>INDEX(新属性投放!L$14:L$34,属性汇总!$B53)*$C53</f>
        <v>1712.35</v>
      </c>
      <c r="G53" s="14">
        <f>INDEX(新属性投放!D$14:D$34,属性汇总!$B53)*$C53</f>
        <v>23</v>
      </c>
      <c r="H53" s="14">
        <f>INDEX(新属性投放!E$14:E$34,属性汇总!$B53)*$C53</f>
        <v>11.5</v>
      </c>
      <c r="I53" s="14">
        <f>INDEX(新属性投放!F$14:F$34,属性汇总!$B53)*$C53</f>
        <v>69</v>
      </c>
      <c r="J53" s="14">
        <f>ROUND(D53+($A53-INDEX(新属性投放!$B$14:$B$34,属性汇总!$B53))*属性汇总!G53,0)</f>
        <v>877</v>
      </c>
      <c r="K53" s="14">
        <f>ROUND(E53+($A53-INDEX(新属性投放!$B$14:$B$34,属性汇总!$B53))*属性汇总!H53,0)</f>
        <v>417</v>
      </c>
      <c r="L53" s="14">
        <f>ROUND(F53+($A53-INDEX(新属性投放!$B$14:$B$34,属性汇总!$B53))*属性汇总!I53,0)</f>
        <v>2747</v>
      </c>
      <c r="R53" s="13">
        <v>45</v>
      </c>
      <c r="S53" s="13">
        <v>4</v>
      </c>
      <c r="T53" s="14">
        <f>INDEX(新属性投放!$L$6:$L$10,$S$3)*INDEX(新属性投放!$Q$6:$Q$10,$U$3)</f>
        <v>1.1499999999999999</v>
      </c>
      <c r="U53" s="14">
        <f>INDEX(新属性投放!J$42:J$62,属性汇总!$S53)*$T53</f>
        <v>722.19999999999993</v>
      </c>
      <c r="V53" s="14">
        <f>INDEX(新属性投放!K$42:K$62,属性汇总!$S53)*$T53</f>
        <v>358.79999999999995</v>
      </c>
      <c r="W53" s="14">
        <f>INDEX(新属性投放!L$42:L$62,属性汇总!$S53)*$T53</f>
        <v>3182.0499999999997</v>
      </c>
      <c r="X53" s="14">
        <f>INDEX(新属性投放!$D$42:$D$62,属性汇总!$S53)*$T53</f>
        <v>23</v>
      </c>
      <c r="Y53" s="14">
        <f>INDEX(新属性投放!$E$42:$E$62,属性汇总!$S53)*$T53</f>
        <v>11.5</v>
      </c>
      <c r="Z53" s="14">
        <f>INDEX(新属性投放!$F$42:$F$62,属性汇总!$S53)*$T53</f>
        <v>103.49999999999999</v>
      </c>
      <c r="AA53" s="14">
        <f>ROUND(U53+($R53-INDEX(新属性投放!$B$42:$B$62,属性汇总!$S53))*属性汇总!X53,0)</f>
        <v>1067</v>
      </c>
      <c r="AB53" s="14">
        <f>ROUND(V53+($R53-INDEX(新属性投放!$B$42:$B$62,属性汇总!$S53))*属性汇总!Y53,0)</f>
        <v>531</v>
      </c>
      <c r="AC53" s="14">
        <f>ROUND(W53+($R53-INDEX(新属性投放!$B$42:$B$62,属性汇总!$S53))*属性汇总!Z53,0)</f>
        <v>4735</v>
      </c>
    </row>
    <row r="54" spans="1:29" ht="16.5" x14ac:dyDescent="0.2">
      <c r="A54" s="13">
        <v>46</v>
      </c>
      <c r="B54" s="13">
        <v>4</v>
      </c>
      <c r="C54" s="14">
        <f>INDEX(新属性投放!$L$6:$L$10,属性汇总!$B$3)*INDEX(新属性投放!$Q$6:$Q$10,属性汇总!$D$3)</f>
        <v>1.1499999999999999</v>
      </c>
      <c r="D54" s="14">
        <f>INDEX(新属性投放!J$14:J$34,属性汇总!$B54)*$C54</f>
        <v>532.44999999999993</v>
      </c>
      <c r="E54" s="14">
        <f>INDEX(新属性投放!K$14:K$34,属性汇总!$B54)*$C54</f>
        <v>244.95</v>
      </c>
      <c r="F54" s="14">
        <f>INDEX(新属性投放!L$14:L$34,属性汇总!$B54)*$C54</f>
        <v>1712.35</v>
      </c>
      <c r="G54" s="14">
        <f>INDEX(新属性投放!D$14:D$34,属性汇总!$B54)*$C54</f>
        <v>23</v>
      </c>
      <c r="H54" s="14">
        <f>INDEX(新属性投放!E$14:E$34,属性汇总!$B54)*$C54</f>
        <v>11.5</v>
      </c>
      <c r="I54" s="14">
        <f>INDEX(新属性投放!F$14:F$34,属性汇总!$B54)*$C54</f>
        <v>69</v>
      </c>
      <c r="J54" s="14">
        <f>ROUND(D54+($A54-INDEX(新属性投放!$B$14:$B$34,属性汇总!$B54))*属性汇总!G54,0)</f>
        <v>900</v>
      </c>
      <c r="K54" s="14">
        <f>ROUND(E54+($A54-INDEX(新属性投放!$B$14:$B$34,属性汇总!$B54))*属性汇总!H54,0)</f>
        <v>429</v>
      </c>
      <c r="L54" s="14">
        <f>ROUND(F54+($A54-INDEX(新属性投放!$B$14:$B$34,属性汇总!$B54))*属性汇总!I54,0)</f>
        <v>2816</v>
      </c>
      <c r="R54" s="13">
        <v>46</v>
      </c>
      <c r="S54" s="13">
        <v>4</v>
      </c>
      <c r="T54" s="14">
        <f>INDEX(新属性投放!$L$6:$L$10,$S$3)*INDEX(新属性投放!$Q$6:$Q$10,$U$3)</f>
        <v>1.1499999999999999</v>
      </c>
      <c r="U54" s="14">
        <f>INDEX(新属性投放!J$42:J$62,属性汇总!$S54)*$T54</f>
        <v>722.19999999999993</v>
      </c>
      <c r="V54" s="14">
        <f>INDEX(新属性投放!K$42:K$62,属性汇总!$S54)*$T54</f>
        <v>358.79999999999995</v>
      </c>
      <c r="W54" s="14">
        <f>INDEX(新属性投放!L$42:L$62,属性汇总!$S54)*$T54</f>
        <v>3182.0499999999997</v>
      </c>
      <c r="X54" s="14">
        <f>INDEX(新属性投放!$D$42:$D$62,属性汇总!$S54)*$T54</f>
        <v>23</v>
      </c>
      <c r="Y54" s="14">
        <f>INDEX(新属性投放!$E$42:$E$62,属性汇总!$S54)*$T54</f>
        <v>11.5</v>
      </c>
      <c r="Z54" s="14">
        <f>INDEX(新属性投放!$F$42:$F$62,属性汇总!$S54)*$T54</f>
        <v>103.49999999999999</v>
      </c>
      <c r="AA54" s="14">
        <f>ROUND(U54+($R54-INDEX(新属性投放!$B$42:$B$62,属性汇总!$S54))*属性汇总!X54,0)</f>
        <v>1090</v>
      </c>
      <c r="AB54" s="14">
        <f>ROUND(V54+($R54-INDEX(新属性投放!$B$42:$B$62,属性汇总!$S54))*属性汇总!Y54,0)</f>
        <v>543</v>
      </c>
      <c r="AC54" s="14">
        <f>ROUND(W54+($R54-INDEX(新属性投放!$B$42:$B$62,属性汇总!$S54))*属性汇总!Z54,0)</f>
        <v>4838</v>
      </c>
    </row>
    <row r="55" spans="1:29" ht="16.5" x14ac:dyDescent="0.2">
      <c r="A55" s="13">
        <v>47</v>
      </c>
      <c r="B55" s="13">
        <v>4</v>
      </c>
      <c r="C55" s="14">
        <f>INDEX(新属性投放!$L$6:$L$10,属性汇总!$B$3)*INDEX(新属性投放!$Q$6:$Q$10,属性汇总!$D$3)</f>
        <v>1.1499999999999999</v>
      </c>
      <c r="D55" s="14">
        <f>INDEX(新属性投放!J$14:J$34,属性汇总!$B55)*$C55</f>
        <v>532.44999999999993</v>
      </c>
      <c r="E55" s="14">
        <f>INDEX(新属性投放!K$14:K$34,属性汇总!$B55)*$C55</f>
        <v>244.95</v>
      </c>
      <c r="F55" s="14">
        <f>INDEX(新属性投放!L$14:L$34,属性汇总!$B55)*$C55</f>
        <v>1712.35</v>
      </c>
      <c r="G55" s="14">
        <f>INDEX(新属性投放!D$14:D$34,属性汇总!$B55)*$C55</f>
        <v>23</v>
      </c>
      <c r="H55" s="14">
        <f>INDEX(新属性投放!E$14:E$34,属性汇总!$B55)*$C55</f>
        <v>11.5</v>
      </c>
      <c r="I55" s="14">
        <f>INDEX(新属性投放!F$14:F$34,属性汇总!$B55)*$C55</f>
        <v>69</v>
      </c>
      <c r="J55" s="14">
        <f>ROUND(D55+($A55-INDEX(新属性投放!$B$14:$B$34,属性汇总!$B55))*属性汇总!G55,0)</f>
        <v>923</v>
      </c>
      <c r="K55" s="14">
        <f>ROUND(E55+($A55-INDEX(新属性投放!$B$14:$B$34,属性汇总!$B55))*属性汇总!H55,0)</f>
        <v>440</v>
      </c>
      <c r="L55" s="14">
        <f>ROUND(F55+($A55-INDEX(新属性投放!$B$14:$B$34,属性汇总!$B55))*属性汇总!I55,0)</f>
        <v>2885</v>
      </c>
      <c r="R55" s="13">
        <v>47</v>
      </c>
      <c r="S55" s="13">
        <v>4</v>
      </c>
      <c r="T55" s="14">
        <f>INDEX(新属性投放!$L$6:$L$10,$S$3)*INDEX(新属性投放!$Q$6:$Q$10,$U$3)</f>
        <v>1.1499999999999999</v>
      </c>
      <c r="U55" s="14">
        <f>INDEX(新属性投放!J$42:J$62,属性汇总!$S55)*$T55</f>
        <v>722.19999999999993</v>
      </c>
      <c r="V55" s="14">
        <f>INDEX(新属性投放!K$42:K$62,属性汇总!$S55)*$T55</f>
        <v>358.79999999999995</v>
      </c>
      <c r="W55" s="14">
        <f>INDEX(新属性投放!L$42:L$62,属性汇总!$S55)*$T55</f>
        <v>3182.0499999999997</v>
      </c>
      <c r="X55" s="14">
        <f>INDEX(新属性投放!$D$42:$D$62,属性汇总!$S55)*$T55</f>
        <v>23</v>
      </c>
      <c r="Y55" s="14">
        <f>INDEX(新属性投放!$E$42:$E$62,属性汇总!$S55)*$T55</f>
        <v>11.5</v>
      </c>
      <c r="Z55" s="14">
        <f>INDEX(新属性投放!$F$42:$F$62,属性汇总!$S55)*$T55</f>
        <v>103.49999999999999</v>
      </c>
      <c r="AA55" s="14">
        <f>ROUND(U55+($R55-INDEX(新属性投放!$B$42:$B$62,属性汇总!$S55))*属性汇总!X55,0)</f>
        <v>1113</v>
      </c>
      <c r="AB55" s="14">
        <f>ROUND(V55+($R55-INDEX(新属性投放!$B$42:$B$62,属性汇总!$S55))*属性汇总!Y55,0)</f>
        <v>554</v>
      </c>
      <c r="AC55" s="14">
        <f>ROUND(W55+($R55-INDEX(新属性投放!$B$42:$B$62,属性汇总!$S55))*属性汇总!Z55,0)</f>
        <v>4942</v>
      </c>
    </row>
    <row r="56" spans="1:29" ht="16.5" x14ac:dyDescent="0.2">
      <c r="A56" s="13">
        <v>48</v>
      </c>
      <c r="B56" s="13">
        <v>4</v>
      </c>
      <c r="C56" s="14">
        <f>INDEX(新属性投放!$L$6:$L$10,属性汇总!$B$3)*INDEX(新属性投放!$Q$6:$Q$10,属性汇总!$D$3)</f>
        <v>1.1499999999999999</v>
      </c>
      <c r="D56" s="14">
        <f>INDEX(新属性投放!J$14:J$34,属性汇总!$B56)*$C56</f>
        <v>532.44999999999993</v>
      </c>
      <c r="E56" s="14">
        <f>INDEX(新属性投放!K$14:K$34,属性汇总!$B56)*$C56</f>
        <v>244.95</v>
      </c>
      <c r="F56" s="14">
        <f>INDEX(新属性投放!L$14:L$34,属性汇总!$B56)*$C56</f>
        <v>1712.35</v>
      </c>
      <c r="G56" s="14">
        <f>INDEX(新属性投放!D$14:D$34,属性汇总!$B56)*$C56</f>
        <v>23</v>
      </c>
      <c r="H56" s="14">
        <f>INDEX(新属性投放!E$14:E$34,属性汇总!$B56)*$C56</f>
        <v>11.5</v>
      </c>
      <c r="I56" s="14">
        <f>INDEX(新属性投放!F$14:F$34,属性汇总!$B56)*$C56</f>
        <v>69</v>
      </c>
      <c r="J56" s="14">
        <f>ROUND(D56+($A56-INDEX(新属性投放!$B$14:$B$34,属性汇总!$B56))*属性汇总!G56,0)</f>
        <v>946</v>
      </c>
      <c r="K56" s="14">
        <f>ROUND(E56+($A56-INDEX(新属性投放!$B$14:$B$34,属性汇总!$B56))*属性汇总!H56,0)</f>
        <v>452</v>
      </c>
      <c r="L56" s="14">
        <f>ROUND(F56+($A56-INDEX(新属性投放!$B$14:$B$34,属性汇总!$B56))*属性汇总!I56,0)</f>
        <v>2954</v>
      </c>
      <c r="R56" s="13">
        <v>48</v>
      </c>
      <c r="S56" s="13">
        <v>4</v>
      </c>
      <c r="T56" s="14">
        <f>INDEX(新属性投放!$L$6:$L$10,$S$3)*INDEX(新属性投放!$Q$6:$Q$10,$U$3)</f>
        <v>1.1499999999999999</v>
      </c>
      <c r="U56" s="14">
        <f>INDEX(新属性投放!J$42:J$62,属性汇总!$S56)*$T56</f>
        <v>722.19999999999993</v>
      </c>
      <c r="V56" s="14">
        <f>INDEX(新属性投放!K$42:K$62,属性汇总!$S56)*$T56</f>
        <v>358.79999999999995</v>
      </c>
      <c r="W56" s="14">
        <f>INDEX(新属性投放!L$42:L$62,属性汇总!$S56)*$T56</f>
        <v>3182.0499999999997</v>
      </c>
      <c r="X56" s="14">
        <f>INDEX(新属性投放!$D$42:$D$62,属性汇总!$S56)*$T56</f>
        <v>23</v>
      </c>
      <c r="Y56" s="14">
        <f>INDEX(新属性投放!$E$42:$E$62,属性汇总!$S56)*$T56</f>
        <v>11.5</v>
      </c>
      <c r="Z56" s="14">
        <f>INDEX(新属性投放!$F$42:$F$62,属性汇总!$S56)*$T56</f>
        <v>103.49999999999999</v>
      </c>
      <c r="AA56" s="14">
        <f>ROUND(U56+($R56-INDEX(新属性投放!$B$42:$B$62,属性汇总!$S56))*属性汇总!X56,0)</f>
        <v>1136</v>
      </c>
      <c r="AB56" s="14">
        <f>ROUND(V56+($R56-INDEX(新属性投放!$B$42:$B$62,属性汇总!$S56))*属性汇总!Y56,0)</f>
        <v>566</v>
      </c>
      <c r="AC56" s="14">
        <f>ROUND(W56+($R56-INDEX(新属性投放!$B$42:$B$62,属性汇总!$S56))*属性汇总!Z56,0)</f>
        <v>5045</v>
      </c>
    </row>
    <row r="57" spans="1:29" ht="16.5" x14ac:dyDescent="0.2">
      <c r="A57" s="13">
        <v>49</v>
      </c>
      <c r="B57" s="13">
        <v>4</v>
      </c>
      <c r="C57" s="14">
        <f>INDEX(新属性投放!$L$6:$L$10,属性汇总!$B$3)*INDEX(新属性投放!$Q$6:$Q$10,属性汇总!$D$3)</f>
        <v>1.1499999999999999</v>
      </c>
      <c r="D57" s="14">
        <f>INDEX(新属性投放!J$14:J$34,属性汇总!$B57)*$C57</f>
        <v>532.44999999999993</v>
      </c>
      <c r="E57" s="14">
        <f>INDEX(新属性投放!K$14:K$34,属性汇总!$B57)*$C57</f>
        <v>244.95</v>
      </c>
      <c r="F57" s="14">
        <f>INDEX(新属性投放!L$14:L$34,属性汇总!$B57)*$C57</f>
        <v>1712.35</v>
      </c>
      <c r="G57" s="14">
        <f>INDEX(新属性投放!D$14:D$34,属性汇总!$B57)*$C57</f>
        <v>23</v>
      </c>
      <c r="H57" s="14">
        <f>INDEX(新属性投放!E$14:E$34,属性汇总!$B57)*$C57</f>
        <v>11.5</v>
      </c>
      <c r="I57" s="14">
        <f>INDEX(新属性投放!F$14:F$34,属性汇总!$B57)*$C57</f>
        <v>69</v>
      </c>
      <c r="J57" s="14">
        <f>ROUND(D57+($A57-INDEX(新属性投放!$B$14:$B$34,属性汇总!$B57))*属性汇总!G57,0)</f>
        <v>969</v>
      </c>
      <c r="K57" s="14">
        <f>ROUND(E57+($A57-INDEX(新属性投放!$B$14:$B$34,属性汇总!$B57))*属性汇总!H57,0)</f>
        <v>463</v>
      </c>
      <c r="L57" s="14">
        <f>ROUND(F57+($A57-INDEX(新属性投放!$B$14:$B$34,属性汇总!$B57))*属性汇总!I57,0)</f>
        <v>3023</v>
      </c>
      <c r="R57" s="13">
        <v>49</v>
      </c>
      <c r="S57" s="13">
        <v>4</v>
      </c>
      <c r="T57" s="14">
        <f>INDEX(新属性投放!$L$6:$L$10,$S$3)*INDEX(新属性投放!$Q$6:$Q$10,$U$3)</f>
        <v>1.1499999999999999</v>
      </c>
      <c r="U57" s="14">
        <f>INDEX(新属性投放!J$42:J$62,属性汇总!$S57)*$T57</f>
        <v>722.19999999999993</v>
      </c>
      <c r="V57" s="14">
        <f>INDEX(新属性投放!K$42:K$62,属性汇总!$S57)*$T57</f>
        <v>358.79999999999995</v>
      </c>
      <c r="W57" s="14">
        <f>INDEX(新属性投放!L$42:L$62,属性汇总!$S57)*$T57</f>
        <v>3182.0499999999997</v>
      </c>
      <c r="X57" s="14">
        <f>INDEX(新属性投放!$D$42:$D$62,属性汇总!$S57)*$T57</f>
        <v>23</v>
      </c>
      <c r="Y57" s="14">
        <f>INDEX(新属性投放!$E$42:$E$62,属性汇总!$S57)*$T57</f>
        <v>11.5</v>
      </c>
      <c r="Z57" s="14">
        <f>INDEX(新属性投放!$F$42:$F$62,属性汇总!$S57)*$T57</f>
        <v>103.49999999999999</v>
      </c>
      <c r="AA57" s="14">
        <f>ROUND(U57+($R57-INDEX(新属性投放!$B$42:$B$62,属性汇总!$S57))*属性汇总!X57,0)</f>
        <v>1159</v>
      </c>
      <c r="AB57" s="14">
        <f>ROUND(V57+($R57-INDEX(新属性投放!$B$42:$B$62,属性汇总!$S57))*属性汇总!Y57,0)</f>
        <v>577</v>
      </c>
      <c r="AC57" s="14">
        <f>ROUND(W57+($R57-INDEX(新属性投放!$B$42:$B$62,属性汇总!$S57))*属性汇总!Z57,0)</f>
        <v>5149</v>
      </c>
    </row>
    <row r="58" spans="1:29" ht="16.5" x14ac:dyDescent="0.2">
      <c r="A58" s="13">
        <v>50</v>
      </c>
      <c r="B58" s="13">
        <v>4</v>
      </c>
      <c r="C58" s="14">
        <f>INDEX(新属性投放!$L$6:$L$10,属性汇总!$B$3)*INDEX(新属性投放!$Q$6:$Q$10,属性汇总!$D$3)</f>
        <v>1.1499999999999999</v>
      </c>
      <c r="D58" s="14">
        <f>INDEX(新属性投放!J$14:J$34,属性汇总!$B58)*$C58</f>
        <v>532.44999999999993</v>
      </c>
      <c r="E58" s="14">
        <f>INDEX(新属性投放!K$14:K$34,属性汇总!$B58)*$C58</f>
        <v>244.95</v>
      </c>
      <c r="F58" s="14">
        <f>INDEX(新属性投放!L$14:L$34,属性汇总!$B58)*$C58</f>
        <v>1712.35</v>
      </c>
      <c r="G58" s="14">
        <f>INDEX(新属性投放!D$14:D$34,属性汇总!$B58)*$C58</f>
        <v>23</v>
      </c>
      <c r="H58" s="14">
        <f>INDEX(新属性投放!E$14:E$34,属性汇总!$B58)*$C58</f>
        <v>11.5</v>
      </c>
      <c r="I58" s="14">
        <f>INDEX(新属性投放!F$14:F$34,属性汇总!$B58)*$C58</f>
        <v>69</v>
      </c>
      <c r="J58" s="14">
        <f>ROUND(D58+($A58-INDEX(新属性投放!$B$14:$B$34,属性汇总!$B58))*属性汇总!G58,0)</f>
        <v>992</v>
      </c>
      <c r="K58" s="14">
        <f>ROUND(E58+($A58-INDEX(新属性投放!$B$14:$B$34,属性汇总!$B58))*属性汇总!H58,0)</f>
        <v>475</v>
      </c>
      <c r="L58" s="14">
        <f>ROUND(F58+($A58-INDEX(新属性投放!$B$14:$B$34,属性汇总!$B58))*属性汇总!I58,0)</f>
        <v>3092</v>
      </c>
      <c r="R58" s="13">
        <v>50</v>
      </c>
      <c r="S58" s="13">
        <v>4</v>
      </c>
      <c r="T58" s="14">
        <f>INDEX(新属性投放!$L$6:$L$10,$S$3)*INDEX(新属性投放!$Q$6:$Q$10,$U$3)</f>
        <v>1.1499999999999999</v>
      </c>
      <c r="U58" s="14">
        <f>INDEX(新属性投放!J$42:J$62,属性汇总!$S58)*$T58</f>
        <v>722.19999999999993</v>
      </c>
      <c r="V58" s="14">
        <f>INDEX(新属性投放!K$42:K$62,属性汇总!$S58)*$T58</f>
        <v>358.79999999999995</v>
      </c>
      <c r="W58" s="14">
        <f>INDEX(新属性投放!L$42:L$62,属性汇总!$S58)*$T58</f>
        <v>3182.0499999999997</v>
      </c>
      <c r="X58" s="14">
        <f>INDEX(新属性投放!$D$42:$D$62,属性汇总!$S58)*$T58</f>
        <v>23</v>
      </c>
      <c r="Y58" s="14">
        <f>INDEX(新属性投放!$E$42:$E$62,属性汇总!$S58)*$T58</f>
        <v>11.5</v>
      </c>
      <c r="Z58" s="14">
        <f>INDEX(新属性投放!$F$42:$F$62,属性汇总!$S58)*$T58</f>
        <v>103.49999999999999</v>
      </c>
      <c r="AA58" s="14">
        <f>ROUND(U58+($R58-INDEX(新属性投放!$B$42:$B$62,属性汇总!$S58))*属性汇总!X58,0)</f>
        <v>1182</v>
      </c>
      <c r="AB58" s="14">
        <f>ROUND(V58+($R58-INDEX(新属性投放!$B$42:$B$62,属性汇总!$S58))*属性汇总!Y58,0)</f>
        <v>589</v>
      </c>
      <c r="AC58" s="14">
        <f>ROUND(W58+($R58-INDEX(新属性投放!$B$42:$B$62,属性汇总!$S58))*属性汇总!Z58,0)</f>
        <v>5252</v>
      </c>
    </row>
    <row r="59" spans="1:29" s="37" customFormat="1" ht="16.5" x14ac:dyDescent="0.2">
      <c r="A59" s="13">
        <v>50</v>
      </c>
      <c r="B59" s="13">
        <v>5</v>
      </c>
      <c r="C59" s="14">
        <f>INDEX(新属性投放!$L$6:$L$10,属性汇总!$B$3)*INDEX(新属性投放!$Q$6:$Q$10,属性汇总!$D$3)</f>
        <v>1.1499999999999999</v>
      </c>
      <c r="D59" s="14">
        <f>INDEX(新属性投放!J$14:J$34,属性汇总!$B59)*$C59</f>
        <v>819.94999999999993</v>
      </c>
      <c r="E59" s="14">
        <f>INDEX(新属性投放!K$14:K$34,属性汇总!$B59)*$C59</f>
        <v>388.7</v>
      </c>
      <c r="F59" s="14">
        <f>INDEX(新属性投放!L$14:L$34,属性汇总!$B59)*$C59</f>
        <v>2574.85</v>
      </c>
      <c r="G59" s="14">
        <f>INDEX(新属性投放!D$14:D$34,属性汇总!$B59)*$C59</f>
        <v>28.749999999999996</v>
      </c>
      <c r="H59" s="14">
        <f>INDEX(新属性投放!E$14:E$34,属性汇总!$B59)*$C59</f>
        <v>14.374999999999998</v>
      </c>
      <c r="I59" s="14">
        <f>INDEX(新属性投放!F$14:F$34,属性汇总!$B59)*$C59</f>
        <v>86.25</v>
      </c>
      <c r="J59" s="14">
        <f>ROUND(D59+($A59-INDEX(新属性投放!$B$14:$B$34,属性汇总!$B59))*属性汇总!G59,0)</f>
        <v>1107</v>
      </c>
      <c r="K59" s="14">
        <f>ROUND(E59+($A59-INDEX(新属性投放!$B$14:$B$34,属性汇总!$B59))*属性汇总!H59,0)</f>
        <v>532</v>
      </c>
      <c r="L59" s="14">
        <f>ROUND(F59+($A59-INDEX(新属性投放!$B$14:$B$34,属性汇总!$B59))*属性汇总!I59,0)</f>
        <v>3437</v>
      </c>
      <c r="R59" s="13">
        <v>50</v>
      </c>
      <c r="S59" s="13">
        <v>5</v>
      </c>
      <c r="T59" s="14">
        <f>INDEX(新属性投放!$L$6:$L$10,$S$3)*INDEX(新属性投放!$Q$6:$Q$10,$U$3)</f>
        <v>1.1499999999999999</v>
      </c>
      <c r="U59" s="14">
        <f>INDEX(新属性投放!J$42:J$62,属性汇总!$S59)*$T59</f>
        <v>1009.6999999999999</v>
      </c>
      <c r="V59" s="14">
        <f>INDEX(新属性投放!K$42:K$62,属性汇总!$S59)*$T59</f>
        <v>502.54999999999995</v>
      </c>
      <c r="W59" s="14">
        <f>INDEX(新属性投放!L$42:L$62,属性汇总!$S59)*$T59</f>
        <v>4734.5499999999993</v>
      </c>
      <c r="X59" s="14">
        <f>INDEX(新属性投放!$D$42:$D$62,属性汇总!$S59)*$T59</f>
        <v>28.749999999999996</v>
      </c>
      <c r="Y59" s="14">
        <f>INDEX(新属性投放!$E$42:$E$62,属性汇总!$S59)*$T59</f>
        <v>14.374999999999998</v>
      </c>
      <c r="Z59" s="14">
        <f>INDEX(新属性投放!$F$42:$F$62,属性汇总!$S59)*$T59</f>
        <v>128.79999999999998</v>
      </c>
      <c r="AA59" s="14">
        <f>ROUND(U59+($R59-INDEX(新属性投放!$B$42:$B$62,属性汇总!$S59))*属性汇总!X59,0)</f>
        <v>1297</v>
      </c>
      <c r="AB59" s="14">
        <f>ROUND(V59+($R59-INDEX(新属性投放!$B$42:$B$62,属性汇总!$S59))*属性汇总!Y59,0)</f>
        <v>646</v>
      </c>
      <c r="AC59" s="14">
        <f>ROUND(W59+($R59-INDEX(新属性投放!$B$42:$B$62,属性汇总!$S59))*属性汇总!Z59,0)</f>
        <v>6023</v>
      </c>
    </row>
    <row r="60" spans="1:29" ht="16.5" x14ac:dyDescent="0.2">
      <c r="A60" s="13">
        <v>51</v>
      </c>
      <c r="B60" s="13">
        <v>5</v>
      </c>
      <c r="C60" s="14">
        <f>INDEX(新属性投放!$L$6:$L$10,属性汇总!$B$3)*INDEX(新属性投放!$Q$6:$Q$10,属性汇总!$D$3)</f>
        <v>1.1499999999999999</v>
      </c>
      <c r="D60" s="14">
        <f>INDEX(新属性投放!J$14:J$34,属性汇总!$B60)*$C60</f>
        <v>819.94999999999993</v>
      </c>
      <c r="E60" s="14">
        <f>INDEX(新属性投放!K$14:K$34,属性汇总!$B60)*$C60</f>
        <v>388.7</v>
      </c>
      <c r="F60" s="14">
        <f>INDEX(新属性投放!L$14:L$34,属性汇总!$B60)*$C60</f>
        <v>2574.85</v>
      </c>
      <c r="G60" s="14">
        <f>INDEX(新属性投放!D$14:D$34,属性汇总!$B60)*$C60</f>
        <v>28.749999999999996</v>
      </c>
      <c r="H60" s="14">
        <f>INDEX(新属性投放!E$14:E$34,属性汇总!$B60)*$C60</f>
        <v>14.374999999999998</v>
      </c>
      <c r="I60" s="14">
        <f>INDEX(新属性投放!F$14:F$34,属性汇总!$B60)*$C60</f>
        <v>86.25</v>
      </c>
      <c r="J60" s="14">
        <f>ROUND(D60+($A60-INDEX(新属性投放!$B$14:$B$34,属性汇总!$B60))*属性汇总!G60,0)</f>
        <v>1136</v>
      </c>
      <c r="K60" s="14">
        <f>ROUND(E60+($A60-INDEX(新属性投放!$B$14:$B$34,属性汇总!$B60))*属性汇总!H60,0)</f>
        <v>547</v>
      </c>
      <c r="L60" s="14">
        <f>ROUND(F60+($A60-INDEX(新属性投放!$B$14:$B$34,属性汇总!$B60))*属性汇总!I60,0)</f>
        <v>3524</v>
      </c>
      <c r="R60" s="13">
        <v>51</v>
      </c>
      <c r="S60" s="13">
        <v>5</v>
      </c>
      <c r="T60" s="14">
        <f>INDEX(新属性投放!$L$6:$L$10,$S$3)*INDEX(新属性投放!$Q$6:$Q$10,$U$3)</f>
        <v>1.1499999999999999</v>
      </c>
      <c r="U60" s="14">
        <f>INDEX(新属性投放!J$42:J$62,属性汇总!$S60)*$T60</f>
        <v>1009.6999999999999</v>
      </c>
      <c r="V60" s="14">
        <f>INDEX(新属性投放!K$42:K$62,属性汇总!$S60)*$T60</f>
        <v>502.54999999999995</v>
      </c>
      <c r="W60" s="14">
        <f>INDEX(新属性投放!L$42:L$62,属性汇总!$S60)*$T60</f>
        <v>4734.5499999999993</v>
      </c>
      <c r="X60" s="14">
        <f>INDEX(新属性投放!$D$42:$D$62,属性汇总!$S60)*$T60</f>
        <v>28.749999999999996</v>
      </c>
      <c r="Y60" s="14">
        <f>INDEX(新属性投放!$E$42:$E$62,属性汇总!$S60)*$T60</f>
        <v>14.374999999999998</v>
      </c>
      <c r="Z60" s="14">
        <f>INDEX(新属性投放!$F$42:$F$62,属性汇总!$S60)*$T60</f>
        <v>128.79999999999998</v>
      </c>
      <c r="AA60" s="14">
        <f>ROUND(U60+($R60-INDEX(新属性投放!$B$42:$B$62,属性汇总!$S60))*属性汇总!X60,0)</f>
        <v>1326</v>
      </c>
      <c r="AB60" s="14">
        <f>ROUND(V60+($R60-INDEX(新属性投放!$B$42:$B$62,属性汇总!$S60))*属性汇总!Y60,0)</f>
        <v>661</v>
      </c>
      <c r="AC60" s="14">
        <f>ROUND(W60+($R60-INDEX(新属性投放!$B$42:$B$62,属性汇总!$S60))*属性汇总!Z60,0)</f>
        <v>6151</v>
      </c>
    </row>
    <row r="61" spans="1:29" s="20" customFormat="1" ht="16.5" x14ac:dyDescent="0.2">
      <c r="A61" s="13">
        <v>52</v>
      </c>
      <c r="B61" s="13">
        <v>5</v>
      </c>
      <c r="C61" s="14">
        <f>INDEX(新属性投放!$L$6:$L$10,属性汇总!$B$3)*INDEX(新属性投放!$Q$6:$Q$10,属性汇总!$D$3)</f>
        <v>1.1499999999999999</v>
      </c>
      <c r="D61" s="14">
        <f>INDEX(新属性投放!J$14:J$34,属性汇总!$B61)*$C61</f>
        <v>819.94999999999993</v>
      </c>
      <c r="E61" s="14">
        <f>INDEX(新属性投放!K$14:K$34,属性汇总!$B61)*$C61</f>
        <v>388.7</v>
      </c>
      <c r="F61" s="14">
        <f>INDEX(新属性投放!L$14:L$34,属性汇总!$B61)*$C61</f>
        <v>2574.85</v>
      </c>
      <c r="G61" s="14">
        <f>INDEX(新属性投放!D$14:D$34,属性汇总!$B61)*$C61</f>
        <v>28.749999999999996</v>
      </c>
      <c r="H61" s="14">
        <f>INDEX(新属性投放!E$14:E$34,属性汇总!$B61)*$C61</f>
        <v>14.374999999999998</v>
      </c>
      <c r="I61" s="14">
        <f>INDEX(新属性投放!F$14:F$34,属性汇总!$B61)*$C61</f>
        <v>86.25</v>
      </c>
      <c r="J61" s="14">
        <f>ROUND(D61+($A61-INDEX(新属性投放!$B$14:$B$34,属性汇总!$B61))*属性汇总!G61,0)</f>
        <v>1165</v>
      </c>
      <c r="K61" s="14">
        <f>ROUND(E61+($A61-INDEX(新属性投放!$B$14:$B$34,属性汇总!$B61))*属性汇总!H61,0)</f>
        <v>561</v>
      </c>
      <c r="L61" s="14">
        <f>ROUND(F61+($A61-INDEX(新属性投放!$B$14:$B$34,属性汇总!$B61))*属性汇总!I61,0)</f>
        <v>3610</v>
      </c>
      <c r="N61" s="37"/>
      <c r="O61" s="37"/>
      <c r="P61" s="37"/>
      <c r="R61" s="13">
        <v>52</v>
      </c>
      <c r="S61" s="13">
        <v>5</v>
      </c>
      <c r="T61" s="14">
        <f>INDEX(新属性投放!$L$6:$L$10,$S$3)*INDEX(新属性投放!$Q$6:$Q$10,$U$3)</f>
        <v>1.1499999999999999</v>
      </c>
      <c r="U61" s="14">
        <f>INDEX(新属性投放!J$42:J$62,属性汇总!$S61)*$T61</f>
        <v>1009.6999999999999</v>
      </c>
      <c r="V61" s="14">
        <f>INDEX(新属性投放!K$42:K$62,属性汇总!$S61)*$T61</f>
        <v>502.54999999999995</v>
      </c>
      <c r="W61" s="14">
        <f>INDEX(新属性投放!L$42:L$62,属性汇总!$S61)*$T61</f>
        <v>4734.5499999999993</v>
      </c>
      <c r="X61" s="14">
        <f>INDEX(新属性投放!$D$42:$D$62,属性汇总!$S61)*$T61</f>
        <v>28.749999999999996</v>
      </c>
      <c r="Y61" s="14">
        <f>INDEX(新属性投放!$E$42:$E$62,属性汇总!$S61)*$T61</f>
        <v>14.374999999999998</v>
      </c>
      <c r="Z61" s="14">
        <f>INDEX(新属性投放!$F$42:$F$62,属性汇总!$S61)*$T61</f>
        <v>128.79999999999998</v>
      </c>
      <c r="AA61" s="14">
        <f>ROUND(U61+($R61-INDEX(新属性投放!$B$42:$B$62,属性汇总!$S61))*属性汇总!X61,0)</f>
        <v>1355</v>
      </c>
      <c r="AB61" s="14">
        <f>ROUND(V61+($R61-INDEX(新属性投放!$B$42:$B$62,属性汇总!$S61))*属性汇总!Y61,0)</f>
        <v>675</v>
      </c>
      <c r="AC61" s="14">
        <f>ROUND(W61+($R61-INDEX(新属性投放!$B$42:$B$62,属性汇总!$S61))*属性汇总!Z61,0)</f>
        <v>6280</v>
      </c>
    </row>
    <row r="62" spans="1:29" ht="16.5" x14ac:dyDescent="0.2">
      <c r="A62" s="13">
        <v>53</v>
      </c>
      <c r="B62" s="13">
        <v>5</v>
      </c>
      <c r="C62" s="14">
        <f>INDEX(新属性投放!$L$6:$L$10,属性汇总!$B$3)*INDEX(新属性投放!$Q$6:$Q$10,属性汇总!$D$3)</f>
        <v>1.1499999999999999</v>
      </c>
      <c r="D62" s="14">
        <f>INDEX(新属性投放!J$14:J$34,属性汇总!$B62)*$C62</f>
        <v>819.94999999999993</v>
      </c>
      <c r="E62" s="14">
        <f>INDEX(新属性投放!K$14:K$34,属性汇总!$B62)*$C62</f>
        <v>388.7</v>
      </c>
      <c r="F62" s="14">
        <f>INDEX(新属性投放!L$14:L$34,属性汇总!$B62)*$C62</f>
        <v>2574.85</v>
      </c>
      <c r="G62" s="14">
        <f>INDEX(新属性投放!D$14:D$34,属性汇总!$B62)*$C62</f>
        <v>28.749999999999996</v>
      </c>
      <c r="H62" s="14">
        <f>INDEX(新属性投放!E$14:E$34,属性汇总!$B62)*$C62</f>
        <v>14.374999999999998</v>
      </c>
      <c r="I62" s="14">
        <f>INDEX(新属性投放!F$14:F$34,属性汇总!$B62)*$C62</f>
        <v>86.25</v>
      </c>
      <c r="J62" s="14">
        <f>ROUND(D62+($A62-INDEX(新属性投放!$B$14:$B$34,属性汇总!$B62))*属性汇总!G62,0)</f>
        <v>1194</v>
      </c>
      <c r="K62" s="14">
        <f>ROUND(E62+($A62-INDEX(新属性投放!$B$14:$B$34,属性汇总!$B62))*属性汇总!H62,0)</f>
        <v>576</v>
      </c>
      <c r="L62" s="14">
        <f>ROUND(F62+($A62-INDEX(新属性投放!$B$14:$B$34,属性汇总!$B62))*属性汇总!I62,0)</f>
        <v>3696</v>
      </c>
      <c r="R62" s="13">
        <v>53</v>
      </c>
      <c r="S62" s="13">
        <v>5</v>
      </c>
      <c r="T62" s="14">
        <f>INDEX(新属性投放!$L$6:$L$10,$S$3)*INDEX(新属性投放!$Q$6:$Q$10,$U$3)</f>
        <v>1.1499999999999999</v>
      </c>
      <c r="U62" s="14">
        <f>INDEX(新属性投放!J$42:J$62,属性汇总!$S62)*$T62</f>
        <v>1009.6999999999999</v>
      </c>
      <c r="V62" s="14">
        <f>INDEX(新属性投放!K$42:K$62,属性汇总!$S62)*$T62</f>
        <v>502.54999999999995</v>
      </c>
      <c r="W62" s="14">
        <f>INDEX(新属性投放!L$42:L$62,属性汇总!$S62)*$T62</f>
        <v>4734.5499999999993</v>
      </c>
      <c r="X62" s="14">
        <f>INDEX(新属性投放!$D$42:$D$62,属性汇总!$S62)*$T62</f>
        <v>28.749999999999996</v>
      </c>
      <c r="Y62" s="14">
        <f>INDEX(新属性投放!$E$42:$E$62,属性汇总!$S62)*$T62</f>
        <v>14.374999999999998</v>
      </c>
      <c r="Z62" s="14">
        <f>INDEX(新属性投放!$F$42:$F$62,属性汇总!$S62)*$T62</f>
        <v>128.79999999999998</v>
      </c>
      <c r="AA62" s="14">
        <f>ROUND(U62+($R62-INDEX(新属性投放!$B$42:$B$62,属性汇总!$S62))*属性汇总!X62,0)</f>
        <v>1383</v>
      </c>
      <c r="AB62" s="14">
        <f>ROUND(V62+($R62-INDEX(新属性投放!$B$42:$B$62,属性汇总!$S62))*属性汇总!Y62,0)</f>
        <v>689</v>
      </c>
      <c r="AC62" s="14">
        <f>ROUND(W62+($R62-INDEX(新属性投放!$B$42:$B$62,属性汇总!$S62))*属性汇总!Z62,0)</f>
        <v>6409</v>
      </c>
    </row>
    <row r="63" spans="1:29" ht="16.5" x14ac:dyDescent="0.2">
      <c r="A63" s="13">
        <v>54</v>
      </c>
      <c r="B63" s="13">
        <v>5</v>
      </c>
      <c r="C63" s="14">
        <f>INDEX(新属性投放!$L$6:$L$10,属性汇总!$B$3)*INDEX(新属性投放!$Q$6:$Q$10,属性汇总!$D$3)</f>
        <v>1.1499999999999999</v>
      </c>
      <c r="D63" s="14">
        <f>INDEX(新属性投放!J$14:J$34,属性汇总!$B63)*$C63</f>
        <v>819.94999999999993</v>
      </c>
      <c r="E63" s="14">
        <f>INDEX(新属性投放!K$14:K$34,属性汇总!$B63)*$C63</f>
        <v>388.7</v>
      </c>
      <c r="F63" s="14">
        <f>INDEX(新属性投放!L$14:L$34,属性汇总!$B63)*$C63</f>
        <v>2574.85</v>
      </c>
      <c r="G63" s="14">
        <f>INDEX(新属性投放!D$14:D$34,属性汇总!$B63)*$C63</f>
        <v>28.749999999999996</v>
      </c>
      <c r="H63" s="14">
        <f>INDEX(新属性投放!E$14:E$34,属性汇总!$B63)*$C63</f>
        <v>14.374999999999998</v>
      </c>
      <c r="I63" s="14">
        <f>INDEX(新属性投放!F$14:F$34,属性汇总!$B63)*$C63</f>
        <v>86.25</v>
      </c>
      <c r="J63" s="14">
        <f>ROUND(D63+($A63-INDEX(新属性投放!$B$14:$B$34,属性汇总!$B63))*属性汇总!G63,0)</f>
        <v>1222</v>
      </c>
      <c r="K63" s="14">
        <f>ROUND(E63+($A63-INDEX(新属性投放!$B$14:$B$34,属性汇总!$B63))*属性汇总!H63,0)</f>
        <v>590</v>
      </c>
      <c r="L63" s="14">
        <f>ROUND(F63+($A63-INDEX(新属性投放!$B$14:$B$34,属性汇总!$B63))*属性汇总!I63,0)</f>
        <v>3782</v>
      </c>
      <c r="R63" s="13">
        <v>54</v>
      </c>
      <c r="S63" s="13">
        <v>5</v>
      </c>
      <c r="T63" s="14">
        <f>INDEX(新属性投放!$L$6:$L$10,$S$3)*INDEX(新属性投放!$Q$6:$Q$10,$U$3)</f>
        <v>1.1499999999999999</v>
      </c>
      <c r="U63" s="14">
        <f>INDEX(新属性投放!J$42:J$62,属性汇总!$S63)*$T63</f>
        <v>1009.6999999999999</v>
      </c>
      <c r="V63" s="14">
        <f>INDEX(新属性投放!K$42:K$62,属性汇总!$S63)*$T63</f>
        <v>502.54999999999995</v>
      </c>
      <c r="W63" s="14">
        <f>INDEX(新属性投放!L$42:L$62,属性汇总!$S63)*$T63</f>
        <v>4734.5499999999993</v>
      </c>
      <c r="X63" s="14">
        <f>INDEX(新属性投放!$D$42:$D$62,属性汇总!$S63)*$T63</f>
        <v>28.749999999999996</v>
      </c>
      <c r="Y63" s="14">
        <f>INDEX(新属性投放!$E$42:$E$62,属性汇总!$S63)*$T63</f>
        <v>14.374999999999998</v>
      </c>
      <c r="Z63" s="14">
        <f>INDEX(新属性投放!$F$42:$F$62,属性汇总!$S63)*$T63</f>
        <v>128.79999999999998</v>
      </c>
      <c r="AA63" s="14">
        <f>ROUND(U63+($R63-INDEX(新属性投放!$B$42:$B$62,属性汇总!$S63))*属性汇总!X63,0)</f>
        <v>1412</v>
      </c>
      <c r="AB63" s="14">
        <f>ROUND(V63+($R63-INDEX(新属性投放!$B$42:$B$62,属性汇总!$S63))*属性汇总!Y63,0)</f>
        <v>704</v>
      </c>
      <c r="AC63" s="14">
        <f>ROUND(W63+($R63-INDEX(新属性投放!$B$42:$B$62,属性汇总!$S63))*属性汇总!Z63,0)</f>
        <v>6538</v>
      </c>
    </row>
    <row r="64" spans="1:29" ht="16.5" x14ac:dyDescent="0.2">
      <c r="A64" s="13">
        <v>55</v>
      </c>
      <c r="B64" s="13">
        <v>5</v>
      </c>
      <c r="C64" s="14">
        <f>INDEX(新属性投放!$L$6:$L$10,属性汇总!$B$3)*INDEX(新属性投放!$Q$6:$Q$10,属性汇总!$D$3)</f>
        <v>1.1499999999999999</v>
      </c>
      <c r="D64" s="14">
        <f>INDEX(新属性投放!J$14:J$34,属性汇总!$B64)*$C64</f>
        <v>819.94999999999993</v>
      </c>
      <c r="E64" s="14">
        <f>INDEX(新属性投放!K$14:K$34,属性汇总!$B64)*$C64</f>
        <v>388.7</v>
      </c>
      <c r="F64" s="14">
        <f>INDEX(新属性投放!L$14:L$34,属性汇总!$B64)*$C64</f>
        <v>2574.85</v>
      </c>
      <c r="G64" s="14">
        <f>INDEX(新属性投放!D$14:D$34,属性汇总!$B64)*$C64</f>
        <v>28.749999999999996</v>
      </c>
      <c r="H64" s="14">
        <f>INDEX(新属性投放!E$14:E$34,属性汇总!$B64)*$C64</f>
        <v>14.374999999999998</v>
      </c>
      <c r="I64" s="14">
        <f>INDEX(新属性投放!F$14:F$34,属性汇总!$B64)*$C64</f>
        <v>86.25</v>
      </c>
      <c r="J64" s="14">
        <f>ROUND(D64+($A64-INDEX(新属性投放!$B$14:$B$34,属性汇总!$B64))*属性汇总!G64,0)</f>
        <v>1251</v>
      </c>
      <c r="K64" s="14">
        <f>ROUND(E64+($A64-INDEX(新属性投放!$B$14:$B$34,属性汇总!$B64))*属性汇总!H64,0)</f>
        <v>604</v>
      </c>
      <c r="L64" s="14">
        <f>ROUND(F64+($A64-INDEX(新属性投放!$B$14:$B$34,属性汇总!$B64))*属性汇总!I64,0)</f>
        <v>3869</v>
      </c>
      <c r="R64" s="13">
        <v>55</v>
      </c>
      <c r="S64" s="13">
        <v>5</v>
      </c>
      <c r="T64" s="14">
        <f>INDEX(新属性投放!$L$6:$L$10,$S$3)*INDEX(新属性投放!$Q$6:$Q$10,$U$3)</f>
        <v>1.1499999999999999</v>
      </c>
      <c r="U64" s="14">
        <f>INDEX(新属性投放!J$42:J$62,属性汇总!$S64)*$T64</f>
        <v>1009.6999999999999</v>
      </c>
      <c r="V64" s="14">
        <f>INDEX(新属性投放!K$42:K$62,属性汇总!$S64)*$T64</f>
        <v>502.54999999999995</v>
      </c>
      <c r="W64" s="14">
        <f>INDEX(新属性投放!L$42:L$62,属性汇总!$S64)*$T64</f>
        <v>4734.5499999999993</v>
      </c>
      <c r="X64" s="14">
        <f>INDEX(新属性投放!$D$42:$D$62,属性汇总!$S64)*$T64</f>
        <v>28.749999999999996</v>
      </c>
      <c r="Y64" s="14">
        <f>INDEX(新属性投放!$E$42:$E$62,属性汇总!$S64)*$T64</f>
        <v>14.374999999999998</v>
      </c>
      <c r="Z64" s="14">
        <f>INDEX(新属性投放!$F$42:$F$62,属性汇总!$S64)*$T64</f>
        <v>128.79999999999998</v>
      </c>
      <c r="AA64" s="14">
        <f>ROUND(U64+($R64-INDEX(新属性投放!$B$42:$B$62,属性汇总!$S64))*属性汇总!X64,0)</f>
        <v>1441</v>
      </c>
      <c r="AB64" s="14">
        <f>ROUND(V64+($R64-INDEX(新属性投放!$B$42:$B$62,属性汇总!$S64))*属性汇总!Y64,0)</f>
        <v>718</v>
      </c>
      <c r="AC64" s="14">
        <f>ROUND(W64+($R64-INDEX(新属性投放!$B$42:$B$62,属性汇总!$S64))*属性汇总!Z64,0)</f>
        <v>6667</v>
      </c>
    </row>
    <row r="65" spans="1:29" ht="16.5" x14ac:dyDescent="0.2">
      <c r="A65" s="13">
        <v>56</v>
      </c>
      <c r="B65" s="13">
        <v>5</v>
      </c>
      <c r="C65" s="14">
        <f>INDEX(新属性投放!$L$6:$L$10,属性汇总!$B$3)*INDEX(新属性投放!$Q$6:$Q$10,属性汇总!$D$3)</f>
        <v>1.1499999999999999</v>
      </c>
      <c r="D65" s="14">
        <f>INDEX(新属性投放!J$14:J$34,属性汇总!$B65)*$C65</f>
        <v>819.94999999999993</v>
      </c>
      <c r="E65" s="14">
        <f>INDEX(新属性投放!K$14:K$34,属性汇总!$B65)*$C65</f>
        <v>388.7</v>
      </c>
      <c r="F65" s="14">
        <f>INDEX(新属性投放!L$14:L$34,属性汇总!$B65)*$C65</f>
        <v>2574.85</v>
      </c>
      <c r="G65" s="14">
        <f>INDEX(新属性投放!D$14:D$34,属性汇总!$B65)*$C65</f>
        <v>28.749999999999996</v>
      </c>
      <c r="H65" s="14">
        <f>INDEX(新属性投放!E$14:E$34,属性汇总!$B65)*$C65</f>
        <v>14.374999999999998</v>
      </c>
      <c r="I65" s="14">
        <f>INDEX(新属性投放!F$14:F$34,属性汇总!$B65)*$C65</f>
        <v>86.25</v>
      </c>
      <c r="J65" s="14">
        <f>ROUND(D65+($A65-INDEX(新属性投放!$B$14:$B$34,属性汇总!$B65))*属性汇总!G65,0)</f>
        <v>1280</v>
      </c>
      <c r="K65" s="14">
        <f>ROUND(E65+($A65-INDEX(新属性投放!$B$14:$B$34,属性汇总!$B65))*属性汇总!H65,0)</f>
        <v>619</v>
      </c>
      <c r="L65" s="14">
        <f>ROUND(F65+($A65-INDEX(新属性投放!$B$14:$B$34,属性汇总!$B65))*属性汇总!I65,0)</f>
        <v>3955</v>
      </c>
      <c r="R65" s="13">
        <v>56</v>
      </c>
      <c r="S65" s="13">
        <v>5</v>
      </c>
      <c r="T65" s="14">
        <f>INDEX(新属性投放!$L$6:$L$10,$S$3)*INDEX(新属性投放!$Q$6:$Q$10,$U$3)</f>
        <v>1.1499999999999999</v>
      </c>
      <c r="U65" s="14">
        <f>INDEX(新属性投放!J$42:J$62,属性汇总!$S65)*$T65</f>
        <v>1009.6999999999999</v>
      </c>
      <c r="V65" s="14">
        <f>INDEX(新属性投放!K$42:K$62,属性汇总!$S65)*$T65</f>
        <v>502.54999999999995</v>
      </c>
      <c r="W65" s="14">
        <f>INDEX(新属性投放!L$42:L$62,属性汇总!$S65)*$T65</f>
        <v>4734.5499999999993</v>
      </c>
      <c r="X65" s="14">
        <f>INDEX(新属性投放!$D$42:$D$62,属性汇总!$S65)*$T65</f>
        <v>28.749999999999996</v>
      </c>
      <c r="Y65" s="14">
        <f>INDEX(新属性投放!$E$42:$E$62,属性汇总!$S65)*$T65</f>
        <v>14.374999999999998</v>
      </c>
      <c r="Z65" s="14">
        <f>INDEX(新属性投放!$F$42:$F$62,属性汇总!$S65)*$T65</f>
        <v>128.79999999999998</v>
      </c>
      <c r="AA65" s="14">
        <f>ROUND(U65+($R65-INDEX(新属性投放!$B$42:$B$62,属性汇总!$S65))*属性汇总!X65,0)</f>
        <v>1470</v>
      </c>
      <c r="AB65" s="14">
        <f>ROUND(V65+($R65-INDEX(新属性投放!$B$42:$B$62,属性汇总!$S65))*属性汇总!Y65,0)</f>
        <v>733</v>
      </c>
      <c r="AC65" s="14">
        <f>ROUND(W65+($R65-INDEX(新属性投放!$B$42:$B$62,属性汇总!$S65))*属性汇总!Z65,0)</f>
        <v>6795</v>
      </c>
    </row>
    <row r="66" spans="1:29" ht="16.5" x14ac:dyDescent="0.2">
      <c r="A66" s="13">
        <v>57</v>
      </c>
      <c r="B66" s="13">
        <v>5</v>
      </c>
      <c r="C66" s="14">
        <f>INDEX(新属性投放!$L$6:$L$10,属性汇总!$B$3)*INDEX(新属性投放!$Q$6:$Q$10,属性汇总!$D$3)</f>
        <v>1.1499999999999999</v>
      </c>
      <c r="D66" s="14">
        <f>INDEX(新属性投放!J$14:J$34,属性汇总!$B66)*$C66</f>
        <v>819.94999999999993</v>
      </c>
      <c r="E66" s="14">
        <f>INDEX(新属性投放!K$14:K$34,属性汇总!$B66)*$C66</f>
        <v>388.7</v>
      </c>
      <c r="F66" s="14">
        <f>INDEX(新属性投放!L$14:L$34,属性汇总!$B66)*$C66</f>
        <v>2574.85</v>
      </c>
      <c r="G66" s="14">
        <f>INDEX(新属性投放!D$14:D$34,属性汇总!$B66)*$C66</f>
        <v>28.749999999999996</v>
      </c>
      <c r="H66" s="14">
        <f>INDEX(新属性投放!E$14:E$34,属性汇总!$B66)*$C66</f>
        <v>14.374999999999998</v>
      </c>
      <c r="I66" s="14">
        <f>INDEX(新属性投放!F$14:F$34,属性汇总!$B66)*$C66</f>
        <v>86.25</v>
      </c>
      <c r="J66" s="14">
        <f>ROUND(D66+($A66-INDEX(新属性投放!$B$14:$B$34,属性汇总!$B66))*属性汇总!G66,0)</f>
        <v>1309</v>
      </c>
      <c r="K66" s="14">
        <f>ROUND(E66+($A66-INDEX(新属性投放!$B$14:$B$34,属性汇总!$B66))*属性汇总!H66,0)</f>
        <v>633</v>
      </c>
      <c r="L66" s="14">
        <f>ROUND(F66+($A66-INDEX(新属性投放!$B$14:$B$34,属性汇总!$B66))*属性汇总!I66,0)</f>
        <v>4041</v>
      </c>
      <c r="R66" s="13">
        <v>57</v>
      </c>
      <c r="S66" s="13">
        <v>5</v>
      </c>
      <c r="T66" s="14">
        <f>INDEX(新属性投放!$L$6:$L$10,$S$3)*INDEX(新属性投放!$Q$6:$Q$10,$U$3)</f>
        <v>1.1499999999999999</v>
      </c>
      <c r="U66" s="14">
        <f>INDEX(新属性投放!J$42:J$62,属性汇总!$S66)*$T66</f>
        <v>1009.6999999999999</v>
      </c>
      <c r="V66" s="14">
        <f>INDEX(新属性投放!K$42:K$62,属性汇总!$S66)*$T66</f>
        <v>502.54999999999995</v>
      </c>
      <c r="W66" s="14">
        <f>INDEX(新属性投放!L$42:L$62,属性汇总!$S66)*$T66</f>
        <v>4734.5499999999993</v>
      </c>
      <c r="X66" s="14">
        <f>INDEX(新属性投放!$D$42:$D$62,属性汇总!$S66)*$T66</f>
        <v>28.749999999999996</v>
      </c>
      <c r="Y66" s="14">
        <f>INDEX(新属性投放!$E$42:$E$62,属性汇总!$S66)*$T66</f>
        <v>14.374999999999998</v>
      </c>
      <c r="Z66" s="14">
        <f>INDEX(新属性投放!$F$42:$F$62,属性汇总!$S66)*$T66</f>
        <v>128.79999999999998</v>
      </c>
      <c r="AA66" s="14">
        <f>ROUND(U66+($R66-INDEX(新属性投放!$B$42:$B$62,属性汇总!$S66))*属性汇总!X66,0)</f>
        <v>1498</v>
      </c>
      <c r="AB66" s="14">
        <f>ROUND(V66+($R66-INDEX(新属性投放!$B$42:$B$62,属性汇总!$S66))*属性汇总!Y66,0)</f>
        <v>747</v>
      </c>
      <c r="AC66" s="14">
        <f>ROUND(W66+($R66-INDEX(新属性投放!$B$42:$B$62,属性汇总!$S66))*属性汇总!Z66,0)</f>
        <v>6924</v>
      </c>
    </row>
    <row r="67" spans="1:29" ht="16.5" x14ac:dyDescent="0.2">
      <c r="A67" s="13">
        <v>58</v>
      </c>
      <c r="B67" s="13">
        <v>5</v>
      </c>
      <c r="C67" s="14">
        <f>INDEX(新属性投放!$L$6:$L$10,属性汇总!$B$3)*INDEX(新属性投放!$Q$6:$Q$10,属性汇总!$D$3)</f>
        <v>1.1499999999999999</v>
      </c>
      <c r="D67" s="14">
        <f>INDEX(新属性投放!J$14:J$34,属性汇总!$B67)*$C67</f>
        <v>819.94999999999993</v>
      </c>
      <c r="E67" s="14">
        <f>INDEX(新属性投放!K$14:K$34,属性汇总!$B67)*$C67</f>
        <v>388.7</v>
      </c>
      <c r="F67" s="14">
        <f>INDEX(新属性投放!L$14:L$34,属性汇总!$B67)*$C67</f>
        <v>2574.85</v>
      </c>
      <c r="G67" s="14">
        <f>INDEX(新属性投放!D$14:D$34,属性汇总!$B67)*$C67</f>
        <v>28.749999999999996</v>
      </c>
      <c r="H67" s="14">
        <f>INDEX(新属性投放!E$14:E$34,属性汇总!$B67)*$C67</f>
        <v>14.374999999999998</v>
      </c>
      <c r="I67" s="14">
        <f>INDEX(新属性投放!F$14:F$34,属性汇总!$B67)*$C67</f>
        <v>86.25</v>
      </c>
      <c r="J67" s="14">
        <f>ROUND(D67+($A67-INDEX(新属性投放!$B$14:$B$34,属性汇总!$B67))*属性汇总!G67,0)</f>
        <v>1337</v>
      </c>
      <c r="K67" s="14">
        <f>ROUND(E67+($A67-INDEX(新属性投放!$B$14:$B$34,属性汇总!$B67))*属性汇总!H67,0)</f>
        <v>647</v>
      </c>
      <c r="L67" s="14">
        <f>ROUND(F67+($A67-INDEX(新属性投放!$B$14:$B$34,属性汇总!$B67))*属性汇总!I67,0)</f>
        <v>4127</v>
      </c>
      <c r="R67" s="13">
        <v>58</v>
      </c>
      <c r="S67" s="13">
        <v>5</v>
      </c>
      <c r="T67" s="14">
        <f>INDEX(新属性投放!$L$6:$L$10,$S$3)*INDEX(新属性投放!$Q$6:$Q$10,$U$3)</f>
        <v>1.1499999999999999</v>
      </c>
      <c r="U67" s="14">
        <f>INDEX(新属性投放!J$42:J$62,属性汇总!$S67)*$T67</f>
        <v>1009.6999999999999</v>
      </c>
      <c r="V67" s="14">
        <f>INDEX(新属性投放!K$42:K$62,属性汇总!$S67)*$T67</f>
        <v>502.54999999999995</v>
      </c>
      <c r="W67" s="14">
        <f>INDEX(新属性投放!L$42:L$62,属性汇总!$S67)*$T67</f>
        <v>4734.5499999999993</v>
      </c>
      <c r="X67" s="14">
        <f>INDEX(新属性投放!$D$42:$D$62,属性汇总!$S67)*$T67</f>
        <v>28.749999999999996</v>
      </c>
      <c r="Y67" s="14">
        <f>INDEX(新属性投放!$E$42:$E$62,属性汇总!$S67)*$T67</f>
        <v>14.374999999999998</v>
      </c>
      <c r="Z67" s="14">
        <f>INDEX(新属性投放!$F$42:$F$62,属性汇总!$S67)*$T67</f>
        <v>128.79999999999998</v>
      </c>
      <c r="AA67" s="14">
        <f>ROUND(U67+($R67-INDEX(新属性投放!$B$42:$B$62,属性汇总!$S67))*属性汇总!X67,0)</f>
        <v>1527</v>
      </c>
      <c r="AB67" s="14">
        <f>ROUND(V67+($R67-INDEX(新属性投放!$B$42:$B$62,属性汇总!$S67))*属性汇总!Y67,0)</f>
        <v>761</v>
      </c>
      <c r="AC67" s="14">
        <f>ROUND(W67+($R67-INDEX(新属性投放!$B$42:$B$62,属性汇总!$S67))*属性汇总!Z67,0)</f>
        <v>7053</v>
      </c>
    </row>
    <row r="68" spans="1:29" ht="16.5" x14ac:dyDescent="0.2">
      <c r="A68" s="13">
        <v>59</v>
      </c>
      <c r="B68" s="13">
        <v>5</v>
      </c>
      <c r="C68" s="14">
        <f>INDEX(新属性投放!$L$6:$L$10,属性汇总!$B$3)*INDEX(新属性投放!$Q$6:$Q$10,属性汇总!$D$3)</f>
        <v>1.1499999999999999</v>
      </c>
      <c r="D68" s="14">
        <f>INDEX(新属性投放!J$14:J$34,属性汇总!$B68)*$C68</f>
        <v>819.94999999999993</v>
      </c>
      <c r="E68" s="14">
        <f>INDEX(新属性投放!K$14:K$34,属性汇总!$B68)*$C68</f>
        <v>388.7</v>
      </c>
      <c r="F68" s="14">
        <f>INDEX(新属性投放!L$14:L$34,属性汇总!$B68)*$C68</f>
        <v>2574.85</v>
      </c>
      <c r="G68" s="14">
        <f>INDEX(新属性投放!D$14:D$34,属性汇总!$B68)*$C68</f>
        <v>28.749999999999996</v>
      </c>
      <c r="H68" s="14">
        <f>INDEX(新属性投放!E$14:E$34,属性汇总!$B68)*$C68</f>
        <v>14.374999999999998</v>
      </c>
      <c r="I68" s="14">
        <f>INDEX(新属性投放!F$14:F$34,属性汇总!$B68)*$C68</f>
        <v>86.25</v>
      </c>
      <c r="J68" s="14">
        <f>ROUND(D68+($A68-INDEX(新属性投放!$B$14:$B$34,属性汇总!$B68))*属性汇总!G68,0)</f>
        <v>1366</v>
      </c>
      <c r="K68" s="14">
        <f>ROUND(E68+($A68-INDEX(新属性投放!$B$14:$B$34,属性汇总!$B68))*属性汇总!H68,0)</f>
        <v>662</v>
      </c>
      <c r="L68" s="14">
        <f>ROUND(F68+($A68-INDEX(新属性投放!$B$14:$B$34,属性汇总!$B68))*属性汇总!I68,0)</f>
        <v>4214</v>
      </c>
      <c r="R68" s="13">
        <v>59</v>
      </c>
      <c r="S68" s="13">
        <v>5</v>
      </c>
      <c r="T68" s="14">
        <f>INDEX(新属性投放!$L$6:$L$10,$S$3)*INDEX(新属性投放!$Q$6:$Q$10,$U$3)</f>
        <v>1.1499999999999999</v>
      </c>
      <c r="U68" s="14">
        <f>INDEX(新属性投放!J$42:J$62,属性汇总!$S68)*$T68</f>
        <v>1009.6999999999999</v>
      </c>
      <c r="V68" s="14">
        <f>INDEX(新属性投放!K$42:K$62,属性汇总!$S68)*$T68</f>
        <v>502.54999999999995</v>
      </c>
      <c r="W68" s="14">
        <f>INDEX(新属性投放!L$42:L$62,属性汇总!$S68)*$T68</f>
        <v>4734.5499999999993</v>
      </c>
      <c r="X68" s="14">
        <f>INDEX(新属性投放!$D$42:$D$62,属性汇总!$S68)*$T68</f>
        <v>28.749999999999996</v>
      </c>
      <c r="Y68" s="14">
        <f>INDEX(新属性投放!$E$42:$E$62,属性汇总!$S68)*$T68</f>
        <v>14.374999999999998</v>
      </c>
      <c r="Z68" s="14">
        <f>INDEX(新属性投放!$F$42:$F$62,属性汇总!$S68)*$T68</f>
        <v>128.79999999999998</v>
      </c>
      <c r="AA68" s="14">
        <f>ROUND(U68+($R68-INDEX(新属性投放!$B$42:$B$62,属性汇总!$S68))*属性汇总!X68,0)</f>
        <v>1556</v>
      </c>
      <c r="AB68" s="14">
        <f>ROUND(V68+($R68-INDEX(新属性投放!$B$42:$B$62,属性汇总!$S68))*属性汇总!Y68,0)</f>
        <v>776</v>
      </c>
      <c r="AC68" s="14">
        <f>ROUND(W68+($R68-INDEX(新属性投放!$B$42:$B$62,属性汇总!$S68))*属性汇总!Z68,0)</f>
        <v>7182</v>
      </c>
    </row>
    <row r="69" spans="1:29" ht="16.5" x14ac:dyDescent="0.2">
      <c r="A69" s="13">
        <v>60</v>
      </c>
      <c r="B69" s="13">
        <v>5</v>
      </c>
      <c r="C69" s="14">
        <f>INDEX(新属性投放!$L$6:$L$10,属性汇总!$B$3)*INDEX(新属性投放!$Q$6:$Q$10,属性汇总!$D$3)</f>
        <v>1.1499999999999999</v>
      </c>
      <c r="D69" s="14">
        <f>INDEX(新属性投放!J$14:J$34,属性汇总!$B69)*$C69</f>
        <v>819.94999999999993</v>
      </c>
      <c r="E69" s="14">
        <f>INDEX(新属性投放!K$14:K$34,属性汇总!$B69)*$C69</f>
        <v>388.7</v>
      </c>
      <c r="F69" s="14">
        <f>INDEX(新属性投放!L$14:L$34,属性汇总!$B69)*$C69</f>
        <v>2574.85</v>
      </c>
      <c r="G69" s="14">
        <f>INDEX(新属性投放!D$14:D$34,属性汇总!$B69)*$C69</f>
        <v>28.749999999999996</v>
      </c>
      <c r="H69" s="14">
        <f>INDEX(新属性投放!E$14:E$34,属性汇总!$B69)*$C69</f>
        <v>14.374999999999998</v>
      </c>
      <c r="I69" s="14">
        <f>INDEX(新属性投放!F$14:F$34,属性汇总!$B69)*$C69</f>
        <v>86.25</v>
      </c>
      <c r="J69" s="14">
        <f>ROUND(D69+($A69-INDEX(新属性投放!$B$14:$B$34,属性汇总!$B69))*属性汇总!G69,0)</f>
        <v>1395</v>
      </c>
      <c r="K69" s="14">
        <f>ROUND(E69+($A69-INDEX(新属性投放!$B$14:$B$34,属性汇总!$B69))*属性汇总!H69,0)</f>
        <v>676</v>
      </c>
      <c r="L69" s="14">
        <f>ROUND(F69+($A69-INDEX(新属性投放!$B$14:$B$34,属性汇总!$B69))*属性汇总!I69,0)</f>
        <v>4300</v>
      </c>
      <c r="R69" s="13">
        <v>60</v>
      </c>
      <c r="S69" s="13">
        <v>5</v>
      </c>
      <c r="T69" s="14">
        <f>INDEX(新属性投放!$L$6:$L$10,$S$3)*INDEX(新属性投放!$Q$6:$Q$10,$U$3)</f>
        <v>1.1499999999999999</v>
      </c>
      <c r="U69" s="14">
        <f>INDEX(新属性投放!J$42:J$62,属性汇总!$S69)*$T69</f>
        <v>1009.6999999999999</v>
      </c>
      <c r="V69" s="14">
        <f>INDEX(新属性投放!K$42:K$62,属性汇总!$S69)*$T69</f>
        <v>502.54999999999995</v>
      </c>
      <c r="W69" s="14">
        <f>INDEX(新属性投放!L$42:L$62,属性汇总!$S69)*$T69</f>
        <v>4734.5499999999993</v>
      </c>
      <c r="X69" s="14">
        <f>INDEX(新属性投放!$D$42:$D$62,属性汇总!$S69)*$T69</f>
        <v>28.749999999999996</v>
      </c>
      <c r="Y69" s="14">
        <f>INDEX(新属性投放!$E$42:$E$62,属性汇总!$S69)*$T69</f>
        <v>14.374999999999998</v>
      </c>
      <c r="Z69" s="14">
        <f>INDEX(新属性投放!$F$42:$F$62,属性汇总!$S69)*$T69</f>
        <v>128.79999999999998</v>
      </c>
      <c r="AA69" s="14">
        <f>ROUND(U69+($R69-INDEX(新属性投放!$B$42:$B$62,属性汇总!$S69))*属性汇总!X69,0)</f>
        <v>1585</v>
      </c>
      <c r="AB69" s="14">
        <f>ROUND(V69+($R69-INDEX(新属性投放!$B$42:$B$62,属性汇总!$S69))*属性汇总!Y69,0)</f>
        <v>790</v>
      </c>
      <c r="AC69" s="14">
        <f>ROUND(W69+($R69-INDEX(新属性投放!$B$42:$B$62,属性汇总!$S69))*属性汇总!Z69,0)</f>
        <v>7311</v>
      </c>
    </row>
    <row r="70" spans="1:29" s="37" customFormat="1" ht="16.5" x14ac:dyDescent="0.2">
      <c r="A70" s="13">
        <v>60</v>
      </c>
      <c r="B70" s="13">
        <v>6</v>
      </c>
      <c r="C70" s="14">
        <f>INDEX(新属性投放!$L$6:$L$10,属性汇总!$B$3)*INDEX(新属性投放!$Q$6:$Q$10,属性汇总!$D$3)</f>
        <v>1.1499999999999999</v>
      </c>
      <c r="D70" s="14">
        <f>INDEX(新属性投放!J$14:J$34,属性汇总!$B70)*$C70</f>
        <v>1179.8999999999999</v>
      </c>
      <c r="E70" s="14">
        <f>INDEX(新属性投放!K$14:K$34,属性汇总!$B70)*$C70</f>
        <v>568.09999999999991</v>
      </c>
      <c r="F70" s="14">
        <f>INDEX(新属性投放!L$14:L$34,属性汇总!$B70)*$C70</f>
        <v>3654.7</v>
      </c>
      <c r="G70" s="14">
        <f>INDEX(新属性投放!D$14:D$34,属性汇总!$B70)*$C70</f>
        <v>34.5</v>
      </c>
      <c r="H70" s="14">
        <f>INDEX(新属性投放!E$14:E$34,属性汇总!$B70)*$C70</f>
        <v>17.25</v>
      </c>
      <c r="I70" s="14">
        <f>INDEX(新属性投放!F$14:F$34,属性汇总!$B70)*$C70</f>
        <v>103.49999999999999</v>
      </c>
      <c r="J70" s="14">
        <f>ROUND(D70+($A70-INDEX(新属性投放!$B$14:$B$34,属性汇总!$B70))*属性汇总!G70,0)</f>
        <v>1525</v>
      </c>
      <c r="K70" s="14">
        <f>ROUND(E70+($A70-INDEX(新属性投放!$B$14:$B$34,属性汇总!$B70))*属性汇总!H70,0)</f>
        <v>741</v>
      </c>
      <c r="L70" s="14">
        <f>ROUND(F70+($A70-INDEX(新属性投放!$B$14:$B$34,属性汇总!$B70))*属性汇总!I70,0)</f>
        <v>4690</v>
      </c>
      <c r="R70" s="13">
        <v>60</v>
      </c>
      <c r="S70" s="13">
        <v>6</v>
      </c>
      <c r="T70" s="14">
        <f>INDEX(新属性投放!$L$6:$L$10,$S$3)*INDEX(新属性投放!$Q$6:$Q$10,$U$3)</f>
        <v>1.1499999999999999</v>
      </c>
      <c r="U70" s="14">
        <f>INDEX(新属性投放!J$42:J$62,属性汇总!$S70)*$T70</f>
        <v>1369.6499999999999</v>
      </c>
      <c r="V70" s="14">
        <f>INDEX(新属性投放!K$42:K$62,属性汇总!$S70)*$T70</f>
        <v>681.94999999999993</v>
      </c>
      <c r="W70" s="14">
        <f>INDEX(新属性投放!L$42:L$62,属性汇总!$S70)*$T70</f>
        <v>6674.5999999999995</v>
      </c>
      <c r="X70" s="14">
        <f>INDEX(新属性投放!$D$42:$D$62,属性汇总!$S70)*$T70</f>
        <v>34.5</v>
      </c>
      <c r="Y70" s="14">
        <f>INDEX(新属性投放!$E$42:$E$62,属性汇总!$S70)*$T70</f>
        <v>17.25</v>
      </c>
      <c r="Z70" s="14">
        <f>INDEX(新属性投放!$F$42:$F$62,属性汇总!$S70)*$T70</f>
        <v>155.25</v>
      </c>
      <c r="AA70" s="14">
        <f>ROUND(U70+($R70-INDEX(新属性投放!$B$42:$B$62,属性汇总!$S70))*属性汇总!X70,0)</f>
        <v>1715</v>
      </c>
      <c r="AB70" s="14">
        <f>ROUND(V70+($R70-INDEX(新属性投放!$B$42:$B$62,属性汇总!$S70))*属性汇总!Y70,0)</f>
        <v>854</v>
      </c>
      <c r="AC70" s="14">
        <f>ROUND(W70+($R70-INDEX(新属性投放!$B$42:$B$62,属性汇总!$S70))*属性汇总!Z70,0)</f>
        <v>8227</v>
      </c>
    </row>
    <row r="71" spans="1:29" ht="16.5" x14ac:dyDescent="0.2">
      <c r="A71" s="13">
        <v>61</v>
      </c>
      <c r="B71" s="13">
        <v>6</v>
      </c>
      <c r="C71" s="14">
        <f>INDEX(新属性投放!$L$6:$L$10,属性汇总!$B$3)*INDEX(新属性投放!$Q$6:$Q$10,属性汇总!$D$3)</f>
        <v>1.1499999999999999</v>
      </c>
      <c r="D71" s="14">
        <f>INDEX(新属性投放!J$14:J$34,属性汇总!$B71)*$C71</f>
        <v>1179.8999999999999</v>
      </c>
      <c r="E71" s="14">
        <f>INDEX(新属性投放!K$14:K$34,属性汇总!$B71)*$C71</f>
        <v>568.09999999999991</v>
      </c>
      <c r="F71" s="14">
        <f>INDEX(新属性投放!L$14:L$34,属性汇总!$B71)*$C71</f>
        <v>3654.7</v>
      </c>
      <c r="G71" s="14">
        <f>INDEX(新属性投放!D$14:D$34,属性汇总!$B71)*$C71</f>
        <v>34.5</v>
      </c>
      <c r="H71" s="14">
        <f>INDEX(新属性投放!E$14:E$34,属性汇总!$B71)*$C71</f>
        <v>17.25</v>
      </c>
      <c r="I71" s="14">
        <f>INDEX(新属性投放!F$14:F$34,属性汇总!$B71)*$C71</f>
        <v>103.49999999999999</v>
      </c>
      <c r="J71" s="14">
        <f>ROUND(D71+($A71-INDEX(新属性投放!$B$14:$B$34,属性汇总!$B71))*属性汇总!G71,0)</f>
        <v>1559</v>
      </c>
      <c r="K71" s="14">
        <f>ROUND(E71+($A71-INDEX(新属性投放!$B$14:$B$34,属性汇总!$B71))*属性汇总!H71,0)</f>
        <v>758</v>
      </c>
      <c r="L71" s="14">
        <f>ROUND(F71+($A71-INDEX(新属性投放!$B$14:$B$34,属性汇总!$B71))*属性汇总!I71,0)</f>
        <v>4793</v>
      </c>
      <c r="R71" s="13">
        <v>61</v>
      </c>
      <c r="S71" s="13">
        <v>6</v>
      </c>
      <c r="T71" s="14">
        <f>INDEX(新属性投放!$L$6:$L$10,$S$3)*INDEX(新属性投放!$Q$6:$Q$10,$U$3)</f>
        <v>1.1499999999999999</v>
      </c>
      <c r="U71" s="14">
        <f>INDEX(新属性投放!J$42:J$62,属性汇总!$S71)*$T71</f>
        <v>1369.6499999999999</v>
      </c>
      <c r="V71" s="14">
        <f>INDEX(新属性投放!K$42:K$62,属性汇总!$S71)*$T71</f>
        <v>681.94999999999993</v>
      </c>
      <c r="W71" s="14">
        <f>INDEX(新属性投放!L$42:L$62,属性汇总!$S71)*$T71</f>
        <v>6674.5999999999995</v>
      </c>
      <c r="X71" s="14">
        <f>INDEX(新属性投放!$D$42:$D$62,属性汇总!$S71)*$T71</f>
        <v>34.5</v>
      </c>
      <c r="Y71" s="14">
        <f>INDEX(新属性投放!$E$42:$E$62,属性汇总!$S71)*$T71</f>
        <v>17.25</v>
      </c>
      <c r="Z71" s="14">
        <f>INDEX(新属性投放!$F$42:$F$62,属性汇总!$S71)*$T71</f>
        <v>155.25</v>
      </c>
      <c r="AA71" s="14">
        <f>ROUND(U71+($R71-INDEX(新属性投放!$B$42:$B$62,属性汇总!$S71))*属性汇总!X71,0)</f>
        <v>1749</v>
      </c>
      <c r="AB71" s="14">
        <f>ROUND(V71+($R71-INDEX(新属性投放!$B$42:$B$62,属性汇总!$S71))*属性汇总!Y71,0)</f>
        <v>872</v>
      </c>
      <c r="AC71" s="14">
        <f>ROUND(W71+($R71-INDEX(新属性投放!$B$42:$B$62,属性汇总!$S71))*属性汇总!Z71,0)</f>
        <v>8382</v>
      </c>
    </row>
    <row r="72" spans="1:29" ht="16.5" x14ac:dyDescent="0.2">
      <c r="A72" s="13">
        <v>62</v>
      </c>
      <c r="B72" s="13">
        <v>6</v>
      </c>
      <c r="C72" s="14">
        <f>INDEX(新属性投放!$L$6:$L$10,属性汇总!$B$3)*INDEX(新属性投放!$Q$6:$Q$10,属性汇总!$D$3)</f>
        <v>1.1499999999999999</v>
      </c>
      <c r="D72" s="14">
        <f>INDEX(新属性投放!J$14:J$34,属性汇总!$B72)*$C72</f>
        <v>1179.8999999999999</v>
      </c>
      <c r="E72" s="14">
        <f>INDEX(新属性投放!K$14:K$34,属性汇总!$B72)*$C72</f>
        <v>568.09999999999991</v>
      </c>
      <c r="F72" s="14">
        <f>INDEX(新属性投放!L$14:L$34,属性汇总!$B72)*$C72</f>
        <v>3654.7</v>
      </c>
      <c r="G72" s="14">
        <f>INDEX(新属性投放!D$14:D$34,属性汇总!$B72)*$C72</f>
        <v>34.5</v>
      </c>
      <c r="H72" s="14">
        <f>INDEX(新属性投放!E$14:E$34,属性汇总!$B72)*$C72</f>
        <v>17.25</v>
      </c>
      <c r="I72" s="14">
        <f>INDEX(新属性投放!F$14:F$34,属性汇总!$B72)*$C72</f>
        <v>103.49999999999999</v>
      </c>
      <c r="J72" s="14">
        <f>ROUND(D72+($A72-INDEX(新属性投放!$B$14:$B$34,属性汇总!$B72))*属性汇总!G72,0)</f>
        <v>1594</v>
      </c>
      <c r="K72" s="14">
        <f>ROUND(E72+($A72-INDEX(新属性投放!$B$14:$B$34,属性汇总!$B72))*属性汇总!H72,0)</f>
        <v>775</v>
      </c>
      <c r="L72" s="14">
        <f>ROUND(F72+($A72-INDEX(新属性投放!$B$14:$B$34,属性汇总!$B72))*属性汇总!I72,0)</f>
        <v>4897</v>
      </c>
      <c r="R72" s="13">
        <v>62</v>
      </c>
      <c r="S72" s="13">
        <v>6</v>
      </c>
      <c r="T72" s="14">
        <f>INDEX(新属性投放!$L$6:$L$10,$S$3)*INDEX(新属性投放!$Q$6:$Q$10,$U$3)</f>
        <v>1.1499999999999999</v>
      </c>
      <c r="U72" s="14">
        <f>INDEX(新属性投放!J$42:J$62,属性汇总!$S72)*$T72</f>
        <v>1369.6499999999999</v>
      </c>
      <c r="V72" s="14">
        <f>INDEX(新属性投放!K$42:K$62,属性汇总!$S72)*$T72</f>
        <v>681.94999999999993</v>
      </c>
      <c r="W72" s="14">
        <f>INDEX(新属性投放!L$42:L$62,属性汇总!$S72)*$T72</f>
        <v>6674.5999999999995</v>
      </c>
      <c r="X72" s="14">
        <f>INDEX(新属性投放!$D$42:$D$62,属性汇总!$S72)*$T72</f>
        <v>34.5</v>
      </c>
      <c r="Y72" s="14">
        <f>INDEX(新属性投放!$E$42:$E$62,属性汇总!$S72)*$T72</f>
        <v>17.25</v>
      </c>
      <c r="Z72" s="14">
        <f>INDEX(新属性投放!$F$42:$F$62,属性汇总!$S72)*$T72</f>
        <v>155.25</v>
      </c>
      <c r="AA72" s="14">
        <f>ROUND(U72+($R72-INDEX(新属性投放!$B$42:$B$62,属性汇总!$S72))*属性汇总!X72,0)</f>
        <v>1784</v>
      </c>
      <c r="AB72" s="14">
        <f>ROUND(V72+($R72-INDEX(新属性投放!$B$42:$B$62,属性汇总!$S72))*属性汇总!Y72,0)</f>
        <v>889</v>
      </c>
      <c r="AC72" s="14">
        <f>ROUND(W72+($R72-INDEX(新属性投放!$B$42:$B$62,属性汇总!$S72))*属性汇总!Z72,0)</f>
        <v>8538</v>
      </c>
    </row>
    <row r="73" spans="1:29" s="20" customFormat="1" ht="16.5" x14ac:dyDescent="0.2">
      <c r="A73" s="13">
        <v>63</v>
      </c>
      <c r="B73" s="13">
        <v>6</v>
      </c>
      <c r="C73" s="14">
        <f>INDEX(新属性投放!$L$6:$L$10,属性汇总!$B$3)*INDEX(新属性投放!$Q$6:$Q$10,属性汇总!$D$3)</f>
        <v>1.1499999999999999</v>
      </c>
      <c r="D73" s="14">
        <f>INDEX(新属性投放!J$14:J$34,属性汇总!$B73)*$C73</f>
        <v>1179.8999999999999</v>
      </c>
      <c r="E73" s="14">
        <f>INDEX(新属性投放!K$14:K$34,属性汇总!$B73)*$C73</f>
        <v>568.09999999999991</v>
      </c>
      <c r="F73" s="14">
        <f>INDEX(新属性投放!L$14:L$34,属性汇总!$B73)*$C73</f>
        <v>3654.7</v>
      </c>
      <c r="G73" s="14">
        <f>INDEX(新属性投放!D$14:D$34,属性汇总!$B73)*$C73</f>
        <v>34.5</v>
      </c>
      <c r="H73" s="14">
        <f>INDEX(新属性投放!E$14:E$34,属性汇总!$B73)*$C73</f>
        <v>17.25</v>
      </c>
      <c r="I73" s="14">
        <f>INDEX(新属性投放!F$14:F$34,属性汇总!$B73)*$C73</f>
        <v>103.49999999999999</v>
      </c>
      <c r="J73" s="14">
        <f>ROUND(D73+($A73-INDEX(新属性投放!$B$14:$B$34,属性汇总!$B73))*属性汇总!G73,0)</f>
        <v>1628</v>
      </c>
      <c r="K73" s="14">
        <f>ROUND(E73+($A73-INDEX(新属性投放!$B$14:$B$34,属性汇总!$B73))*属性汇总!H73,0)</f>
        <v>792</v>
      </c>
      <c r="L73" s="14">
        <f>ROUND(F73+($A73-INDEX(新属性投放!$B$14:$B$34,属性汇总!$B73))*属性汇总!I73,0)</f>
        <v>5000</v>
      </c>
      <c r="N73" s="37"/>
      <c r="O73" s="37"/>
      <c r="P73" s="37"/>
      <c r="R73" s="13">
        <v>63</v>
      </c>
      <c r="S73" s="13">
        <v>6</v>
      </c>
      <c r="T73" s="14">
        <f>INDEX(新属性投放!$L$6:$L$10,$S$3)*INDEX(新属性投放!$Q$6:$Q$10,$U$3)</f>
        <v>1.1499999999999999</v>
      </c>
      <c r="U73" s="14">
        <f>INDEX(新属性投放!J$42:J$62,属性汇总!$S73)*$T73</f>
        <v>1369.6499999999999</v>
      </c>
      <c r="V73" s="14">
        <f>INDEX(新属性投放!K$42:K$62,属性汇总!$S73)*$T73</f>
        <v>681.94999999999993</v>
      </c>
      <c r="W73" s="14">
        <f>INDEX(新属性投放!L$42:L$62,属性汇总!$S73)*$T73</f>
        <v>6674.5999999999995</v>
      </c>
      <c r="X73" s="14">
        <f>INDEX(新属性投放!$D$42:$D$62,属性汇总!$S73)*$T73</f>
        <v>34.5</v>
      </c>
      <c r="Y73" s="14">
        <f>INDEX(新属性投放!$E$42:$E$62,属性汇总!$S73)*$T73</f>
        <v>17.25</v>
      </c>
      <c r="Z73" s="14">
        <f>INDEX(新属性投放!$F$42:$F$62,属性汇总!$S73)*$T73</f>
        <v>155.25</v>
      </c>
      <c r="AA73" s="14">
        <f>ROUND(U73+($R73-INDEX(新属性投放!$B$42:$B$62,属性汇总!$S73))*属性汇总!X73,0)</f>
        <v>1818</v>
      </c>
      <c r="AB73" s="14">
        <f>ROUND(V73+($R73-INDEX(新属性投放!$B$42:$B$62,属性汇总!$S73))*属性汇总!Y73,0)</f>
        <v>906</v>
      </c>
      <c r="AC73" s="14">
        <f>ROUND(W73+($R73-INDEX(新属性投放!$B$42:$B$62,属性汇总!$S73))*属性汇总!Z73,0)</f>
        <v>8693</v>
      </c>
    </row>
    <row r="74" spans="1:29" ht="16.5" x14ac:dyDescent="0.2">
      <c r="A74" s="13">
        <v>64</v>
      </c>
      <c r="B74" s="13">
        <v>6</v>
      </c>
      <c r="C74" s="14">
        <f>INDEX(新属性投放!$L$6:$L$10,属性汇总!$B$3)*INDEX(新属性投放!$Q$6:$Q$10,属性汇总!$D$3)</f>
        <v>1.1499999999999999</v>
      </c>
      <c r="D74" s="14">
        <f>INDEX(新属性投放!J$14:J$34,属性汇总!$B74)*$C74</f>
        <v>1179.8999999999999</v>
      </c>
      <c r="E74" s="14">
        <f>INDEX(新属性投放!K$14:K$34,属性汇总!$B74)*$C74</f>
        <v>568.09999999999991</v>
      </c>
      <c r="F74" s="14">
        <f>INDEX(新属性投放!L$14:L$34,属性汇总!$B74)*$C74</f>
        <v>3654.7</v>
      </c>
      <c r="G74" s="14">
        <f>INDEX(新属性投放!D$14:D$34,属性汇总!$B74)*$C74</f>
        <v>34.5</v>
      </c>
      <c r="H74" s="14">
        <f>INDEX(新属性投放!E$14:E$34,属性汇总!$B74)*$C74</f>
        <v>17.25</v>
      </c>
      <c r="I74" s="14">
        <f>INDEX(新属性投放!F$14:F$34,属性汇总!$B74)*$C74</f>
        <v>103.49999999999999</v>
      </c>
      <c r="J74" s="14">
        <f>ROUND(D74+($A74-INDEX(新属性投放!$B$14:$B$34,属性汇总!$B74))*属性汇总!G74,0)</f>
        <v>1663</v>
      </c>
      <c r="K74" s="14">
        <f>ROUND(E74+($A74-INDEX(新属性投放!$B$14:$B$34,属性汇总!$B74))*属性汇总!H74,0)</f>
        <v>810</v>
      </c>
      <c r="L74" s="14">
        <f>ROUND(F74+($A74-INDEX(新属性投放!$B$14:$B$34,属性汇总!$B74))*属性汇总!I74,0)</f>
        <v>5104</v>
      </c>
      <c r="R74" s="13">
        <v>64</v>
      </c>
      <c r="S74" s="13">
        <v>6</v>
      </c>
      <c r="T74" s="14">
        <f>INDEX(新属性投放!$L$6:$L$10,$S$3)*INDEX(新属性投放!$Q$6:$Q$10,$U$3)</f>
        <v>1.1499999999999999</v>
      </c>
      <c r="U74" s="14">
        <f>INDEX(新属性投放!J$42:J$62,属性汇总!$S74)*$T74</f>
        <v>1369.6499999999999</v>
      </c>
      <c r="V74" s="14">
        <f>INDEX(新属性投放!K$42:K$62,属性汇总!$S74)*$T74</f>
        <v>681.94999999999993</v>
      </c>
      <c r="W74" s="14">
        <f>INDEX(新属性投放!L$42:L$62,属性汇总!$S74)*$T74</f>
        <v>6674.5999999999995</v>
      </c>
      <c r="X74" s="14">
        <f>INDEX(新属性投放!$D$42:$D$62,属性汇总!$S74)*$T74</f>
        <v>34.5</v>
      </c>
      <c r="Y74" s="14">
        <f>INDEX(新属性投放!$E$42:$E$62,属性汇总!$S74)*$T74</f>
        <v>17.25</v>
      </c>
      <c r="Z74" s="14">
        <f>INDEX(新属性投放!$F$42:$F$62,属性汇总!$S74)*$T74</f>
        <v>155.25</v>
      </c>
      <c r="AA74" s="14">
        <f>ROUND(U74+($R74-INDEX(新属性投放!$B$42:$B$62,属性汇总!$S74))*属性汇总!X74,0)</f>
        <v>1853</v>
      </c>
      <c r="AB74" s="14">
        <f>ROUND(V74+($R74-INDEX(新属性投放!$B$42:$B$62,属性汇总!$S74))*属性汇总!Y74,0)</f>
        <v>923</v>
      </c>
      <c r="AC74" s="14">
        <f>ROUND(W74+($R74-INDEX(新属性投放!$B$42:$B$62,属性汇总!$S74))*属性汇总!Z74,0)</f>
        <v>8848</v>
      </c>
    </row>
    <row r="75" spans="1:29" ht="16.5" x14ac:dyDescent="0.2">
      <c r="A75" s="13">
        <v>65</v>
      </c>
      <c r="B75" s="13">
        <v>6</v>
      </c>
      <c r="C75" s="14">
        <f>INDEX(新属性投放!$L$6:$L$10,属性汇总!$B$3)*INDEX(新属性投放!$Q$6:$Q$10,属性汇总!$D$3)</f>
        <v>1.1499999999999999</v>
      </c>
      <c r="D75" s="14">
        <f>INDEX(新属性投放!J$14:J$34,属性汇总!$B75)*$C75</f>
        <v>1179.8999999999999</v>
      </c>
      <c r="E75" s="14">
        <f>INDEX(新属性投放!K$14:K$34,属性汇总!$B75)*$C75</f>
        <v>568.09999999999991</v>
      </c>
      <c r="F75" s="14">
        <f>INDEX(新属性投放!L$14:L$34,属性汇总!$B75)*$C75</f>
        <v>3654.7</v>
      </c>
      <c r="G75" s="14">
        <f>INDEX(新属性投放!D$14:D$34,属性汇总!$B75)*$C75</f>
        <v>34.5</v>
      </c>
      <c r="H75" s="14">
        <f>INDEX(新属性投放!E$14:E$34,属性汇总!$B75)*$C75</f>
        <v>17.25</v>
      </c>
      <c r="I75" s="14">
        <f>INDEX(新属性投放!F$14:F$34,属性汇总!$B75)*$C75</f>
        <v>103.49999999999999</v>
      </c>
      <c r="J75" s="14">
        <f>ROUND(D75+($A75-INDEX(新属性投放!$B$14:$B$34,属性汇总!$B75))*属性汇总!G75,0)</f>
        <v>1697</v>
      </c>
      <c r="K75" s="14">
        <f>ROUND(E75+($A75-INDEX(新属性投放!$B$14:$B$34,属性汇总!$B75))*属性汇总!H75,0)</f>
        <v>827</v>
      </c>
      <c r="L75" s="14">
        <f>ROUND(F75+($A75-INDEX(新属性投放!$B$14:$B$34,属性汇总!$B75))*属性汇总!I75,0)</f>
        <v>5207</v>
      </c>
      <c r="R75" s="13">
        <v>65</v>
      </c>
      <c r="S75" s="13">
        <v>6</v>
      </c>
      <c r="T75" s="14">
        <f>INDEX(新属性投放!$L$6:$L$10,$S$3)*INDEX(新属性投放!$Q$6:$Q$10,$U$3)</f>
        <v>1.1499999999999999</v>
      </c>
      <c r="U75" s="14">
        <f>INDEX(新属性投放!J$42:J$62,属性汇总!$S75)*$T75</f>
        <v>1369.6499999999999</v>
      </c>
      <c r="V75" s="14">
        <f>INDEX(新属性投放!K$42:K$62,属性汇总!$S75)*$T75</f>
        <v>681.94999999999993</v>
      </c>
      <c r="W75" s="14">
        <f>INDEX(新属性投放!L$42:L$62,属性汇总!$S75)*$T75</f>
        <v>6674.5999999999995</v>
      </c>
      <c r="X75" s="14">
        <f>INDEX(新属性投放!$D$42:$D$62,属性汇总!$S75)*$T75</f>
        <v>34.5</v>
      </c>
      <c r="Y75" s="14">
        <f>INDEX(新属性投放!$E$42:$E$62,属性汇总!$S75)*$T75</f>
        <v>17.25</v>
      </c>
      <c r="Z75" s="14">
        <f>INDEX(新属性投放!$F$42:$F$62,属性汇总!$S75)*$T75</f>
        <v>155.25</v>
      </c>
      <c r="AA75" s="14">
        <f>ROUND(U75+($R75-INDEX(新属性投放!$B$42:$B$62,属性汇总!$S75))*属性汇总!X75,0)</f>
        <v>1887</v>
      </c>
      <c r="AB75" s="14">
        <f>ROUND(V75+($R75-INDEX(新属性投放!$B$42:$B$62,属性汇总!$S75))*属性汇总!Y75,0)</f>
        <v>941</v>
      </c>
      <c r="AC75" s="14">
        <f>ROUND(W75+($R75-INDEX(新属性投放!$B$42:$B$62,属性汇总!$S75))*属性汇总!Z75,0)</f>
        <v>9003</v>
      </c>
    </row>
    <row r="76" spans="1:29" ht="16.5" x14ac:dyDescent="0.2">
      <c r="A76" s="13">
        <v>66</v>
      </c>
      <c r="B76" s="13">
        <v>6</v>
      </c>
      <c r="C76" s="14">
        <f>INDEX(新属性投放!$L$6:$L$10,属性汇总!$B$3)*INDEX(新属性投放!$Q$6:$Q$10,属性汇总!$D$3)</f>
        <v>1.1499999999999999</v>
      </c>
      <c r="D76" s="14">
        <f>INDEX(新属性投放!J$14:J$34,属性汇总!$B76)*$C76</f>
        <v>1179.8999999999999</v>
      </c>
      <c r="E76" s="14">
        <f>INDEX(新属性投放!K$14:K$34,属性汇总!$B76)*$C76</f>
        <v>568.09999999999991</v>
      </c>
      <c r="F76" s="14">
        <f>INDEX(新属性投放!L$14:L$34,属性汇总!$B76)*$C76</f>
        <v>3654.7</v>
      </c>
      <c r="G76" s="14">
        <f>INDEX(新属性投放!D$14:D$34,属性汇总!$B76)*$C76</f>
        <v>34.5</v>
      </c>
      <c r="H76" s="14">
        <f>INDEX(新属性投放!E$14:E$34,属性汇总!$B76)*$C76</f>
        <v>17.25</v>
      </c>
      <c r="I76" s="14">
        <f>INDEX(新属性投放!F$14:F$34,属性汇总!$B76)*$C76</f>
        <v>103.49999999999999</v>
      </c>
      <c r="J76" s="14">
        <f>ROUND(D76+($A76-INDEX(新属性投放!$B$14:$B$34,属性汇总!$B76))*属性汇总!G76,0)</f>
        <v>1732</v>
      </c>
      <c r="K76" s="14">
        <f>ROUND(E76+($A76-INDEX(新属性投放!$B$14:$B$34,属性汇总!$B76))*属性汇总!H76,0)</f>
        <v>844</v>
      </c>
      <c r="L76" s="14">
        <f>ROUND(F76+($A76-INDEX(新属性投放!$B$14:$B$34,属性汇总!$B76))*属性汇总!I76,0)</f>
        <v>5311</v>
      </c>
      <c r="R76" s="13">
        <v>66</v>
      </c>
      <c r="S76" s="13">
        <v>6</v>
      </c>
      <c r="T76" s="14">
        <f>INDEX(新属性投放!$L$6:$L$10,$S$3)*INDEX(新属性投放!$Q$6:$Q$10,$U$3)</f>
        <v>1.1499999999999999</v>
      </c>
      <c r="U76" s="14">
        <f>INDEX(新属性投放!J$42:J$62,属性汇总!$S76)*$T76</f>
        <v>1369.6499999999999</v>
      </c>
      <c r="V76" s="14">
        <f>INDEX(新属性投放!K$42:K$62,属性汇总!$S76)*$T76</f>
        <v>681.94999999999993</v>
      </c>
      <c r="W76" s="14">
        <f>INDEX(新属性投放!L$42:L$62,属性汇总!$S76)*$T76</f>
        <v>6674.5999999999995</v>
      </c>
      <c r="X76" s="14">
        <f>INDEX(新属性投放!$D$42:$D$62,属性汇总!$S76)*$T76</f>
        <v>34.5</v>
      </c>
      <c r="Y76" s="14">
        <f>INDEX(新属性投放!$E$42:$E$62,属性汇总!$S76)*$T76</f>
        <v>17.25</v>
      </c>
      <c r="Z76" s="14">
        <f>INDEX(新属性投放!$F$42:$F$62,属性汇总!$S76)*$T76</f>
        <v>155.25</v>
      </c>
      <c r="AA76" s="14">
        <f>ROUND(U76+($R76-INDEX(新属性投放!$B$42:$B$62,属性汇总!$S76))*属性汇总!X76,0)</f>
        <v>1922</v>
      </c>
      <c r="AB76" s="14">
        <f>ROUND(V76+($R76-INDEX(新属性投放!$B$42:$B$62,属性汇总!$S76))*属性汇总!Y76,0)</f>
        <v>958</v>
      </c>
      <c r="AC76" s="14">
        <f>ROUND(W76+($R76-INDEX(新属性投放!$B$42:$B$62,属性汇总!$S76))*属性汇总!Z76,0)</f>
        <v>9159</v>
      </c>
    </row>
    <row r="77" spans="1:29" ht="16.5" x14ac:dyDescent="0.2">
      <c r="A77" s="13">
        <v>67</v>
      </c>
      <c r="B77" s="13">
        <v>6</v>
      </c>
      <c r="C77" s="14">
        <f>INDEX(新属性投放!$L$6:$L$10,属性汇总!$B$3)*INDEX(新属性投放!$Q$6:$Q$10,属性汇总!$D$3)</f>
        <v>1.1499999999999999</v>
      </c>
      <c r="D77" s="14">
        <f>INDEX(新属性投放!J$14:J$34,属性汇总!$B77)*$C77</f>
        <v>1179.8999999999999</v>
      </c>
      <c r="E77" s="14">
        <f>INDEX(新属性投放!K$14:K$34,属性汇总!$B77)*$C77</f>
        <v>568.09999999999991</v>
      </c>
      <c r="F77" s="14">
        <f>INDEX(新属性投放!L$14:L$34,属性汇总!$B77)*$C77</f>
        <v>3654.7</v>
      </c>
      <c r="G77" s="14">
        <f>INDEX(新属性投放!D$14:D$34,属性汇总!$B77)*$C77</f>
        <v>34.5</v>
      </c>
      <c r="H77" s="14">
        <f>INDEX(新属性投放!E$14:E$34,属性汇总!$B77)*$C77</f>
        <v>17.25</v>
      </c>
      <c r="I77" s="14">
        <f>INDEX(新属性投放!F$14:F$34,属性汇总!$B77)*$C77</f>
        <v>103.49999999999999</v>
      </c>
      <c r="J77" s="14">
        <f>ROUND(D77+($A77-INDEX(新属性投放!$B$14:$B$34,属性汇总!$B77))*属性汇总!G77,0)</f>
        <v>1766</v>
      </c>
      <c r="K77" s="14">
        <f>ROUND(E77+($A77-INDEX(新属性投放!$B$14:$B$34,属性汇总!$B77))*属性汇总!H77,0)</f>
        <v>861</v>
      </c>
      <c r="L77" s="14">
        <f>ROUND(F77+($A77-INDEX(新属性投放!$B$14:$B$34,属性汇总!$B77))*属性汇总!I77,0)</f>
        <v>5414</v>
      </c>
      <c r="R77" s="13">
        <v>67</v>
      </c>
      <c r="S77" s="13">
        <v>6</v>
      </c>
      <c r="T77" s="14">
        <f>INDEX(新属性投放!$L$6:$L$10,$S$3)*INDEX(新属性投放!$Q$6:$Q$10,$U$3)</f>
        <v>1.1499999999999999</v>
      </c>
      <c r="U77" s="14">
        <f>INDEX(新属性投放!J$42:J$62,属性汇总!$S77)*$T77</f>
        <v>1369.6499999999999</v>
      </c>
      <c r="V77" s="14">
        <f>INDEX(新属性投放!K$42:K$62,属性汇总!$S77)*$T77</f>
        <v>681.94999999999993</v>
      </c>
      <c r="W77" s="14">
        <f>INDEX(新属性投放!L$42:L$62,属性汇总!$S77)*$T77</f>
        <v>6674.5999999999995</v>
      </c>
      <c r="X77" s="14">
        <f>INDEX(新属性投放!$D$42:$D$62,属性汇总!$S77)*$T77</f>
        <v>34.5</v>
      </c>
      <c r="Y77" s="14">
        <f>INDEX(新属性投放!$E$42:$E$62,属性汇总!$S77)*$T77</f>
        <v>17.25</v>
      </c>
      <c r="Z77" s="14">
        <f>INDEX(新属性投放!$F$42:$F$62,属性汇总!$S77)*$T77</f>
        <v>155.25</v>
      </c>
      <c r="AA77" s="14">
        <f>ROUND(U77+($R77-INDEX(新属性投放!$B$42:$B$62,属性汇总!$S77))*属性汇总!X77,0)</f>
        <v>1956</v>
      </c>
      <c r="AB77" s="14">
        <f>ROUND(V77+($R77-INDEX(新属性投放!$B$42:$B$62,属性汇总!$S77))*属性汇总!Y77,0)</f>
        <v>975</v>
      </c>
      <c r="AC77" s="14">
        <f>ROUND(W77+($R77-INDEX(新属性投放!$B$42:$B$62,属性汇总!$S77))*属性汇总!Z77,0)</f>
        <v>9314</v>
      </c>
    </row>
    <row r="78" spans="1:29" ht="16.5" x14ac:dyDescent="0.2">
      <c r="A78" s="13">
        <v>68</v>
      </c>
      <c r="B78" s="13">
        <v>6</v>
      </c>
      <c r="C78" s="14">
        <f>INDEX(新属性投放!$L$6:$L$10,属性汇总!$B$3)*INDEX(新属性投放!$Q$6:$Q$10,属性汇总!$D$3)</f>
        <v>1.1499999999999999</v>
      </c>
      <c r="D78" s="14">
        <f>INDEX(新属性投放!J$14:J$34,属性汇总!$B78)*$C78</f>
        <v>1179.8999999999999</v>
      </c>
      <c r="E78" s="14">
        <f>INDEX(新属性投放!K$14:K$34,属性汇总!$B78)*$C78</f>
        <v>568.09999999999991</v>
      </c>
      <c r="F78" s="14">
        <f>INDEX(新属性投放!L$14:L$34,属性汇总!$B78)*$C78</f>
        <v>3654.7</v>
      </c>
      <c r="G78" s="14">
        <f>INDEX(新属性投放!D$14:D$34,属性汇总!$B78)*$C78</f>
        <v>34.5</v>
      </c>
      <c r="H78" s="14">
        <f>INDEX(新属性投放!E$14:E$34,属性汇总!$B78)*$C78</f>
        <v>17.25</v>
      </c>
      <c r="I78" s="14">
        <f>INDEX(新属性投放!F$14:F$34,属性汇总!$B78)*$C78</f>
        <v>103.49999999999999</v>
      </c>
      <c r="J78" s="14">
        <f>ROUND(D78+($A78-INDEX(新属性投放!$B$14:$B$34,属性汇总!$B78))*属性汇总!G78,0)</f>
        <v>1801</v>
      </c>
      <c r="K78" s="14">
        <f>ROUND(E78+($A78-INDEX(新属性投放!$B$14:$B$34,属性汇总!$B78))*属性汇总!H78,0)</f>
        <v>879</v>
      </c>
      <c r="L78" s="14">
        <f>ROUND(F78+($A78-INDEX(新属性投放!$B$14:$B$34,属性汇总!$B78))*属性汇总!I78,0)</f>
        <v>5518</v>
      </c>
      <c r="R78" s="13">
        <v>68</v>
      </c>
      <c r="S78" s="13">
        <v>6</v>
      </c>
      <c r="T78" s="14">
        <f>INDEX(新属性投放!$L$6:$L$10,$S$3)*INDEX(新属性投放!$Q$6:$Q$10,$U$3)</f>
        <v>1.1499999999999999</v>
      </c>
      <c r="U78" s="14">
        <f>INDEX(新属性投放!J$42:J$62,属性汇总!$S78)*$T78</f>
        <v>1369.6499999999999</v>
      </c>
      <c r="V78" s="14">
        <f>INDEX(新属性投放!K$42:K$62,属性汇总!$S78)*$T78</f>
        <v>681.94999999999993</v>
      </c>
      <c r="W78" s="14">
        <f>INDEX(新属性投放!L$42:L$62,属性汇总!$S78)*$T78</f>
        <v>6674.5999999999995</v>
      </c>
      <c r="X78" s="14">
        <f>INDEX(新属性投放!$D$42:$D$62,属性汇总!$S78)*$T78</f>
        <v>34.5</v>
      </c>
      <c r="Y78" s="14">
        <f>INDEX(新属性投放!$E$42:$E$62,属性汇总!$S78)*$T78</f>
        <v>17.25</v>
      </c>
      <c r="Z78" s="14">
        <f>INDEX(新属性投放!$F$42:$F$62,属性汇总!$S78)*$T78</f>
        <v>155.25</v>
      </c>
      <c r="AA78" s="14">
        <f>ROUND(U78+($R78-INDEX(新属性投放!$B$42:$B$62,属性汇总!$S78))*属性汇总!X78,0)</f>
        <v>1991</v>
      </c>
      <c r="AB78" s="14">
        <f>ROUND(V78+($R78-INDEX(新属性投放!$B$42:$B$62,属性汇总!$S78))*属性汇总!Y78,0)</f>
        <v>992</v>
      </c>
      <c r="AC78" s="14">
        <f>ROUND(W78+($R78-INDEX(新属性投放!$B$42:$B$62,属性汇总!$S78))*属性汇总!Z78,0)</f>
        <v>9469</v>
      </c>
    </row>
    <row r="79" spans="1:29" ht="16.5" x14ac:dyDescent="0.2">
      <c r="A79" s="13">
        <v>69</v>
      </c>
      <c r="B79" s="13">
        <v>6</v>
      </c>
      <c r="C79" s="14">
        <f>INDEX(新属性投放!$L$6:$L$10,属性汇总!$B$3)*INDEX(新属性投放!$Q$6:$Q$10,属性汇总!$D$3)</f>
        <v>1.1499999999999999</v>
      </c>
      <c r="D79" s="14">
        <f>INDEX(新属性投放!J$14:J$34,属性汇总!$B79)*$C79</f>
        <v>1179.8999999999999</v>
      </c>
      <c r="E79" s="14">
        <f>INDEX(新属性投放!K$14:K$34,属性汇总!$B79)*$C79</f>
        <v>568.09999999999991</v>
      </c>
      <c r="F79" s="14">
        <f>INDEX(新属性投放!L$14:L$34,属性汇总!$B79)*$C79</f>
        <v>3654.7</v>
      </c>
      <c r="G79" s="14">
        <f>INDEX(新属性投放!D$14:D$34,属性汇总!$B79)*$C79</f>
        <v>34.5</v>
      </c>
      <c r="H79" s="14">
        <f>INDEX(新属性投放!E$14:E$34,属性汇总!$B79)*$C79</f>
        <v>17.25</v>
      </c>
      <c r="I79" s="14">
        <f>INDEX(新属性投放!F$14:F$34,属性汇总!$B79)*$C79</f>
        <v>103.49999999999999</v>
      </c>
      <c r="J79" s="14">
        <f>ROUND(D79+($A79-INDEX(新属性投放!$B$14:$B$34,属性汇总!$B79))*属性汇总!G79,0)</f>
        <v>1835</v>
      </c>
      <c r="K79" s="14">
        <f>ROUND(E79+($A79-INDEX(新属性投放!$B$14:$B$34,属性汇总!$B79))*属性汇总!H79,0)</f>
        <v>896</v>
      </c>
      <c r="L79" s="14">
        <f>ROUND(F79+($A79-INDEX(新属性投放!$B$14:$B$34,属性汇总!$B79))*属性汇总!I79,0)</f>
        <v>5621</v>
      </c>
      <c r="R79" s="13">
        <v>69</v>
      </c>
      <c r="S79" s="13">
        <v>6</v>
      </c>
      <c r="T79" s="14">
        <f>INDEX(新属性投放!$L$6:$L$10,$S$3)*INDEX(新属性投放!$Q$6:$Q$10,$U$3)</f>
        <v>1.1499999999999999</v>
      </c>
      <c r="U79" s="14">
        <f>INDEX(新属性投放!J$42:J$62,属性汇总!$S79)*$T79</f>
        <v>1369.6499999999999</v>
      </c>
      <c r="V79" s="14">
        <f>INDEX(新属性投放!K$42:K$62,属性汇总!$S79)*$T79</f>
        <v>681.94999999999993</v>
      </c>
      <c r="W79" s="14">
        <f>INDEX(新属性投放!L$42:L$62,属性汇总!$S79)*$T79</f>
        <v>6674.5999999999995</v>
      </c>
      <c r="X79" s="14">
        <f>INDEX(新属性投放!$D$42:$D$62,属性汇总!$S79)*$T79</f>
        <v>34.5</v>
      </c>
      <c r="Y79" s="14">
        <f>INDEX(新属性投放!$E$42:$E$62,属性汇总!$S79)*$T79</f>
        <v>17.25</v>
      </c>
      <c r="Z79" s="14">
        <f>INDEX(新属性投放!$F$42:$F$62,属性汇总!$S79)*$T79</f>
        <v>155.25</v>
      </c>
      <c r="AA79" s="14">
        <f>ROUND(U79+($R79-INDEX(新属性投放!$B$42:$B$62,属性汇总!$S79))*属性汇总!X79,0)</f>
        <v>2025</v>
      </c>
      <c r="AB79" s="14">
        <f>ROUND(V79+($R79-INDEX(新属性投放!$B$42:$B$62,属性汇总!$S79))*属性汇总!Y79,0)</f>
        <v>1010</v>
      </c>
      <c r="AC79" s="14">
        <f>ROUND(W79+($R79-INDEX(新属性投放!$B$42:$B$62,属性汇总!$S79))*属性汇总!Z79,0)</f>
        <v>9624</v>
      </c>
    </row>
    <row r="80" spans="1:29" ht="16.5" x14ac:dyDescent="0.2">
      <c r="A80" s="13">
        <v>70</v>
      </c>
      <c r="B80" s="13">
        <v>6</v>
      </c>
      <c r="C80" s="14">
        <f>INDEX(新属性投放!$L$6:$L$10,属性汇总!$B$3)*INDEX(新属性投放!$Q$6:$Q$10,属性汇总!$D$3)</f>
        <v>1.1499999999999999</v>
      </c>
      <c r="D80" s="14">
        <f>INDEX(新属性投放!J$14:J$34,属性汇总!$B80)*$C80</f>
        <v>1179.8999999999999</v>
      </c>
      <c r="E80" s="14">
        <f>INDEX(新属性投放!K$14:K$34,属性汇总!$B80)*$C80</f>
        <v>568.09999999999991</v>
      </c>
      <c r="F80" s="14">
        <f>INDEX(新属性投放!L$14:L$34,属性汇总!$B80)*$C80</f>
        <v>3654.7</v>
      </c>
      <c r="G80" s="14">
        <f>INDEX(新属性投放!D$14:D$34,属性汇总!$B80)*$C80</f>
        <v>34.5</v>
      </c>
      <c r="H80" s="14">
        <f>INDEX(新属性投放!E$14:E$34,属性汇总!$B80)*$C80</f>
        <v>17.25</v>
      </c>
      <c r="I80" s="14">
        <f>INDEX(新属性投放!F$14:F$34,属性汇总!$B80)*$C80</f>
        <v>103.49999999999999</v>
      </c>
      <c r="J80" s="14">
        <f>ROUND(D80+($A80-INDEX(新属性投放!$B$14:$B$34,属性汇总!$B80))*属性汇总!G80,0)</f>
        <v>1870</v>
      </c>
      <c r="K80" s="14">
        <f>ROUND(E80+($A80-INDEX(新属性投放!$B$14:$B$34,属性汇总!$B80))*属性汇总!H80,0)</f>
        <v>913</v>
      </c>
      <c r="L80" s="14">
        <f>ROUND(F80+($A80-INDEX(新属性投放!$B$14:$B$34,属性汇总!$B80))*属性汇总!I80,0)</f>
        <v>5725</v>
      </c>
      <c r="R80" s="13">
        <v>70</v>
      </c>
      <c r="S80" s="13">
        <v>6</v>
      </c>
      <c r="T80" s="14">
        <f>INDEX(新属性投放!$L$6:$L$10,$S$3)*INDEX(新属性投放!$Q$6:$Q$10,$U$3)</f>
        <v>1.1499999999999999</v>
      </c>
      <c r="U80" s="14">
        <f>INDEX(新属性投放!J$42:J$62,属性汇总!$S80)*$T80</f>
        <v>1369.6499999999999</v>
      </c>
      <c r="V80" s="14">
        <f>INDEX(新属性投放!K$42:K$62,属性汇总!$S80)*$T80</f>
        <v>681.94999999999993</v>
      </c>
      <c r="W80" s="14">
        <f>INDEX(新属性投放!L$42:L$62,属性汇总!$S80)*$T80</f>
        <v>6674.5999999999995</v>
      </c>
      <c r="X80" s="14">
        <f>INDEX(新属性投放!$D$42:$D$62,属性汇总!$S80)*$T80</f>
        <v>34.5</v>
      </c>
      <c r="Y80" s="14">
        <f>INDEX(新属性投放!$E$42:$E$62,属性汇总!$S80)*$T80</f>
        <v>17.25</v>
      </c>
      <c r="Z80" s="14">
        <f>INDEX(新属性投放!$F$42:$F$62,属性汇总!$S80)*$T80</f>
        <v>155.25</v>
      </c>
      <c r="AA80" s="14">
        <f>ROUND(U80+($R80-INDEX(新属性投放!$B$42:$B$62,属性汇总!$S80))*属性汇总!X80,0)</f>
        <v>2060</v>
      </c>
      <c r="AB80" s="14">
        <f>ROUND(V80+($R80-INDEX(新属性投放!$B$42:$B$62,属性汇总!$S80))*属性汇总!Y80,0)</f>
        <v>1027</v>
      </c>
      <c r="AC80" s="14">
        <f>ROUND(W80+($R80-INDEX(新属性投放!$B$42:$B$62,属性汇总!$S80))*属性汇总!Z80,0)</f>
        <v>9780</v>
      </c>
    </row>
    <row r="81" spans="1:29" s="37" customFormat="1" ht="16.5" x14ac:dyDescent="0.2">
      <c r="A81" s="13">
        <v>70</v>
      </c>
      <c r="B81" s="13">
        <v>7</v>
      </c>
      <c r="C81" s="14">
        <f>INDEX(新属性投放!$L$6:$L$10,属性汇总!$B$3)*INDEX(新属性投放!$Q$6:$Q$10,属性汇总!$D$3)</f>
        <v>1.1499999999999999</v>
      </c>
      <c r="D81" s="14">
        <f>INDEX(新属性投放!J$14:J$34,属性汇总!$B81)*$C81</f>
        <v>1611.1499999999999</v>
      </c>
      <c r="E81" s="14">
        <f>INDEX(新属性投放!K$14:K$34,属性汇总!$B81)*$C81</f>
        <v>784.3</v>
      </c>
      <c r="F81" s="14">
        <f>INDEX(新属性投放!L$14:L$34,属性汇总!$B81)*$C81</f>
        <v>4948.45</v>
      </c>
      <c r="G81" s="14">
        <f>INDEX(新属性投放!D$14:D$34,属性汇总!$B81)*$C81</f>
        <v>40.25</v>
      </c>
      <c r="H81" s="14">
        <f>INDEX(新属性投放!E$14:E$34,属性汇总!$B81)*$C81</f>
        <v>20.125</v>
      </c>
      <c r="I81" s="14">
        <f>INDEX(新属性投放!F$14:F$34,属性汇总!$B81)*$C81</f>
        <v>120.74999999999999</v>
      </c>
      <c r="J81" s="14">
        <f>ROUND(D81+($A81-INDEX(新属性投放!$B$14:$B$34,属性汇总!$B81))*属性汇总!G81,0)</f>
        <v>2014</v>
      </c>
      <c r="K81" s="14">
        <f>ROUND(E81+($A81-INDEX(新属性投放!$B$14:$B$34,属性汇总!$B81))*属性汇总!H81,0)</f>
        <v>986</v>
      </c>
      <c r="L81" s="14">
        <f>ROUND(F81+($A81-INDEX(新属性投放!$B$14:$B$34,属性汇总!$B81))*属性汇总!I81,0)</f>
        <v>6156</v>
      </c>
      <c r="R81" s="13">
        <v>70</v>
      </c>
      <c r="S81" s="13">
        <v>7</v>
      </c>
      <c r="T81" s="14">
        <f>INDEX(新属性投放!$L$6:$L$10,$S$3)*INDEX(新属性投放!$Q$6:$Q$10,$U$3)</f>
        <v>1.1499999999999999</v>
      </c>
      <c r="U81" s="14">
        <f>INDEX(新属性投放!J$42:J$62,属性汇总!$S81)*$T81</f>
        <v>1800.8999999999999</v>
      </c>
      <c r="V81" s="14">
        <f>INDEX(新属性投放!K$42:K$62,属性汇总!$S81)*$T81</f>
        <v>898.15</v>
      </c>
      <c r="W81" s="14">
        <f>INDEX(新属性投放!L$42:L$62,属性汇总!$S81)*$T81</f>
        <v>9003.3499999999985</v>
      </c>
      <c r="X81" s="14">
        <f>INDEX(新属性投放!$D$42:$D$62,属性汇总!$S81)*$T81</f>
        <v>40.25</v>
      </c>
      <c r="Y81" s="14">
        <f>INDEX(新属性投放!$E$42:$E$62,属性汇总!$S81)*$T81</f>
        <v>20.125</v>
      </c>
      <c r="Z81" s="14">
        <f>INDEX(新属性投放!$F$42:$F$62,属性汇总!$S81)*$T81</f>
        <v>180.54999999999998</v>
      </c>
      <c r="AA81" s="14">
        <f>ROUND(U81+($R81-INDEX(新属性投放!$B$42:$B$62,属性汇总!$S81))*属性汇总!X81,0)</f>
        <v>2203</v>
      </c>
      <c r="AB81" s="14">
        <f>ROUND(V81+($R81-INDEX(新属性投放!$B$42:$B$62,属性汇总!$S81))*属性汇总!Y81,0)</f>
        <v>1099</v>
      </c>
      <c r="AC81" s="14">
        <f>ROUND(W81+($R81-INDEX(新属性投放!$B$42:$B$62,属性汇总!$S81))*属性汇总!Z81,0)</f>
        <v>10809</v>
      </c>
    </row>
    <row r="82" spans="1:29" ht="15.75" customHeight="1" x14ac:dyDescent="0.2">
      <c r="A82" s="13">
        <v>71</v>
      </c>
      <c r="B82" s="13">
        <v>7</v>
      </c>
      <c r="C82" s="14">
        <f>INDEX(新属性投放!$L$6:$L$10,属性汇总!$B$3)*INDEX(新属性投放!$Q$6:$Q$10,属性汇总!$D$3)</f>
        <v>1.1499999999999999</v>
      </c>
      <c r="D82" s="14">
        <f>INDEX(新属性投放!J$14:J$34,属性汇总!$B82)*$C82</f>
        <v>1611.1499999999999</v>
      </c>
      <c r="E82" s="14">
        <f>INDEX(新属性投放!K$14:K$34,属性汇总!$B82)*$C82</f>
        <v>784.3</v>
      </c>
      <c r="F82" s="14">
        <f>INDEX(新属性投放!L$14:L$34,属性汇总!$B82)*$C82</f>
        <v>4948.45</v>
      </c>
      <c r="G82" s="14">
        <f>INDEX(新属性投放!D$14:D$34,属性汇总!$B82)*$C82</f>
        <v>40.25</v>
      </c>
      <c r="H82" s="14">
        <f>INDEX(新属性投放!E$14:E$34,属性汇总!$B82)*$C82</f>
        <v>20.125</v>
      </c>
      <c r="I82" s="14">
        <f>INDEX(新属性投放!F$14:F$34,属性汇总!$B82)*$C82</f>
        <v>120.74999999999999</v>
      </c>
      <c r="J82" s="14">
        <f>ROUND(D82+($A82-INDEX(新属性投放!$B$14:$B$34,属性汇总!$B82))*属性汇总!G82,0)</f>
        <v>2054</v>
      </c>
      <c r="K82" s="14">
        <f>ROUND(E82+($A82-INDEX(新属性投放!$B$14:$B$34,属性汇总!$B82))*属性汇总!H82,0)</f>
        <v>1006</v>
      </c>
      <c r="L82" s="14">
        <f>ROUND(F82+($A82-INDEX(新属性投放!$B$14:$B$34,属性汇总!$B82))*属性汇总!I82,0)</f>
        <v>6277</v>
      </c>
      <c r="R82" s="13">
        <v>71</v>
      </c>
      <c r="S82" s="13">
        <v>7</v>
      </c>
      <c r="T82" s="14">
        <f>INDEX(新属性投放!$L$6:$L$10,$S$3)*INDEX(新属性投放!$Q$6:$Q$10,$U$3)</f>
        <v>1.1499999999999999</v>
      </c>
      <c r="U82" s="14">
        <f>INDEX(新属性投放!J$42:J$62,属性汇总!$S82)*$T82</f>
        <v>1800.8999999999999</v>
      </c>
      <c r="V82" s="14">
        <f>INDEX(新属性投放!K$42:K$62,属性汇总!$S82)*$T82</f>
        <v>898.15</v>
      </c>
      <c r="W82" s="14">
        <f>INDEX(新属性投放!L$42:L$62,属性汇总!$S82)*$T82</f>
        <v>9003.3499999999985</v>
      </c>
      <c r="X82" s="14">
        <f>INDEX(新属性投放!$D$42:$D$62,属性汇总!$S82)*$T82</f>
        <v>40.25</v>
      </c>
      <c r="Y82" s="14">
        <f>INDEX(新属性投放!$E$42:$E$62,属性汇总!$S82)*$T82</f>
        <v>20.125</v>
      </c>
      <c r="Z82" s="14">
        <f>INDEX(新属性投放!$F$42:$F$62,属性汇总!$S82)*$T82</f>
        <v>180.54999999999998</v>
      </c>
      <c r="AA82" s="14">
        <f>ROUND(U82+($R82-INDEX(新属性投放!$B$42:$B$62,属性汇总!$S82))*属性汇总!X82,0)</f>
        <v>2244</v>
      </c>
      <c r="AB82" s="14">
        <f>ROUND(V82+($R82-INDEX(新属性投放!$B$42:$B$62,属性汇总!$S82))*属性汇总!Y82,0)</f>
        <v>1120</v>
      </c>
      <c r="AC82" s="14">
        <f>ROUND(W82+($R82-INDEX(新属性投放!$B$42:$B$62,属性汇总!$S82))*属性汇总!Z82,0)</f>
        <v>10989</v>
      </c>
    </row>
    <row r="83" spans="1:29" ht="16.5" x14ac:dyDescent="0.2">
      <c r="A83" s="13">
        <v>72</v>
      </c>
      <c r="B83" s="13">
        <v>7</v>
      </c>
      <c r="C83" s="14">
        <f>INDEX(新属性投放!$L$6:$L$10,属性汇总!$B$3)*INDEX(新属性投放!$Q$6:$Q$10,属性汇总!$D$3)</f>
        <v>1.1499999999999999</v>
      </c>
      <c r="D83" s="14">
        <f>INDEX(新属性投放!J$14:J$34,属性汇总!$B83)*$C83</f>
        <v>1611.1499999999999</v>
      </c>
      <c r="E83" s="14">
        <f>INDEX(新属性投放!K$14:K$34,属性汇总!$B83)*$C83</f>
        <v>784.3</v>
      </c>
      <c r="F83" s="14">
        <f>INDEX(新属性投放!L$14:L$34,属性汇总!$B83)*$C83</f>
        <v>4948.45</v>
      </c>
      <c r="G83" s="14">
        <f>INDEX(新属性投放!D$14:D$34,属性汇总!$B83)*$C83</f>
        <v>40.25</v>
      </c>
      <c r="H83" s="14">
        <f>INDEX(新属性投放!E$14:E$34,属性汇总!$B83)*$C83</f>
        <v>20.125</v>
      </c>
      <c r="I83" s="14">
        <f>INDEX(新属性投放!F$14:F$34,属性汇总!$B83)*$C83</f>
        <v>120.74999999999999</v>
      </c>
      <c r="J83" s="14">
        <f>ROUND(D83+($A83-INDEX(新属性投放!$B$14:$B$34,属性汇总!$B83))*属性汇总!G83,0)</f>
        <v>2094</v>
      </c>
      <c r="K83" s="14">
        <f>ROUND(E83+($A83-INDEX(新属性投放!$B$14:$B$34,属性汇总!$B83))*属性汇总!H83,0)</f>
        <v>1026</v>
      </c>
      <c r="L83" s="14">
        <f>ROUND(F83+($A83-INDEX(新属性投放!$B$14:$B$34,属性汇总!$B83))*属性汇总!I83,0)</f>
        <v>6397</v>
      </c>
      <c r="R83" s="13">
        <v>72</v>
      </c>
      <c r="S83" s="13">
        <v>7</v>
      </c>
      <c r="T83" s="14">
        <f>INDEX(新属性投放!$L$6:$L$10,$S$3)*INDEX(新属性投放!$Q$6:$Q$10,$U$3)</f>
        <v>1.1499999999999999</v>
      </c>
      <c r="U83" s="14">
        <f>INDEX(新属性投放!J$42:J$62,属性汇总!$S83)*$T83</f>
        <v>1800.8999999999999</v>
      </c>
      <c r="V83" s="14">
        <f>INDEX(新属性投放!K$42:K$62,属性汇总!$S83)*$T83</f>
        <v>898.15</v>
      </c>
      <c r="W83" s="14">
        <f>INDEX(新属性投放!L$42:L$62,属性汇总!$S83)*$T83</f>
        <v>9003.3499999999985</v>
      </c>
      <c r="X83" s="14">
        <f>INDEX(新属性投放!$D$42:$D$62,属性汇总!$S83)*$T83</f>
        <v>40.25</v>
      </c>
      <c r="Y83" s="14">
        <f>INDEX(新属性投放!$E$42:$E$62,属性汇总!$S83)*$T83</f>
        <v>20.125</v>
      </c>
      <c r="Z83" s="14">
        <f>INDEX(新属性投放!$F$42:$F$62,属性汇总!$S83)*$T83</f>
        <v>180.54999999999998</v>
      </c>
      <c r="AA83" s="14">
        <f>ROUND(U83+($R83-INDEX(新属性投放!$B$42:$B$62,属性汇总!$S83))*属性汇总!X83,0)</f>
        <v>2284</v>
      </c>
      <c r="AB83" s="14">
        <f>ROUND(V83+($R83-INDEX(新属性投放!$B$42:$B$62,属性汇总!$S83))*属性汇总!Y83,0)</f>
        <v>1140</v>
      </c>
      <c r="AC83" s="14">
        <f>ROUND(W83+($R83-INDEX(新属性投放!$B$42:$B$62,属性汇总!$S83))*属性汇总!Z83,0)</f>
        <v>11170</v>
      </c>
    </row>
    <row r="84" spans="1:29" ht="16.5" x14ac:dyDescent="0.2">
      <c r="A84" s="13">
        <v>73</v>
      </c>
      <c r="B84" s="13">
        <v>7</v>
      </c>
      <c r="C84" s="14">
        <f>INDEX(新属性投放!$L$6:$L$10,属性汇总!$B$3)*INDEX(新属性投放!$Q$6:$Q$10,属性汇总!$D$3)</f>
        <v>1.1499999999999999</v>
      </c>
      <c r="D84" s="14">
        <f>INDEX(新属性投放!J$14:J$34,属性汇总!$B84)*$C84</f>
        <v>1611.1499999999999</v>
      </c>
      <c r="E84" s="14">
        <f>INDEX(新属性投放!K$14:K$34,属性汇总!$B84)*$C84</f>
        <v>784.3</v>
      </c>
      <c r="F84" s="14">
        <f>INDEX(新属性投放!L$14:L$34,属性汇总!$B84)*$C84</f>
        <v>4948.45</v>
      </c>
      <c r="G84" s="14">
        <f>INDEX(新属性投放!D$14:D$34,属性汇总!$B84)*$C84</f>
        <v>40.25</v>
      </c>
      <c r="H84" s="14">
        <f>INDEX(新属性投放!E$14:E$34,属性汇总!$B84)*$C84</f>
        <v>20.125</v>
      </c>
      <c r="I84" s="14">
        <f>INDEX(新属性投放!F$14:F$34,属性汇总!$B84)*$C84</f>
        <v>120.74999999999999</v>
      </c>
      <c r="J84" s="14">
        <f>ROUND(D84+($A84-INDEX(新属性投放!$B$14:$B$34,属性汇总!$B84))*属性汇总!G84,0)</f>
        <v>2134</v>
      </c>
      <c r="K84" s="14">
        <f>ROUND(E84+($A84-INDEX(新属性投放!$B$14:$B$34,属性汇总!$B84))*属性汇总!H84,0)</f>
        <v>1046</v>
      </c>
      <c r="L84" s="14">
        <f>ROUND(F84+($A84-INDEX(新属性投放!$B$14:$B$34,属性汇总!$B84))*属性汇总!I84,0)</f>
        <v>6518</v>
      </c>
      <c r="R84" s="13">
        <v>73</v>
      </c>
      <c r="S84" s="13">
        <v>7</v>
      </c>
      <c r="T84" s="14">
        <f>INDEX(新属性投放!$L$6:$L$10,$S$3)*INDEX(新属性投放!$Q$6:$Q$10,$U$3)</f>
        <v>1.1499999999999999</v>
      </c>
      <c r="U84" s="14">
        <f>INDEX(新属性投放!J$42:J$62,属性汇总!$S84)*$T84</f>
        <v>1800.8999999999999</v>
      </c>
      <c r="V84" s="14">
        <f>INDEX(新属性投放!K$42:K$62,属性汇总!$S84)*$T84</f>
        <v>898.15</v>
      </c>
      <c r="W84" s="14">
        <f>INDEX(新属性投放!L$42:L$62,属性汇总!$S84)*$T84</f>
        <v>9003.3499999999985</v>
      </c>
      <c r="X84" s="14">
        <f>INDEX(新属性投放!$D$42:$D$62,属性汇总!$S84)*$T84</f>
        <v>40.25</v>
      </c>
      <c r="Y84" s="14">
        <f>INDEX(新属性投放!$E$42:$E$62,属性汇总!$S84)*$T84</f>
        <v>20.125</v>
      </c>
      <c r="Z84" s="14">
        <f>INDEX(新属性投放!$F$42:$F$62,属性汇总!$S84)*$T84</f>
        <v>180.54999999999998</v>
      </c>
      <c r="AA84" s="14">
        <f>ROUND(U84+($R84-INDEX(新属性投放!$B$42:$B$62,属性汇总!$S84))*属性汇总!X84,0)</f>
        <v>2324</v>
      </c>
      <c r="AB84" s="14">
        <f>ROUND(V84+($R84-INDEX(新属性投放!$B$42:$B$62,属性汇总!$S84))*属性汇总!Y84,0)</f>
        <v>1160</v>
      </c>
      <c r="AC84" s="14">
        <f>ROUND(W84+($R84-INDEX(新属性投放!$B$42:$B$62,属性汇总!$S84))*属性汇总!Z84,0)</f>
        <v>11351</v>
      </c>
    </row>
    <row r="85" spans="1:29" s="20" customFormat="1" ht="16.5" x14ac:dyDescent="0.2">
      <c r="A85" s="13">
        <v>74</v>
      </c>
      <c r="B85" s="13">
        <v>7</v>
      </c>
      <c r="C85" s="14">
        <f>INDEX(新属性投放!$L$6:$L$10,属性汇总!$B$3)*INDEX(新属性投放!$Q$6:$Q$10,属性汇总!$D$3)</f>
        <v>1.1499999999999999</v>
      </c>
      <c r="D85" s="14">
        <f>INDEX(新属性投放!J$14:J$34,属性汇总!$B85)*$C85</f>
        <v>1611.1499999999999</v>
      </c>
      <c r="E85" s="14">
        <f>INDEX(新属性投放!K$14:K$34,属性汇总!$B85)*$C85</f>
        <v>784.3</v>
      </c>
      <c r="F85" s="14">
        <f>INDEX(新属性投放!L$14:L$34,属性汇总!$B85)*$C85</f>
        <v>4948.45</v>
      </c>
      <c r="G85" s="14">
        <f>INDEX(新属性投放!D$14:D$34,属性汇总!$B85)*$C85</f>
        <v>40.25</v>
      </c>
      <c r="H85" s="14">
        <f>INDEX(新属性投放!E$14:E$34,属性汇总!$B85)*$C85</f>
        <v>20.125</v>
      </c>
      <c r="I85" s="14">
        <f>INDEX(新属性投放!F$14:F$34,属性汇总!$B85)*$C85</f>
        <v>120.74999999999999</v>
      </c>
      <c r="J85" s="14">
        <f>ROUND(D85+($A85-INDEX(新属性投放!$B$14:$B$34,属性汇总!$B85))*属性汇总!G85,0)</f>
        <v>2175</v>
      </c>
      <c r="K85" s="14">
        <f>ROUND(E85+($A85-INDEX(新属性投放!$B$14:$B$34,属性汇总!$B85))*属性汇总!H85,0)</f>
        <v>1066</v>
      </c>
      <c r="L85" s="14">
        <f>ROUND(F85+($A85-INDEX(新属性投放!$B$14:$B$34,属性汇总!$B85))*属性汇总!I85,0)</f>
        <v>6639</v>
      </c>
      <c r="N85" s="37"/>
      <c r="O85" s="37"/>
      <c r="P85" s="37"/>
      <c r="R85" s="13">
        <v>74</v>
      </c>
      <c r="S85" s="13">
        <v>7</v>
      </c>
      <c r="T85" s="14">
        <f>INDEX(新属性投放!$L$6:$L$10,$S$3)*INDEX(新属性投放!$Q$6:$Q$10,$U$3)</f>
        <v>1.1499999999999999</v>
      </c>
      <c r="U85" s="14">
        <f>INDEX(新属性投放!J$42:J$62,属性汇总!$S85)*$T85</f>
        <v>1800.8999999999999</v>
      </c>
      <c r="V85" s="14">
        <f>INDEX(新属性投放!K$42:K$62,属性汇总!$S85)*$T85</f>
        <v>898.15</v>
      </c>
      <c r="W85" s="14">
        <f>INDEX(新属性投放!L$42:L$62,属性汇总!$S85)*$T85</f>
        <v>9003.3499999999985</v>
      </c>
      <c r="X85" s="14">
        <f>INDEX(新属性投放!$D$42:$D$62,属性汇总!$S85)*$T85</f>
        <v>40.25</v>
      </c>
      <c r="Y85" s="14">
        <f>INDEX(新属性投放!$E$42:$E$62,属性汇总!$S85)*$T85</f>
        <v>20.125</v>
      </c>
      <c r="Z85" s="14">
        <f>INDEX(新属性投放!$F$42:$F$62,属性汇总!$S85)*$T85</f>
        <v>180.54999999999998</v>
      </c>
      <c r="AA85" s="14">
        <f>ROUND(U85+($R85-INDEX(新属性投放!$B$42:$B$62,属性汇总!$S85))*属性汇总!X85,0)</f>
        <v>2364</v>
      </c>
      <c r="AB85" s="14">
        <f>ROUND(V85+($R85-INDEX(新属性投放!$B$42:$B$62,属性汇总!$S85))*属性汇总!Y85,0)</f>
        <v>1180</v>
      </c>
      <c r="AC85" s="14">
        <f>ROUND(W85+($R85-INDEX(新属性投放!$B$42:$B$62,属性汇总!$S85))*属性汇总!Z85,0)</f>
        <v>11531</v>
      </c>
    </row>
    <row r="86" spans="1:29" ht="16.5" x14ac:dyDescent="0.2">
      <c r="A86" s="13">
        <v>75</v>
      </c>
      <c r="B86" s="13">
        <v>7</v>
      </c>
      <c r="C86" s="14">
        <f>INDEX(新属性投放!$L$6:$L$10,属性汇总!$B$3)*INDEX(新属性投放!$Q$6:$Q$10,属性汇总!$D$3)</f>
        <v>1.1499999999999999</v>
      </c>
      <c r="D86" s="14">
        <f>INDEX(新属性投放!J$14:J$34,属性汇总!$B86)*$C86</f>
        <v>1611.1499999999999</v>
      </c>
      <c r="E86" s="14">
        <f>INDEX(新属性投放!K$14:K$34,属性汇总!$B86)*$C86</f>
        <v>784.3</v>
      </c>
      <c r="F86" s="14">
        <f>INDEX(新属性投放!L$14:L$34,属性汇总!$B86)*$C86</f>
        <v>4948.45</v>
      </c>
      <c r="G86" s="14">
        <f>INDEX(新属性投放!D$14:D$34,属性汇总!$B86)*$C86</f>
        <v>40.25</v>
      </c>
      <c r="H86" s="14">
        <f>INDEX(新属性投放!E$14:E$34,属性汇总!$B86)*$C86</f>
        <v>20.125</v>
      </c>
      <c r="I86" s="14">
        <f>INDEX(新属性投放!F$14:F$34,属性汇总!$B86)*$C86</f>
        <v>120.74999999999999</v>
      </c>
      <c r="J86" s="14">
        <f>ROUND(D86+($A86-INDEX(新属性投放!$B$14:$B$34,属性汇总!$B86))*属性汇总!G86,0)</f>
        <v>2215</v>
      </c>
      <c r="K86" s="14">
        <f>ROUND(E86+($A86-INDEX(新属性投放!$B$14:$B$34,属性汇总!$B86))*属性汇总!H86,0)</f>
        <v>1086</v>
      </c>
      <c r="L86" s="14">
        <f>ROUND(F86+($A86-INDEX(新属性投放!$B$14:$B$34,属性汇总!$B86))*属性汇总!I86,0)</f>
        <v>6760</v>
      </c>
      <c r="R86" s="13">
        <v>75</v>
      </c>
      <c r="S86" s="13">
        <v>7</v>
      </c>
      <c r="T86" s="14">
        <f>INDEX(新属性投放!$L$6:$L$10,$S$3)*INDEX(新属性投放!$Q$6:$Q$10,$U$3)</f>
        <v>1.1499999999999999</v>
      </c>
      <c r="U86" s="14">
        <f>INDEX(新属性投放!J$42:J$62,属性汇总!$S86)*$T86</f>
        <v>1800.8999999999999</v>
      </c>
      <c r="V86" s="14">
        <f>INDEX(新属性投放!K$42:K$62,属性汇总!$S86)*$T86</f>
        <v>898.15</v>
      </c>
      <c r="W86" s="14">
        <f>INDEX(新属性投放!L$42:L$62,属性汇总!$S86)*$T86</f>
        <v>9003.3499999999985</v>
      </c>
      <c r="X86" s="14">
        <f>INDEX(新属性投放!$D$42:$D$62,属性汇总!$S86)*$T86</f>
        <v>40.25</v>
      </c>
      <c r="Y86" s="14">
        <f>INDEX(新属性投放!$E$42:$E$62,属性汇总!$S86)*$T86</f>
        <v>20.125</v>
      </c>
      <c r="Z86" s="14">
        <f>INDEX(新属性投放!$F$42:$F$62,属性汇总!$S86)*$T86</f>
        <v>180.54999999999998</v>
      </c>
      <c r="AA86" s="14">
        <f>ROUND(U86+($R86-INDEX(新属性投放!$B$42:$B$62,属性汇总!$S86))*属性汇总!X86,0)</f>
        <v>2405</v>
      </c>
      <c r="AB86" s="14">
        <f>ROUND(V86+($R86-INDEX(新属性投放!$B$42:$B$62,属性汇总!$S86))*属性汇总!Y86,0)</f>
        <v>1200</v>
      </c>
      <c r="AC86" s="14">
        <f>ROUND(W86+($R86-INDEX(新属性投放!$B$42:$B$62,属性汇总!$S86))*属性汇总!Z86,0)</f>
        <v>11712</v>
      </c>
    </row>
    <row r="87" spans="1:29" ht="16.5" x14ac:dyDescent="0.2">
      <c r="A87" s="13">
        <v>76</v>
      </c>
      <c r="B87" s="13">
        <v>7</v>
      </c>
      <c r="C87" s="14">
        <f>INDEX(新属性投放!$L$6:$L$10,属性汇总!$B$3)*INDEX(新属性投放!$Q$6:$Q$10,属性汇总!$D$3)</f>
        <v>1.1499999999999999</v>
      </c>
      <c r="D87" s="14">
        <f>INDEX(新属性投放!J$14:J$34,属性汇总!$B87)*$C87</f>
        <v>1611.1499999999999</v>
      </c>
      <c r="E87" s="14">
        <f>INDEX(新属性投放!K$14:K$34,属性汇总!$B87)*$C87</f>
        <v>784.3</v>
      </c>
      <c r="F87" s="14">
        <f>INDEX(新属性投放!L$14:L$34,属性汇总!$B87)*$C87</f>
        <v>4948.45</v>
      </c>
      <c r="G87" s="14">
        <f>INDEX(新属性投放!D$14:D$34,属性汇总!$B87)*$C87</f>
        <v>40.25</v>
      </c>
      <c r="H87" s="14">
        <f>INDEX(新属性投放!E$14:E$34,属性汇总!$B87)*$C87</f>
        <v>20.125</v>
      </c>
      <c r="I87" s="14">
        <f>INDEX(新属性投放!F$14:F$34,属性汇总!$B87)*$C87</f>
        <v>120.74999999999999</v>
      </c>
      <c r="J87" s="14">
        <f>ROUND(D87+($A87-INDEX(新属性投放!$B$14:$B$34,属性汇总!$B87))*属性汇总!G87,0)</f>
        <v>2255</v>
      </c>
      <c r="K87" s="14">
        <f>ROUND(E87+($A87-INDEX(新属性投放!$B$14:$B$34,属性汇总!$B87))*属性汇总!H87,0)</f>
        <v>1106</v>
      </c>
      <c r="L87" s="14">
        <f>ROUND(F87+($A87-INDEX(新属性投放!$B$14:$B$34,属性汇总!$B87))*属性汇总!I87,0)</f>
        <v>6880</v>
      </c>
      <c r="R87" s="13">
        <v>76</v>
      </c>
      <c r="S87" s="13">
        <v>7</v>
      </c>
      <c r="T87" s="14">
        <f>INDEX(新属性投放!$L$6:$L$10,$S$3)*INDEX(新属性投放!$Q$6:$Q$10,$U$3)</f>
        <v>1.1499999999999999</v>
      </c>
      <c r="U87" s="14">
        <f>INDEX(新属性投放!J$42:J$62,属性汇总!$S87)*$T87</f>
        <v>1800.8999999999999</v>
      </c>
      <c r="V87" s="14">
        <f>INDEX(新属性投放!K$42:K$62,属性汇总!$S87)*$T87</f>
        <v>898.15</v>
      </c>
      <c r="W87" s="14">
        <f>INDEX(新属性投放!L$42:L$62,属性汇总!$S87)*$T87</f>
        <v>9003.3499999999985</v>
      </c>
      <c r="X87" s="14">
        <f>INDEX(新属性投放!$D$42:$D$62,属性汇总!$S87)*$T87</f>
        <v>40.25</v>
      </c>
      <c r="Y87" s="14">
        <f>INDEX(新属性投放!$E$42:$E$62,属性汇总!$S87)*$T87</f>
        <v>20.125</v>
      </c>
      <c r="Z87" s="14">
        <f>INDEX(新属性投放!$F$42:$F$62,属性汇总!$S87)*$T87</f>
        <v>180.54999999999998</v>
      </c>
      <c r="AA87" s="14">
        <f>ROUND(U87+($R87-INDEX(新属性投放!$B$42:$B$62,属性汇总!$S87))*属性汇总!X87,0)</f>
        <v>2445</v>
      </c>
      <c r="AB87" s="14">
        <f>ROUND(V87+($R87-INDEX(新属性投放!$B$42:$B$62,属性汇总!$S87))*属性汇总!Y87,0)</f>
        <v>1220</v>
      </c>
      <c r="AC87" s="14">
        <f>ROUND(W87+($R87-INDEX(新属性投放!$B$42:$B$62,属性汇总!$S87))*属性汇总!Z87,0)</f>
        <v>11892</v>
      </c>
    </row>
    <row r="88" spans="1:29" ht="16.5" x14ac:dyDescent="0.2">
      <c r="A88" s="13">
        <v>77</v>
      </c>
      <c r="B88" s="13">
        <v>7</v>
      </c>
      <c r="C88" s="14">
        <f>INDEX(新属性投放!$L$6:$L$10,属性汇总!$B$3)*INDEX(新属性投放!$Q$6:$Q$10,属性汇总!$D$3)</f>
        <v>1.1499999999999999</v>
      </c>
      <c r="D88" s="14">
        <f>INDEX(新属性投放!J$14:J$34,属性汇总!$B88)*$C88</f>
        <v>1611.1499999999999</v>
      </c>
      <c r="E88" s="14">
        <f>INDEX(新属性投放!K$14:K$34,属性汇总!$B88)*$C88</f>
        <v>784.3</v>
      </c>
      <c r="F88" s="14">
        <f>INDEX(新属性投放!L$14:L$34,属性汇总!$B88)*$C88</f>
        <v>4948.45</v>
      </c>
      <c r="G88" s="14">
        <f>INDEX(新属性投放!D$14:D$34,属性汇总!$B88)*$C88</f>
        <v>40.25</v>
      </c>
      <c r="H88" s="14">
        <f>INDEX(新属性投放!E$14:E$34,属性汇总!$B88)*$C88</f>
        <v>20.125</v>
      </c>
      <c r="I88" s="14">
        <f>INDEX(新属性投放!F$14:F$34,属性汇总!$B88)*$C88</f>
        <v>120.74999999999999</v>
      </c>
      <c r="J88" s="14">
        <f>ROUND(D88+($A88-INDEX(新属性投放!$B$14:$B$34,属性汇总!$B88))*属性汇总!G88,0)</f>
        <v>2295</v>
      </c>
      <c r="K88" s="14">
        <f>ROUND(E88+($A88-INDEX(新属性投放!$B$14:$B$34,属性汇总!$B88))*属性汇总!H88,0)</f>
        <v>1126</v>
      </c>
      <c r="L88" s="14">
        <f>ROUND(F88+($A88-INDEX(新属性投放!$B$14:$B$34,属性汇总!$B88))*属性汇总!I88,0)</f>
        <v>7001</v>
      </c>
      <c r="R88" s="13">
        <v>77</v>
      </c>
      <c r="S88" s="13">
        <v>7</v>
      </c>
      <c r="T88" s="14">
        <f>INDEX(新属性投放!$L$6:$L$10,$S$3)*INDEX(新属性投放!$Q$6:$Q$10,$U$3)</f>
        <v>1.1499999999999999</v>
      </c>
      <c r="U88" s="14">
        <f>INDEX(新属性投放!J$42:J$62,属性汇总!$S88)*$T88</f>
        <v>1800.8999999999999</v>
      </c>
      <c r="V88" s="14">
        <f>INDEX(新属性投放!K$42:K$62,属性汇总!$S88)*$T88</f>
        <v>898.15</v>
      </c>
      <c r="W88" s="14">
        <f>INDEX(新属性投放!L$42:L$62,属性汇总!$S88)*$T88</f>
        <v>9003.3499999999985</v>
      </c>
      <c r="X88" s="14">
        <f>INDEX(新属性投放!$D$42:$D$62,属性汇总!$S88)*$T88</f>
        <v>40.25</v>
      </c>
      <c r="Y88" s="14">
        <f>INDEX(新属性投放!$E$42:$E$62,属性汇总!$S88)*$T88</f>
        <v>20.125</v>
      </c>
      <c r="Z88" s="14">
        <f>INDEX(新属性投放!$F$42:$F$62,属性汇总!$S88)*$T88</f>
        <v>180.54999999999998</v>
      </c>
      <c r="AA88" s="14">
        <f>ROUND(U88+($R88-INDEX(新属性投放!$B$42:$B$62,属性汇总!$S88))*属性汇总!X88,0)</f>
        <v>2485</v>
      </c>
      <c r="AB88" s="14">
        <f>ROUND(V88+($R88-INDEX(新属性投放!$B$42:$B$62,属性汇总!$S88))*属性汇总!Y88,0)</f>
        <v>1240</v>
      </c>
      <c r="AC88" s="14">
        <f>ROUND(W88+($R88-INDEX(新属性投放!$B$42:$B$62,属性汇总!$S88))*属性汇总!Z88,0)</f>
        <v>12073</v>
      </c>
    </row>
    <row r="89" spans="1:29" ht="16.5" x14ac:dyDescent="0.2">
      <c r="A89" s="13">
        <v>78</v>
      </c>
      <c r="B89" s="13">
        <v>7</v>
      </c>
      <c r="C89" s="14">
        <f>INDEX(新属性投放!$L$6:$L$10,属性汇总!$B$3)*INDEX(新属性投放!$Q$6:$Q$10,属性汇总!$D$3)</f>
        <v>1.1499999999999999</v>
      </c>
      <c r="D89" s="14">
        <f>INDEX(新属性投放!J$14:J$34,属性汇总!$B89)*$C89</f>
        <v>1611.1499999999999</v>
      </c>
      <c r="E89" s="14">
        <f>INDEX(新属性投放!K$14:K$34,属性汇总!$B89)*$C89</f>
        <v>784.3</v>
      </c>
      <c r="F89" s="14">
        <f>INDEX(新属性投放!L$14:L$34,属性汇总!$B89)*$C89</f>
        <v>4948.45</v>
      </c>
      <c r="G89" s="14">
        <f>INDEX(新属性投放!D$14:D$34,属性汇总!$B89)*$C89</f>
        <v>40.25</v>
      </c>
      <c r="H89" s="14">
        <f>INDEX(新属性投放!E$14:E$34,属性汇总!$B89)*$C89</f>
        <v>20.125</v>
      </c>
      <c r="I89" s="14">
        <f>INDEX(新属性投放!F$14:F$34,属性汇总!$B89)*$C89</f>
        <v>120.74999999999999</v>
      </c>
      <c r="J89" s="14">
        <f>ROUND(D89+($A89-INDEX(新属性投放!$B$14:$B$34,属性汇总!$B89))*属性汇总!G89,0)</f>
        <v>2336</v>
      </c>
      <c r="K89" s="14">
        <f>ROUND(E89+($A89-INDEX(新属性投放!$B$14:$B$34,属性汇总!$B89))*属性汇总!H89,0)</f>
        <v>1147</v>
      </c>
      <c r="L89" s="14">
        <f>ROUND(F89+($A89-INDEX(新属性投放!$B$14:$B$34,属性汇总!$B89))*属性汇总!I89,0)</f>
        <v>7122</v>
      </c>
      <c r="R89" s="13">
        <v>78</v>
      </c>
      <c r="S89" s="13">
        <v>7</v>
      </c>
      <c r="T89" s="14">
        <f>INDEX(新属性投放!$L$6:$L$10,$S$3)*INDEX(新属性投放!$Q$6:$Q$10,$U$3)</f>
        <v>1.1499999999999999</v>
      </c>
      <c r="U89" s="14">
        <f>INDEX(新属性投放!J$42:J$62,属性汇总!$S89)*$T89</f>
        <v>1800.8999999999999</v>
      </c>
      <c r="V89" s="14">
        <f>INDEX(新属性投放!K$42:K$62,属性汇总!$S89)*$T89</f>
        <v>898.15</v>
      </c>
      <c r="W89" s="14">
        <f>INDEX(新属性投放!L$42:L$62,属性汇总!$S89)*$T89</f>
        <v>9003.3499999999985</v>
      </c>
      <c r="X89" s="14">
        <f>INDEX(新属性投放!$D$42:$D$62,属性汇总!$S89)*$T89</f>
        <v>40.25</v>
      </c>
      <c r="Y89" s="14">
        <f>INDEX(新属性投放!$E$42:$E$62,属性汇总!$S89)*$T89</f>
        <v>20.125</v>
      </c>
      <c r="Z89" s="14">
        <f>INDEX(新属性投放!$F$42:$F$62,属性汇总!$S89)*$T89</f>
        <v>180.54999999999998</v>
      </c>
      <c r="AA89" s="14">
        <f>ROUND(U89+($R89-INDEX(新属性投放!$B$42:$B$62,属性汇总!$S89))*属性汇总!X89,0)</f>
        <v>2525</v>
      </c>
      <c r="AB89" s="14">
        <f>ROUND(V89+($R89-INDEX(新属性投放!$B$42:$B$62,属性汇总!$S89))*属性汇总!Y89,0)</f>
        <v>1260</v>
      </c>
      <c r="AC89" s="14">
        <f>ROUND(W89+($R89-INDEX(新属性投放!$B$42:$B$62,属性汇总!$S89))*属性汇总!Z89,0)</f>
        <v>12253</v>
      </c>
    </row>
    <row r="90" spans="1:29" ht="16.5" x14ac:dyDescent="0.2">
      <c r="A90" s="13">
        <v>79</v>
      </c>
      <c r="B90" s="13">
        <v>7</v>
      </c>
      <c r="C90" s="14">
        <f>INDEX(新属性投放!$L$6:$L$10,属性汇总!$B$3)*INDEX(新属性投放!$Q$6:$Q$10,属性汇总!$D$3)</f>
        <v>1.1499999999999999</v>
      </c>
      <c r="D90" s="14">
        <f>INDEX(新属性投放!J$14:J$34,属性汇总!$B90)*$C90</f>
        <v>1611.1499999999999</v>
      </c>
      <c r="E90" s="14">
        <f>INDEX(新属性投放!K$14:K$34,属性汇总!$B90)*$C90</f>
        <v>784.3</v>
      </c>
      <c r="F90" s="14">
        <f>INDEX(新属性投放!L$14:L$34,属性汇总!$B90)*$C90</f>
        <v>4948.45</v>
      </c>
      <c r="G90" s="14">
        <f>INDEX(新属性投放!D$14:D$34,属性汇总!$B90)*$C90</f>
        <v>40.25</v>
      </c>
      <c r="H90" s="14">
        <f>INDEX(新属性投放!E$14:E$34,属性汇总!$B90)*$C90</f>
        <v>20.125</v>
      </c>
      <c r="I90" s="14">
        <f>INDEX(新属性投放!F$14:F$34,属性汇总!$B90)*$C90</f>
        <v>120.74999999999999</v>
      </c>
      <c r="J90" s="14">
        <f>ROUND(D90+($A90-INDEX(新属性投放!$B$14:$B$34,属性汇总!$B90))*属性汇总!G90,0)</f>
        <v>2376</v>
      </c>
      <c r="K90" s="14">
        <f>ROUND(E90+($A90-INDEX(新属性投放!$B$14:$B$34,属性汇总!$B90))*属性汇总!H90,0)</f>
        <v>1167</v>
      </c>
      <c r="L90" s="14">
        <f>ROUND(F90+($A90-INDEX(新属性投放!$B$14:$B$34,属性汇总!$B90))*属性汇总!I90,0)</f>
        <v>7243</v>
      </c>
      <c r="R90" s="13">
        <v>79</v>
      </c>
      <c r="S90" s="13">
        <v>7</v>
      </c>
      <c r="T90" s="14">
        <f>INDEX(新属性投放!$L$6:$L$10,$S$3)*INDEX(新属性投放!$Q$6:$Q$10,$U$3)</f>
        <v>1.1499999999999999</v>
      </c>
      <c r="U90" s="14">
        <f>INDEX(新属性投放!J$42:J$62,属性汇总!$S90)*$T90</f>
        <v>1800.8999999999999</v>
      </c>
      <c r="V90" s="14">
        <f>INDEX(新属性投放!K$42:K$62,属性汇总!$S90)*$T90</f>
        <v>898.15</v>
      </c>
      <c r="W90" s="14">
        <f>INDEX(新属性投放!L$42:L$62,属性汇总!$S90)*$T90</f>
        <v>9003.3499999999985</v>
      </c>
      <c r="X90" s="14">
        <f>INDEX(新属性投放!$D$42:$D$62,属性汇总!$S90)*$T90</f>
        <v>40.25</v>
      </c>
      <c r="Y90" s="14">
        <f>INDEX(新属性投放!$E$42:$E$62,属性汇总!$S90)*$T90</f>
        <v>20.125</v>
      </c>
      <c r="Z90" s="14">
        <f>INDEX(新属性投放!$F$42:$F$62,属性汇总!$S90)*$T90</f>
        <v>180.54999999999998</v>
      </c>
      <c r="AA90" s="14">
        <f>ROUND(U90+($R90-INDEX(新属性投放!$B$42:$B$62,属性汇总!$S90))*属性汇总!X90,0)</f>
        <v>2566</v>
      </c>
      <c r="AB90" s="14">
        <f>ROUND(V90+($R90-INDEX(新属性投放!$B$42:$B$62,属性汇总!$S90))*属性汇总!Y90,0)</f>
        <v>1281</v>
      </c>
      <c r="AC90" s="14">
        <f>ROUND(W90+($R90-INDEX(新属性投放!$B$42:$B$62,属性汇总!$S90))*属性汇总!Z90,0)</f>
        <v>12434</v>
      </c>
    </row>
    <row r="91" spans="1:29" ht="16.5" x14ac:dyDescent="0.2">
      <c r="A91" s="13">
        <v>80</v>
      </c>
      <c r="B91" s="13">
        <v>7</v>
      </c>
      <c r="C91" s="14">
        <f>INDEX(新属性投放!$L$6:$L$10,属性汇总!$B$3)*INDEX(新属性投放!$Q$6:$Q$10,属性汇总!$D$3)</f>
        <v>1.1499999999999999</v>
      </c>
      <c r="D91" s="14">
        <f>INDEX(新属性投放!J$14:J$34,属性汇总!$B91)*$C91</f>
        <v>1611.1499999999999</v>
      </c>
      <c r="E91" s="14">
        <f>INDEX(新属性投放!K$14:K$34,属性汇总!$B91)*$C91</f>
        <v>784.3</v>
      </c>
      <c r="F91" s="14">
        <f>INDEX(新属性投放!L$14:L$34,属性汇总!$B91)*$C91</f>
        <v>4948.45</v>
      </c>
      <c r="G91" s="14">
        <f>INDEX(新属性投放!D$14:D$34,属性汇总!$B91)*$C91</f>
        <v>40.25</v>
      </c>
      <c r="H91" s="14">
        <f>INDEX(新属性投放!E$14:E$34,属性汇总!$B91)*$C91</f>
        <v>20.125</v>
      </c>
      <c r="I91" s="14">
        <f>INDEX(新属性投放!F$14:F$34,属性汇总!$B91)*$C91</f>
        <v>120.74999999999999</v>
      </c>
      <c r="J91" s="14">
        <f>ROUND(D91+($A91-INDEX(新属性投放!$B$14:$B$34,属性汇总!$B91))*属性汇总!G91,0)</f>
        <v>2416</v>
      </c>
      <c r="K91" s="14">
        <f>ROUND(E91+($A91-INDEX(新属性投放!$B$14:$B$34,属性汇总!$B91))*属性汇总!H91,0)</f>
        <v>1187</v>
      </c>
      <c r="L91" s="14">
        <f>ROUND(F91+($A91-INDEX(新属性投放!$B$14:$B$34,属性汇总!$B91))*属性汇总!I91,0)</f>
        <v>7363</v>
      </c>
      <c r="R91" s="13">
        <v>80</v>
      </c>
      <c r="S91" s="13">
        <v>7</v>
      </c>
      <c r="T91" s="14">
        <f>INDEX(新属性投放!$L$6:$L$10,$S$3)*INDEX(新属性投放!$Q$6:$Q$10,$U$3)</f>
        <v>1.1499999999999999</v>
      </c>
      <c r="U91" s="14">
        <f>INDEX(新属性投放!J$42:J$62,属性汇总!$S91)*$T91</f>
        <v>1800.8999999999999</v>
      </c>
      <c r="V91" s="14">
        <f>INDEX(新属性投放!K$42:K$62,属性汇总!$S91)*$T91</f>
        <v>898.15</v>
      </c>
      <c r="W91" s="14">
        <f>INDEX(新属性投放!L$42:L$62,属性汇总!$S91)*$T91</f>
        <v>9003.3499999999985</v>
      </c>
      <c r="X91" s="14">
        <f>INDEX(新属性投放!$D$42:$D$62,属性汇总!$S91)*$T91</f>
        <v>40.25</v>
      </c>
      <c r="Y91" s="14">
        <f>INDEX(新属性投放!$E$42:$E$62,属性汇总!$S91)*$T91</f>
        <v>20.125</v>
      </c>
      <c r="Z91" s="14">
        <f>INDEX(新属性投放!$F$42:$F$62,属性汇总!$S91)*$T91</f>
        <v>180.54999999999998</v>
      </c>
      <c r="AA91" s="14">
        <f>ROUND(U91+($R91-INDEX(新属性投放!$B$42:$B$62,属性汇总!$S91))*属性汇总!X91,0)</f>
        <v>2606</v>
      </c>
      <c r="AB91" s="14">
        <f>ROUND(V91+($R91-INDEX(新属性投放!$B$42:$B$62,属性汇总!$S91))*属性汇总!Y91,0)</f>
        <v>1301</v>
      </c>
      <c r="AC91" s="14">
        <f>ROUND(W91+($R91-INDEX(新属性投放!$B$42:$B$62,属性汇总!$S91))*属性汇总!Z91,0)</f>
        <v>12614</v>
      </c>
    </row>
    <row r="92" spans="1:29" s="37" customFormat="1" ht="16.5" x14ac:dyDescent="0.2">
      <c r="A92" s="13">
        <v>80</v>
      </c>
      <c r="B92" s="13">
        <v>8</v>
      </c>
      <c r="C92" s="14">
        <f>INDEX(新属性投放!$L$6:$L$10,属性汇总!$B$3)*INDEX(新属性投放!$Q$6:$Q$10,属性汇总!$D$3)</f>
        <v>1.1499999999999999</v>
      </c>
      <c r="D92" s="14">
        <f>INDEX(新属性投放!J$14:J$34,属性汇总!$B92)*$C92</f>
        <v>2114.85</v>
      </c>
      <c r="E92" s="14">
        <f>INDEX(新属性投放!K$14:K$34,属性汇总!$B92)*$C92</f>
        <v>1036.1499999999999</v>
      </c>
      <c r="F92" s="14">
        <f>INDEX(新属性投放!L$14:L$34,属性汇总!$B92)*$C92</f>
        <v>6459.5499999999993</v>
      </c>
      <c r="G92" s="14">
        <f>INDEX(新属性投放!D$14:D$34,属性汇总!$B92)*$C92</f>
        <v>51.749999999999993</v>
      </c>
      <c r="H92" s="14">
        <f>INDEX(新属性投放!E$14:E$34,属性汇总!$B92)*$C92</f>
        <v>25.874999999999996</v>
      </c>
      <c r="I92" s="14">
        <f>INDEX(新属性投放!F$14:F$34,属性汇总!$B92)*$C92</f>
        <v>155.25</v>
      </c>
      <c r="J92" s="14">
        <f>ROUND(D92+($A92-INDEX(新属性投放!$B$14:$B$34,属性汇总!$B92))*属性汇总!G92,0)</f>
        <v>2632</v>
      </c>
      <c r="K92" s="14">
        <f>ROUND(E92+($A92-INDEX(新属性投放!$B$14:$B$34,属性汇总!$B92))*属性汇总!H92,0)</f>
        <v>1295</v>
      </c>
      <c r="L92" s="14">
        <f>ROUND(F92+($A92-INDEX(新属性投放!$B$14:$B$34,属性汇总!$B92))*属性汇总!I92,0)</f>
        <v>8012</v>
      </c>
      <c r="R92" s="13">
        <v>80</v>
      </c>
      <c r="S92" s="13">
        <v>8</v>
      </c>
      <c r="T92" s="14">
        <f>INDEX(新属性投放!$L$6:$L$10,$S$3)*INDEX(新属性投放!$Q$6:$Q$10,$U$3)</f>
        <v>1.1499999999999999</v>
      </c>
      <c r="U92" s="14">
        <f>INDEX(新属性投放!J$42:J$62,属性汇总!$S92)*$T92</f>
        <v>2304.6</v>
      </c>
      <c r="V92" s="14">
        <f>INDEX(新属性投放!K$42:K$62,属性汇总!$S92)*$T92</f>
        <v>1150</v>
      </c>
      <c r="W92" s="14">
        <f>INDEX(新属性投放!L$42:L$62,属性汇总!$S92)*$T92</f>
        <v>11719.65</v>
      </c>
      <c r="X92" s="14">
        <f>INDEX(新属性投放!$D$42:$D$62,属性汇总!$S92)*$T92</f>
        <v>51.749999999999993</v>
      </c>
      <c r="Y92" s="14">
        <f>INDEX(新属性投放!$E$42:$E$62,属性汇总!$S92)*$T92</f>
        <v>25.874999999999996</v>
      </c>
      <c r="Z92" s="14">
        <f>INDEX(新属性投放!$F$42:$F$62,属性汇总!$S92)*$T92</f>
        <v>232.29999999999998</v>
      </c>
      <c r="AA92" s="14">
        <f>ROUND(U92+($R92-INDEX(新属性投放!$B$42:$B$62,属性汇总!$S92))*属性汇总!X92,0)</f>
        <v>2822</v>
      </c>
      <c r="AB92" s="14">
        <f>ROUND(V92+($R92-INDEX(新属性投放!$B$42:$B$62,属性汇总!$S92))*属性汇总!Y92,0)</f>
        <v>1409</v>
      </c>
      <c r="AC92" s="14">
        <f>ROUND(W92+($R92-INDEX(新属性投放!$B$42:$B$62,属性汇总!$S92))*属性汇总!Z92,0)</f>
        <v>14043</v>
      </c>
    </row>
    <row r="93" spans="1:29" ht="16.5" x14ac:dyDescent="0.2">
      <c r="A93" s="13">
        <v>81</v>
      </c>
      <c r="B93" s="13">
        <v>8</v>
      </c>
      <c r="C93" s="14">
        <f>INDEX(新属性投放!$L$6:$L$10,属性汇总!$B$3)*INDEX(新属性投放!$Q$6:$Q$10,属性汇总!$D$3)</f>
        <v>1.1499999999999999</v>
      </c>
      <c r="D93" s="14">
        <f>INDEX(新属性投放!J$14:J$34,属性汇总!$B93)*$C93</f>
        <v>2114.85</v>
      </c>
      <c r="E93" s="14">
        <f>INDEX(新属性投放!K$14:K$34,属性汇总!$B93)*$C93</f>
        <v>1036.1499999999999</v>
      </c>
      <c r="F93" s="14">
        <f>INDEX(新属性投放!L$14:L$34,属性汇总!$B93)*$C93</f>
        <v>6459.5499999999993</v>
      </c>
      <c r="G93" s="14">
        <f>INDEX(新属性投放!D$14:D$34,属性汇总!$B93)*$C93</f>
        <v>51.749999999999993</v>
      </c>
      <c r="H93" s="14">
        <f>INDEX(新属性投放!E$14:E$34,属性汇总!$B93)*$C93</f>
        <v>25.874999999999996</v>
      </c>
      <c r="I93" s="14">
        <f>INDEX(新属性投放!F$14:F$34,属性汇总!$B93)*$C93</f>
        <v>155.25</v>
      </c>
      <c r="J93" s="14">
        <f>ROUND(D93+($A93-INDEX(新属性投放!$B$14:$B$34,属性汇总!$B93))*属性汇总!G93,0)</f>
        <v>2684</v>
      </c>
      <c r="K93" s="14">
        <f>ROUND(E93+($A93-INDEX(新属性投放!$B$14:$B$34,属性汇总!$B93))*属性汇总!H93,0)</f>
        <v>1321</v>
      </c>
      <c r="L93" s="14">
        <f>ROUND(F93+($A93-INDEX(新属性投放!$B$14:$B$34,属性汇总!$B93))*属性汇总!I93,0)</f>
        <v>8167</v>
      </c>
      <c r="R93" s="13">
        <v>81</v>
      </c>
      <c r="S93" s="13">
        <v>8</v>
      </c>
      <c r="T93" s="14">
        <f>INDEX(新属性投放!$L$6:$L$10,$S$3)*INDEX(新属性投放!$Q$6:$Q$10,$U$3)</f>
        <v>1.1499999999999999</v>
      </c>
      <c r="U93" s="14">
        <f>INDEX(新属性投放!J$42:J$62,属性汇总!$S93)*$T93</f>
        <v>2304.6</v>
      </c>
      <c r="V93" s="14">
        <f>INDEX(新属性投放!K$42:K$62,属性汇总!$S93)*$T93</f>
        <v>1150</v>
      </c>
      <c r="W93" s="14">
        <f>INDEX(新属性投放!L$42:L$62,属性汇总!$S93)*$T93</f>
        <v>11719.65</v>
      </c>
      <c r="X93" s="14">
        <f>INDEX(新属性投放!$D$42:$D$62,属性汇总!$S93)*$T93</f>
        <v>51.749999999999993</v>
      </c>
      <c r="Y93" s="14">
        <f>INDEX(新属性投放!$E$42:$E$62,属性汇总!$S93)*$T93</f>
        <v>25.874999999999996</v>
      </c>
      <c r="Z93" s="14">
        <f>INDEX(新属性投放!$F$42:$F$62,属性汇总!$S93)*$T93</f>
        <v>232.29999999999998</v>
      </c>
      <c r="AA93" s="14">
        <f>ROUND(U93+($R93-INDEX(新属性投放!$B$42:$B$62,属性汇总!$S93))*属性汇总!X93,0)</f>
        <v>2874</v>
      </c>
      <c r="AB93" s="14">
        <f>ROUND(V93+($R93-INDEX(新属性投放!$B$42:$B$62,属性汇总!$S93))*属性汇总!Y93,0)</f>
        <v>1435</v>
      </c>
      <c r="AC93" s="14">
        <f>ROUND(W93+($R93-INDEX(新属性投放!$B$42:$B$62,属性汇总!$S93))*属性汇总!Z93,0)</f>
        <v>14275</v>
      </c>
    </row>
    <row r="94" spans="1:29" ht="16.5" x14ac:dyDescent="0.2">
      <c r="A94" s="13">
        <v>82</v>
      </c>
      <c r="B94" s="13">
        <v>8</v>
      </c>
      <c r="C94" s="14">
        <f>INDEX(新属性投放!$L$6:$L$10,属性汇总!$B$3)*INDEX(新属性投放!$Q$6:$Q$10,属性汇总!$D$3)</f>
        <v>1.1499999999999999</v>
      </c>
      <c r="D94" s="14">
        <f>INDEX(新属性投放!J$14:J$34,属性汇总!$B94)*$C94</f>
        <v>2114.85</v>
      </c>
      <c r="E94" s="14">
        <f>INDEX(新属性投放!K$14:K$34,属性汇总!$B94)*$C94</f>
        <v>1036.1499999999999</v>
      </c>
      <c r="F94" s="14">
        <f>INDEX(新属性投放!L$14:L$34,属性汇总!$B94)*$C94</f>
        <v>6459.5499999999993</v>
      </c>
      <c r="G94" s="14">
        <f>INDEX(新属性投放!D$14:D$34,属性汇总!$B94)*$C94</f>
        <v>51.749999999999993</v>
      </c>
      <c r="H94" s="14">
        <f>INDEX(新属性投放!E$14:E$34,属性汇总!$B94)*$C94</f>
        <v>25.874999999999996</v>
      </c>
      <c r="I94" s="14">
        <f>INDEX(新属性投放!F$14:F$34,属性汇总!$B94)*$C94</f>
        <v>155.25</v>
      </c>
      <c r="J94" s="14">
        <f>ROUND(D94+($A94-INDEX(新属性投放!$B$14:$B$34,属性汇总!$B94))*属性汇总!G94,0)</f>
        <v>2736</v>
      </c>
      <c r="K94" s="14">
        <f>ROUND(E94+($A94-INDEX(新属性投放!$B$14:$B$34,属性汇总!$B94))*属性汇总!H94,0)</f>
        <v>1347</v>
      </c>
      <c r="L94" s="14">
        <f>ROUND(F94+($A94-INDEX(新属性投放!$B$14:$B$34,属性汇总!$B94))*属性汇总!I94,0)</f>
        <v>8323</v>
      </c>
      <c r="R94" s="13">
        <v>82</v>
      </c>
      <c r="S94" s="13">
        <v>8</v>
      </c>
      <c r="T94" s="14">
        <f>INDEX(新属性投放!$L$6:$L$10,$S$3)*INDEX(新属性投放!$Q$6:$Q$10,$U$3)</f>
        <v>1.1499999999999999</v>
      </c>
      <c r="U94" s="14">
        <f>INDEX(新属性投放!J$42:J$62,属性汇总!$S94)*$T94</f>
        <v>2304.6</v>
      </c>
      <c r="V94" s="14">
        <f>INDEX(新属性投放!K$42:K$62,属性汇总!$S94)*$T94</f>
        <v>1150</v>
      </c>
      <c r="W94" s="14">
        <f>INDEX(新属性投放!L$42:L$62,属性汇总!$S94)*$T94</f>
        <v>11719.65</v>
      </c>
      <c r="X94" s="14">
        <f>INDEX(新属性投放!$D$42:$D$62,属性汇总!$S94)*$T94</f>
        <v>51.749999999999993</v>
      </c>
      <c r="Y94" s="14">
        <f>INDEX(新属性投放!$E$42:$E$62,属性汇总!$S94)*$T94</f>
        <v>25.874999999999996</v>
      </c>
      <c r="Z94" s="14">
        <f>INDEX(新属性投放!$F$42:$F$62,属性汇总!$S94)*$T94</f>
        <v>232.29999999999998</v>
      </c>
      <c r="AA94" s="14">
        <f>ROUND(U94+($R94-INDEX(新属性投放!$B$42:$B$62,属性汇总!$S94))*属性汇总!X94,0)</f>
        <v>2926</v>
      </c>
      <c r="AB94" s="14">
        <f>ROUND(V94+($R94-INDEX(新属性投放!$B$42:$B$62,属性汇总!$S94))*属性汇总!Y94,0)</f>
        <v>1461</v>
      </c>
      <c r="AC94" s="14">
        <f>ROUND(W94+($R94-INDEX(新属性投放!$B$42:$B$62,属性汇总!$S94))*属性汇总!Z94,0)</f>
        <v>14507</v>
      </c>
    </row>
    <row r="95" spans="1:29" ht="16.5" x14ac:dyDescent="0.2">
      <c r="A95" s="13">
        <v>83</v>
      </c>
      <c r="B95" s="13">
        <v>8</v>
      </c>
      <c r="C95" s="14">
        <f>INDEX(新属性投放!$L$6:$L$10,属性汇总!$B$3)*INDEX(新属性投放!$Q$6:$Q$10,属性汇总!$D$3)</f>
        <v>1.1499999999999999</v>
      </c>
      <c r="D95" s="14">
        <f>INDEX(新属性投放!J$14:J$34,属性汇总!$B95)*$C95</f>
        <v>2114.85</v>
      </c>
      <c r="E95" s="14">
        <f>INDEX(新属性投放!K$14:K$34,属性汇总!$B95)*$C95</f>
        <v>1036.1499999999999</v>
      </c>
      <c r="F95" s="14">
        <f>INDEX(新属性投放!L$14:L$34,属性汇总!$B95)*$C95</f>
        <v>6459.5499999999993</v>
      </c>
      <c r="G95" s="14">
        <f>INDEX(新属性投放!D$14:D$34,属性汇总!$B95)*$C95</f>
        <v>51.749999999999993</v>
      </c>
      <c r="H95" s="14">
        <f>INDEX(新属性投放!E$14:E$34,属性汇总!$B95)*$C95</f>
        <v>25.874999999999996</v>
      </c>
      <c r="I95" s="14">
        <f>INDEX(新属性投放!F$14:F$34,属性汇总!$B95)*$C95</f>
        <v>155.25</v>
      </c>
      <c r="J95" s="14">
        <f>ROUND(D95+($A95-INDEX(新属性投放!$B$14:$B$34,属性汇总!$B95))*属性汇总!G95,0)</f>
        <v>2788</v>
      </c>
      <c r="K95" s="14">
        <f>ROUND(E95+($A95-INDEX(新属性投放!$B$14:$B$34,属性汇总!$B95))*属性汇总!H95,0)</f>
        <v>1373</v>
      </c>
      <c r="L95" s="14">
        <f>ROUND(F95+($A95-INDEX(新属性投放!$B$14:$B$34,属性汇总!$B95))*属性汇总!I95,0)</f>
        <v>8478</v>
      </c>
      <c r="R95" s="13">
        <v>83</v>
      </c>
      <c r="S95" s="13">
        <v>8</v>
      </c>
      <c r="T95" s="14">
        <f>INDEX(新属性投放!$L$6:$L$10,$S$3)*INDEX(新属性投放!$Q$6:$Q$10,$U$3)</f>
        <v>1.1499999999999999</v>
      </c>
      <c r="U95" s="14">
        <f>INDEX(新属性投放!J$42:J$62,属性汇总!$S95)*$T95</f>
        <v>2304.6</v>
      </c>
      <c r="V95" s="14">
        <f>INDEX(新属性投放!K$42:K$62,属性汇总!$S95)*$T95</f>
        <v>1150</v>
      </c>
      <c r="W95" s="14">
        <f>INDEX(新属性投放!L$42:L$62,属性汇总!$S95)*$T95</f>
        <v>11719.65</v>
      </c>
      <c r="X95" s="14">
        <f>INDEX(新属性投放!$D$42:$D$62,属性汇总!$S95)*$T95</f>
        <v>51.749999999999993</v>
      </c>
      <c r="Y95" s="14">
        <f>INDEX(新属性投放!$E$42:$E$62,属性汇总!$S95)*$T95</f>
        <v>25.874999999999996</v>
      </c>
      <c r="Z95" s="14">
        <f>INDEX(新属性投放!$F$42:$F$62,属性汇总!$S95)*$T95</f>
        <v>232.29999999999998</v>
      </c>
      <c r="AA95" s="14">
        <f>ROUND(U95+($R95-INDEX(新属性投放!$B$42:$B$62,属性汇总!$S95))*属性汇总!X95,0)</f>
        <v>2977</v>
      </c>
      <c r="AB95" s="14">
        <f>ROUND(V95+($R95-INDEX(新属性投放!$B$42:$B$62,属性汇总!$S95))*属性汇总!Y95,0)</f>
        <v>1486</v>
      </c>
      <c r="AC95" s="14">
        <f>ROUND(W95+($R95-INDEX(新属性投放!$B$42:$B$62,属性汇总!$S95))*属性汇总!Z95,0)</f>
        <v>14740</v>
      </c>
    </row>
    <row r="96" spans="1:29" ht="16.5" x14ac:dyDescent="0.2">
      <c r="A96" s="13">
        <v>84</v>
      </c>
      <c r="B96" s="13">
        <v>8</v>
      </c>
      <c r="C96" s="14">
        <f>INDEX(新属性投放!$L$6:$L$10,属性汇总!$B$3)*INDEX(新属性投放!$Q$6:$Q$10,属性汇总!$D$3)</f>
        <v>1.1499999999999999</v>
      </c>
      <c r="D96" s="14">
        <f>INDEX(新属性投放!J$14:J$34,属性汇总!$B96)*$C96</f>
        <v>2114.85</v>
      </c>
      <c r="E96" s="14">
        <f>INDEX(新属性投放!K$14:K$34,属性汇总!$B96)*$C96</f>
        <v>1036.1499999999999</v>
      </c>
      <c r="F96" s="14">
        <f>INDEX(新属性投放!L$14:L$34,属性汇总!$B96)*$C96</f>
        <v>6459.5499999999993</v>
      </c>
      <c r="G96" s="14">
        <f>INDEX(新属性投放!D$14:D$34,属性汇总!$B96)*$C96</f>
        <v>51.749999999999993</v>
      </c>
      <c r="H96" s="14">
        <f>INDEX(新属性投放!E$14:E$34,属性汇总!$B96)*$C96</f>
        <v>25.874999999999996</v>
      </c>
      <c r="I96" s="14">
        <f>INDEX(新属性投放!F$14:F$34,属性汇总!$B96)*$C96</f>
        <v>155.25</v>
      </c>
      <c r="J96" s="14">
        <f>ROUND(D96+($A96-INDEX(新属性投放!$B$14:$B$34,属性汇总!$B96))*属性汇总!G96,0)</f>
        <v>2839</v>
      </c>
      <c r="K96" s="14">
        <f>ROUND(E96+($A96-INDEX(新属性投放!$B$14:$B$34,属性汇总!$B96))*属性汇总!H96,0)</f>
        <v>1398</v>
      </c>
      <c r="L96" s="14">
        <f>ROUND(F96+($A96-INDEX(新属性投放!$B$14:$B$34,属性汇总!$B96))*属性汇总!I96,0)</f>
        <v>8633</v>
      </c>
      <c r="R96" s="13">
        <v>84</v>
      </c>
      <c r="S96" s="13">
        <v>8</v>
      </c>
      <c r="T96" s="14">
        <f>INDEX(新属性投放!$L$6:$L$10,$S$3)*INDEX(新属性投放!$Q$6:$Q$10,$U$3)</f>
        <v>1.1499999999999999</v>
      </c>
      <c r="U96" s="14">
        <f>INDEX(新属性投放!J$42:J$62,属性汇总!$S96)*$T96</f>
        <v>2304.6</v>
      </c>
      <c r="V96" s="14">
        <f>INDEX(新属性投放!K$42:K$62,属性汇总!$S96)*$T96</f>
        <v>1150</v>
      </c>
      <c r="W96" s="14">
        <f>INDEX(新属性投放!L$42:L$62,属性汇总!$S96)*$T96</f>
        <v>11719.65</v>
      </c>
      <c r="X96" s="14">
        <f>INDEX(新属性投放!$D$42:$D$62,属性汇总!$S96)*$T96</f>
        <v>51.749999999999993</v>
      </c>
      <c r="Y96" s="14">
        <f>INDEX(新属性投放!$E$42:$E$62,属性汇总!$S96)*$T96</f>
        <v>25.874999999999996</v>
      </c>
      <c r="Z96" s="14">
        <f>INDEX(新属性投放!$F$42:$F$62,属性汇总!$S96)*$T96</f>
        <v>232.29999999999998</v>
      </c>
      <c r="AA96" s="14">
        <f>ROUND(U96+($R96-INDEX(新属性投放!$B$42:$B$62,属性汇总!$S96))*属性汇总!X96,0)</f>
        <v>3029</v>
      </c>
      <c r="AB96" s="14">
        <f>ROUND(V96+($R96-INDEX(新属性投放!$B$42:$B$62,属性汇总!$S96))*属性汇总!Y96,0)</f>
        <v>1512</v>
      </c>
      <c r="AC96" s="14">
        <f>ROUND(W96+($R96-INDEX(新属性投放!$B$42:$B$62,属性汇总!$S96))*属性汇总!Z96,0)</f>
        <v>14972</v>
      </c>
    </row>
    <row r="97" spans="1:29" s="20" customFormat="1" ht="16.5" x14ac:dyDescent="0.2">
      <c r="A97" s="13">
        <v>85</v>
      </c>
      <c r="B97" s="13">
        <v>8</v>
      </c>
      <c r="C97" s="14">
        <f>INDEX(新属性投放!$L$6:$L$10,属性汇总!$B$3)*INDEX(新属性投放!$Q$6:$Q$10,属性汇总!$D$3)</f>
        <v>1.1499999999999999</v>
      </c>
      <c r="D97" s="14">
        <f>INDEX(新属性投放!J$14:J$34,属性汇总!$B97)*$C97</f>
        <v>2114.85</v>
      </c>
      <c r="E97" s="14">
        <f>INDEX(新属性投放!K$14:K$34,属性汇总!$B97)*$C97</f>
        <v>1036.1499999999999</v>
      </c>
      <c r="F97" s="14">
        <f>INDEX(新属性投放!L$14:L$34,属性汇总!$B97)*$C97</f>
        <v>6459.5499999999993</v>
      </c>
      <c r="G97" s="14">
        <f>INDEX(新属性投放!D$14:D$34,属性汇总!$B97)*$C97</f>
        <v>51.749999999999993</v>
      </c>
      <c r="H97" s="14">
        <f>INDEX(新属性投放!E$14:E$34,属性汇总!$B97)*$C97</f>
        <v>25.874999999999996</v>
      </c>
      <c r="I97" s="14">
        <f>INDEX(新属性投放!F$14:F$34,属性汇总!$B97)*$C97</f>
        <v>155.25</v>
      </c>
      <c r="J97" s="14">
        <f>ROUND(D97+($A97-INDEX(新属性投放!$B$14:$B$34,属性汇总!$B97))*属性汇总!G97,0)</f>
        <v>2891</v>
      </c>
      <c r="K97" s="14">
        <f>ROUND(E97+($A97-INDEX(新属性投放!$B$14:$B$34,属性汇总!$B97))*属性汇总!H97,0)</f>
        <v>1424</v>
      </c>
      <c r="L97" s="14">
        <f>ROUND(F97+($A97-INDEX(新属性投放!$B$14:$B$34,属性汇总!$B97))*属性汇总!I97,0)</f>
        <v>8788</v>
      </c>
      <c r="N97" s="37"/>
      <c r="O97" s="37"/>
      <c r="P97" s="37"/>
      <c r="R97" s="13">
        <v>85</v>
      </c>
      <c r="S97" s="13">
        <v>8</v>
      </c>
      <c r="T97" s="14">
        <f>INDEX(新属性投放!$L$6:$L$10,$S$3)*INDEX(新属性投放!$Q$6:$Q$10,$U$3)</f>
        <v>1.1499999999999999</v>
      </c>
      <c r="U97" s="14">
        <f>INDEX(新属性投放!J$42:J$62,属性汇总!$S97)*$T97</f>
        <v>2304.6</v>
      </c>
      <c r="V97" s="14">
        <f>INDEX(新属性投放!K$42:K$62,属性汇总!$S97)*$T97</f>
        <v>1150</v>
      </c>
      <c r="W97" s="14">
        <f>INDEX(新属性投放!L$42:L$62,属性汇总!$S97)*$T97</f>
        <v>11719.65</v>
      </c>
      <c r="X97" s="14">
        <f>INDEX(新属性投放!$D$42:$D$62,属性汇总!$S97)*$T97</f>
        <v>51.749999999999993</v>
      </c>
      <c r="Y97" s="14">
        <f>INDEX(新属性投放!$E$42:$E$62,属性汇总!$S97)*$T97</f>
        <v>25.874999999999996</v>
      </c>
      <c r="Z97" s="14">
        <f>INDEX(新属性投放!$F$42:$F$62,属性汇总!$S97)*$T97</f>
        <v>232.29999999999998</v>
      </c>
      <c r="AA97" s="14">
        <f>ROUND(U97+($R97-INDEX(新属性投放!$B$42:$B$62,属性汇总!$S97))*属性汇总!X97,0)</f>
        <v>3081</v>
      </c>
      <c r="AB97" s="14">
        <f>ROUND(V97+($R97-INDEX(新属性投放!$B$42:$B$62,属性汇总!$S97))*属性汇总!Y97,0)</f>
        <v>1538</v>
      </c>
      <c r="AC97" s="14">
        <f>ROUND(W97+($R97-INDEX(新属性投放!$B$42:$B$62,属性汇总!$S97))*属性汇总!Z97,0)</f>
        <v>15204</v>
      </c>
    </row>
    <row r="98" spans="1:29" ht="16.5" x14ac:dyDescent="0.2">
      <c r="A98" s="13">
        <v>86</v>
      </c>
      <c r="B98" s="13">
        <v>8</v>
      </c>
      <c r="C98" s="14">
        <f>INDEX(新属性投放!$L$6:$L$10,属性汇总!$B$3)*INDEX(新属性投放!$Q$6:$Q$10,属性汇总!$D$3)</f>
        <v>1.1499999999999999</v>
      </c>
      <c r="D98" s="14">
        <f>INDEX(新属性投放!J$14:J$34,属性汇总!$B98)*$C98</f>
        <v>2114.85</v>
      </c>
      <c r="E98" s="14">
        <f>INDEX(新属性投放!K$14:K$34,属性汇总!$B98)*$C98</f>
        <v>1036.1499999999999</v>
      </c>
      <c r="F98" s="14">
        <f>INDEX(新属性投放!L$14:L$34,属性汇总!$B98)*$C98</f>
        <v>6459.5499999999993</v>
      </c>
      <c r="G98" s="14">
        <f>INDEX(新属性投放!D$14:D$34,属性汇总!$B98)*$C98</f>
        <v>51.749999999999993</v>
      </c>
      <c r="H98" s="14">
        <f>INDEX(新属性投放!E$14:E$34,属性汇总!$B98)*$C98</f>
        <v>25.874999999999996</v>
      </c>
      <c r="I98" s="14">
        <f>INDEX(新属性投放!F$14:F$34,属性汇总!$B98)*$C98</f>
        <v>155.25</v>
      </c>
      <c r="J98" s="14">
        <f>ROUND(D98+($A98-INDEX(新属性投放!$B$14:$B$34,属性汇总!$B98))*属性汇总!G98,0)</f>
        <v>2943</v>
      </c>
      <c r="K98" s="14">
        <f>ROUND(E98+($A98-INDEX(新属性投放!$B$14:$B$34,属性汇总!$B98))*属性汇总!H98,0)</f>
        <v>1450</v>
      </c>
      <c r="L98" s="14">
        <f>ROUND(F98+($A98-INDEX(新属性投放!$B$14:$B$34,属性汇总!$B98))*属性汇总!I98,0)</f>
        <v>8944</v>
      </c>
      <c r="R98" s="13">
        <v>86</v>
      </c>
      <c r="S98" s="13">
        <v>8</v>
      </c>
      <c r="T98" s="14">
        <f>INDEX(新属性投放!$L$6:$L$10,$S$3)*INDEX(新属性投放!$Q$6:$Q$10,$U$3)</f>
        <v>1.1499999999999999</v>
      </c>
      <c r="U98" s="14">
        <f>INDEX(新属性投放!J$42:J$62,属性汇总!$S98)*$T98</f>
        <v>2304.6</v>
      </c>
      <c r="V98" s="14">
        <f>INDEX(新属性投放!K$42:K$62,属性汇总!$S98)*$T98</f>
        <v>1150</v>
      </c>
      <c r="W98" s="14">
        <f>INDEX(新属性投放!L$42:L$62,属性汇总!$S98)*$T98</f>
        <v>11719.65</v>
      </c>
      <c r="X98" s="14">
        <f>INDEX(新属性投放!$D$42:$D$62,属性汇总!$S98)*$T98</f>
        <v>51.749999999999993</v>
      </c>
      <c r="Y98" s="14">
        <f>INDEX(新属性投放!$E$42:$E$62,属性汇总!$S98)*$T98</f>
        <v>25.874999999999996</v>
      </c>
      <c r="Z98" s="14">
        <f>INDEX(新属性投放!$F$42:$F$62,属性汇总!$S98)*$T98</f>
        <v>232.29999999999998</v>
      </c>
      <c r="AA98" s="14">
        <f>ROUND(U98+($R98-INDEX(新属性投放!$B$42:$B$62,属性汇总!$S98))*属性汇总!X98,0)</f>
        <v>3133</v>
      </c>
      <c r="AB98" s="14">
        <f>ROUND(V98+($R98-INDEX(新属性投放!$B$42:$B$62,属性汇总!$S98))*属性汇总!Y98,0)</f>
        <v>1564</v>
      </c>
      <c r="AC98" s="14">
        <f>ROUND(W98+($R98-INDEX(新属性投放!$B$42:$B$62,属性汇总!$S98))*属性汇总!Z98,0)</f>
        <v>15436</v>
      </c>
    </row>
    <row r="99" spans="1:29" ht="16.5" x14ac:dyDescent="0.2">
      <c r="A99" s="13">
        <v>87</v>
      </c>
      <c r="B99" s="13">
        <v>8</v>
      </c>
      <c r="C99" s="14">
        <f>INDEX(新属性投放!$L$6:$L$10,属性汇总!$B$3)*INDEX(新属性投放!$Q$6:$Q$10,属性汇总!$D$3)</f>
        <v>1.1499999999999999</v>
      </c>
      <c r="D99" s="14">
        <f>INDEX(新属性投放!J$14:J$34,属性汇总!$B99)*$C99</f>
        <v>2114.85</v>
      </c>
      <c r="E99" s="14">
        <f>INDEX(新属性投放!K$14:K$34,属性汇总!$B99)*$C99</f>
        <v>1036.1499999999999</v>
      </c>
      <c r="F99" s="14">
        <f>INDEX(新属性投放!L$14:L$34,属性汇总!$B99)*$C99</f>
        <v>6459.5499999999993</v>
      </c>
      <c r="G99" s="14">
        <f>INDEX(新属性投放!D$14:D$34,属性汇总!$B99)*$C99</f>
        <v>51.749999999999993</v>
      </c>
      <c r="H99" s="14">
        <f>INDEX(新属性投放!E$14:E$34,属性汇总!$B99)*$C99</f>
        <v>25.874999999999996</v>
      </c>
      <c r="I99" s="14">
        <f>INDEX(新属性投放!F$14:F$34,属性汇总!$B99)*$C99</f>
        <v>155.25</v>
      </c>
      <c r="J99" s="14">
        <f>ROUND(D99+($A99-INDEX(新属性投放!$B$14:$B$34,属性汇总!$B99))*属性汇总!G99,0)</f>
        <v>2995</v>
      </c>
      <c r="K99" s="14">
        <f>ROUND(E99+($A99-INDEX(新属性投放!$B$14:$B$34,属性汇总!$B99))*属性汇总!H99,0)</f>
        <v>1476</v>
      </c>
      <c r="L99" s="14">
        <f>ROUND(F99+($A99-INDEX(新属性投放!$B$14:$B$34,属性汇总!$B99))*属性汇总!I99,0)</f>
        <v>9099</v>
      </c>
      <c r="R99" s="13">
        <v>87</v>
      </c>
      <c r="S99" s="13">
        <v>8</v>
      </c>
      <c r="T99" s="14">
        <f>INDEX(新属性投放!$L$6:$L$10,$S$3)*INDEX(新属性投放!$Q$6:$Q$10,$U$3)</f>
        <v>1.1499999999999999</v>
      </c>
      <c r="U99" s="14">
        <f>INDEX(新属性投放!J$42:J$62,属性汇总!$S99)*$T99</f>
        <v>2304.6</v>
      </c>
      <c r="V99" s="14">
        <f>INDEX(新属性投放!K$42:K$62,属性汇总!$S99)*$T99</f>
        <v>1150</v>
      </c>
      <c r="W99" s="14">
        <f>INDEX(新属性投放!L$42:L$62,属性汇总!$S99)*$T99</f>
        <v>11719.65</v>
      </c>
      <c r="X99" s="14">
        <f>INDEX(新属性投放!$D$42:$D$62,属性汇总!$S99)*$T99</f>
        <v>51.749999999999993</v>
      </c>
      <c r="Y99" s="14">
        <f>INDEX(新属性投放!$E$42:$E$62,属性汇总!$S99)*$T99</f>
        <v>25.874999999999996</v>
      </c>
      <c r="Z99" s="14">
        <f>INDEX(新属性投放!$F$42:$F$62,属性汇总!$S99)*$T99</f>
        <v>232.29999999999998</v>
      </c>
      <c r="AA99" s="14">
        <f>ROUND(U99+($R99-INDEX(新属性投放!$B$42:$B$62,属性汇总!$S99))*属性汇总!X99,0)</f>
        <v>3184</v>
      </c>
      <c r="AB99" s="14">
        <f>ROUND(V99+($R99-INDEX(新属性投放!$B$42:$B$62,属性汇总!$S99))*属性汇总!Y99,0)</f>
        <v>1590</v>
      </c>
      <c r="AC99" s="14">
        <f>ROUND(W99+($R99-INDEX(新属性投放!$B$42:$B$62,属性汇总!$S99))*属性汇总!Z99,0)</f>
        <v>15669</v>
      </c>
    </row>
    <row r="100" spans="1:29" ht="16.5" x14ac:dyDescent="0.2">
      <c r="A100" s="13">
        <v>88</v>
      </c>
      <c r="B100" s="13">
        <v>8</v>
      </c>
      <c r="C100" s="14">
        <f>INDEX(新属性投放!$L$6:$L$10,属性汇总!$B$3)*INDEX(新属性投放!$Q$6:$Q$10,属性汇总!$D$3)</f>
        <v>1.1499999999999999</v>
      </c>
      <c r="D100" s="14">
        <f>INDEX(新属性投放!J$14:J$34,属性汇总!$B100)*$C100</f>
        <v>2114.85</v>
      </c>
      <c r="E100" s="14">
        <f>INDEX(新属性投放!K$14:K$34,属性汇总!$B100)*$C100</f>
        <v>1036.1499999999999</v>
      </c>
      <c r="F100" s="14">
        <f>INDEX(新属性投放!L$14:L$34,属性汇总!$B100)*$C100</f>
        <v>6459.5499999999993</v>
      </c>
      <c r="G100" s="14">
        <f>INDEX(新属性投放!D$14:D$34,属性汇总!$B100)*$C100</f>
        <v>51.749999999999993</v>
      </c>
      <c r="H100" s="14">
        <f>INDEX(新属性投放!E$14:E$34,属性汇总!$B100)*$C100</f>
        <v>25.874999999999996</v>
      </c>
      <c r="I100" s="14">
        <f>INDEX(新属性投放!F$14:F$34,属性汇总!$B100)*$C100</f>
        <v>155.25</v>
      </c>
      <c r="J100" s="14">
        <f>ROUND(D100+($A100-INDEX(新属性投放!$B$14:$B$34,属性汇总!$B100))*属性汇总!G100,0)</f>
        <v>3046</v>
      </c>
      <c r="K100" s="14">
        <f>ROUND(E100+($A100-INDEX(新属性投放!$B$14:$B$34,属性汇总!$B100))*属性汇总!H100,0)</f>
        <v>1502</v>
      </c>
      <c r="L100" s="14">
        <f>ROUND(F100+($A100-INDEX(新属性投放!$B$14:$B$34,属性汇总!$B100))*属性汇总!I100,0)</f>
        <v>9254</v>
      </c>
      <c r="R100" s="13">
        <v>88</v>
      </c>
      <c r="S100" s="13">
        <v>8</v>
      </c>
      <c r="T100" s="14">
        <f>INDEX(新属性投放!$L$6:$L$10,$S$3)*INDEX(新属性投放!$Q$6:$Q$10,$U$3)</f>
        <v>1.1499999999999999</v>
      </c>
      <c r="U100" s="14">
        <f>INDEX(新属性投放!J$42:J$62,属性汇总!$S100)*$T100</f>
        <v>2304.6</v>
      </c>
      <c r="V100" s="14">
        <f>INDEX(新属性投放!K$42:K$62,属性汇总!$S100)*$T100</f>
        <v>1150</v>
      </c>
      <c r="W100" s="14">
        <f>INDEX(新属性投放!L$42:L$62,属性汇总!$S100)*$T100</f>
        <v>11719.65</v>
      </c>
      <c r="X100" s="14">
        <f>INDEX(新属性投放!$D$42:$D$62,属性汇总!$S100)*$T100</f>
        <v>51.749999999999993</v>
      </c>
      <c r="Y100" s="14">
        <f>INDEX(新属性投放!$E$42:$E$62,属性汇总!$S100)*$T100</f>
        <v>25.874999999999996</v>
      </c>
      <c r="Z100" s="14">
        <f>INDEX(新属性投放!$F$42:$F$62,属性汇总!$S100)*$T100</f>
        <v>232.29999999999998</v>
      </c>
      <c r="AA100" s="14">
        <f>ROUND(U100+($R100-INDEX(新属性投放!$B$42:$B$62,属性汇总!$S100))*属性汇总!X100,0)</f>
        <v>3236</v>
      </c>
      <c r="AB100" s="14">
        <f>ROUND(V100+($R100-INDEX(新属性投放!$B$42:$B$62,属性汇总!$S100))*属性汇总!Y100,0)</f>
        <v>1616</v>
      </c>
      <c r="AC100" s="14">
        <f>ROUND(W100+($R100-INDEX(新属性投放!$B$42:$B$62,属性汇总!$S100))*属性汇总!Z100,0)</f>
        <v>15901</v>
      </c>
    </row>
    <row r="101" spans="1:29" ht="16.5" x14ac:dyDescent="0.2">
      <c r="A101" s="13">
        <v>89</v>
      </c>
      <c r="B101" s="13">
        <v>8</v>
      </c>
      <c r="C101" s="14">
        <f>INDEX(新属性投放!$L$6:$L$10,属性汇总!$B$3)*INDEX(新属性投放!$Q$6:$Q$10,属性汇总!$D$3)</f>
        <v>1.1499999999999999</v>
      </c>
      <c r="D101" s="14">
        <f>INDEX(新属性投放!J$14:J$34,属性汇总!$B101)*$C101</f>
        <v>2114.85</v>
      </c>
      <c r="E101" s="14">
        <f>INDEX(新属性投放!K$14:K$34,属性汇总!$B101)*$C101</f>
        <v>1036.1499999999999</v>
      </c>
      <c r="F101" s="14">
        <f>INDEX(新属性投放!L$14:L$34,属性汇总!$B101)*$C101</f>
        <v>6459.5499999999993</v>
      </c>
      <c r="G101" s="14">
        <f>INDEX(新属性投放!D$14:D$34,属性汇总!$B101)*$C101</f>
        <v>51.749999999999993</v>
      </c>
      <c r="H101" s="14">
        <f>INDEX(新属性投放!E$14:E$34,属性汇总!$B101)*$C101</f>
        <v>25.874999999999996</v>
      </c>
      <c r="I101" s="14">
        <f>INDEX(新属性投放!F$14:F$34,属性汇总!$B101)*$C101</f>
        <v>155.25</v>
      </c>
      <c r="J101" s="14">
        <f>ROUND(D101+($A101-INDEX(新属性投放!$B$14:$B$34,属性汇总!$B101))*属性汇总!G101,0)</f>
        <v>3098</v>
      </c>
      <c r="K101" s="14">
        <f>ROUND(E101+($A101-INDEX(新属性投放!$B$14:$B$34,属性汇总!$B101))*属性汇总!H101,0)</f>
        <v>1528</v>
      </c>
      <c r="L101" s="14">
        <f>ROUND(F101+($A101-INDEX(新属性投放!$B$14:$B$34,属性汇总!$B101))*属性汇总!I101,0)</f>
        <v>9409</v>
      </c>
      <c r="R101" s="13">
        <v>89</v>
      </c>
      <c r="S101" s="13">
        <v>8</v>
      </c>
      <c r="T101" s="14">
        <f>INDEX(新属性投放!$L$6:$L$10,$S$3)*INDEX(新属性投放!$Q$6:$Q$10,$U$3)</f>
        <v>1.1499999999999999</v>
      </c>
      <c r="U101" s="14">
        <f>INDEX(新属性投放!J$42:J$62,属性汇总!$S101)*$T101</f>
        <v>2304.6</v>
      </c>
      <c r="V101" s="14">
        <f>INDEX(新属性投放!K$42:K$62,属性汇总!$S101)*$T101</f>
        <v>1150</v>
      </c>
      <c r="W101" s="14">
        <f>INDEX(新属性投放!L$42:L$62,属性汇总!$S101)*$T101</f>
        <v>11719.65</v>
      </c>
      <c r="X101" s="14">
        <f>INDEX(新属性投放!$D$42:$D$62,属性汇总!$S101)*$T101</f>
        <v>51.749999999999993</v>
      </c>
      <c r="Y101" s="14">
        <f>INDEX(新属性投放!$E$42:$E$62,属性汇总!$S101)*$T101</f>
        <v>25.874999999999996</v>
      </c>
      <c r="Z101" s="14">
        <f>INDEX(新属性投放!$F$42:$F$62,属性汇总!$S101)*$T101</f>
        <v>232.29999999999998</v>
      </c>
      <c r="AA101" s="14">
        <f>ROUND(U101+($R101-INDEX(新属性投放!$B$42:$B$62,属性汇总!$S101))*属性汇总!X101,0)</f>
        <v>3288</v>
      </c>
      <c r="AB101" s="14">
        <f>ROUND(V101+($R101-INDEX(新属性投放!$B$42:$B$62,属性汇总!$S101))*属性汇总!Y101,0)</f>
        <v>1642</v>
      </c>
      <c r="AC101" s="14">
        <f>ROUND(W101+($R101-INDEX(新属性投放!$B$42:$B$62,属性汇总!$S101))*属性汇总!Z101,0)</f>
        <v>16133</v>
      </c>
    </row>
    <row r="102" spans="1:29" ht="16.5" x14ac:dyDescent="0.2">
      <c r="A102" s="13">
        <v>90</v>
      </c>
      <c r="B102" s="13">
        <v>8</v>
      </c>
      <c r="C102" s="14">
        <f>INDEX(新属性投放!$L$6:$L$10,属性汇总!$B$3)*INDEX(新属性投放!$Q$6:$Q$10,属性汇总!$D$3)</f>
        <v>1.1499999999999999</v>
      </c>
      <c r="D102" s="14">
        <f>INDEX(新属性投放!J$14:J$34,属性汇总!$B102)*$C102</f>
        <v>2114.85</v>
      </c>
      <c r="E102" s="14">
        <f>INDEX(新属性投放!K$14:K$34,属性汇总!$B102)*$C102</f>
        <v>1036.1499999999999</v>
      </c>
      <c r="F102" s="14">
        <f>INDEX(新属性投放!L$14:L$34,属性汇总!$B102)*$C102</f>
        <v>6459.5499999999993</v>
      </c>
      <c r="G102" s="14">
        <f>INDEX(新属性投放!D$14:D$34,属性汇总!$B102)*$C102</f>
        <v>51.749999999999993</v>
      </c>
      <c r="H102" s="14">
        <f>INDEX(新属性投放!E$14:E$34,属性汇总!$B102)*$C102</f>
        <v>25.874999999999996</v>
      </c>
      <c r="I102" s="14">
        <f>INDEX(新属性投放!F$14:F$34,属性汇总!$B102)*$C102</f>
        <v>155.25</v>
      </c>
      <c r="J102" s="14">
        <f>ROUND(D102+($A102-INDEX(新属性投放!$B$14:$B$34,属性汇总!$B102))*属性汇总!G102,0)</f>
        <v>3150</v>
      </c>
      <c r="K102" s="14">
        <f>ROUND(E102+($A102-INDEX(新属性投放!$B$14:$B$34,属性汇总!$B102))*属性汇总!H102,0)</f>
        <v>1554</v>
      </c>
      <c r="L102" s="14">
        <f>ROUND(F102+($A102-INDEX(新属性投放!$B$14:$B$34,属性汇总!$B102))*属性汇总!I102,0)</f>
        <v>9565</v>
      </c>
      <c r="R102" s="13">
        <v>90</v>
      </c>
      <c r="S102" s="13">
        <v>8</v>
      </c>
      <c r="T102" s="14">
        <f>INDEX(新属性投放!$L$6:$L$10,$S$3)*INDEX(新属性投放!$Q$6:$Q$10,$U$3)</f>
        <v>1.1499999999999999</v>
      </c>
      <c r="U102" s="14">
        <f>INDEX(新属性投放!J$42:J$62,属性汇总!$S102)*$T102</f>
        <v>2304.6</v>
      </c>
      <c r="V102" s="14">
        <f>INDEX(新属性投放!K$42:K$62,属性汇总!$S102)*$T102</f>
        <v>1150</v>
      </c>
      <c r="W102" s="14">
        <f>INDEX(新属性投放!L$42:L$62,属性汇总!$S102)*$T102</f>
        <v>11719.65</v>
      </c>
      <c r="X102" s="14">
        <f>INDEX(新属性投放!$D$42:$D$62,属性汇总!$S102)*$T102</f>
        <v>51.749999999999993</v>
      </c>
      <c r="Y102" s="14">
        <f>INDEX(新属性投放!$E$42:$E$62,属性汇总!$S102)*$T102</f>
        <v>25.874999999999996</v>
      </c>
      <c r="Z102" s="14">
        <f>INDEX(新属性投放!$F$42:$F$62,属性汇总!$S102)*$T102</f>
        <v>232.29999999999998</v>
      </c>
      <c r="AA102" s="14">
        <f>ROUND(U102+($R102-INDEX(新属性投放!$B$42:$B$62,属性汇总!$S102))*属性汇总!X102,0)</f>
        <v>3340</v>
      </c>
      <c r="AB102" s="14">
        <f>ROUND(V102+($R102-INDEX(新属性投放!$B$42:$B$62,属性汇总!$S102))*属性汇总!Y102,0)</f>
        <v>1668</v>
      </c>
      <c r="AC102" s="14">
        <f>ROUND(W102+($R102-INDEX(新属性投放!$B$42:$B$62,属性汇总!$S102))*属性汇总!Z102,0)</f>
        <v>16366</v>
      </c>
    </row>
    <row r="103" spans="1:29" s="37" customFormat="1" ht="16.5" x14ac:dyDescent="0.2">
      <c r="A103" s="13">
        <v>90</v>
      </c>
      <c r="B103" s="13">
        <v>9</v>
      </c>
      <c r="C103" s="14">
        <f>INDEX(新属性投放!$L$6:$L$10,属性汇总!$B$3)*INDEX(新属性投放!$Q$6:$Q$10,属性汇总!$D$3)</f>
        <v>1.1499999999999999</v>
      </c>
      <c r="D103" s="14">
        <f>INDEX(新属性投放!J$14:J$34,属性汇总!$B103)*$C103</f>
        <v>2762.2999999999997</v>
      </c>
      <c r="E103" s="14">
        <f>INDEX(新属性投放!K$14:K$34,属性汇总!$B103)*$C103</f>
        <v>1359.3</v>
      </c>
      <c r="F103" s="14">
        <f>INDEX(新属性投放!L$14:L$34,属性汇总!$B103)*$C103</f>
        <v>8401.9</v>
      </c>
      <c r="G103" s="14">
        <f>INDEX(新属性投放!D$14:D$34,属性汇总!$B103)*$C103</f>
        <v>69.05749999999999</v>
      </c>
      <c r="H103" s="14">
        <f>INDEX(新属性投放!E$14:E$34,属性汇总!$B103)*$C103</f>
        <v>34.528749999999995</v>
      </c>
      <c r="I103" s="14">
        <f>INDEX(新属性投放!F$14:F$34,属性汇总!$B103)*$C103</f>
        <v>207.17249999999996</v>
      </c>
      <c r="J103" s="14">
        <f>ROUND(D103+($A103-INDEX(新属性投放!$B$14:$B$34,属性汇总!$B103))*属性汇总!G103,0)</f>
        <v>3453</v>
      </c>
      <c r="K103" s="14">
        <f>ROUND(E103+($A103-INDEX(新属性投放!$B$14:$B$34,属性汇总!$B103))*属性汇总!H103,0)</f>
        <v>1705</v>
      </c>
      <c r="L103" s="14">
        <f>ROUND(F103+($A103-INDEX(新属性投放!$B$14:$B$34,属性汇总!$B103))*属性汇总!I103,0)</f>
        <v>10474</v>
      </c>
      <c r="R103" s="13">
        <v>90</v>
      </c>
      <c r="S103" s="13">
        <v>9</v>
      </c>
      <c r="T103" s="14">
        <f>INDEX(新属性投放!$L$6:$L$10,$S$3)*INDEX(新属性投放!$Q$6:$Q$10,$U$3)</f>
        <v>1.1499999999999999</v>
      </c>
      <c r="U103" s="14">
        <f>INDEX(新属性投放!J$42:J$62,属性汇总!$S103)*$T103</f>
        <v>2952.0499999999997</v>
      </c>
      <c r="V103" s="14">
        <f>INDEX(新属性投放!K$42:K$62,属性汇总!$S103)*$T103</f>
        <v>1473.1499999999999</v>
      </c>
      <c r="W103" s="14">
        <f>INDEX(新属性投放!L$42:L$62,属性汇总!$S103)*$T103</f>
        <v>15212.199999999999</v>
      </c>
      <c r="X103" s="14">
        <f>INDEX(新属性投放!$D$42:$D$62,属性汇总!$S103)*$T103</f>
        <v>69.05749999999999</v>
      </c>
      <c r="Y103" s="14">
        <f>INDEX(新属性投放!$E$42:$E$62,属性汇总!$S103)*$T103</f>
        <v>34.528749999999995</v>
      </c>
      <c r="Z103" s="14">
        <f>INDEX(新属性投放!$F$42:$F$62,属性汇总!$S103)*$T103</f>
        <v>310.5</v>
      </c>
      <c r="AA103" s="14">
        <f>ROUND(U103+($R103-INDEX(新属性投放!$B$42:$B$62,属性汇总!$S103))*属性汇总!X103,0)</f>
        <v>3643</v>
      </c>
      <c r="AB103" s="14">
        <f>ROUND(V103+($R103-INDEX(新属性投放!$B$42:$B$62,属性汇总!$S103))*属性汇总!Y103,0)</f>
        <v>1818</v>
      </c>
      <c r="AC103" s="14">
        <f>ROUND(W103+($R103-INDEX(新属性投放!$B$42:$B$62,属性汇总!$S103))*属性汇总!Z103,0)</f>
        <v>18317</v>
      </c>
    </row>
    <row r="104" spans="1:29" s="20" customFormat="1" ht="16.5" x14ac:dyDescent="0.2">
      <c r="A104" s="13">
        <v>91</v>
      </c>
      <c r="B104" s="13">
        <v>9</v>
      </c>
      <c r="C104" s="14">
        <f>INDEX(新属性投放!$L$6:$L$10,属性汇总!$B$3)*INDEX(新属性投放!$Q$6:$Q$10,属性汇总!$D$3)</f>
        <v>1.1499999999999999</v>
      </c>
      <c r="D104" s="14">
        <f>INDEX(新属性投放!J$14:J$34,属性汇总!$B104)*$C104</f>
        <v>2762.2999999999997</v>
      </c>
      <c r="E104" s="14">
        <f>INDEX(新属性投放!K$14:K$34,属性汇总!$B104)*$C104</f>
        <v>1359.3</v>
      </c>
      <c r="F104" s="14">
        <f>INDEX(新属性投放!L$14:L$34,属性汇总!$B104)*$C104</f>
        <v>8401.9</v>
      </c>
      <c r="G104" s="14">
        <f>INDEX(新属性投放!D$14:D$34,属性汇总!$B104)*$C104</f>
        <v>69.05749999999999</v>
      </c>
      <c r="H104" s="14">
        <f>INDEX(新属性投放!E$14:E$34,属性汇总!$B104)*$C104</f>
        <v>34.528749999999995</v>
      </c>
      <c r="I104" s="14">
        <f>INDEX(新属性投放!F$14:F$34,属性汇总!$B104)*$C104</f>
        <v>207.17249999999996</v>
      </c>
      <c r="J104" s="14">
        <f>ROUND(D104+($A104-INDEX(新属性投放!$B$14:$B$34,属性汇总!$B104))*属性汇总!G104,0)</f>
        <v>3522</v>
      </c>
      <c r="K104" s="14">
        <f>ROUND(E104+($A104-INDEX(新属性投放!$B$14:$B$34,属性汇总!$B104))*属性汇总!H104,0)</f>
        <v>1739</v>
      </c>
      <c r="L104" s="14">
        <f>ROUND(F104+($A104-INDEX(新属性投放!$B$14:$B$34,属性汇总!$B104))*属性汇总!I104,0)</f>
        <v>10681</v>
      </c>
      <c r="N104" s="37"/>
      <c r="O104" s="37"/>
      <c r="P104" s="37"/>
      <c r="R104" s="13">
        <v>91</v>
      </c>
      <c r="S104" s="13">
        <v>9</v>
      </c>
      <c r="T104" s="14">
        <f>INDEX(新属性投放!$L$6:$L$10,$S$3)*INDEX(新属性投放!$Q$6:$Q$10,$U$3)</f>
        <v>1.1499999999999999</v>
      </c>
      <c r="U104" s="14">
        <f>INDEX(新属性投放!J$42:J$62,属性汇总!$S104)*$T104</f>
        <v>2952.0499999999997</v>
      </c>
      <c r="V104" s="14">
        <f>INDEX(新属性投放!K$42:K$62,属性汇总!$S104)*$T104</f>
        <v>1473.1499999999999</v>
      </c>
      <c r="W104" s="14">
        <f>INDEX(新属性投放!L$42:L$62,属性汇总!$S104)*$T104</f>
        <v>15212.199999999999</v>
      </c>
      <c r="X104" s="14">
        <f>INDEX(新属性投放!$D$42:$D$62,属性汇总!$S104)*$T104</f>
        <v>69.05749999999999</v>
      </c>
      <c r="Y104" s="14">
        <f>INDEX(新属性投放!$E$42:$E$62,属性汇总!$S104)*$T104</f>
        <v>34.528749999999995</v>
      </c>
      <c r="Z104" s="14">
        <f>INDEX(新属性投放!$F$42:$F$62,属性汇总!$S104)*$T104</f>
        <v>310.5</v>
      </c>
      <c r="AA104" s="14">
        <f>ROUND(U104+($R104-INDEX(新属性投放!$B$42:$B$62,属性汇总!$S104))*属性汇总!X104,0)</f>
        <v>3712</v>
      </c>
      <c r="AB104" s="14">
        <f>ROUND(V104+($R104-INDEX(新属性投放!$B$42:$B$62,属性汇总!$S104))*属性汇总!Y104,0)</f>
        <v>1853</v>
      </c>
      <c r="AC104" s="14">
        <f>ROUND(W104+($R104-INDEX(新属性投放!$B$42:$B$62,属性汇总!$S104))*属性汇总!Z104,0)</f>
        <v>18628</v>
      </c>
    </row>
    <row r="105" spans="1:29" ht="16.5" x14ac:dyDescent="0.2">
      <c r="A105" s="13">
        <v>92</v>
      </c>
      <c r="B105" s="13">
        <v>9</v>
      </c>
      <c r="C105" s="14">
        <f>INDEX(新属性投放!$L$6:$L$10,属性汇总!$B$3)*INDEX(新属性投放!$Q$6:$Q$10,属性汇总!$D$3)</f>
        <v>1.1499999999999999</v>
      </c>
      <c r="D105" s="14">
        <f>INDEX(新属性投放!J$14:J$34,属性汇总!$B105)*$C105</f>
        <v>2762.2999999999997</v>
      </c>
      <c r="E105" s="14">
        <f>INDEX(新属性投放!K$14:K$34,属性汇总!$B105)*$C105</f>
        <v>1359.3</v>
      </c>
      <c r="F105" s="14">
        <f>INDEX(新属性投放!L$14:L$34,属性汇总!$B105)*$C105</f>
        <v>8401.9</v>
      </c>
      <c r="G105" s="14">
        <f>INDEX(新属性投放!D$14:D$34,属性汇总!$B105)*$C105</f>
        <v>69.05749999999999</v>
      </c>
      <c r="H105" s="14">
        <f>INDEX(新属性投放!E$14:E$34,属性汇总!$B105)*$C105</f>
        <v>34.528749999999995</v>
      </c>
      <c r="I105" s="14">
        <f>INDEX(新属性投放!F$14:F$34,属性汇总!$B105)*$C105</f>
        <v>207.17249999999996</v>
      </c>
      <c r="J105" s="14">
        <f>ROUND(D105+($A105-INDEX(新属性投放!$B$14:$B$34,属性汇总!$B105))*属性汇总!G105,0)</f>
        <v>3591</v>
      </c>
      <c r="K105" s="14">
        <f>ROUND(E105+($A105-INDEX(新属性投放!$B$14:$B$34,属性汇总!$B105))*属性汇总!H105,0)</f>
        <v>1774</v>
      </c>
      <c r="L105" s="14">
        <f>ROUND(F105+($A105-INDEX(新属性投放!$B$14:$B$34,属性汇总!$B105))*属性汇总!I105,0)</f>
        <v>10888</v>
      </c>
      <c r="R105" s="13">
        <v>92</v>
      </c>
      <c r="S105" s="13">
        <v>9</v>
      </c>
      <c r="T105" s="14">
        <f>INDEX(新属性投放!$L$6:$L$10,$S$3)*INDEX(新属性投放!$Q$6:$Q$10,$U$3)</f>
        <v>1.1499999999999999</v>
      </c>
      <c r="U105" s="14">
        <f>INDEX(新属性投放!J$42:J$62,属性汇总!$S105)*$T105</f>
        <v>2952.0499999999997</v>
      </c>
      <c r="V105" s="14">
        <f>INDEX(新属性投放!K$42:K$62,属性汇总!$S105)*$T105</f>
        <v>1473.1499999999999</v>
      </c>
      <c r="W105" s="14">
        <f>INDEX(新属性投放!L$42:L$62,属性汇总!$S105)*$T105</f>
        <v>15212.199999999999</v>
      </c>
      <c r="X105" s="14">
        <f>INDEX(新属性投放!$D$42:$D$62,属性汇总!$S105)*$T105</f>
        <v>69.05749999999999</v>
      </c>
      <c r="Y105" s="14">
        <f>INDEX(新属性投放!$E$42:$E$62,属性汇总!$S105)*$T105</f>
        <v>34.528749999999995</v>
      </c>
      <c r="Z105" s="14">
        <f>INDEX(新属性投放!$F$42:$F$62,属性汇总!$S105)*$T105</f>
        <v>310.5</v>
      </c>
      <c r="AA105" s="14">
        <f>ROUND(U105+($R105-INDEX(新属性投放!$B$42:$B$62,属性汇总!$S105))*属性汇总!X105,0)</f>
        <v>3781</v>
      </c>
      <c r="AB105" s="14">
        <f>ROUND(V105+($R105-INDEX(新属性投放!$B$42:$B$62,属性汇总!$S105))*属性汇总!Y105,0)</f>
        <v>1887</v>
      </c>
      <c r="AC105" s="14">
        <f>ROUND(W105+($R105-INDEX(新属性投放!$B$42:$B$62,属性汇总!$S105))*属性汇总!Z105,0)</f>
        <v>18938</v>
      </c>
    </row>
    <row r="106" spans="1:29" ht="16.5" x14ac:dyDescent="0.2">
      <c r="A106" s="13">
        <v>93</v>
      </c>
      <c r="B106" s="13">
        <v>9</v>
      </c>
      <c r="C106" s="14">
        <f>INDEX(新属性投放!$L$6:$L$10,属性汇总!$B$3)*INDEX(新属性投放!$Q$6:$Q$10,属性汇总!$D$3)</f>
        <v>1.1499999999999999</v>
      </c>
      <c r="D106" s="14">
        <f>INDEX(新属性投放!J$14:J$34,属性汇总!$B106)*$C106</f>
        <v>2762.2999999999997</v>
      </c>
      <c r="E106" s="14">
        <f>INDEX(新属性投放!K$14:K$34,属性汇总!$B106)*$C106</f>
        <v>1359.3</v>
      </c>
      <c r="F106" s="14">
        <f>INDEX(新属性投放!L$14:L$34,属性汇总!$B106)*$C106</f>
        <v>8401.9</v>
      </c>
      <c r="G106" s="14">
        <f>INDEX(新属性投放!D$14:D$34,属性汇总!$B106)*$C106</f>
        <v>69.05749999999999</v>
      </c>
      <c r="H106" s="14">
        <f>INDEX(新属性投放!E$14:E$34,属性汇总!$B106)*$C106</f>
        <v>34.528749999999995</v>
      </c>
      <c r="I106" s="14">
        <f>INDEX(新属性投放!F$14:F$34,属性汇总!$B106)*$C106</f>
        <v>207.17249999999996</v>
      </c>
      <c r="J106" s="14">
        <f>ROUND(D106+($A106-INDEX(新属性投放!$B$14:$B$34,属性汇总!$B106))*属性汇总!G106,0)</f>
        <v>3660</v>
      </c>
      <c r="K106" s="14">
        <f>ROUND(E106+($A106-INDEX(新属性投放!$B$14:$B$34,属性汇总!$B106))*属性汇总!H106,0)</f>
        <v>1808</v>
      </c>
      <c r="L106" s="14">
        <f>ROUND(F106+($A106-INDEX(新属性投放!$B$14:$B$34,属性汇总!$B106))*属性汇总!I106,0)</f>
        <v>11095</v>
      </c>
      <c r="R106" s="13">
        <v>93</v>
      </c>
      <c r="S106" s="13">
        <v>9</v>
      </c>
      <c r="T106" s="14">
        <f>INDEX(新属性投放!$L$6:$L$10,$S$3)*INDEX(新属性投放!$Q$6:$Q$10,$U$3)</f>
        <v>1.1499999999999999</v>
      </c>
      <c r="U106" s="14">
        <f>INDEX(新属性投放!J$42:J$62,属性汇总!$S106)*$T106</f>
        <v>2952.0499999999997</v>
      </c>
      <c r="V106" s="14">
        <f>INDEX(新属性投放!K$42:K$62,属性汇总!$S106)*$T106</f>
        <v>1473.1499999999999</v>
      </c>
      <c r="W106" s="14">
        <f>INDEX(新属性投放!L$42:L$62,属性汇总!$S106)*$T106</f>
        <v>15212.199999999999</v>
      </c>
      <c r="X106" s="14">
        <f>INDEX(新属性投放!$D$42:$D$62,属性汇总!$S106)*$T106</f>
        <v>69.05749999999999</v>
      </c>
      <c r="Y106" s="14">
        <f>INDEX(新属性投放!$E$42:$E$62,属性汇总!$S106)*$T106</f>
        <v>34.528749999999995</v>
      </c>
      <c r="Z106" s="14">
        <f>INDEX(新属性投放!$F$42:$F$62,属性汇总!$S106)*$T106</f>
        <v>310.5</v>
      </c>
      <c r="AA106" s="14">
        <f>ROUND(U106+($R106-INDEX(新属性投放!$B$42:$B$62,属性汇总!$S106))*属性汇总!X106,0)</f>
        <v>3850</v>
      </c>
      <c r="AB106" s="14">
        <f>ROUND(V106+($R106-INDEX(新属性投放!$B$42:$B$62,属性汇总!$S106))*属性汇总!Y106,0)</f>
        <v>1922</v>
      </c>
      <c r="AC106" s="14">
        <f>ROUND(W106+($R106-INDEX(新属性投放!$B$42:$B$62,属性汇总!$S106))*属性汇总!Z106,0)</f>
        <v>19249</v>
      </c>
    </row>
    <row r="107" spans="1:29" ht="16.5" x14ac:dyDescent="0.2">
      <c r="A107" s="13">
        <v>94</v>
      </c>
      <c r="B107" s="13">
        <v>9</v>
      </c>
      <c r="C107" s="14">
        <f>INDEX(新属性投放!$L$6:$L$10,属性汇总!$B$3)*INDEX(新属性投放!$Q$6:$Q$10,属性汇总!$D$3)</f>
        <v>1.1499999999999999</v>
      </c>
      <c r="D107" s="14">
        <f>INDEX(新属性投放!J$14:J$34,属性汇总!$B107)*$C107</f>
        <v>2762.2999999999997</v>
      </c>
      <c r="E107" s="14">
        <f>INDEX(新属性投放!K$14:K$34,属性汇总!$B107)*$C107</f>
        <v>1359.3</v>
      </c>
      <c r="F107" s="14">
        <f>INDEX(新属性投放!L$14:L$34,属性汇总!$B107)*$C107</f>
        <v>8401.9</v>
      </c>
      <c r="G107" s="14">
        <f>INDEX(新属性投放!D$14:D$34,属性汇总!$B107)*$C107</f>
        <v>69.05749999999999</v>
      </c>
      <c r="H107" s="14">
        <f>INDEX(新属性投放!E$14:E$34,属性汇总!$B107)*$C107</f>
        <v>34.528749999999995</v>
      </c>
      <c r="I107" s="14">
        <f>INDEX(新属性投放!F$14:F$34,属性汇总!$B107)*$C107</f>
        <v>207.17249999999996</v>
      </c>
      <c r="J107" s="14">
        <f>ROUND(D107+($A107-INDEX(新属性投放!$B$14:$B$34,属性汇总!$B107))*属性汇总!G107,0)</f>
        <v>3729</v>
      </c>
      <c r="K107" s="14">
        <f>ROUND(E107+($A107-INDEX(新属性投放!$B$14:$B$34,属性汇总!$B107))*属性汇总!H107,0)</f>
        <v>1843</v>
      </c>
      <c r="L107" s="14">
        <f>ROUND(F107+($A107-INDEX(新属性投放!$B$14:$B$34,属性汇总!$B107))*属性汇总!I107,0)</f>
        <v>11302</v>
      </c>
      <c r="R107" s="13">
        <v>94</v>
      </c>
      <c r="S107" s="13">
        <v>9</v>
      </c>
      <c r="T107" s="14">
        <f>INDEX(新属性投放!$L$6:$L$10,$S$3)*INDEX(新属性投放!$Q$6:$Q$10,$U$3)</f>
        <v>1.1499999999999999</v>
      </c>
      <c r="U107" s="14">
        <f>INDEX(新属性投放!J$42:J$62,属性汇总!$S107)*$T107</f>
        <v>2952.0499999999997</v>
      </c>
      <c r="V107" s="14">
        <f>INDEX(新属性投放!K$42:K$62,属性汇总!$S107)*$T107</f>
        <v>1473.1499999999999</v>
      </c>
      <c r="W107" s="14">
        <f>INDEX(新属性投放!L$42:L$62,属性汇总!$S107)*$T107</f>
        <v>15212.199999999999</v>
      </c>
      <c r="X107" s="14">
        <f>INDEX(新属性投放!$D$42:$D$62,属性汇总!$S107)*$T107</f>
        <v>69.05749999999999</v>
      </c>
      <c r="Y107" s="14">
        <f>INDEX(新属性投放!$E$42:$E$62,属性汇总!$S107)*$T107</f>
        <v>34.528749999999995</v>
      </c>
      <c r="Z107" s="14">
        <f>INDEX(新属性投放!$F$42:$F$62,属性汇总!$S107)*$T107</f>
        <v>310.5</v>
      </c>
      <c r="AA107" s="14">
        <f>ROUND(U107+($R107-INDEX(新属性投放!$B$42:$B$62,属性汇总!$S107))*属性汇总!X107,0)</f>
        <v>3919</v>
      </c>
      <c r="AB107" s="14">
        <f>ROUND(V107+($R107-INDEX(新属性投放!$B$42:$B$62,属性汇总!$S107))*属性汇总!Y107,0)</f>
        <v>1957</v>
      </c>
      <c r="AC107" s="14">
        <f>ROUND(W107+($R107-INDEX(新属性投放!$B$42:$B$62,属性汇总!$S107))*属性汇总!Z107,0)</f>
        <v>19559</v>
      </c>
    </row>
    <row r="108" spans="1:29" ht="16.5" x14ac:dyDescent="0.2">
      <c r="A108" s="13">
        <v>95</v>
      </c>
      <c r="B108" s="13">
        <v>9</v>
      </c>
      <c r="C108" s="14">
        <f>INDEX(新属性投放!$L$6:$L$10,属性汇总!$B$3)*INDEX(新属性投放!$Q$6:$Q$10,属性汇总!$D$3)</f>
        <v>1.1499999999999999</v>
      </c>
      <c r="D108" s="14">
        <f>INDEX(新属性投放!J$14:J$34,属性汇总!$B108)*$C108</f>
        <v>2762.2999999999997</v>
      </c>
      <c r="E108" s="14">
        <f>INDEX(新属性投放!K$14:K$34,属性汇总!$B108)*$C108</f>
        <v>1359.3</v>
      </c>
      <c r="F108" s="14">
        <f>INDEX(新属性投放!L$14:L$34,属性汇总!$B108)*$C108</f>
        <v>8401.9</v>
      </c>
      <c r="G108" s="14">
        <f>INDEX(新属性投放!D$14:D$34,属性汇总!$B108)*$C108</f>
        <v>69.05749999999999</v>
      </c>
      <c r="H108" s="14">
        <f>INDEX(新属性投放!E$14:E$34,属性汇总!$B108)*$C108</f>
        <v>34.528749999999995</v>
      </c>
      <c r="I108" s="14">
        <f>INDEX(新属性投放!F$14:F$34,属性汇总!$B108)*$C108</f>
        <v>207.17249999999996</v>
      </c>
      <c r="J108" s="14">
        <f>ROUND(D108+($A108-INDEX(新属性投放!$B$14:$B$34,属性汇总!$B108))*属性汇总!G108,0)</f>
        <v>3798</v>
      </c>
      <c r="K108" s="14">
        <f>ROUND(E108+($A108-INDEX(新属性投放!$B$14:$B$34,属性汇总!$B108))*属性汇总!H108,0)</f>
        <v>1877</v>
      </c>
      <c r="L108" s="14">
        <f>ROUND(F108+($A108-INDEX(新属性投放!$B$14:$B$34,属性汇总!$B108))*属性汇总!I108,0)</f>
        <v>11509</v>
      </c>
      <c r="R108" s="13">
        <v>95</v>
      </c>
      <c r="S108" s="13">
        <v>9</v>
      </c>
      <c r="T108" s="14">
        <f>INDEX(新属性投放!$L$6:$L$10,$S$3)*INDEX(新属性投放!$Q$6:$Q$10,$U$3)</f>
        <v>1.1499999999999999</v>
      </c>
      <c r="U108" s="14">
        <f>INDEX(新属性投放!J$42:J$62,属性汇总!$S108)*$T108</f>
        <v>2952.0499999999997</v>
      </c>
      <c r="V108" s="14">
        <f>INDEX(新属性投放!K$42:K$62,属性汇总!$S108)*$T108</f>
        <v>1473.1499999999999</v>
      </c>
      <c r="W108" s="14">
        <f>INDEX(新属性投放!L$42:L$62,属性汇总!$S108)*$T108</f>
        <v>15212.199999999999</v>
      </c>
      <c r="X108" s="14">
        <f>INDEX(新属性投放!$D$42:$D$62,属性汇总!$S108)*$T108</f>
        <v>69.05749999999999</v>
      </c>
      <c r="Y108" s="14">
        <f>INDEX(新属性投放!$E$42:$E$62,属性汇总!$S108)*$T108</f>
        <v>34.528749999999995</v>
      </c>
      <c r="Z108" s="14">
        <f>INDEX(新属性投放!$F$42:$F$62,属性汇总!$S108)*$T108</f>
        <v>310.5</v>
      </c>
      <c r="AA108" s="14">
        <f>ROUND(U108+($R108-INDEX(新属性投放!$B$42:$B$62,属性汇总!$S108))*属性汇总!X108,0)</f>
        <v>3988</v>
      </c>
      <c r="AB108" s="14">
        <f>ROUND(V108+($R108-INDEX(新属性投放!$B$42:$B$62,属性汇总!$S108))*属性汇总!Y108,0)</f>
        <v>1991</v>
      </c>
      <c r="AC108" s="14">
        <f>ROUND(W108+($R108-INDEX(新属性投放!$B$42:$B$62,属性汇总!$S108))*属性汇总!Z108,0)</f>
        <v>19870</v>
      </c>
    </row>
    <row r="109" spans="1:29" ht="16.5" x14ac:dyDescent="0.2">
      <c r="A109" s="13">
        <v>96</v>
      </c>
      <c r="B109" s="13">
        <v>9</v>
      </c>
      <c r="C109" s="14">
        <f>INDEX(新属性投放!$L$6:$L$10,属性汇总!$B$3)*INDEX(新属性投放!$Q$6:$Q$10,属性汇总!$D$3)</f>
        <v>1.1499999999999999</v>
      </c>
      <c r="D109" s="14">
        <f>INDEX(新属性投放!J$14:J$34,属性汇总!$B109)*$C109</f>
        <v>2762.2999999999997</v>
      </c>
      <c r="E109" s="14">
        <f>INDEX(新属性投放!K$14:K$34,属性汇总!$B109)*$C109</f>
        <v>1359.3</v>
      </c>
      <c r="F109" s="14">
        <f>INDEX(新属性投放!L$14:L$34,属性汇总!$B109)*$C109</f>
        <v>8401.9</v>
      </c>
      <c r="G109" s="14">
        <f>INDEX(新属性投放!D$14:D$34,属性汇总!$B109)*$C109</f>
        <v>69.05749999999999</v>
      </c>
      <c r="H109" s="14">
        <f>INDEX(新属性投放!E$14:E$34,属性汇总!$B109)*$C109</f>
        <v>34.528749999999995</v>
      </c>
      <c r="I109" s="14">
        <f>INDEX(新属性投放!F$14:F$34,属性汇总!$B109)*$C109</f>
        <v>207.17249999999996</v>
      </c>
      <c r="J109" s="14">
        <f>ROUND(D109+($A109-INDEX(新属性投放!$B$14:$B$34,属性汇总!$B109))*属性汇总!G109,0)</f>
        <v>3867</v>
      </c>
      <c r="K109" s="14">
        <f>ROUND(E109+($A109-INDEX(新属性投放!$B$14:$B$34,属性汇总!$B109))*属性汇总!H109,0)</f>
        <v>1912</v>
      </c>
      <c r="L109" s="14">
        <f>ROUND(F109+($A109-INDEX(新属性投放!$B$14:$B$34,属性汇总!$B109))*属性汇总!I109,0)</f>
        <v>11717</v>
      </c>
      <c r="R109" s="13">
        <v>96</v>
      </c>
      <c r="S109" s="13">
        <v>9</v>
      </c>
      <c r="T109" s="14">
        <f>INDEX(新属性投放!$L$6:$L$10,$S$3)*INDEX(新属性投放!$Q$6:$Q$10,$U$3)</f>
        <v>1.1499999999999999</v>
      </c>
      <c r="U109" s="14">
        <f>INDEX(新属性投放!J$42:J$62,属性汇总!$S109)*$T109</f>
        <v>2952.0499999999997</v>
      </c>
      <c r="V109" s="14">
        <f>INDEX(新属性投放!K$42:K$62,属性汇总!$S109)*$T109</f>
        <v>1473.1499999999999</v>
      </c>
      <c r="W109" s="14">
        <f>INDEX(新属性投放!L$42:L$62,属性汇总!$S109)*$T109</f>
        <v>15212.199999999999</v>
      </c>
      <c r="X109" s="14">
        <f>INDEX(新属性投放!$D$42:$D$62,属性汇总!$S109)*$T109</f>
        <v>69.05749999999999</v>
      </c>
      <c r="Y109" s="14">
        <f>INDEX(新属性投放!$E$42:$E$62,属性汇总!$S109)*$T109</f>
        <v>34.528749999999995</v>
      </c>
      <c r="Z109" s="14">
        <f>INDEX(新属性投放!$F$42:$F$62,属性汇总!$S109)*$T109</f>
        <v>310.5</v>
      </c>
      <c r="AA109" s="14">
        <f>ROUND(U109+($R109-INDEX(新属性投放!$B$42:$B$62,属性汇总!$S109))*属性汇总!X109,0)</f>
        <v>4057</v>
      </c>
      <c r="AB109" s="14">
        <f>ROUND(V109+($R109-INDEX(新属性投放!$B$42:$B$62,属性汇总!$S109))*属性汇总!Y109,0)</f>
        <v>2026</v>
      </c>
      <c r="AC109" s="14">
        <f>ROUND(W109+($R109-INDEX(新属性投放!$B$42:$B$62,属性汇总!$S109))*属性汇总!Z109,0)</f>
        <v>20180</v>
      </c>
    </row>
    <row r="110" spans="1:29" s="20" customFormat="1" ht="16.5" x14ac:dyDescent="0.2">
      <c r="A110" s="13">
        <v>97</v>
      </c>
      <c r="B110" s="13">
        <v>10</v>
      </c>
      <c r="C110" s="14">
        <f>INDEX(新属性投放!$L$6:$L$10,属性汇总!$B$3)*INDEX(新属性投放!$Q$6:$Q$10,属性汇总!$D$3)</f>
        <v>1.1499999999999999</v>
      </c>
      <c r="D110" s="14">
        <f>INDEX(新属性投放!J$14:J$34,属性汇总!$B110)*$C110</f>
        <v>3625.3749999999995</v>
      </c>
      <c r="E110" s="14">
        <f>INDEX(新属性投放!K$14:K$34,属性汇总!$B110)*$C110</f>
        <v>1790.8374999999999</v>
      </c>
      <c r="F110" s="14">
        <f>INDEX(新属性投放!L$14:L$34,属性汇总!$B110)*$C110</f>
        <v>10991.125</v>
      </c>
      <c r="G110" s="14">
        <f>INDEX(新属性投放!D$14:D$34,属性汇总!$B110)*$C110</f>
        <v>90.274999999999991</v>
      </c>
      <c r="H110" s="14">
        <f>INDEX(新属性投放!E$14:E$34,属性汇总!$B110)*$C110</f>
        <v>45.137499999999996</v>
      </c>
      <c r="I110" s="14">
        <f>INDEX(新属性投放!F$14:F$34,属性汇总!$B110)*$C110</f>
        <v>270.82499999999999</v>
      </c>
      <c r="J110" s="14">
        <f>ROUND(D110+($A110-INDEX(新属性投放!$B$14:$B$34,属性汇总!$B110))*属性汇总!G110,0)</f>
        <v>4257</v>
      </c>
      <c r="K110" s="14">
        <f>ROUND(E110+($A110-INDEX(新属性投放!$B$14:$B$34,属性汇总!$B110))*属性汇总!H110,0)</f>
        <v>2107</v>
      </c>
      <c r="L110" s="14">
        <f>ROUND(F110+($A110-INDEX(新属性投放!$B$14:$B$34,属性汇总!$B110))*属性汇总!I110,0)</f>
        <v>12887</v>
      </c>
      <c r="N110" s="37"/>
      <c r="O110" s="37"/>
      <c r="P110" s="37"/>
      <c r="R110" s="13">
        <v>97</v>
      </c>
      <c r="S110" s="13">
        <v>10</v>
      </c>
      <c r="T110" s="14">
        <f>INDEX(新属性投放!$L$6:$L$10,$S$3)*INDEX(新属性投放!$Q$6:$Q$10,$U$3)</f>
        <v>1.1499999999999999</v>
      </c>
      <c r="U110" s="14">
        <f>INDEX(新属性投放!J$42:J$62,属性汇总!$S110)*$T110</f>
        <v>3815.1249999999995</v>
      </c>
      <c r="V110" s="14">
        <f>INDEX(新属性投放!K$42:K$62,属性汇总!$S110)*$T110</f>
        <v>1904.6874999999998</v>
      </c>
      <c r="W110" s="14">
        <f>INDEX(新属性投放!L$42:L$62,属性汇总!$S110)*$T110</f>
        <v>19869.699999999997</v>
      </c>
      <c r="X110" s="14">
        <f>INDEX(新属性投放!$D$42:$D$62,属性汇总!$S110)*$T110</f>
        <v>90.274999999999991</v>
      </c>
      <c r="Y110" s="14">
        <f>INDEX(新属性投放!$E$42:$E$62,属性汇总!$S110)*$T110</f>
        <v>45.137499999999996</v>
      </c>
      <c r="Z110" s="14">
        <f>INDEX(新属性投放!$F$42:$F$62,属性汇总!$S110)*$T110</f>
        <v>405.95</v>
      </c>
      <c r="AA110" s="14">
        <f>ROUND(U110+($R110-INDEX(新属性投放!$B$42:$B$62,属性汇总!$S110))*属性汇总!X110,0)</f>
        <v>4447</v>
      </c>
      <c r="AB110" s="14">
        <f>ROUND(V110+($R110-INDEX(新属性投放!$B$42:$B$62,属性汇总!$S110))*属性汇总!Y110,0)</f>
        <v>2221</v>
      </c>
      <c r="AC110" s="14">
        <f>ROUND(W110+($R110-INDEX(新属性投放!$B$42:$B$62,属性汇总!$S110))*属性汇总!Z110,0)</f>
        <v>22711</v>
      </c>
    </row>
    <row r="111" spans="1:29" ht="16.5" x14ac:dyDescent="0.2">
      <c r="A111" s="13">
        <v>98</v>
      </c>
      <c r="B111" s="13">
        <v>10</v>
      </c>
      <c r="C111" s="14">
        <f>INDEX(新属性投放!$L$6:$L$10,属性汇总!$B$3)*INDEX(新属性投放!$Q$6:$Q$10,属性汇总!$D$3)</f>
        <v>1.1499999999999999</v>
      </c>
      <c r="D111" s="14">
        <f>INDEX(新属性投放!J$14:J$34,属性汇总!$B111)*$C111</f>
        <v>3625.3749999999995</v>
      </c>
      <c r="E111" s="14">
        <f>INDEX(新属性投放!K$14:K$34,属性汇总!$B111)*$C111</f>
        <v>1790.8374999999999</v>
      </c>
      <c r="F111" s="14">
        <f>INDEX(新属性投放!L$14:L$34,属性汇总!$B111)*$C111</f>
        <v>10991.125</v>
      </c>
      <c r="G111" s="14">
        <f>INDEX(新属性投放!D$14:D$34,属性汇总!$B111)*$C111</f>
        <v>90.274999999999991</v>
      </c>
      <c r="H111" s="14">
        <f>INDEX(新属性投放!E$14:E$34,属性汇总!$B111)*$C111</f>
        <v>45.137499999999996</v>
      </c>
      <c r="I111" s="14">
        <f>INDEX(新属性投放!F$14:F$34,属性汇总!$B111)*$C111</f>
        <v>270.82499999999999</v>
      </c>
      <c r="J111" s="14">
        <f>ROUND(D111+($A111-INDEX(新属性投放!$B$14:$B$34,属性汇总!$B111))*属性汇总!G111,0)</f>
        <v>4348</v>
      </c>
      <c r="K111" s="14">
        <f>ROUND(E111+($A111-INDEX(新属性投放!$B$14:$B$34,属性汇总!$B111))*属性汇总!H111,0)</f>
        <v>2152</v>
      </c>
      <c r="L111" s="14">
        <f>ROUND(F111+($A111-INDEX(新属性投放!$B$14:$B$34,属性汇总!$B111))*属性汇总!I111,0)</f>
        <v>13158</v>
      </c>
      <c r="R111" s="13">
        <v>98</v>
      </c>
      <c r="S111" s="13">
        <v>10</v>
      </c>
      <c r="T111" s="14">
        <f>INDEX(新属性投放!$L$6:$L$10,$S$3)*INDEX(新属性投放!$Q$6:$Q$10,$U$3)</f>
        <v>1.1499999999999999</v>
      </c>
      <c r="U111" s="14">
        <f>INDEX(新属性投放!J$42:J$62,属性汇总!$S111)*$T111</f>
        <v>3815.1249999999995</v>
      </c>
      <c r="V111" s="14">
        <f>INDEX(新属性投放!K$42:K$62,属性汇总!$S111)*$T111</f>
        <v>1904.6874999999998</v>
      </c>
      <c r="W111" s="14">
        <f>INDEX(新属性投放!L$42:L$62,属性汇总!$S111)*$T111</f>
        <v>19869.699999999997</v>
      </c>
      <c r="X111" s="14">
        <f>INDEX(新属性投放!$D$42:$D$62,属性汇总!$S111)*$T111</f>
        <v>90.274999999999991</v>
      </c>
      <c r="Y111" s="14">
        <f>INDEX(新属性投放!$E$42:$E$62,属性汇总!$S111)*$T111</f>
        <v>45.137499999999996</v>
      </c>
      <c r="Z111" s="14">
        <f>INDEX(新属性投放!$F$42:$F$62,属性汇总!$S111)*$T111</f>
        <v>405.95</v>
      </c>
      <c r="AA111" s="14">
        <f>ROUND(U111+($R111-INDEX(新属性投放!$B$42:$B$62,属性汇总!$S111))*属性汇总!X111,0)</f>
        <v>4537</v>
      </c>
      <c r="AB111" s="14">
        <f>ROUND(V111+($R111-INDEX(新属性投放!$B$42:$B$62,属性汇总!$S111))*属性汇总!Y111,0)</f>
        <v>2266</v>
      </c>
      <c r="AC111" s="14">
        <f>ROUND(W111+($R111-INDEX(新属性投放!$B$42:$B$62,属性汇总!$S111))*属性汇总!Z111,0)</f>
        <v>23117</v>
      </c>
    </row>
    <row r="112" spans="1:29" ht="16.5" x14ac:dyDescent="0.2">
      <c r="A112" s="13">
        <v>99</v>
      </c>
      <c r="B112" s="13">
        <v>10</v>
      </c>
      <c r="C112" s="14">
        <f>INDEX(新属性投放!$L$6:$L$10,属性汇总!$B$3)*INDEX(新属性投放!$Q$6:$Q$10,属性汇总!$D$3)</f>
        <v>1.1499999999999999</v>
      </c>
      <c r="D112" s="14">
        <f>INDEX(新属性投放!J$14:J$34,属性汇总!$B112)*$C112</f>
        <v>3625.3749999999995</v>
      </c>
      <c r="E112" s="14">
        <f>INDEX(新属性投放!K$14:K$34,属性汇总!$B112)*$C112</f>
        <v>1790.8374999999999</v>
      </c>
      <c r="F112" s="14">
        <f>INDEX(新属性投放!L$14:L$34,属性汇总!$B112)*$C112</f>
        <v>10991.125</v>
      </c>
      <c r="G112" s="14">
        <f>INDEX(新属性投放!D$14:D$34,属性汇总!$B112)*$C112</f>
        <v>90.274999999999991</v>
      </c>
      <c r="H112" s="14">
        <f>INDEX(新属性投放!E$14:E$34,属性汇总!$B112)*$C112</f>
        <v>45.137499999999996</v>
      </c>
      <c r="I112" s="14">
        <f>INDEX(新属性投放!F$14:F$34,属性汇总!$B112)*$C112</f>
        <v>270.82499999999999</v>
      </c>
      <c r="J112" s="14">
        <f>ROUND(D112+($A112-INDEX(新属性投放!$B$14:$B$34,属性汇总!$B112))*属性汇总!G112,0)</f>
        <v>4438</v>
      </c>
      <c r="K112" s="14">
        <f>ROUND(E112+($A112-INDEX(新属性投放!$B$14:$B$34,属性汇总!$B112))*属性汇总!H112,0)</f>
        <v>2197</v>
      </c>
      <c r="L112" s="14">
        <f>ROUND(F112+($A112-INDEX(新属性投放!$B$14:$B$34,属性汇总!$B112))*属性汇总!I112,0)</f>
        <v>13429</v>
      </c>
      <c r="R112" s="13">
        <v>99</v>
      </c>
      <c r="S112" s="13">
        <v>10</v>
      </c>
      <c r="T112" s="14">
        <f>INDEX(新属性投放!$L$6:$L$10,$S$3)*INDEX(新属性投放!$Q$6:$Q$10,$U$3)</f>
        <v>1.1499999999999999</v>
      </c>
      <c r="U112" s="14">
        <f>INDEX(新属性投放!J$42:J$62,属性汇总!$S112)*$T112</f>
        <v>3815.1249999999995</v>
      </c>
      <c r="V112" s="14">
        <f>INDEX(新属性投放!K$42:K$62,属性汇总!$S112)*$T112</f>
        <v>1904.6874999999998</v>
      </c>
      <c r="W112" s="14">
        <f>INDEX(新属性投放!L$42:L$62,属性汇总!$S112)*$T112</f>
        <v>19869.699999999997</v>
      </c>
      <c r="X112" s="14">
        <f>INDEX(新属性投放!$D$42:$D$62,属性汇总!$S112)*$T112</f>
        <v>90.274999999999991</v>
      </c>
      <c r="Y112" s="14">
        <f>INDEX(新属性投放!$E$42:$E$62,属性汇总!$S112)*$T112</f>
        <v>45.137499999999996</v>
      </c>
      <c r="Z112" s="14">
        <f>INDEX(新属性投放!$F$42:$F$62,属性汇总!$S112)*$T112</f>
        <v>405.95</v>
      </c>
      <c r="AA112" s="14">
        <f>ROUND(U112+($R112-INDEX(新属性投放!$B$42:$B$62,属性汇总!$S112))*属性汇总!X112,0)</f>
        <v>4628</v>
      </c>
      <c r="AB112" s="14">
        <f>ROUND(V112+($R112-INDEX(新属性投放!$B$42:$B$62,属性汇总!$S112))*属性汇总!Y112,0)</f>
        <v>2311</v>
      </c>
      <c r="AC112" s="14">
        <f>ROUND(W112+($R112-INDEX(新属性投放!$B$42:$B$62,属性汇总!$S112))*属性汇总!Z112,0)</f>
        <v>23523</v>
      </c>
    </row>
    <row r="113" spans="1:29" ht="16.5" x14ac:dyDescent="0.2">
      <c r="A113" s="13">
        <v>100</v>
      </c>
      <c r="B113" s="13">
        <v>10</v>
      </c>
      <c r="C113" s="14">
        <f>INDEX(新属性投放!$L$6:$L$10,属性汇总!$B$3)*INDEX(新属性投放!$Q$6:$Q$10,属性汇总!$D$3)</f>
        <v>1.1499999999999999</v>
      </c>
      <c r="D113" s="14">
        <f>INDEX(新属性投放!J$14:J$34,属性汇总!$B113)*$C113</f>
        <v>3625.3749999999995</v>
      </c>
      <c r="E113" s="14">
        <f>INDEX(新属性投放!K$14:K$34,属性汇总!$B113)*$C113</f>
        <v>1790.8374999999999</v>
      </c>
      <c r="F113" s="14">
        <f>INDEX(新属性投放!L$14:L$34,属性汇总!$B113)*$C113</f>
        <v>10991.125</v>
      </c>
      <c r="G113" s="14">
        <f>INDEX(新属性投放!D$14:D$34,属性汇总!$B113)*$C113</f>
        <v>90.274999999999991</v>
      </c>
      <c r="H113" s="14">
        <f>INDEX(新属性投放!E$14:E$34,属性汇总!$B113)*$C113</f>
        <v>45.137499999999996</v>
      </c>
      <c r="I113" s="14">
        <f>INDEX(新属性投放!F$14:F$34,属性汇总!$B113)*$C113</f>
        <v>270.82499999999999</v>
      </c>
      <c r="J113" s="14">
        <f>ROUND(D113+($A113-INDEX(新属性投放!$B$14:$B$34,属性汇总!$B113))*属性汇总!G113,0)</f>
        <v>4528</v>
      </c>
      <c r="K113" s="14">
        <f>ROUND(E113+($A113-INDEX(新属性投放!$B$14:$B$34,属性汇总!$B113))*属性汇总!H113,0)</f>
        <v>2242</v>
      </c>
      <c r="L113" s="14">
        <f>ROUND(F113+($A113-INDEX(新属性投放!$B$14:$B$34,属性汇总!$B113))*属性汇总!I113,0)</f>
        <v>13699</v>
      </c>
      <c r="R113" s="13">
        <v>100</v>
      </c>
      <c r="S113" s="13">
        <v>10</v>
      </c>
      <c r="T113" s="14">
        <f>INDEX(新属性投放!$L$6:$L$10,$S$3)*INDEX(新属性投放!$Q$6:$Q$10,$U$3)</f>
        <v>1.1499999999999999</v>
      </c>
      <c r="U113" s="14">
        <f>INDEX(新属性投放!J$42:J$62,属性汇总!$S113)*$T113</f>
        <v>3815.1249999999995</v>
      </c>
      <c r="V113" s="14">
        <f>INDEX(新属性投放!K$42:K$62,属性汇总!$S113)*$T113</f>
        <v>1904.6874999999998</v>
      </c>
      <c r="W113" s="14">
        <f>INDEX(新属性投放!L$42:L$62,属性汇总!$S113)*$T113</f>
        <v>19869.699999999997</v>
      </c>
      <c r="X113" s="14">
        <f>INDEX(新属性投放!$D$42:$D$62,属性汇总!$S113)*$T113</f>
        <v>90.274999999999991</v>
      </c>
      <c r="Y113" s="14">
        <f>INDEX(新属性投放!$E$42:$E$62,属性汇总!$S113)*$T113</f>
        <v>45.137499999999996</v>
      </c>
      <c r="Z113" s="14">
        <f>INDEX(新属性投放!$F$42:$F$62,属性汇总!$S113)*$T113</f>
        <v>405.95</v>
      </c>
      <c r="AA113" s="14">
        <f>ROUND(U113+($R113-INDEX(新属性投放!$B$42:$B$62,属性汇总!$S113))*属性汇总!X113,0)</f>
        <v>4718</v>
      </c>
      <c r="AB113" s="14">
        <f>ROUND(V113+($R113-INDEX(新属性投放!$B$42:$B$62,属性汇总!$S113))*属性汇总!Y113,0)</f>
        <v>2356</v>
      </c>
      <c r="AC113" s="14">
        <f>ROUND(W113+($R113-INDEX(新属性投放!$B$42:$B$62,属性汇总!$S113))*属性汇总!Z113,0)</f>
        <v>23929</v>
      </c>
    </row>
    <row r="114" spans="1:29" s="37" customFormat="1" ht="16.5" x14ac:dyDescent="0.2">
      <c r="A114" s="13">
        <v>100</v>
      </c>
      <c r="B114" s="13">
        <v>11</v>
      </c>
      <c r="C114" s="14">
        <f>INDEX(新属性投放!$L$6:$L$10,属性汇总!$B$3)*INDEX(新属性投放!$Q$6:$Q$10,属性汇总!$D$3)</f>
        <v>1.1499999999999999</v>
      </c>
      <c r="D114" s="14">
        <f>INDEX(新属性投放!J$14:J$34,属性汇总!$B114)*$C114</f>
        <v>4753.5249999999996</v>
      </c>
      <c r="E114" s="14">
        <f>INDEX(新属性投放!K$14:K$34,属性汇总!$B114)*$C114</f>
        <v>2354.9124999999999</v>
      </c>
      <c r="F114" s="14">
        <f>INDEX(新属性投放!L$14:L$34,属性汇总!$B114)*$C114</f>
        <v>14375.574999999999</v>
      </c>
      <c r="G114" s="14">
        <f>INDEX(新属性投放!D$14:D$34,属性汇总!$B114)*$C114</f>
        <v>118.84099999999999</v>
      </c>
      <c r="H114" s="14">
        <f>INDEX(新属性投放!E$14:E$34,属性汇总!$B114)*$C114</f>
        <v>59.420499999999997</v>
      </c>
      <c r="I114" s="14">
        <f>INDEX(新属性投放!F$14:F$34,属性汇总!$B114)*$C114</f>
        <v>356.52299999999997</v>
      </c>
      <c r="J114" s="14">
        <f>ROUND(D114+($A114-INDEX(新属性投放!$B$14:$B$34,属性汇总!$B114))*属性汇总!G114,0)</f>
        <v>4754</v>
      </c>
      <c r="K114" s="14">
        <f>ROUND(E114+($A114-INDEX(新属性投放!$B$14:$B$34,属性汇总!$B114))*属性汇总!H114,0)</f>
        <v>2355</v>
      </c>
      <c r="L114" s="14">
        <f>ROUND(F114+($A114-INDEX(新属性投放!$B$14:$B$34,属性汇总!$B114))*属性汇总!I114,0)</f>
        <v>14376</v>
      </c>
      <c r="R114" s="13">
        <v>100</v>
      </c>
      <c r="S114" s="13">
        <v>11</v>
      </c>
      <c r="T114" s="14">
        <f>INDEX(新属性投放!$L$6:$L$10,$S$3)*INDEX(新属性投放!$Q$6:$Q$10,$U$3)</f>
        <v>1.1499999999999999</v>
      </c>
      <c r="U114" s="14">
        <f>INDEX(新属性投放!J$42:J$62,属性汇总!$S114)*$T114</f>
        <v>4943.2749999999996</v>
      </c>
      <c r="V114" s="14">
        <f>INDEX(新属性投放!K$42:K$62,属性汇总!$S114)*$T114</f>
        <v>2468.7624999999998</v>
      </c>
      <c r="W114" s="14">
        <f>INDEX(新属性投放!L$42:L$62,属性汇总!$S114)*$T114</f>
        <v>25957.8</v>
      </c>
      <c r="X114" s="14">
        <f>INDEX(新属性投放!$D$42:$D$62,属性汇总!$S114)*$T114</f>
        <v>118.84099999999999</v>
      </c>
      <c r="Y114" s="14">
        <f>INDEX(新属性投放!$E$42:$E$62,属性汇总!$S114)*$T114</f>
        <v>59.420499999999997</v>
      </c>
      <c r="Z114" s="14">
        <f>INDEX(新属性投放!$F$42:$F$62,属性汇总!$S114)*$T114</f>
        <v>534.75</v>
      </c>
      <c r="AA114" s="14">
        <f>ROUND(U114+($R114-INDEX(新属性投放!$B$42:$B$62,属性汇总!$S114))*属性汇总!X114,0)</f>
        <v>4943</v>
      </c>
      <c r="AB114" s="14">
        <f>ROUND(V114+($R114-INDEX(新属性投放!$B$42:$B$62,属性汇总!$S114))*属性汇总!Y114,0)</f>
        <v>2469</v>
      </c>
      <c r="AC114" s="14">
        <f>ROUND(W114+($R114-INDEX(新属性投放!$B$42:$B$62,属性汇总!$S114))*属性汇总!Z114,0)</f>
        <v>25958</v>
      </c>
    </row>
    <row r="115" spans="1:29" ht="16.5" x14ac:dyDescent="0.2">
      <c r="A115" s="13">
        <v>101</v>
      </c>
      <c r="B115" s="13">
        <v>11</v>
      </c>
      <c r="C115" s="14">
        <f>INDEX(新属性投放!$L$6:$L$10,属性汇总!$B$3)*INDEX(新属性投放!$Q$6:$Q$10,属性汇总!$D$3)</f>
        <v>1.1499999999999999</v>
      </c>
      <c r="D115" s="14">
        <f>INDEX(新属性投放!J$14:J$34,属性汇总!$B115)*$C115</f>
        <v>4753.5249999999996</v>
      </c>
      <c r="E115" s="14">
        <f>INDEX(新属性投放!K$14:K$34,属性汇总!$B115)*$C115</f>
        <v>2354.9124999999999</v>
      </c>
      <c r="F115" s="14">
        <f>INDEX(新属性投放!L$14:L$34,属性汇总!$B115)*$C115</f>
        <v>14375.574999999999</v>
      </c>
      <c r="G115" s="14">
        <f>INDEX(新属性投放!D$14:D$34,属性汇总!$B115)*$C115</f>
        <v>118.84099999999999</v>
      </c>
      <c r="H115" s="14">
        <f>INDEX(新属性投放!E$14:E$34,属性汇总!$B115)*$C115</f>
        <v>59.420499999999997</v>
      </c>
      <c r="I115" s="14">
        <f>INDEX(新属性投放!F$14:F$34,属性汇总!$B115)*$C115</f>
        <v>356.52299999999997</v>
      </c>
      <c r="J115" s="14">
        <f>ROUND(D115+($A115-INDEX(新属性投放!$B$14:$B$34,属性汇总!$B115))*属性汇总!G115,0)</f>
        <v>4872</v>
      </c>
      <c r="K115" s="14">
        <f>ROUND(E115+($A115-INDEX(新属性投放!$B$14:$B$34,属性汇总!$B115))*属性汇总!H115,0)</f>
        <v>2414</v>
      </c>
      <c r="L115" s="14">
        <f>ROUND(F115+($A115-INDEX(新属性投放!$B$14:$B$34,属性汇总!$B115))*属性汇总!I115,0)</f>
        <v>14732</v>
      </c>
      <c r="R115" s="13">
        <v>101</v>
      </c>
      <c r="S115" s="13">
        <v>11</v>
      </c>
      <c r="T115" s="14">
        <f>INDEX(新属性投放!$L$6:$L$10,$S$3)*INDEX(新属性投放!$Q$6:$Q$10,$U$3)</f>
        <v>1.1499999999999999</v>
      </c>
      <c r="U115" s="14">
        <f>INDEX(新属性投放!J$42:J$62,属性汇总!$S115)*$T115</f>
        <v>4943.2749999999996</v>
      </c>
      <c r="V115" s="14">
        <f>INDEX(新属性投放!K$42:K$62,属性汇总!$S115)*$T115</f>
        <v>2468.7624999999998</v>
      </c>
      <c r="W115" s="14">
        <f>INDEX(新属性投放!L$42:L$62,属性汇总!$S115)*$T115</f>
        <v>25957.8</v>
      </c>
      <c r="X115" s="14">
        <f>INDEX(新属性投放!$D$42:$D$62,属性汇总!$S115)*$T115</f>
        <v>118.84099999999999</v>
      </c>
      <c r="Y115" s="14">
        <f>INDEX(新属性投放!$E$42:$E$62,属性汇总!$S115)*$T115</f>
        <v>59.420499999999997</v>
      </c>
      <c r="Z115" s="14">
        <f>INDEX(新属性投放!$F$42:$F$62,属性汇总!$S115)*$T115</f>
        <v>534.75</v>
      </c>
      <c r="AA115" s="14">
        <f>ROUND(U115+($R115-INDEX(新属性投放!$B$42:$B$62,属性汇总!$S115))*属性汇总!X115,0)</f>
        <v>5062</v>
      </c>
      <c r="AB115" s="14">
        <f>ROUND(V115+($R115-INDEX(新属性投放!$B$42:$B$62,属性汇总!$S115))*属性汇总!Y115,0)</f>
        <v>2528</v>
      </c>
      <c r="AC115" s="14">
        <f>ROUND(W115+($R115-INDEX(新属性投放!$B$42:$B$62,属性汇总!$S115))*属性汇总!Z115,0)</f>
        <v>26493</v>
      </c>
    </row>
    <row r="116" spans="1:29" ht="16.5" x14ac:dyDescent="0.2">
      <c r="A116" s="13">
        <v>102</v>
      </c>
      <c r="B116" s="13">
        <v>11</v>
      </c>
      <c r="C116" s="14">
        <f>INDEX(新属性投放!$L$6:$L$10,属性汇总!$B$3)*INDEX(新属性投放!$Q$6:$Q$10,属性汇总!$D$3)</f>
        <v>1.1499999999999999</v>
      </c>
      <c r="D116" s="14">
        <f>INDEX(新属性投放!J$14:J$34,属性汇总!$B116)*$C116</f>
        <v>4753.5249999999996</v>
      </c>
      <c r="E116" s="14">
        <f>INDEX(新属性投放!K$14:K$34,属性汇总!$B116)*$C116</f>
        <v>2354.9124999999999</v>
      </c>
      <c r="F116" s="14">
        <f>INDEX(新属性投放!L$14:L$34,属性汇总!$B116)*$C116</f>
        <v>14375.574999999999</v>
      </c>
      <c r="G116" s="14">
        <f>INDEX(新属性投放!D$14:D$34,属性汇总!$B116)*$C116</f>
        <v>118.84099999999999</v>
      </c>
      <c r="H116" s="14">
        <f>INDEX(新属性投放!E$14:E$34,属性汇总!$B116)*$C116</f>
        <v>59.420499999999997</v>
      </c>
      <c r="I116" s="14">
        <f>INDEX(新属性投放!F$14:F$34,属性汇总!$B116)*$C116</f>
        <v>356.52299999999997</v>
      </c>
      <c r="J116" s="14">
        <f>ROUND(D116+($A116-INDEX(新属性投放!$B$14:$B$34,属性汇总!$B116))*属性汇总!G116,0)</f>
        <v>4991</v>
      </c>
      <c r="K116" s="14">
        <f>ROUND(E116+($A116-INDEX(新属性投放!$B$14:$B$34,属性汇总!$B116))*属性汇总!H116,0)</f>
        <v>2474</v>
      </c>
      <c r="L116" s="14">
        <f>ROUND(F116+($A116-INDEX(新属性投放!$B$14:$B$34,属性汇总!$B116))*属性汇总!I116,0)</f>
        <v>15089</v>
      </c>
      <c r="R116" s="13">
        <v>102</v>
      </c>
      <c r="S116" s="13">
        <v>11</v>
      </c>
      <c r="T116" s="14">
        <f>INDEX(新属性投放!$L$6:$L$10,$S$3)*INDEX(新属性投放!$Q$6:$Q$10,$U$3)</f>
        <v>1.1499999999999999</v>
      </c>
      <c r="U116" s="14">
        <f>INDEX(新属性投放!J$42:J$62,属性汇总!$S116)*$T116</f>
        <v>4943.2749999999996</v>
      </c>
      <c r="V116" s="14">
        <f>INDEX(新属性投放!K$42:K$62,属性汇总!$S116)*$T116</f>
        <v>2468.7624999999998</v>
      </c>
      <c r="W116" s="14">
        <f>INDEX(新属性投放!L$42:L$62,属性汇总!$S116)*$T116</f>
        <v>25957.8</v>
      </c>
      <c r="X116" s="14">
        <f>INDEX(新属性投放!$D$42:$D$62,属性汇总!$S116)*$T116</f>
        <v>118.84099999999999</v>
      </c>
      <c r="Y116" s="14">
        <f>INDEX(新属性投放!$E$42:$E$62,属性汇总!$S116)*$T116</f>
        <v>59.420499999999997</v>
      </c>
      <c r="Z116" s="14">
        <f>INDEX(新属性投放!$F$42:$F$62,属性汇总!$S116)*$T116</f>
        <v>534.75</v>
      </c>
      <c r="AA116" s="14">
        <f>ROUND(U116+($R116-INDEX(新属性投放!$B$42:$B$62,属性汇总!$S116))*属性汇总!X116,0)</f>
        <v>5181</v>
      </c>
      <c r="AB116" s="14">
        <f>ROUND(V116+($R116-INDEX(新属性投放!$B$42:$B$62,属性汇总!$S116))*属性汇总!Y116,0)</f>
        <v>2588</v>
      </c>
      <c r="AC116" s="14">
        <f>ROUND(W116+($R116-INDEX(新属性投放!$B$42:$B$62,属性汇总!$S116))*属性汇总!Z116,0)</f>
        <v>27027</v>
      </c>
    </row>
    <row r="117" spans="1:29" s="20" customFormat="1" ht="16.5" x14ac:dyDescent="0.2">
      <c r="A117" s="13">
        <v>103</v>
      </c>
      <c r="B117" s="13">
        <v>11</v>
      </c>
      <c r="C117" s="14">
        <f>INDEX(新属性投放!$L$6:$L$10,属性汇总!$B$3)*INDEX(新属性投放!$Q$6:$Q$10,属性汇总!$D$3)</f>
        <v>1.1499999999999999</v>
      </c>
      <c r="D117" s="14">
        <f>INDEX(新属性投放!J$14:J$34,属性汇总!$B117)*$C117</f>
        <v>4753.5249999999996</v>
      </c>
      <c r="E117" s="14">
        <f>INDEX(新属性投放!K$14:K$34,属性汇总!$B117)*$C117</f>
        <v>2354.9124999999999</v>
      </c>
      <c r="F117" s="14">
        <f>INDEX(新属性投放!L$14:L$34,属性汇总!$B117)*$C117</f>
        <v>14375.574999999999</v>
      </c>
      <c r="G117" s="14">
        <f>INDEX(新属性投放!D$14:D$34,属性汇总!$B117)*$C117</f>
        <v>118.84099999999999</v>
      </c>
      <c r="H117" s="14">
        <f>INDEX(新属性投放!E$14:E$34,属性汇总!$B117)*$C117</f>
        <v>59.420499999999997</v>
      </c>
      <c r="I117" s="14">
        <f>INDEX(新属性投放!F$14:F$34,属性汇总!$B117)*$C117</f>
        <v>356.52299999999997</v>
      </c>
      <c r="J117" s="14">
        <f>ROUND(D117+($A117-INDEX(新属性投放!$B$14:$B$34,属性汇总!$B117))*属性汇总!G117,0)</f>
        <v>5110</v>
      </c>
      <c r="K117" s="14">
        <f>ROUND(E117+($A117-INDEX(新属性投放!$B$14:$B$34,属性汇总!$B117))*属性汇总!H117,0)</f>
        <v>2533</v>
      </c>
      <c r="L117" s="14">
        <f>ROUND(F117+($A117-INDEX(新属性投放!$B$14:$B$34,属性汇总!$B117))*属性汇总!I117,0)</f>
        <v>15445</v>
      </c>
      <c r="N117" s="37"/>
      <c r="O117" s="37"/>
      <c r="P117" s="37"/>
      <c r="R117" s="13">
        <v>103</v>
      </c>
      <c r="S117" s="13">
        <v>11</v>
      </c>
      <c r="T117" s="14">
        <f>INDEX(新属性投放!$L$6:$L$10,$S$3)*INDEX(新属性投放!$Q$6:$Q$10,$U$3)</f>
        <v>1.1499999999999999</v>
      </c>
      <c r="U117" s="14">
        <f>INDEX(新属性投放!J$42:J$62,属性汇总!$S117)*$T117</f>
        <v>4943.2749999999996</v>
      </c>
      <c r="V117" s="14">
        <f>INDEX(新属性投放!K$42:K$62,属性汇总!$S117)*$T117</f>
        <v>2468.7624999999998</v>
      </c>
      <c r="W117" s="14">
        <f>INDEX(新属性投放!L$42:L$62,属性汇总!$S117)*$T117</f>
        <v>25957.8</v>
      </c>
      <c r="X117" s="14">
        <f>INDEX(新属性投放!$D$42:$D$62,属性汇总!$S117)*$T117</f>
        <v>118.84099999999999</v>
      </c>
      <c r="Y117" s="14">
        <f>INDEX(新属性投放!$E$42:$E$62,属性汇总!$S117)*$T117</f>
        <v>59.420499999999997</v>
      </c>
      <c r="Z117" s="14">
        <f>INDEX(新属性投放!$F$42:$F$62,属性汇总!$S117)*$T117</f>
        <v>534.75</v>
      </c>
      <c r="AA117" s="14">
        <f>ROUND(U117+($R117-INDEX(新属性投放!$B$42:$B$62,属性汇总!$S117))*属性汇总!X117,0)</f>
        <v>5300</v>
      </c>
      <c r="AB117" s="14">
        <f>ROUND(V117+($R117-INDEX(新属性投放!$B$42:$B$62,属性汇总!$S117))*属性汇总!Y117,0)</f>
        <v>2647</v>
      </c>
      <c r="AC117" s="14">
        <f>ROUND(W117+($R117-INDEX(新属性投放!$B$42:$B$62,属性汇总!$S117))*属性汇总!Z117,0)</f>
        <v>27562</v>
      </c>
    </row>
    <row r="118" spans="1:29" ht="16.5" x14ac:dyDescent="0.2">
      <c r="A118" s="13">
        <v>104</v>
      </c>
      <c r="B118" s="13">
        <v>11</v>
      </c>
      <c r="C118" s="14">
        <f>INDEX(新属性投放!$L$6:$L$10,属性汇总!$B$3)*INDEX(新属性投放!$Q$6:$Q$10,属性汇总!$D$3)</f>
        <v>1.1499999999999999</v>
      </c>
      <c r="D118" s="14">
        <f>INDEX(新属性投放!J$14:J$34,属性汇总!$B118)*$C118</f>
        <v>4753.5249999999996</v>
      </c>
      <c r="E118" s="14">
        <f>INDEX(新属性投放!K$14:K$34,属性汇总!$B118)*$C118</f>
        <v>2354.9124999999999</v>
      </c>
      <c r="F118" s="14">
        <f>INDEX(新属性投放!L$14:L$34,属性汇总!$B118)*$C118</f>
        <v>14375.574999999999</v>
      </c>
      <c r="G118" s="14">
        <f>INDEX(新属性投放!D$14:D$34,属性汇总!$B118)*$C118</f>
        <v>118.84099999999999</v>
      </c>
      <c r="H118" s="14">
        <f>INDEX(新属性投放!E$14:E$34,属性汇总!$B118)*$C118</f>
        <v>59.420499999999997</v>
      </c>
      <c r="I118" s="14">
        <f>INDEX(新属性投放!F$14:F$34,属性汇总!$B118)*$C118</f>
        <v>356.52299999999997</v>
      </c>
      <c r="J118" s="14">
        <f>ROUND(D118+($A118-INDEX(新属性投放!$B$14:$B$34,属性汇总!$B118))*属性汇总!G118,0)</f>
        <v>5229</v>
      </c>
      <c r="K118" s="14">
        <f>ROUND(E118+($A118-INDEX(新属性投放!$B$14:$B$34,属性汇总!$B118))*属性汇总!H118,0)</f>
        <v>2593</v>
      </c>
      <c r="L118" s="14">
        <f>ROUND(F118+($A118-INDEX(新属性投放!$B$14:$B$34,属性汇总!$B118))*属性汇总!I118,0)</f>
        <v>15802</v>
      </c>
      <c r="R118" s="13">
        <v>104</v>
      </c>
      <c r="S118" s="13">
        <v>11</v>
      </c>
      <c r="T118" s="14">
        <f>INDEX(新属性投放!$L$6:$L$10,$S$3)*INDEX(新属性投放!$Q$6:$Q$10,$U$3)</f>
        <v>1.1499999999999999</v>
      </c>
      <c r="U118" s="14">
        <f>INDEX(新属性投放!J$42:J$62,属性汇总!$S118)*$T118</f>
        <v>4943.2749999999996</v>
      </c>
      <c r="V118" s="14">
        <f>INDEX(新属性投放!K$42:K$62,属性汇总!$S118)*$T118</f>
        <v>2468.7624999999998</v>
      </c>
      <c r="W118" s="14">
        <f>INDEX(新属性投放!L$42:L$62,属性汇总!$S118)*$T118</f>
        <v>25957.8</v>
      </c>
      <c r="X118" s="14">
        <f>INDEX(新属性投放!$D$42:$D$62,属性汇总!$S118)*$T118</f>
        <v>118.84099999999999</v>
      </c>
      <c r="Y118" s="14">
        <f>INDEX(新属性投放!$E$42:$E$62,属性汇总!$S118)*$T118</f>
        <v>59.420499999999997</v>
      </c>
      <c r="Z118" s="14">
        <f>INDEX(新属性投放!$F$42:$F$62,属性汇总!$S118)*$T118</f>
        <v>534.75</v>
      </c>
      <c r="AA118" s="14">
        <f>ROUND(U118+($R118-INDEX(新属性投放!$B$42:$B$62,属性汇总!$S118))*属性汇总!X118,0)</f>
        <v>5419</v>
      </c>
      <c r="AB118" s="14">
        <f>ROUND(V118+($R118-INDEX(新属性投放!$B$42:$B$62,属性汇总!$S118))*属性汇总!Y118,0)</f>
        <v>2706</v>
      </c>
      <c r="AC118" s="14">
        <f>ROUND(W118+($R118-INDEX(新属性投放!$B$42:$B$62,属性汇总!$S118))*属性汇总!Z118,0)</f>
        <v>28097</v>
      </c>
    </row>
    <row r="119" spans="1:29" ht="16.5" x14ac:dyDescent="0.2">
      <c r="A119" s="13">
        <v>105</v>
      </c>
      <c r="B119" s="13">
        <v>11</v>
      </c>
      <c r="C119" s="14">
        <f>INDEX(新属性投放!$L$6:$L$10,属性汇总!$B$3)*INDEX(新属性投放!$Q$6:$Q$10,属性汇总!$D$3)</f>
        <v>1.1499999999999999</v>
      </c>
      <c r="D119" s="14">
        <f>INDEX(新属性投放!J$14:J$34,属性汇总!$B119)*$C119</f>
        <v>4753.5249999999996</v>
      </c>
      <c r="E119" s="14">
        <f>INDEX(新属性投放!K$14:K$34,属性汇总!$B119)*$C119</f>
        <v>2354.9124999999999</v>
      </c>
      <c r="F119" s="14">
        <f>INDEX(新属性投放!L$14:L$34,属性汇总!$B119)*$C119</f>
        <v>14375.574999999999</v>
      </c>
      <c r="G119" s="14">
        <f>INDEX(新属性投放!D$14:D$34,属性汇总!$B119)*$C119</f>
        <v>118.84099999999999</v>
      </c>
      <c r="H119" s="14">
        <f>INDEX(新属性投放!E$14:E$34,属性汇总!$B119)*$C119</f>
        <v>59.420499999999997</v>
      </c>
      <c r="I119" s="14">
        <f>INDEX(新属性投放!F$14:F$34,属性汇总!$B119)*$C119</f>
        <v>356.52299999999997</v>
      </c>
      <c r="J119" s="14">
        <f>ROUND(D119+($A119-INDEX(新属性投放!$B$14:$B$34,属性汇总!$B119))*属性汇总!G119,0)</f>
        <v>5348</v>
      </c>
      <c r="K119" s="14">
        <f>ROUND(E119+($A119-INDEX(新属性投放!$B$14:$B$34,属性汇总!$B119))*属性汇总!H119,0)</f>
        <v>2652</v>
      </c>
      <c r="L119" s="14">
        <f>ROUND(F119+($A119-INDEX(新属性投放!$B$14:$B$34,属性汇总!$B119))*属性汇总!I119,0)</f>
        <v>16158</v>
      </c>
      <c r="R119" s="13">
        <v>105</v>
      </c>
      <c r="S119" s="13">
        <v>11</v>
      </c>
      <c r="T119" s="14">
        <f>INDEX(新属性投放!$L$6:$L$10,$S$3)*INDEX(新属性投放!$Q$6:$Q$10,$U$3)</f>
        <v>1.1499999999999999</v>
      </c>
      <c r="U119" s="14">
        <f>INDEX(新属性投放!J$42:J$62,属性汇总!$S119)*$T119</f>
        <v>4943.2749999999996</v>
      </c>
      <c r="V119" s="14">
        <f>INDEX(新属性投放!K$42:K$62,属性汇总!$S119)*$T119</f>
        <v>2468.7624999999998</v>
      </c>
      <c r="W119" s="14">
        <f>INDEX(新属性投放!L$42:L$62,属性汇总!$S119)*$T119</f>
        <v>25957.8</v>
      </c>
      <c r="X119" s="14">
        <f>INDEX(新属性投放!$D$42:$D$62,属性汇总!$S119)*$T119</f>
        <v>118.84099999999999</v>
      </c>
      <c r="Y119" s="14">
        <f>INDEX(新属性投放!$E$42:$E$62,属性汇总!$S119)*$T119</f>
        <v>59.420499999999997</v>
      </c>
      <c r="Z119" s="14">
        <f>INDEX(新属性投放!$F$42:$F$62,属性汇总!$S119)*$T119</f>
        <v>534.75</v>
      </c>
      <c r="AA119" s="14">
        <f>ROUND(U119+($R119-INDEX(新属性投放!$B$42:$B$62,属性汇总!$S119))*属性汇总!X119,0)</f>
        <v>5537</v>
      </c>
      <c r="AB119" s="14">
        <f>ROUND(V119+($R119-INDEX(新属性投放!$B$42:$B$62,属性汇总!$S119))*属性汇总!Y119,0)</f>
        <v>2766</v>
      </c>
      <c r="AC119" s="14">
        <f>ROUND(W119+($R119-INDEX(新属性投放!$B$42:$B$62,属性汇总!$S119))*属性汇总!Z119,0)</f>
        <v>28632</v>
      </c>
    </row>
    <row r="120" spans="1:29" ht="16.5" x14ac:dyDescent="0.2">
      <c r="A120" s="13">
        <v>106</v>
      </c>
      <c r="B120" s="13">
        <v>11</v>
      </c>
      <c r="C120" s="14">
        <f>INDEX(新属性投放!$L$6:$L$10,属性汇总!$B$3)*INDEX(新属性投放!$Q$6:$Q$10,属性汇总!$D$3)</f>
        <v>1.1499999999999999</v>
      </c>
      <c r="D120" s="14">
        <f>INDEX(新属性投放!J$14:J$34,属性汇总!$B120)*$C120</f>
        <v>4753.5249999999996</v>
      </c>
      <c r="E120" s="14">
        <f>INDEX(新属性投放!K$14:K$34,属性汇总!$B120)*$C120</f>
        <v>2354.9124999999999</v>
      </c>
      <c r="F120" s="14">
        <f>INDEX(新属性投放!L$14:L$34,属性汇总!$B120)*$C120</f>
        <v>14375.574999999999</v>
      </c>
      <c r="G120" s="14">
        <f>INDEX(新属性投放!D$14:D$34,属性汇总!$B120)*$C120</f>
        <v>118.84099999999999</v>
      </c>
      <c r="H120" s="14">
        <f>INDEX(新属性投放!E$14:E$34,属性汇总!$B120)*$C120</f>
        <v>59.420499999999997</v>
      </c>
      <c r="I120" s="14">
        <f>INDEX(新属性投放!F$14:F$34,属性汇总!$B120)*$C120</f>
        <v>356.52299999999997</v>
      </c>
      <c r="J120" s="14">
        <f>ROUND(D120+($A120-INDEX(新属性投放!$B$14:$B$34,属性汇总!$B120))*属性汇总!G120,0)</f>
        <v>5467</v>
      </c>
      <c r="K120" s="14">
        <f>ROUND(E120+($A120-INDEX(新属性投放!$B$14:$B$34,属性汇总!$B120))*属性汇总!H120,0)</f>
        <v>2711</v>
      </c>
      <c r="L120" s="14">
        <f>ROUND(F120+($A120-INDEX(新属性投放!$B$14:$B$34,属性汇总!$B120))*属性汇总!I120,0)</f>
        <v>16515</v>
      </c>
      <c r="R120" s="13">
        <v>106</v>
      </c>
      <c r="S120" s="13">
        <v>11</v>
      </c>
      <c r="T120" s="14">
        <f>INDEX(新属性投放!$L$6:$L$10,$S$3)*INDEX(新属性投放!$Q$6:$Q$10,$U$3)</f>
        <v>1.1499999999999999</v>
      </c>
      <c r="U120" s="14">
        <f>INDEX(新属性投放!J$42:J$62,属性汇总!$S120)*$T120</f>
        <v>4943.2749999999996</v>
      </c>
      <c r="V120" s="14">
        <f>INDEX(新属性投放!K$42:K$62,属性汇总!$S120)*$T120</f>
        <v>2468.7624999999998</v>
      </c>
      <c r="W120" s="14">
        <f>INDEX(新属性投放!L$42:L$62,属性汇总!$S120)*$T120</f>
        <v>25957.8</v>
      </c>
      <c r="X120" s="14">
        <f>INDEX(新属性投放!$D$42:$D$62,属性汇总!$S120)*$T120</f>
        <v>118.84099999999999</v>
      </c>
      <c r="Y120" s="14">
        <f>INDEX(新属性投放!$E$42:$E$62,属性汇总!$S120)*$T120</f>
        <v>59.420499999999997</v>
      </c>
      <c r="Z120" s="14">
        <f>INDEX(新属性投放!$F$42:$F$62,属性汇总!$S120)*$T120</f>
        <v>534.75</v>
      </c>
      <c r="AA120" s="14">
        <f>ROUND(U120+($R120-INDEX(新属性投放!$B$42:$B$62,属性汇总!$S120))*属性汇总!X120,0)</f>
        <v>5656</v>
      </c>
      <c r="AB120" s="14">
        <f>ROUND(V120+($R120-INDEX(新属性投放!$B$42:$B$62,属性汇总!$S120))*属性汇总!Y120,0)</f>
        <v>2825</v>
      </c>
      <c r="AC120" s="14">
        <f>ROUND(W120+($R120-INDEX(新属性投放!$B$42:$B$62,属性汇总!$S120))*属性汇总!Z120,0)</f>
        <v>29166</v>
      </c>
    </row>
    <row r="121" spans="1:29" ht="16.5" x14ac:dyDescent="0.2">
      <c r="A121" s="13">
        <v>107</v>
      </c>
      <c r="B121" s="13">
        <v>11</v>
      </c>
      <c r="C121" s="14">
        <f>INDEX(新属性投放!$L$6:$L$10,属性汇总!$B$3)*INDEX(新属性投放!$Q$6:$Q$10,属性汇总!$D$3)</f>
        <v>1.1499999999999999</v>
      </c>
      <c r="D121" s="14">
        <f>INDEX(新属性投放!J$14:J$34,属性汇总!$B121)*$C121</f>
        <v>4753.5249999999996</v>
      </c>
      <c r="E121" s="14">
        <f>INDEX(新属性投放!K$14:K$34,属性汇总!$B121)*$C121</f>
        <v>2354.9124999999999</v>
      </c>
      <c r="F121" s="14">
        <f>INDEX(新属性投放!L$14:L$34,属性汇总!$B121)*$C121</f>
        <v>14375.574999999999</v>
      </c>
      <c r="G121" s="14">
        <f>INDEX(新属性投放!D$14:D$34,属性汇总!$B121)*$C121</f>
        <v>118.84099999999999</v>
      </c>
      <c r="H121" s="14">
        <f>INDEX(新属性投放!E$14:E$34,属性汇总!$B121)*$C121</f>
        <v>59.420499999999997</v>
      </c>
      <c r="I121" s="14">
        <f>INDEX(新属性投放!F$14:F$34,属性汇总!$B121)*$C121</f>
        <v>356.52299999999997</v>
      </c>
      <c r="J121" s="14">
        <f>ROUND(D121+($A121-INDEX(新属性投放!$B$14:$B$34,属性汇总!$B121))*属性汇总!G121,0)</f>
        <v>5585</v>
      </c>
      <c r="K121" s="14">
        <f>ROUND(E121+($A121-INDEX(新属性投放!$B$14:$B$34,属性汇总!$B121))*属性汇总!H121,0)</f>
        <v>2771</v>
      </c>
      <c r="L121" s="14">
        <f>ROUND(F121+($A121-INDEX(新属性投放!$B$14:$B$34,属性汇总!$B121))*属性汇总!I121,0)</f>
        <v>16871</v>
      </c>
      <c r="R121" s="13">
        <v>107</v>
      </c>
      <c r="S121" s="13">
        <v>11</v>
      </c>
      <c r="T121" s="14">
        <f>INDEX(新属性投放!$L$6:$L$10,$S$3)*INDEX(新属性投放!$Q$6:$Q$10,$U$3)</f>
        <v>1.1499999999999999</v>
      </c>
      <c r="U121" s="14">
        <f>INDEX(新属性投放!J$42:J$62,属性汇总!$S121)*$T121</f>
        <v>4943.2749999999996</v>
      </c>
      <c r="V121" s="14">
        <f>INDEX(新属性投放!K$42:K$62,属性汇总!$S121)*$T121</f>
        <v>2468.7624999999998</v>
      </c>
      <c r="W121" s="14">
        <f>INDEX(新属性投放!L$42:L$62,属性汇总!$S121)*$T121</f>
        <v>25957.8</v>
      </c>
      <c r="X121" s="14">
        <f>INDEX(新属性投放!$D$42:$D$62,属性汇总!$S121)*$T121</f>
        <v>118.84099999999999</v>
      </c>
      <c r="Y121" s="14">
        <f>INDEX(新属性投放!$E$42:$E$62,属性汇总!$S121)*$T121</f>
        <v>59.420499999999997</v>
      </c>
      <c r="Z121" s="14">
        <f>INDEX(新属性投放!$F$42:$F$62,属性汇总!$S121)*$T121</f>
        <v>534.75</v>
      </c>
      <c r="AA121" s="14">
        <f>ROUND(U121+($R121-INDEX(新属性投放!$B$42:$B$62,属性汇总!$S121))*属性汇总!X121,0)</f>
        <v>5775</v>
      </c>
      <c r="AB121" s="14">
        <f>ROUND(V121+($R121-INDEX(新属性投放!$B$42:$B$62,属性汇总!$S121))*属性汇总!Y121,0)</f>
        <v>2885</v>
      </c>
      <c r="AC121" s="14">
        <f>ROUND(W121+($R121-INDEX(新属性投放!$B$42:$B$62,属性汇总!$S121))*属性汇总!Z121,0)</f>
        <v>29701</v>
      </c>
    </row>
    <row r="122" spans="1:29" ht="16.5" x14ac:dyDescent="0.2">
      <c r="A122" s="13">
        <v>108</v>
      </c>
      <c r="B122" s="13">
        <v>11</v>
      </c>
      <c r="C122" s="14">
        <f>INDEX(新属性投放!$L$6:$L$10,属性汇总!$B$3)*INDEX(新属性投放!$Q$6:$Q$10,属性汇总!$D$3)</f>
        <v>1.1499999999999999</v>
      </c>
      <c r="D122" s="14">
        <f>INDEX(新属性投放!J$14:J$34,属性汇总!$B122)*$C122</f>
        <v>4753.5249999999996</v>
      </c>
      <c r="E122" s="14">
        <f>INDEX(新属性投放!K$14:K$34,属性汇总!$B122)*$C122</f>
        <v>2354.9124999999999</v>
      </c>
      <c r="F122" s="14">
        <f>INDEX(新属性投放!L$14:L$34,属性汇总!$B122)*$C122</f>
        <v>14375.574999999999</v>
      </c>
      <c r="G122" s="14">
        <f>INDEX(新属性投放!D$14:D$34,属性汇总!$B122)*$C122</f>
        <v>118.84099999999999</v>
      </c>
      <c r="H122" s="14">
        <f>INDEX(新属性投放!E$14:E$34,属性汇总!$B122)*$C122</f>
        <v>59.420499999999997</v>
      </c>
      <c r="I122" s="14">
        <f>INDEX(新属性投放!F$14:F$34,属性汇总!$B122)*$C122</f>
        <v>356.52299999999997</v>
      </c>
      <c r="J122" s="14">
        <f>ROUND(D122+($A122-INDEX(新属性投放!$B$14:$B$34,属性汇总!$B122))*属性汇总!G122,0)</f>
        <v>5704</v>
      </c>
      <c r="K122" s="14">
        <f>ROUND(E122+($A122-INDEX(新属性投放!$B$14:$B$34,属性汇总!$B122))*属性汇总!H122,0)</f>
        <v>2830</v>
      </c>
      <c r="L122" s="14">
        <f>ROUND(F122+($A122-INDEX(新属性投放!$B$14:$B$34,属性汇总!$B122))*属性汇总!I122,0)</f>
        <v>17228</v>
      </c>
      <c r="R122" s="13">
        <v>108</v>
      </c>
      <c r="S122" s="13">
        <v>11</v>
      </c>
      <c r="T122" s="14">
        <f>INDEX(新属性投放!$L$6:$L$10,$S$3)*INDEX(新属性投放!$Q$6:$Q$10,$U$3)</f>
        <v>1.1499999999999999</v>
      </c>
      <c r="U122" s="14">
        <f>INDEX(新属性投放!J$42:J$62,属性汇总!$S122)*$T122</f>
        <v>4943.2749999999996</v>
      </c>
      <c r="V122" s="14">
        <f>INDEX(新属性投放!K$42:K$62,属性汇总!$S122)*$T122</f>
        <v>2468.7624999999998</v>
      </c>
      <c r="W122" s="14">
        <f>INDEX(新属性投放!L$42:L$62,属性汇总!$S122)*$T122</f>
        <v>25957.8</v>
      </c>
      <c r="X122" s="14">
        <f>INDEX(新属性投放!$D$42:$D$62,属性汇总!$S122)*$T122</f>
        <v>118.84099999999999</v>
      </c>
      <c r="Y122" s="14">
        <f>INDEX(新属性投放!$E$42:$E$62,属性汇总!$S122)*$T122</f>
        <v>59.420499999999997</v>
      </c>
      <c r="Z122" s="14">
        <f>INDEX(新属性投放!$F$42:$F$62,属性汇总!$S122)*$T122</f>
        <v>534.75</v>
      </c>
      <c r="AA122" s="14">
        <f>ROUND(U122+($R122-INDEX(新属性投放!$B$42:$B$62,属性汇总!$S122))*属性汇总!X122,0)</f>
        <v>5894</v>
      </c>
      <c r="AB122" s="14">
        <f>ROUND(V122+($R122-INDEX(新属性投放!$B$42:$B$62,属性汇总!$S122))*属性汇总!Y122,0)</f>
        <v>2944</v>
      </c>
      <c r="AC122" s="14">
        <f>ROUND(W122+($R122-INDEX(新属性投放!$B$42:$B$62,属性汇总!$S122))*属性汇总!Z122,0)</f>
        <v>30236</v>
      </c>
    </row>
    <row r="123" spans="1:29" s="20" customFormat="1" ht="16.5" x14ac:dyDescent="0.2">
      <c r="A123" s="13">
        <v>109</v>
      </c>
      <c r="B123" s="13">
        <v>11</v>
      </c>
      <c r="C123" s="14">
        <f>INDEX(新属性投放!$L$6:$L$10,属性汇总!$B$3)*INDEX(新属性投放!$Q$6:$Q$10,属性汇总!$D$3)</f>
        <v>1.1499999999999999</v>
      </c>
      <c r="D123" s="14">
        <f>INDEX(新属性投放!J$14:J$34,属性汇总!$B123)*$C123</f>
        <v>4753.5249999999996</v>
      </c>
      <c r="E123" s="14">
        <f>INDEX(新属性投放!K$14:K$34,属性汇总!$B123)*$C123</f>
        <v>2354.9124999999999</v>
      </c>
      <c r="F123" s="14">
        <f>INDEX(新属性投放!L$14:L$34,属性汇总!$B123)*$C123</f>
        <v>14375.574999999999</v>
      </c>
      <c r="G123" s="14">
        <f>INDEX(新属性投放!D$14:D$34,属性汇总!$B123)*$C123</f>
        <v>118.84099999999999</v>
      </c>
      <c r="H123" s="14">
        <f>INDEX(新属性投放!E$14:E$34,属性汇总!$B123)*$C123</f>
        <v>59.420499999999997</v>
      </c>
      <c r="I123" s="14">
        <f>INDEX(新属性投放!F$14:F$34,属性汇总!$B123)*$C123</f>
        <v>356.52299999999997</v>
      </c>
      <c r="J123" s="14">
        <f>ROUND(D123+($A123-INDEX(新属性投放!$B$14:$B$34,属性汇总!$B123))*属性汇总!G123,0)</f>
        <v>5823</v>
      </c>
      <c r="K123" s="14">
        <f>ROUND(E123+($A123-INDEX(新属性投放!$B$14:$B$34,属性汇总!$B123))*属性汇总!H123,0)</f>
        <v>2890</v>
      </c>
      <c r="L123" s="14">
        <f>ROUND(F123+($A123-INDEX(新属性投放!$B$14:$B$34,属性汇总!$B123))*属性汇总!I123,0)</f>
        <v>17584</v>
      </c>
      <c r="N123" s="37"/>
      <c r="O123" s="37"/>
      <c r="P123" s="37"/>
      <c r="R123" s="13">
        <v>109</v>
      </c>
      <c r="S123" s="13">
        <v>11</v>
      </c>
      <c r="T123" s="14">
        <f>INDEX(新属性投放!$L$6:$L$10,$S$3)*INDEX(新属性投放!$Q$6:$Q$10,$U$3)</f>
        <v>1.1499999999999999</v>
      </c>
      <c r="U123" s="14">
        <f>INDEX(新属性投放!J$42:J$62,属性汇总!$S123)*$T123</f>
        <v>4943.2749999999996</v>
      </c>
      <c r="V123" s="14">
        <f>INDEX(新属性投放!K$42:K$62,属性汇总!$S123)*$T123</f>
        <v>2468.7624999999998</v>
      </c>
      <c r="W123" s="14">
        <f>INDEX(新属性投放!L$42:L$62,属性汇总!$S123)*$T123</f>
        <v>25957.8</v>
      </c>
      <c r="X123" s="14">
        <f>INDEX(新属性投放!$D$42:$D$62,属性汇总!$S123)*$T123</f>
        <v>118.84099999999999</v>
      </c>
      <c r="Y123" s="14">
        <f>INDEX(新属性投放!$E$42:$E$62,属性汇总!$S123)*$T123</f>
        <v>59.420499999999997</v>
      </c>
      <c r="Z123" s="14">
        <f>INDEX(新属性投放!$F$42:$F$62,属性汇总!$S123)*$T123</f>
        <v>534.75</v>
      </c>
      <c r="AA123" s="14">
        <f>ROUND(U123+($R123-INDEX(新属性投放!$B$42:$B$62,属性汇总!$S123))*属性汇总!X123,0)</f>
        <v>6013</v>
      </c>
      <c r="AB123" s="14">
        <f>ROUND(V123+($R123-INDEX(新属性投放!$B$42:$B$62,属性汇总!$S123))*属性汇总!Y123,0)</f>
        <v>3004</v>
      </c>
      <c r="AC123" s="14">
        <f>ROUND(W123+($R123-INDEX(新属性投放!$B$42:$B$62,属性汇总!$S123))*属性汇总!Z123,0)</f>
        <v>30771</v>
      </c>
    </row>
    <row r="124" spans="1:29" ht="16.5" x14ac:dyDescent="0.2">
      <c r="A124" s="13">
        <v>110</v>
      </c>
      <c r="B124" s="13">
        <v>11</v>
      </c>
      <c r="C124" s="14">
        <f>INDEX(新属性投放!$L$6:$L$10,属性汇总!$B$3)*INDEX(新属性投放!$Q$6:$Q$10,属性汇总!$D$3)</f>
        <v>1.1499999999999999</v>
      </c>
      <c r="D124" s="14">
        <f>INDEX(新属性投放!J$14:J$34,属性汇总!$B124)*$C124</f>
        <v>4753.5249999999996</v>
      </c>
      <c r="E124" s="14">
        <f>INDEX(新属性投放!K$14:K$34,属性汇总!$B124)*$C124</f>
        <v>2354.9124999999999</v>
      </c>
      <c r="F124" s="14">
        <f>INDEX(新属性投放!L$14:L$34,属性汇总!$B124)*$C124</f>
        <v>14375.574999999999</v>
      </c>
      <c r="G124" s="14">
        <f>INDEX(新属性投放!D$14:D$34,属性汇总!$B124)*$C124</f>
        <v>118.84099999999999</v>
      </c>
      <c r="H124" s="14">
        <f>INDEX(新属性投放!E$14:E$34,属性汇总!$B124)*$C124</f>
        <v>59.420499999999997</v>
      </c>
      <c r="I124" s="14">
        <f>INDEX(新属性投放!F$14:F$34,属性汇总!$B124)*$C124</f>
        <v>356.52299999999997</v>
      </c>
      <c r="J124" s="14">
        <f>ROUND(D124+($A124-INDEX(新属性投放!$B$14:$B$34,属性汇总!$B124))*属性汇总!G124,0)</f>
        <v>5942</v>
      </c>
      <c r="K124" s="14">
        <f>ROUND(E124+($A124-INDEX(新属性投放!$B$14:$B$34,属性汇总!$B124))*属性汇总!H124,0)</f>
        <v>2949</v>
      </c>
      <c r="L124" s="14">
        <f>ROUND(F124+($A124-INDEX(新属性投放!$B$14:$B$34,属性汇总!$B124))*属性汇总!I124,0)</f>
        <v>17941</v>
      </c>
      <c r="R124" s="13">
        <v>110</v>
      </c>
      <c r="S124" s="13">
        <v>11</v>
      </c>
      <c r="T124" s="14">
        <f>INDEX(新属性投放!$L$6:$L$10,$S$3)*INDEX(新属性投放!$Q$6:$Q$10,$U$3)</f>
        <v>1.1499999999999999</v>
      </c>
      <c r="U124" s="14">
        <f>INDEX(新属性投放!J$42:J$62,属性汇总!$S124)*$T124</f>
        <v>4943.2749999999996</v>
      </c>
      <c r="V124" s="14">
        <f>INDEX(新属性投放!K$42:K$62,属性汇总!$S124)*$T124</f>
        <v>2468.7624999999998</v>
      </c>
      <c r="W124" s="14">
        <f>INDEX(新属性投放!L$42:L$62,属性汇总!$S124)*$T124</f>
        <v>25957.8</v>
      </c>
      <c r="X124" s="14">
        <f>INDEX(新属性投放!$D$42:$D$62,属性汇总!$S124)*$T124</f>
        <v>118.84099999999999</v>
      </c>
      <c r="Y124" s="14">
        <f>INDEX(新属性投放!$E$42:$E$62,属性汇总!$S124)*$T124</f>
        <v>59.420499999999997</v>
      </c>
      <c r="Z124" s="14">
        <f>INDEX(新属性投放!$F$42:$F$62,属性汇总!$S124)*$T124</f>
        <v>534.75</v>
      </c>
      <c r="AA124" s="14">
        <f>ROUND(U124+($R124-INDEX(新属性投放!$B$42:$B$62,属性汇总!$S124))*属性汇总!X124,0)</f>
        <v>6132</v>
      </c>
      <c r="AB124" s="14">
        <f>ROUND(V124+($R124-INDEX(新属性投放!$B$42:$B$62,属性汇总!$S124))*属性汇总!Y124,0)</f>
        <v>3063</v>
      </c>
      <c r="AC124" s="14">
        <f>ROUND(W124+($R124-INDEX(新属性投放!$B$42:$B$62,属性汇总!$S124))*属性汇总!Z124,0)</f>
        <v>31305</v>
      </c>
    </row>
    <row r="125" spans="1:29" s="37" customFormat="1" ht="16.5" x14ac:dyDescent="0.2">
      <c r="A125" s="13">
        <v>110</v>
      </c>
      <c r="B125" s="13">
        <v>12</v>
      </c>
      <c r="C125" s="14">
        <f>INDEX(新属性投放!$L$6:$L$10,属性汇总!$B$3)*INDEX(新属性投放!$Q$6:$Q$10,属性汇总!$D$3)</f>
        <v>1.1499999999999999</v>
      </c>
      <c r="D125" s="14">
        <f>INDEX(新属性投放!J$14:J$34,属性汇总!$B125)*$C125</f>
        <v>6238.6349999999993</v>
      </c>
      <c r="E125" s="14">
        <f>INDEX(新属性投放!K$14:K$34,属性汇总!$B125)*$C125</f>
        <v>3097.4674999999997</v>
      </c>
      <c r="F125" s="14">
        <f>INDEX(新属性投放!L$14:L$34,属性汇总!$B125)*$C125</f>
        <v>18830.904999999999</v>
      </c>
      <c r="G125" s="14">
        <f>INDEX(新属性投放!D$14:D$34,属性汇总!$B125)*$C125</f>
        <v>155.96299999999999</v>
      </c>
      <c r="H125" s="14">
        <f>INDEX(新属性投放!E$14:E$34,属性汇总!$B125)*$C125</f>
        <v>77.981499999999997</v>
      </c>
      <c r="I125" s="14">
        <f>INDEX(新属性投放!F$14:F$34,属性汇总!$B125)*$C125</f>
        <v>467.88899999999995</v>
      </c>
      <c r="J125" s="14">
        <f>ROUND(D125+($A125-INDEX(新属性投放!$B$14:$B$34,属性汇总!$B125))*属性汇总!G125,0)</f>
        <v>6239</v>
      </c>
      <c r="K125" s="14">
        <f>ROUND(E125+($A125-INDEX(新属性投放!$B$14:$B$34,属性汇总!$B125))*属性汇总!H125,0)</f>
        <v>3097</v>
      </c>
      <c r="L125" s="14">
        <f>ROUND(F125+($A125-INDEX(新属性投放!$B$14:$B$34,属性汇总!$B125))*属性汇总!I125,0)</f>
        <v>18831</v>
      </c>
      <c r="R125" s="13">
        <v>110</v>
      </c>
      <c r="S125" s="13">
        <v>12</v>
      </c>
      <c r="T125" s="14">
        <f>INDEX(新属性投放!$L$6:$L$10,$S$3)*INDEX(新属性投放!$Q$6:$Q$10,$U$3)</f>
        <v>1.1499999999999999</v>
      </c>
      <c r="U125" s="14">
        <f>INDEX(新属性投放!J$42:J$62,属性汇总!$S125)*$T125</f>
        <v>6428.3849999999993</v>
      </c>
      <c r="V125" s="14">
        <f>INDEX(新属性投放!K$42:K$62,属性汇总!$S125)*$T125</f>
        <v>3211.3174999999997</v>
      </c>
      <c r="W125" s="14">
        <f>INDEX(新属性投放!L$42:L$62,属性汇总!$S125)*$T125</f>
        <v>33975.599999999999</v>
      </c>
      <c r="X125" s="14">
        <f>INDEX(新属性投放!$D$42:$D$62,属性汇总!$S125)*$T125</f>
        <v>155.96299999999999</v>
      </c>
      <c r="Y125" s="14">
        <f>INDEX(新属性投放!$E$42:$E$62,属性汇总!$S125)*$T125</f>
        <v>77.981499999999997</v>
      </c>
      <c r="Z125" s="14">
        <f>INDEX(新属性投放!$F$42:$F$62,属性汇总!$S125)*$T125</f>
        <v>701.5</v>
      </c>
      <c r="AA125" s="14">
        <f>ROUND(U125+($R125-INDEX(新属性投放!$B$42:$B$62,属性汇总!$S125))*属性汇总!X125,0)</f>
        <v>6428</v>
      </c>
      <c r="AB125" s="14">
        <f>ROUND(V125+($R125-INDEX(新属性投放!$B$42:$B$62,属性汇总!$S125))*属性汇总!Y125,0)</f>
        <v>3211</v>
      </c>
      <c r="AC125" s="14">
        <f>ROUND(W125+($R125-INDEX(新属性投放!$B$42:$B$62,属性汇总!$S125))*属性汇总!Z125,0)</f>
        <v>33976</v>
      </c>
    </row>
    <row r="126" spans="1:29" ht="16.5" x14ac:dyDescent="0.2">
      <c r="A126" s="13">
        <v>111</v>
      </c>
      <c r="B126" s="13">
        <v>12</v>
      </c>
      <c r="C126" s="14">
        <f>INDEX(新属性投放!$L$6:$L$10,属性汇总!$B$3)*INDEX(新属性投放!$Q$6:$Q$10,属性汇总!$D$3)</f>
        <v>1.1499999999999999</v>
      </c>
      <c r="D126" s="14">
        <f>INDEX(新属性投放!J$14:J$34,属性汇总!$B126)*$C126</f>
        <v>6238.6349999999993</v>
      </c>
      <c r="E126" s="14">
        <f>INDEX(新属性投放!K$14:K$34,属性汇总!$B126)*$C126</f>
        <v>3097.4674999999997</v>
      </c>
      <c r="F126" s="14">
        <f>INDEX(新属性投放!L$14:L$34,属性汇总!$B126)*$C126</f>
        <v>18830.904999999999</v>
      </c>
      <c r="G126" s="14">
        <f>INDEX(新属性投放!D$14:D$34,属性汇总!$B126)*$C126</f>
        <v>155.96299999999999</v>
      </c>
      <c r="H126" s="14">
        <f>INDEX(新属性投放!E$14:E$34,属性汇总!$B126)*$C126</f>
        <v>77.981499999999997</v>
      </c>
      <c r="I126" s="14">
        <f>INDEX(新属性投放!F$14:F$34,属性汇总!$B126)*$C126</f>
        <v>467.88899999999995</v>
      </c>
      <c r="J126" s="14">
        <f>ROUND(D126+($A126-INDEX(新属性投放!$B$14:$B$34,属性汇总!$B126))*属性汇总!G126,0)</f>
        <v>6395</v>
      </c>
      <c r="K126" s="14">
        <f>ROUND(E126+($A126-INDEX(新属性投放!$B$14:$B$34,属性汇总!$B126))*属性汇总!H126,0)</f>
        <v>3175</v>
      </c>
      <c r="L126" s="14">
        <f>ROUND(F126+($A126-INDEX(新属性投放!$B$14:$B$34,属性汇总!$B126))*属性汇总!I126,0)</f>
        <v>19299</v>
      </c>
      <c r="R126" s="13">
        <v>111</v>
      </c>
      <c r="S126" s="13">
        <v>12</v>
      </c>
      <c r="T126" s="14">
        <f>INDEX(新属性投放!$L$6:$L$10,$S$3)*INDEX(新属性投放!$Q$6:$Q$10,$U$3)</f>
        <v>1.1499999999999999</v>
      </c>
      <c r="U126" s="14">
        <f>INDEX(新属性投放!J$42:J$62,属性汇总!$S126)*$T126</f>
        <v>6428.3849999999993</v>
      </c>
      <c r="V126" s="14">
        <f>INDEX(新属性投放!K$42:K$62,属性汇总!$S126)*$T126</f>
        <v>3211.3174999999997</v>
      </c>
      <c r="W126" s="14">
        <f>INDEX(新属性投放!L$42:L$62,属性汇总!$S126)*$T126</f>
        <v>33975.599999999999</v>
      </c>
      <c r="X126" s="14">
        <f>INDEX(新属性投放!$D$42:$D$62,属性汇总!$S126)*$T126</f>
        <v>155.96299999999999</v>
      </c>
      <c r="Y126" s="14">
        <f>INDEX(新属性投放!$E$42:$E$62,属性汇总!$S126)*$T126</f>
        <v>77.981499999999997</v>
      </c>
      <c r="Z126" s="14">
        <f>INDEX(新属性投放!$F$42:$F$62,属性汇总!$S126)*$T126</f>
        <v>701.5</v>
      </c>
      <c r="AA126" s="14">
        <f>ROUND(U126+($R126-INDEX(新属性投放!$B$42:$B$62,属性汇总!$S126))*属性汇总!X126,0)</f>
        <v>6584</v>
      </c>
      <c r="AB126" s="14">
        <f>ROUND(V126+($R126-INDEX(新属性投放!$B$42:$B$62,属性汇总!$S126))*属性汇总!Y126,0)</f>
        <v>3289</v>
      </c>
      <c r="AC126" s="14">
        <f>ROUND(W126+($R126-INDEX(新属性投放!$B$42:$B$62,属性汇总!$S126))*属性汇总!Z126,0)</f>
        <v>34677</v>
      </c>
    </row>
    <row r="127" spans="1:29" ht="16.5" x14ac:dyDescent="0.2">
      <c r="A127" s="13">
        <v>112</v>
      </c>
      <c r="B127" s="13">
        <v>12</v>
      </c>
      <c r="C127" s="14">
        <f>INDEX(新属性投放!$L$6:$L$10,属性汇总!$B$3)*INDEX(新属性投放!$Q$6:$Q$10,属性汇总!$D$3)</f>
        <v>1.1499999999999999</v>
      </c>
      <c r="D127" s="14">
        <f>INDEX(新属性投放!J$14:J$34,属性汇总!$B127)*$C127</f>
        <v>6238.6349999999993</v>
      </c>
      <c r="E127" s="14">
        <f>INDEX(新属性投放!K$14:K$34,属性汇总!$B127)*$C127</f>
        <v>3097.4674999999997</v>
      </c>
      <c r="F127" s="14">
        <f>INDEX(新属性投放!L$14:L$34,属性汇总!$B127)*$C127</f>
        <v>18830.904999999999</v>
      </c>
      <c r="G127" s="14">
        <f>INDEX(新属性投放!D$14:D$34,属性汇总!$B127)*$C127</f>
        <v>155.96299999999999</v>
      </c>
      <c r="H127" s="14">
        <f>INDEX(新属性投放!E$14:E$34,属性汇总!$B127)*$C127</f>
        <v>77.981499999999997</v>
      </c>
      <c r="I127" s="14">
        <f>INDEX(新属性投放!F$14:F$34,属性汇总!$B127)*$C127</f>
        <v>467.88899999999995</v>
      </c>
      <c r="J127" s="14">
        <f>ROUND(D127+($A127-INDEX(新属性投放!$B$14:$B$34,属性汇总!$B127))*属性汇总!G127,0)</f>
        <v>6551</v>
      </c>
      <c r="K127" s="14">
        <f>ROUND(E127+($A127-INDEX(新属性投放!$B$14:$B$34,属性汇总!$B127))*属性汇总!H127,0)</f>
        <v>3253</v>
      </c>
      <c r="L127" s="14">
        <f>ROUND(F127+($A127-INDEX(新属性投放!$B$14:$B$34,属性汇总!$B127))*属性汇总!I127,0)</f>
        <v>19767</v>
      </c>
      <c r="R127" s="13">
        <v>112</v>
      </c>
      <c r="S127" s="13">
        <v>12</v>
      </c>
      <c r="T127" s="14">
        <f>INDEX(新属性投放!$L$6:$L$10,$S$3)*INDEX(新属性投放!$Q$6:$Q$10,$U$3)</f>
        <v>1.1499999999999999</v>
      </c>
      <c r="U127" s="14">
        <f>INDEX(新属性投放!J$42:J$62,属性汇总!$S127)*$T127</f>
        <v>6428.3849999999993</v>
      </c>
      <c r="V127" s="14">
        <f>INDEX(新属性投放!K$42:K$62,属性汇总!$S127)*$T127</f>
        <v>3211.3174999999997</v>
      </c>
      <c r="W127" s="14">
        <f>INDEX(新属性投放!L$42:L$62,属性汇总!$S127)*$T127</f>
        <v>33975.599999999999</v>
      </c>
      <c r="X127" s="14">
        <f>INDEX(新属性投放!$D$42:$D$62,属性汇总!$S127)*$T127</f>
        <v>155.96299999999999</v>
      </c>
      <c r="Y127" s="14">
        <f>INDEX(新属性投放!$E$42:$E$62,属性汇总!$S127)*$T127</f>
        <v>77.981499999999997</v>
      </c>
      <c r="Z127" s="14">
        <f>INDEX(新属性投放!$F$42:$F$62,属性汇总!$S127)*$T127</f>
        <v>701.5</v>
      </c>
      <c r="AA127" s="14">
        <f>ROUND(U127+($R127-INDEX(新属性投放!$B$42:$B$62,属性汇总!$S127))*属性汇总!X127,0)</f>
        <v>6740</v>
      </c>
      <c r="AB127" s="14">
        <f>ROUND(V127+($R127-INDEX(新属性投放!$B$42:$B$62,属性汇总!$S127))*属性汇总!Y127,0)</f>
        <v>3367</v>
      </c>
      <c r="AC127" s="14">
        <f>ROUND(W127+($R127-INDEX(新属性投放!$B$42:$B$62,属性汇总!$S127))*属性汇总!Z127,0)</f>
        <v>35379</v>
      </c>
    </row>
    <row r="128" spans="1:29" ht="16.5" x14ac:dyDescent="0.2">
      <c r="A128" s="13">
        <v>113</v>
      </c>
      <c r="B128" s="13">
        <v>12</v>
      </c>
      <c r="C128" s="14">
        <f>INDEX(新属性投放!$L$6:$L$10,属性汇总!$B$3)*INDEX(新属性投放!$Q$6:$Q$10,属性汇总!$D$3)</f>
        <v>1.1499999999999999</v>
      </c>
      <c r="D128" s="14">
        <f>INDEX(新属性投放!J$14:J$34,属性汇总!$B128)*$C128</f>
        <v>6238.6349999999993</v>
      </c>
      <c r="E128" s="14">
        <f>INDEX(新属性投放!K$14:K$34,属性汇总!$B128)*$C128</f>
        <v>3097.4674999999997</v>
      </c>
      <c r="F128" s="14">
        <f>INDEX(新属性投放!L$14:L$34,属性汇总!$B128)*$C128</f>
        <v>18830.904999999999</v>
      </c>
      <c r="G128" s="14">
        <f>INDEX(新属性投放!D$14:D$34,属性汇总!$B128)*$C128</f>
        <v>155.96299999999999</v>
      </c>
      <c r="H128" s="14">
        <f>INDEX(新属性投放!E$14:E$34,属性汇总!$B128)*$C128</f>
        <v>77.981499999999997</v>
      </c>
      <c r="I128" s="14">
        <f>INDEX(新属性投放!F$14:F$34,属性汇总!$B128)*$C128</f>
        <v>467.88899999999995</v>
      </c>
      <c r="J128" s="14">
        <f>ROUND(D128+($A128-INDEX(新属性投放!$B$14:$B$34,属性汇总!$B128))*属性汇总!G128,0)</f>
        <v>6707</v>
      </c>
      <c r="K128" s="14">
        <f>ROUND(E128+($A128-INDEX(新属性投放!$B$14:$B$34,属性汇总!$B128))*属性汇总!H128,0)</f>
        <v>3331</v>
      </c>
      <c r="L128" s="14">
        <f>ROUND(F128+($A128-INDEX(新属性投放!$B$14:$B$34,属性汇总!$B128))*属性汇总!I128,0)</f>
        <v>20235</v>
      </c>
      <c r="R128" s="13">
        <v>113</v>
      </c>
      <c r="S128" s="13">
        <v>12</v>
      </c>
      <c r="T128" s="14">
        <f>INDEX(新属性投放!$L$6:$L$10,$S$3)*INDEX(新属性投放!$Q$6:$Q$10,$U$3)</f>
        <v>1.1499999999999999</v>
      </c>
      <c r="U128" s="14">
        <f>INDEX(新属性投放!J$42:J$62,属性汇总!$S128)*$T128</f>
        <v>6428.3849999999993</v>
      </c>
      <c r="V128" s="14">
        <f>INDEX(新属性投放!K$42:K$62,属性汇总!$S128)*$T128</f>
        <v>3211.3174999999997</v>
      </c>
      <c r="W128" s="14">
        <f>INDEX(新属性投放!L$42:L$62,属性汇总!$S128)*$T128</f>
        <v>33975.599999999999</v>
      </c>
      <c r="X128" s="14">
        <f>INDEX(新属性投放!$D$42:$D$62,属性汇总!$S128)*$T128</f>
        <v>155.96299999999999</v>
      </c>
      <c r="Y128" s="14">
        <f>INDEX(新属性投放!$E$42:$E$62,属性汇总!$S128)*$T128</f>
        <v>77.981499999999997</v>
      </c>
      <c r="Z128" s="14">
        <f>INDEX(新属性投放!$F$42:$F$62,属性汇总!$S128)*$T128</f>
        <v>701.5</v>
      </c>
      <c r="AA128" s="14">
        <f>ROUND(U128+($R128-INDEX(新属性投放!$B$42:$B$62,属性汇总!$S128))*属性汇总!X128,0)</f>
        <v>6896</v>
      </c>
      <c r="AB128" s="14">
        <f>ROUND(V128+($R128-INDEX(新属性投放!$B$42:$B$62,属性汇总!$S128))*属性汇总!Y128,0)</f>
        <v>3445</v>
      </c>
      <c r="AC128" s="14">
        <f>ROUND(W128+($R128-INDEX(新属性投放!$B$42:$B$62,属性汇总!$S128))*属性汇总!Z128,0)</f>
        <v>36080</v>
      </c>
    </row>
    <row r="129" spans="1:29" ht="16.5" x14ac:dyDescent="0.2">
      <c r="A129" s="13">
        <v>114</v>
      </c>
      <c r="B129" s="13">
        <v>12</v>
      </c>
      <c r="C129" s="14">
        <f>INDEX(新属性投放!$L$6:$L$10,属性汇总!$B$3)*INDEX(新属性投放!$Q$6:$Q$10,属性汇总!$D$3)</f>
        <v>1.1499999999999999</v>
      </c>
      <c r="D129" s="14">
        <f>INDEX(新属性投放!J$14:J$34,属性汇总!$B129)*$C129</f>
        <v>6238.6349999999993</v>
      </c>
      <c r="E129" s="14">
        <f>INDEX(新属性投放!K$14:K$34,属性汇总!$B129)*$C129</f>
        <v>3097.4674999999997</v>
      </c>
      <c r="F129" s="14">
        <f>INDEX(新属性投放!L$14:L$34,属性汇总!$B129)*$C129</f>
        <v>18830.904999999999</v>
      </c>
      <c r="G129" s="14">
        <f>INDEX(新属性投放!D$14:D$34,属性汇总!$B129)*$C129</f>
        <v>155.96299999999999</v>
      </c>
      <c r="H129" s="14">
        <f>INDEX(新属性投放!E$14:E$34,属性汇总!$B129)*$C129</f>
        <v>77.981499999999997</v>
      </c>
      <c r="I129" s="14">
        <f>INDEX(新属性投放!F$14:F$34,属性汇总!$B129)*$C129</f>
        <v>467.88899999999995</v>
      </c>
      <c r="J129" s="14">
        <f>ROUND(D129+($A129-INDEX(新属性投放!$B$14:$B$34,属性汇总!$B129))*属性汇总!G129,0)</f>
        <v>6862</v>
      </c>
      <c r="K129" s="14">
        <f>ROUND(E129+($A129-INDEX(新属性投放!$B$14:$B$34,属性汇总!$B129))*属性汇总!H129,0)</f>
        <v>3409</v>
      </c>
      <c r="L129" s="14">
        <f>ROUND(F129+($A129-INDEX(新属性投放!$B$14:$B$34,属性汇总!$B129))*属性汇总!I129,0)</f>
        <v>20702</v>
      </c>
      <c r="R129" s="13">
        <v>114</v>
      </c>
      <c r="S129" s="13">
        <v>12</v>
      </c>
      <c r="T129" s="14">
        <f>INDEX(新属性投放!$L$6:$L$10,$S$3)*INDEX(新属性投放!$Q$6:$Q$10,$U$3)</f>
        <v>1.1499999999999999</v>
      </c>
      <c r="U129" s="14">
        <f>INDEX(新属性投放!J$42:J$62,属性汇总!$S129)*$T129</f>
        <v>6428.3849999999993</v>
      </c>
      <c r="V129" s="14">
        <f>INDEX(新属性投放!K$42:K$62,属性汇总!$S129)*$T129</f>
        <v>3211.3174999999997</v>
      </c>
      <c r="W129" s="14">
        <f>INDEX(新属性投放!L$42:L$62,属性汇总!$S129)*$T129</f>
        <v>33975.599999999999</v>
      </c>
      <c r="X129" s="14">
        <f>INDEX(新属性投放!$D$42:$D$62,属性汇总!$S129)*$T129</f>
        <v>155.96299999999999</v>
      </c>
      <c r="Y129" s="14">
        <f>INDEX(新属性投放!$E$42:$E$62,属性汇总!$S129)*$T129</f>
        <v>77.981499999999997</v>
      </c>
      <c r="Z129" s="14">
        <f>INDEX(新属性投放!$F$42:$F$62,属性汇总!$S129)*$T129</f>
        <v>701.5</v>
      </c>
      <c r="AA129" s="14">
        <f>ROUND(U129+($R129-INDEX(新属性投放!$B$42:$B$62,属性汇总!$S129))*属性汇总!X129,0)</f>
        <v>7052</v>
      </c>
      <c r="AB129" s="14">
        <f>ROUND(V129+($R129-INDEX(新属性投放!$B$42:$B$62,属性汇总!$S129))*属性汇总!Y129,0)</f>
        <v>3523</v>
      </c>
      <c r="AC129" s="14">
        <f>ROUND(W129+($R129-INDEX(新属性投放!$B$42:$B$62,属性汇总!$S129))*属性汇总!Z129,0)</f>
        <v>36782</v>
      </c>
    </row>
    <row r="130" spans="1:29" s="20" customFormat="1" ht="16.5" x14ac:dyDescent="0.2">
      <c r="A130" s="13">
        <v>115</v>
      </c>
      <c r="B130" s="13">
        <v>12</v>
      </c>
      <c r="C130" s="14">
        <f>INDEX(新属性投放!$L$6:$L$10,属性汇总!$B$3)*INDEX(新属性投放!$Q$6:$Q$10,属性汇总!$D$3)</f>
        <v>1.1499999999999999</v>
      </c>
      <c r="D130" s="14">
        <f>INDEX(新属性投放!J$14:J$34,属性汇总!$B130)*$C130</f>
        <v>6238.6349999999993</v>
      </c>
      <c r="E130" s="14">
        <f>INDEX(新属性投放!K$14:K$34,属性汇总!$B130)*$C130</f>
        <v>3097.4674999999997</v>
      </c>
      <c r="F130" s="14">
        <f>INDEX(新属性投放!L$14:L$34,属性汇总!$B130)*$C130</f>
        <v>18830.904999999999</v>
      </c>
      <c r="G130" s="14">
        <f>INDEX(新属性投放!D$14:D$34,属性汇总!$B130)*$C130</f>
        <v>155.96299999999999</v>
      </c>
      <c r="H130" s="14">
        <f>INDEX(新属性投放!E$14:E$34,属性汇总!$B130)*$C130</f>
        <v>77.981499999999997</v>
      </c>
      <c r="I130" s="14">
        <f>INDEX(新属性投放!F$14:F$34,属性汇总!$B130)*$C130</f>
        <v>467.88899999999995</v>
      </c>
      <c r="J130" s="14">
        <f>ROUND(D130+($A130-INDEX(新属性投放!$B$14:$B$34,属性汇总!$B130))*属性汇总!G130,0)</f>
        <v>7018</v>
      </c>
      <c r="K130" s="14">
        <f>ROUND(E130+($A130-INDEX(新属性投放!$B$14:$B$34,属性汇总!$B130))*属性汇总!H130,0)</f>
        <v>3487</v>
      </c>
      <c r="L130" s="14">
        <f>ROUND(F130+($A130-INDEX(新属性投放!$B$14:$B$34,属性汇总!$B130))*属性汇总!I130,0)</f>
        <v>21170</v>
      </c>
      <c r="N130" s="37"/>
      <c r="O130" s="37"/>
      <c r="P130" s="37"/>
      <c r="R130" s="13">
        <v>115</v>
      </c>
      <c r="S130" s="13">
        <v>12</v>
      </c>
      <c r="T130" s="14">
        <f>INDEX(新属性投放!$L$6:$L$10,$S$3)*INDEX(新属性投放!$Q$6:$Q$10,$U$3)</f>
        <v>1.1499999999999999</v>
      </c>
      <c r="U130" s="14">
        <f>INDEX(新属性投放!J$42:J$62,属性汇总!$S130)*$T130</f>
        <v>6428.3849999999993</v>
      </c>
      <c r="V130" s="14">
        <f>INDEX(新属性投放!K$42:K$62,属性汇总!$S130)*$T130</f>
        <v>3211.3174999999997</v>
      </c>
      <c r="W130" s="14">
        <f>INDEX(新属性投放!L$42:L$62,属性汇总!$S130)*$T130</f>
        <v>33975.599999999999</v>
      </c>
      <c r="X130" s="14">
        <f>INDEX(新属性投放!$D$42:$D$62,属性汇总!$S130)*$T130</f>
        <v>155.96299999999999</v>
      </c>
      <c r="Y130" s="14">
        <f>INDEX(新属性投放!$E$42:$E$62,属性汇总!$S130)*$T130</f>
        <v>77.981499999999997</v>
      </c>
      <c r="Z130" s="14">
        <f>INDEX(新属性投放!$F$42:$F$62,属性汇总!$S130)*$T130</f>
        <v>701.5</v>
      </c>
      <c r="AA130" s="14">
        <f>ROUND(U130+($R130-INDEX(新属性投放!$B$42:$B$62,属性汇总!$S130))*属性汇总!X130,0)</f>
        <v>7208</v>
      </c>
      <c r="AB130" s="14">
        <f>ROUND(V130+($R130-INDEX(新属性投放!$B$42:$B$62,属性汇总!$S130))*属性汇总!Y130,0)</f>
        <v>3601</v>
      </c>
      <c r="AC130" s="14">
        <f>ROUND(W130+($R130-INDEX(新属性投放!$B$42:$B$62,属性汇总!$S130))*属性汇总!Z130,0)</f>
        <v>37483</v>
      </c>
    </row>
    <row r="131" spans="1:29" ht="16.5" x14ac:dyDescent="0.2">
      <c r="A131" s="13">
        <v>116</v>
      </c>
      <c r="B131" s="13">
        <v>12</v>
      </c>
      <c r="C131" s="14">
        <f>INDEX(新属性投放!$L$6:$L$10,属性汇总!$B$3)*INDEX(新属性投放!$Q$6:$Q$10,属性汇总!$D$3)</f>
        <v>1.1499999999999999</v>
      </c>
      <c r="D131" s="14">
        <f>INDEX(新属性投放!J$14:J$34,属性汇总!$B131)*$C131</f>
        <v>6238.6349999999993</v>
      </c>
      <c r="E131" s="14">
        <f>INDEX(新属性投放!K$14:K$34,属性汇总!$B131)*$C131</f>
        <v>3097.4674999999997</v>
      </c>
      <c r="F131" s="14">
        <f>INDEX(新属性投放!L$14:L$34,属性汇总!$B131)*$C131</f>
        <v>18830.904999999999</v>
      </c>
      <c r="G131" s="14">
        <f>INDEX(新属性投放!D$14:D$34,属性汇总!$B131)*$C131</f>
        <v>155.96299999999999</v>
      </c>
      <c r="H131" s="14">
        <f>INDEX(新属性投放!E$14:E$34,属性汇总!$B131)*$C131</f>
        <v>77.981499999999997</v>
      </c>
      <c r="I131" s="14">
        <f>INDEX(新属性投放!F$14:F$34,属性汇总!$B131)*$C131</f>
        <v>467.88899999999995</v>
      </c>
      <c r="J131" s="14">
        <f>ROUND(D131+($A131-INDEX(新属性投放!$B$14:$B$34,属性汇总!$B131))*属性汇总!G131,0)</f>
        <v>7174</v>
      </c>
      <c r="K131" s="14">
        <f>ROUND(E131+($A131-INDEX(新属性投放!$B$14:$B$34,属性汇总!$B131))*属性汇总!H131,0)</f>
        <v>3565</v>
      </c>
      <c r="L131" s="14">
        <f>ROUND(F131+($A131-INDEX(新属性投放!$B$14:$B$34,属性汇总!$B131))*属性汇总!I131,0)</f>
        <v>21638</v>
      </c>
      <c r="R131" s="13">
        <v>116</v>
      </c>
      <c r="S131" s="13">
        <v>12</v>
      </c>
      <c r="T131" s="14">
        <f>INDEX(新属性投放!$L$6:$L$10,$S$3)*INDEX(新属性投放!$Q$6:$Q$10,$U$3)</f>
        <v>1.1499999999999999</v>
      </c>
      <c r="U131" s="14">
        <f>INDEX(新属性投放!J$42:J$62,属性汇总!$S131)*$T131</f>
        <v>6428.3849999999993</v>
      </c>
      <c r="V131" s="14">
        <f>INDEX(新属性投放!K$42:K$62,属性汇总!$S131)*$T131</f>
        <v>3211.3174999999997</v>
      </c>
      <c r="W131" s="14">
        <f>INDEX(新属性投放!L$42:L$62,属性汇总!$S131)*$T131</f>
        <v>33975.599999999999</v>
      </c>
      <c r="X131" s="14">
        <f>INDEX(新属性投放!$D$42:$D$62,属性汇总!$S131)*$T131</f>
        <v>155.96299999999999</v>
      </c>
      <c r="Y131" s="14">
        <f>INDEX(新属性投放!$E$42:$E$62,属性汇总!$S131)*$T131</f>
        <v>77.981499999999997</v>
      </c>
      <c r="Z131" s="14">
        <f>INDEX(新属性投放!$F$42:$F$62,属性汇总!$S131)*$T131</f>
        <v>701.5</v>
      </c>
      <c r="AA131" s="14">
        <f>ROUND(U131+($R131-INDEX(新属性投放!$B$42:$B$62,属性汇总!$S131))*属性汇总!X131,0)</f>
        <v>7364</v>
      </c>
      <c r="AB131" s="14">
        <f>ROUND(V131+($R131-INDEX(新属性投放!$B$42:$B$62,属性汇总!$S131))*属性汇总!Y131,0)</f>
        <v>3679</v>
      </c>
      <c r="AC131" s="14">
        <f>ROUND(W131+($R131-INDEX(新属性投放!$B$42:$B$62,属性汇总!$S131))*属性汇总!Z131,0)</f>
        <v>38185</v>
      </c>
    </row>
    <row r="132" spans="1:29" ht="16.5" x14ac:dyDescent="0.2">
      <c r="A132" s="13">
        <v>117</v>
      </c>
      <c r="B132" s="13">
        <v>12</v>
      </c>
      <c r="C132" s="14">
        <f>INDEX(新属性投放!$L$6:$L$10,属性汇总!$B$3)*INDEX(新属性投放!$Q$6:$Q$10,属性汇总!$D$3)</f>
        <v>1.1499999999999999</v>
      </c>
      <c r="D132" s="14">
        <f>INDEX(新属性投放!J$14:J$34,属性汇总!$B132)*$C132</f>
        <v>6238.6349999999993</v>
      </c>
      <c r="E132" s="14">
        <f>INDEX(新属性投放!K$14:K$34,属性汇总!$B132)*$C132</f>
        <v>3097.4674999999997</v>
      </c>
      <c r="F132" s="14">
        <f>INDEX(新属性投放!L$14:L$34,属性汇总!$B132)*$C132</f>
        <v>18830.904999999999</v>
      </c>
      <c r="G132" s="14">
        <f>INDEX(新属性投放!D$14:D$34,属性汇总!$B132)*$C132</f>
        <v>155.96299999999999</v>
      </c>
      <c r="H132" s="14">
        <f>INDEX(新属性投放!E$14:E$34,属性汇总!$B132)*$C132</f>
        <v>77.981499999999997</v>
      </c>
      <c r="I132" s="14">
        <f>INDEX(新属性投放!F$14:F$34,属性汇总!$B132)*$C132</f>
        <v>467.88899999999995</v>
      </c>
      <c r="J132" s="14">
        <f>ROUND(D132+($A132-INDEX(新属性投放!$B$14:$B$34,属性汇总!$B132))*属性汇总!G132,0)</f>
        <v>7330</v>
      </c>
      <c r="K132" s="14">
        <f>ROUND(E132+($A132-INDEX(新属性投放!$B$14:$B$34,属性汇总!$B132))*属性汇总!H132,0)</f>
        <v>3643</v>
      </c>
      <c r="L132" s="14">
        <f>ROUND(F132+($A132-INDEX(新属性投放!$B$14:$B$34,属性汇总!$B132))*属性汇总!I132,0)</f>
        <v>22106</v>
      </c>
      <c r="R132" s="13">
        <v>117</v>
      </c>
      <c r="S132" s="13">
        <v>12</v>
      </c>
      <c r="T132" s="14">
        <f>INDEX(新属性投放!$L$6:$L$10,$S$3)*INDEX(新属性投放!$Q$6:$Q$10,$U$3)</f>
        <v>1.1499999999999999</v>
      </c>
      <c r="U132" s="14">
        <f>INDEX(新属性投放!J$42:J$62,属性汇总!$S132)*$T132</f>
        <v>6428.3849999999993</v>
      </c>
      <c r="V132" s="14">
        <f>INDEX(新属性投放!K$42:K$62,属性汇总!$S132)*$T132</f>
        <v>3211.3174999999997</v>
      </c>
      <c r="W132" s="14">
        <f>INDEX(新属性投放!L$42:L$62,属性汇总!$S132)*$T132</f>
        <v>33975.599999999999</v>
      </c>
      <c r="X132" s="14">
        <f>INDEX(新属性投放!$D$42:$D$62,属性汇总!$S132)*$T132</f>
        <v>155.96299999999999</v>
      </c>
      <c r="Y132" s="14">
        <f>INDEX(新属性投放!$E$42:$E$62,属性汇总!$S132)*$T132</f>
        <v>77.981499999999997</v>
      </c>
      <c r="Z132" s="14">
        <f>INDEX(新属性投放!$F$42:$F$62,属性汇总!$S132)*$T132</f>
        <v>701.5</v>
      </c>
      <c r="AA132" s="14">
        <f>ROUND(U132+($R132-INDEX(新属性投放!$B$42:$B$62,属性汇总!$S132))*属性汇总!X132,0)</f>
        <v>7520</v>
      </c>
      <c r="AB132" s="14">
        <f>ROUND(V132+($R132-INDEX(新属性投放!$B$42:$B$62,属性汇总!$S132))*属性汇总!Y132,0)</f>
        <v>3757</v>
      </c>
      <c r="AC132" s="14">
        <f>ROUND(W132+($R132-INDEX(新属性投放!$B$42:$B$62,属性汇总!$S132))*属性汇总!Z132,0)</f>
        <v>38886</v>
      </c>
    </row>
    <row r="133" spans="1:29" ht="16.5" x14ac:dyDescent="0.2">
      <c r="A133" s="13">
        <v>118</v>
      </c>
      <c r="B133" s="13">
        <v>12</v>
      </c>
      <c r="C133" s="14">
        <f>INDEX(新属性投放!$L$6:$L$10,属性汇总!$B$3)*INDEX(新属性投放!$Q$6:$Q$10,属性汇总!$D$3)</f>
        <v>1.1499999999999999</v>
      </c>
      <c r="D133" s="14">
        <f>INDEX(新属性投放!J$14:J$34,属性汇总!$B133)*$C133</f>
        <v>6238.6349999999993</v>
      </c>
      <c r="E133" s="14">
        <f>INDEX(新属性投放!K$14:K$34,属性汇总!$B133)*$C133</f>
        <v>3097.4674999999997</v>
      </c>
      <c r="F133" s="14">
        <f>INDEX(新属性投放!L$14:L$34,属性汇总!$B133)*$C133</f>
        <v>18830.904999999999</v>
      </c>
      <c r="G133" s="14">
        <f>INDEX(新属性投放!D$14:D$34,属性汇总!$B133)*$C133</f>
        <v>155.96299999999999</v>
      </c>
      <c r="H133" s="14">
        <f>INDEX(新属性投放!E$14:E$34,属性汇总!$B133)*$C133</f>
        <v>77.981499999999997</v>
      </c>
      <c r="I133" s="14">
        <f>INDEX(新属性投放!F$14:F$34,属性汇总!$B133)*$C133</f>
        <v>467.88899999999995</v>
      </c>
      <c r="J133" s="14">
        <f>ROUND(D133+($A133-INDEX(新属性投放!$B$14:$B$34,属性汇总!$B133))*属性汇总!G133,0)</f>
        <v>7486</v>
      </c>
      <c r="K133" s="14">
        <f>ROUND(E133+($A133-INDEX(新属性投放!$B$14:$B$34,属性汇总!$B133))*属性汇总!H133,0)</f>
        <v>3721</v>
      </c>
      <c r="L133" s="14">
        <f>ROUND(F133+($A133-INDEX(新属性投放!$B$14:$B$34,属性汇总!$B133))*属性汇总!I133,0)</f>
        <v>22574</v>
      </c>
      <c r="R133" s="13">
        <v>118</v>
      </c>
      <c r="S133" s="13">
        <v>12</v>
      </c>
      <c r="T133" s="14">
        <f>INDEX(新属性投放!$L$6:$L$10,$S$3)*INDEX(新属性投放!$Q$6:$Q$10,$U$3)</f>
        <v>1.1499999999999999</v>
      </c>
      <c r="U133" s="14">
        <f>INDEX(新属性投放!J$42:J$62,属性汇总!$S133)*$T133</f>
        <v>6428.3849999999993</v>
      </c>
      <c r="V133" s="14">
        <f>INDEX(新属性投放!K$42:K$62,属性汇总!$S133)*$T133</f>
        <v>3211.3174999999997</v>
      </c>
      <c r="W133" s="14">
        <f>INDEX(新属性投放!L$42:L$62,属性汇总!$S133)*$T133</f>
        <v>33975.599999999999</v>
      </c>
      <c r="X133" s="14">
        <f>INDEX(新属性投放!$D$42:$D$62,属性汇总!$S133)*$T133</f>
        <v>155.96299999999999</v>
      </c>
      <c r="Y133" s="14">
        <f>INDEX(新属性投放!$E$42:$E$62,属性汇总!$S133)*$T133</f>
        <v>77.981499999999997</v>
      </c>
      <c r="Z133" s="14">
        <f>INDEX(新属性投放!$F$42:$F$62,属性汇总!$S133)*$T133</f>
        <v>701.5</v>
      </c>
      <c r="AA133" s="14">
        <f>ROUND(U133+($R133-INDEX(新属性投放!$B$42:$B$62,属性汇总!$S133))*属性汇总!X133,0)</f>
        <v>7676</v>
      </c>
      <c r="AB133" s="14">
        <f>ROUND(V133+($R133-INDEX(新属性投放!$B$42:$B$62,属性汇总!$S133))*属性汇总!Y133,0)</f>
        <v>3835</v>
      </c>
      <c r="AC133" s="14">
        <f>ROUND(W133+($R133-INDEX(新属性投放!$B$42:$B$62,属性汇总!$S133))*属性汇总!Z133,0)</f>
        <v>39588</v>
      </c>
    </row>
    <row r="134" spans="1:29" ht="16.5" x14ac:dyDescent="0.2">
      <c r="A134" s="13">
        <v>119</v>
      </c>
      <c r="B134" s="13">
        <v>12</v>
      </c>
      <c r="C134" s="14">
        <f>INDEX(新属性投放!$L$6:$L$10,属性汇总!$B$3)*INDEX(新属性投放!$Q$6:$Q$10,属性汇总!$D$3)</f>
        <v>1.1499999999999999</v>
      </c>
      <c r="D134" s="14">
        <f>INDEX(新属性投放!J$14:J$34,属性汇总!$B134)*$C134</f>
        <v>6238.6349999999993</v>
      </c>
      <c r="E134" s="14">
        <f>INDEX(新属性投放!K$14:K$34,属性汇总!$B134)*$C134</f>
        <v>3097.4674999999997</v>
      </c>
      <c r="F134" s="14">
        <f>INDEX(新属性投放!L$14:L$34,属性汇总!$B134)*$C134</f>
        <v>18830.904999999999</v>
      </c>
      <c r="G134" s="14">
        <f>INDEX(新属性投放!D$14:D$34,属性汇总!$B134)*$C134</f>
        <v>155.96299999999999</v>
      </c>
      <c r="H134" s="14">
        <f>INDEX(新属性投放!E$14:E$34,属性汇总!$B134)*$C134</f>
        <v>77.981499999999997</v>
      </c>
      <c r="I134" s="14">
        <f>INDEX(新属性投放!F$14:F$34,属性汇总!$B134)*$C134</f>
        <v>467.88899999999995</v>
      </c>
      <c r="J134" s="14">
        <f>ROUND(D134+($A134-INDEX(新属性投放!$B$14:$B$34,属性汇总!$B134))*属性汇总!G134,0)</f>
        <v>7642</v>
      </c>
      <c r="K134" s="14">
        <f>ROUND(E134+($A134-INDEX(新属性投放!$B$14:$B$34,属性汇总!$B134))*属性汇总!H134,0)</f>
        <v>3799</v>
      </c>
      <c r="L134" s="14">
        <f>ROUND(F134+($A134-INDEX(新属性投放!$B$14:$B$34,属性汇总!$B134))*属性汇总!I134,0)</f>
        <v>23042</v>
      </c>
      <c r="R134" s="13">
        <v>119</v>
      </c>
      <c r="S134" s="13">
        <v>12</v>
      </c>
      <c r="T134" s="14">
        <f>INDEX(新属性投放!$L$6:$L$10,$S$3)*INDEX(新属性投放!$Q$6:$Q$10,$U$3)</f>
        <v>1.1499999999999999</v>
      </c>
      <c r="U134" s="14">
        <f>INDEX(新属性投放!J$42:J$62,属性汇总!$S134)*$T134</f>
        <v>6428.3849999999993</v>
      </c>
      <c r="V134" s="14">
        <f>INDEX(新属性投放!K$42:K$62,属性汇总!$S134)*$T134</f>
        <v>3211.3174999999997</v>
      </c>
      <c r="W134" s="14">
        <f>INDEX(新属性投放!L$42:L$62,属性汇总!$S134)*$T134</f>
        <v>33975.599999999999</v>
      </c>
      <c r="X134" s="14">
        <f>INDEX(新属性投放!$D$42:$D$62,属性汇总!$S134)*$T134</f>
        <v>155.96299999999999</v>
      </c>
      <c r="Y134" s="14">
        <f>INDEX(新属性投放!$E$42:$E$62,属性汇总!$S134)*$T134</f>
        <v>77.981499999999997</v>
      </c>
      <c r="Z134" s="14">
        <f>INDEX(新属性投放!$F$42:$F$62,属性汇总!$S134)*$T134</f>
        <v>701.5</v>
      </c>
      <c r="AA134" s="14">
        <f>ROUND(U134+($R134-INDEX(新属性投放!$B$42:$B$62,属性汇总!$S134))*属性汇总!X134,0)</f>
        <v>7832</v>
      </c>
      <c r="AB134" s="14">
        <f>ROUND(V134+($R134-INDEX(新属性投放!$B$42:$B$62,属性汇总!$S134))*属性汇总!Y134,0)</f>
        <v>3913</v>
      </c>
      <c r="AC134" s="14">
        <f>ROUND(W134+($R134-INDEX(新属性投放!$B$42:$B$62,属性汇总!$S134))*属性汇总!Z134,0)</f>
        <v>40289</v>
      </c>
    </row>
    <row r="135" spans="1:29" ht="16.5" x14ac:dyDescent="0.2">
      <c r="A135" s="13">
        <v>120</v>
      </c>
      <c r="B135" s="13">
        <v>12</v>
      </c>
      <c r="C135" s="14">
        <f>INDEX(新属性投放!$L$6:$L$10,属性汇总!$B$3)*INDEX(新属性投放!$Q$6:$Q$10,属性汇总!$D$3)</f>
        <v>1.1499999999999999</v>
      </c>
      <c r="D135" s="14">
        <f>INDEX(新属性投放!J$14:J$34,属性汇总!$B135)*$C135</f>
        <v>6238.6349999999993</v>
      </c>
      <c r="E135" s="14">
        <f>INDEX(新属性投放!K$14:K$34,属性汇总!$B135)*$C135</f>
        <v>3097.4674999999997</v>
      </c>
      <c r="F135" s="14">
        <f>INDEX(新属性投放!L$14:L$34,属性汇总!$B135)*$C135</f>
        <v>18830.904999999999</v>
      </c>
      <c r="G135" s="14">
        <f>INDEX(新属性投放!D$14:D$34,属性汇总!$B135)*$C135</f>
        <v>155.96299999999999</v>
      </c>
      <c r="H135" s="14">
        <f>INDEX(新属性投放!E$14:E$34,属性汇总!$B135)*$C135</f>
        <v>77.981499999999997</v>
      </c>
      <c r="I135" s="14">
        <f>INDEX(新属性投放!F$14:F$34,属性汇总!$B135)*$C135</f>
        <v>467.88899999999995</v>
      </c>
      <c r="J135" s="14">
        <f>ROUND(D135+($A135-INDEX(新属性投放!$B$14:$B$34,属性汇总!$B135))*属性汇总!G135,0)</f>
        <v>7798</v>
      </c>
      <c r="K135" s="14">
        <f>ROUND(E135+($A135-INDEX(新属性投放!$B$14:$B$34,属性汇总!$B135))*属性汇总!H135,0)</f>
        <v>3877</v>
      </c>
      <c r="L135" s="14">
        <f>ROUND(F135+($A135-INDEX(新属性投放!$B$14:$B$34,属性汇总!$B135))*属性汇总!I135,0)</f>
        <v>23510</v>
      </c>
      <c r="R135" s="13">
        <v>120</v>
      </c>
      <c r="S135" s="13">
        <v>12</v>
      </c>
      <c r="T135" s="14">
        <f>INDEX(新属性投放!$L$6:$L$10,$S$3)*INDEX(新属性投放!$Q$6:$Q$10,$U$3)</f>
        <v>1.1499999999999999</v>
      </c>
      <c r="U135" s="14">
        <f>INDEX(新属性投放!J$42:J$62,属性汇总!$S135)*$T135</f>
        <v>6428.3849999999993</v>
      </c>
      <c r="V135" s="14">
        <f>INDEX(新属性投放!K$42:K$62,属性汇总!$S135)*$T135</f>
        <v>3211.3174999999997</v>
      </c>
      <c r="W135" s="14">
        <f>INDEX(新属性投放!L$42:L$62,属性汇总!$S135)*$T135</f>
        <v>33975.599999999999</v>
      </c>
      <c r="X135" s="14">
        <f>INDEX(新属性投放!$D$42:$D$62,属性汇总!$S135)*$T135</f>
        <v>155.96299999999999</v>
      </c>
      <c r="Y135" s="14">
        <f>INDEX(新属性投放!$E$42:$E$62,属性汇总!$S135)*$T135</f>
        <v>77.981499999999997</v>
      </c>
      <c r="Z135" s="14">
        <f>INDEX(新属性投放!$F$42:$F$62,属性汇总!$S135)*$T135</f>
        <v>701.5</v>
      </c>
      <c r="AA135" s="14">
        <f>ROUND(U135+($R135-INDEX(新属性投放!$B$42:$B$62,属性汇总!$S135))*属性汇总!X135,0)</f>
        <v>7988</v>
      </c>
      <c r="AB135" s="14">
        <f>ROUND(V135+($R135-INDEX(新属性投放!$B$42:$B$62,属性汇总!$S135))*属性汇总!Y135,0)</f>
        <v>3991</v>
      </c>
      <c r="AC135" s="14">
        <f>ROUND(W135+($R135-INDEX(新属性投放!$B$42:$B$62,属性汇总!$S135))*属性汇总!Z135,0)</f>
        <v>40991</v>
      </c>
    </row>
    <row r="136" spans="1:29" s="37" customFormat="1" ht="16.5" x14ac:dyDescent="0.2">
      <c r="A136" s="13">
        <v>120</v>
      </c>
      <c r="B136" s="13">
        <v>13</v>
      </c>
      <c r="C136" s="14">
        <f>INDEX(新属性投放!$L$6:$L$10,属性汇总!$B$3)*INDEX(新属性投放!$Q$6:$Q$10,属性汇总!$D$3)</f>
        <v>1.1499999999999999</v>
      </c>
      <c r="D136" s="14">
        <f>INDEX(新属性投放!J$14:J$34,属性汇总!$B136)*$C136</f>
        <v>8188.1149999999989</v>
      </c>
      <c r="E136" s="14">
        <f>INDEX(新属性投放!K$14:K$34,属性汇总!$B136)*$C136</f>
        <v>4072.7824999999993</v>
      </c>
      <c r="F136" s="14">
        <f>INDEX(新属性投放!L$14:L$34,属性汇总!$B136)*$C136</f>
        <v>24679.345000000001</v>
      </c>
      <c r="G136" s="14">
        <f>INDEX(新属性投放!D$14:D$34,属性汇总!$B136)*$C136</f>
        <v>204.7</v>
      </c>
      <c r="H136" s="14">
        <f>INDEX(新属性投放!E$14:E$34,属性汇总!$B136)*$C136</f>
        <v>102.35</v>
      </c>
      <c r="I136" s="14">
        <f>INDEX(新属性投放!F$14:F$34,属性汇总!$B136)*$C136</f>
        <v>614.09999999999991</v>
      </c>
      <c r="J136" s="14">
        <f>ROUND(D136+($A136-INDEX(新属性投放!$B$14:$B$34,属性汇总!$B136))*属性汇总!G136,0)</f>
        <v>8188</v>
      </c>
      <c r="K136" s="14">
        <f>ROUND(E136+($A136-INDEX(新属性投放!$B$14:$B$34,属性汇总!$B136))*属性汇总!H136,0)</f>
        <v>4073</v>
      </c>
      <c r="L136" s="14">
        <f>ROUND(F136+($A136-INDEX(新属性投放!$B$14:$B$34,属性汇总!$B136))*属性汇总!I136,0)</f>
        <v>24679</v>
      </c>
      <c r="R136" s="13">
        <v>120</v>
      </c>
      <c r="S136" s="13">
        <v>13</v>
      </c>
      <c r="T136" s="14">
        <f>INDEX(新属性投放!$L$6:$L$10,$S$3)*INDEX(新属性投放!$Q$6:$Q$10,$U$3)</f>
        <v>1.1499999999999999</v>
      </c>
      <c r="U136" s="14">
        <f>INDEX(新属性投放!J$42:J$62,属性汇总!$S136)*$T136</f>
        <v>8377.864999999998</v>
      </c>
      <c r="V136" s="14">
        <f>INDEX(新属性投放!K$42:K$62,属性汇总!$S136)*$T136</f>
        <v>4186.6324999999997</v>
      </c>
      <c r="W136" s="14">
        <f>INDEX(新属性投放!L$42:L$62,属性汇总!$S136)*$T136</f>
        <v>44499.25</v>
      </c>
      <c r="X136" s="14">
        <f>INDEX(新属性投放!$D$42:$D$62,属性汇总!$S136)*$T136</f>
        <v>204.7</v>
      </c>
      <c r="Y136" s="14">
        <f>INDEX(新属性投放!$E$42:$E$62,属性汇总!$S136)*$T136</f>
        <v>102.35</v>
      </c>
      <c r="Z136" s="14">
        <f>INDEX(新属性投放!$F$42:$F$62,属性汇总!$S136)*$T136</f>
        <v>921.15</v>
      </c>
      <c r="AA136" s="14">
        <f>ROUND(U136+($R136-INDEX(新属性投放!$B$42:$B$62,属性汇总!$S136))*属性汇总!X136,0)</f>
        <v>8378</v>
      </c>
      <c r="AB136" s="14">
        <f>ROUND(V136+($R136-INDEX(新属性投放!$B$42:$B$62,属性汇总!$S136))*属性汇总!Y136,0)</f>
        <v>4187</v>
      </c>
      <c r="AC136" s="14">
        <f>ROUND(W136+($R136-INDEX(新属性投放!$B$42:$B$62,属性汇总!$S136))*属性汇总!Z136,0)</f>
        <v>44499</v>
      </c>
    </row>
    <row r="137" spans="1:29" s="20" customFormat="1" ht="16.5" x14ac:dyDescent="0.2">
      <c r="A137" s="13">
        <v>121</v>
      </c>
      <c r="B137" s="13">
        <v>13</v>
      </c>
      <c r="C137" s="14">
        <f>INDEX(新属性投放!$L$6:$L$10,属性汇总!$B$3)*INDEX(新属性投放!$Q$6:$Q$10,属性汇总!$D$3)</f>
        <v>1.1499999999999999</v>
      </c>
      <c r="D137" s="14">
        <f>INDEX(新属性投放!J$14:J$34,属性汇总!$B137)*$C137</f>
        <v>8188.1149999999989</v>
      </c>
      <c r="E137" s="14">
        <f>INDEX(新属性投放!K$14:K$34,属性汇总!$B137)*$C137</f>
        <v>4072.7824999999993</v>
      </c>
      <c r="F137" s="14">
        <f>INDEX(新属性投放!L$14:L$34,属性汇总!$B137)*$C137</f>
        <v>24679.345000000001</v>
      </c>
      <c r="G137" s="14">
        <f>INDEX(新属性投放!D$14:D$34,属性汇总!$B137)*$C137</f>
        <v>204.7</v>
      </c>
      <c r="H137" s="14">
        <f>INDEX(新属性投放!E$14:E$34,属性汇总!$B137)*$C137</f>
        <v>102.35</v>
      </c>
      <c r="I137" s="14">
        <f>INDEX(新属性投放!F$14:F$34,属性汇总!$B137)*$C137</f>
        <v>614.09999999999991</v>
      </c>
      <c r="J137" s="14">
        <f>ROUND(D137+($A137-INDEX(新属性投放!$B$14:$B$34,属性汇总!$B137))*属性汇总!G137,0)</f>
        <v>8393</v>
      </c>
      <c r="K137" s="14">
        <f>ROUND(E137+($A137-INDEX(新属性投放!$B$14:$B$34,属性汇总!$B137))*属性汇总!H137,0)</f>
        <v>4175</v>
      </c>
      <c r="L137" s="14">
        <f>ROUND(F137+($A137-INDEX(新属性投放!$B$14:$B$34,属性汇总!$B137))*属性汇总!I137,0)</f>
        <v>25293</v>
      </c>
      <c r="N137" s="37"/>
      <c r="O137" s="37"/>
      <c r="P137" s="37"/>
      <c r="R137" s="13">
        <v>121</v>
      </c>
      <c r="S137" s="13">
        <v>13</v>
      </c>
      <c r="T137" s="14">
        <f>INDEX(新属性投放!$L$6:$L$10,$S$3)*INDEX(新属性投放!$Q$6:$Q$10,$U$3)</f>
        <v>1.1499999999999999</v>
      </c>
      <c r="U137" s="14">
        <f>INDEX(新属性投放!J$42:J$62,属性汇总!$S137)*$T137</f>
        <v>8377.864999999998</v>
      </c>
      <c r="V137" s="14">
        <f>INDEX(新属性投放!K$42:K$62,属性汇总!$S137)*$T137</f>
        <v>4186.6324999999997</v>
      </c>
      <c r="W137" s="14">
        <f>INDEX(新属性投放!L$42:L$62,属性汇总!$S137)*$T137</f>
        <v>44499.25</v>
      </c>
      <c r="X137" s="14">
        <f>INDEX(新属性投放!$D$42:$D$62,属性汇总!$S137)*$T137</f>
        <v>204.7</v>
      </c>
      <c r="Y137" s="14">
        <f>INDEX(新属性投放!$E$42:$E$62,属性汇总!$S137)*$T137</f>
        <v>102.35</v>
      </c>
      <c r="Z137" s="14">
        <f>INDEX(新属性投放!$F$42:$F$62,属性汇总!$S137)*$T137</f>
        <v>921.15</v>
      </c>
      <c r="AA137" s="14">
        <f>ROUND(U137+($R137-INDEX(新属性投放!$B$42:$B$62,属性汇总!$S137))*属性汇总!X137,0)</f>
        <v>8583</v>
      </c>
      <c r="AB137" s="14">
        <f>ROUND(V137+($R137-INDEX(新属性投放!$B$42:$B$62,属性汇总!$S137))*属性汇总!Y137,0)</f>
        <v>4289</v>
      </c>
      <c r="AC137" s="14">
        <f>ROUND(W137+($R137-INDEX(新属性投放!$B$42:$B$62,属性汇总!$S137))*属性汇总!Z137,0)</f>
        <v>45420</v>
      </c>
    </row>
    <row r="138" spans="1:29" ht="16.5" x14ac:dyDescent="0.2">
      <c r="A138" s="13">
        <v>122</v>
      </c>
      <c r="B138" s="13">
        <v>13</v>
      </c>
      <c r="C138" s="14">
        <f>INDEX(新属性投放!$L$6:$L$10,属性汇总!$B$3)*INDEX(新属性投放!$Q$6:$Q$10,属性汇总!$D$3)</f>
        <v>1.1499999999999999</v>
      </c>
      <c r="D138" s="14">
        <f>INDEX(新属性投放!J$14:J$34,属性汇总!$B138)*$C138</f>
        <v>8188.1149999999989</v>
      </c>
      <c r="E138" s="14">
        <f>INDEX(新属性投放!K$14:K$34,属性汇总!$B138)*$C138</f>
        <v>4072.7824999999993</v>
      </c>
      <c r="F138" s="14">
        <f>INDEX(新属性投放!L$14:L$34,属性汇总!$B138)*$C138</f>
        <v>24679.345000000001</v>
      </c>
      <c r="G138" s="14">
        <f>INDEX(新属性投放!D$14:D$34,属性汇总!$B138)*$C138</f>
        <v>204.7</v>
      </c>
      <c r="H138" s="14">
        <f>INDEX(新属性投放!E$14:E$34,属性汇总!$B138)*$C138</f>
        <v>102.35</v>
      </c>
      <c r="I138" s="14">
        <f>INDEX(新属性投放!F$14:F$34,属性汇总!$B138)*$C138</f>
        <v>614.09999999999991</v>
      </c>
      <c r="J138" s="14">
        <f>ROUND(D138+($A138-INDEX(新属性投放!$B$14:$B$34,属性汇总!$B138))*属性汇总!G138,0)</f>
        <v>8598</v>
      </c>
      <c r="K138" s="14">
        <f>ROUND(E138+($A138-INDEX(新属性投放!$B$14:$B$34,属性汇总!$B138))*属性汇总!H138,0)</f>
        <v>4277</v>
      </c>
      <c r="L138" s="14">
        <f>ROUND(F138+($A138-INDEX(新属性投放!$B$14:$B$34,属性汇总!$B138))*属性汇总!I138,0)</f>
        <v>25908</v>
      </c>
      <c r="R138" s="13">
        <v>122</v>
      </c>
      <c r="S138" s="13">
        <v>13</v>
      </c>
      <c r="T138" s="14">
        <f>INDEX(新属性投放!$L$6:$L$10,$S$3)*INDEX(新属性投放!$Q$6:$Q$10,$U$3)</f>
        <v>1.1499999999999999</v>
      </c>
      <c r="U138" s="14">
        <f>INDEX(新属性投放!J$42:J$62,属性汇总!$S138)*$T138</f>
        <v>8377.864999999998</v>
      </c>
      <c r="V138" s="14">
        <f>INDEX(新属性投放!K$42:K$62,属性汇总!$S138)*$T138</f>
        <v>4186.6324999999997</v>
      </c>
      <c r="W138" s="14">
        <f>INDEX(新属性投放!L$42:L$62,属性汇总!$S138)*$T138</f>
        <v>44499.25</v>
      </c>
      <c r="X138" s="14">
        <f>INDEX(新属性投放!$D$42:$D$62,属性汇总!$S138)*$T138</f>
        <v>204.7</v>
      </c>
      <c r="Y138" s="14">
        <f>INDEX(新属性投放!$E$42:$E$62,属性汇总!$S138)*$T138</f>
        <v>102.35</v>
      </c>
      <c r="Z138" s="14">
        <f>INDEX(新属性投放!$F$42:$F$62,属性汇总!$S138)*$T138</f>
        <v>921.15</v>
      </c>
      <c r="AA138" s="14">
        <f>ROUND(U138+($R138-INDEX(新属性投放!$B$42:$B$62,属性汇总!$S138))*属性汇总!X138,0)</f>
        <v>8787</v>
      </c>
      <c r="AB138" s="14">
        <f>ROUND(V138+($R138-INDEX(新属性投放!$B$42:$B$62,属性汇总!$S138))*属性汇总!Y138,0)</f>
        <v>4391</v>
      </c>
      <c r="AC138" s="14">
        <f>ROUND(W138+($R138-INDEX(新属性投放!$B$42:$B$62,属性汇总!$S138))*属性汇总!Z138,0)</f>
        <v>46342</v>
      </c>
    </row>
    <row r="139" spans="1:29" ht="16.5" x14ac:dyDescent="0.2">
      <c r="A139" s="13">
        <v>123</v>
      </c>
      <c r="B139" s="13">
        <v>13</v>
      </c>
      <c r="C139" s="14">
        <f>INDEX(新属性投放!$L$6:$L$10,属性汇总!$B$3)*INDEX(新属性投放!$Q$6:$Q$10,属性汇总!$D$3)</f>
        <v>1.1499999999999999</v>
      </c>
      <c r="D139" s="14">
        <f>INDEX(新属性投放!J$14:J$34,属性汇总!$B139)*$C139</f>
        <v>8188.1149999999989</v>
      </c>
      <c r="E139" s="14">
        <f>INDEX(新属性投放!K$14:K$34,属性汇总!$B139)*$C139</f>
        <v>4072.7824999999993</v>
      </c>
      <c r="F139" s="14">
        <f>INDEX(新属性投放!L$14:L$34,属性汇总!$B139)*$C139</f>
        <v>24679.345000000001</v>
      </c>
      <c r="G139" s="14">
        <f>INDEX(新属性投放!D$14:D$34,属性汇总!$B139)*$C139</f>
        <v>204.7</v>
      </c>
      <c r="H139" s="14">
        <f>INDEX(新属性投放!E$14:E$34,属性汇总!$B139)*$C139</f>
        <v>102.35</v>
      </c>
      <c r="I139" s="14">
        <f>INDEX(新属性投放!F$14:F$34,属性汇总!$B139)*$C139</f>
        <v>614.09999999999991</v>
      </c>
      <c r="J139" s="14">
        <f>ROUND(D139+($A139-INDEX(新属性投放!$B$14:$B$34,属性汇总!$B139))*属性汇总!G139,0)</f>
        <v>8802</v>
      </c>
      <c r="K139" s="14">
        <f>ROUND(E139+($A139-INDEX(新属性投放!$B$14:$B$34,属性汇总!$B139))*属性汇总!H139,0)</f>
        <v>4380</v>
      </c>
      <c r="L139" s="14">
        <f>ROUND(F139+($A139-INDEX(新属性投放!$B$14:$B$34,属性汇总!$B139))*属性汇总!I139,0)</f>
        <v>26522</v>
      </c>
      <c r="R139" s="13">
        <v>123</v>
      </c>
      <c r="S139" s="13">
        <v>13</v>
      </c>
      <c r="T139" s="14">
        <f>INDEX(新属性投放!$L$6:$L$10,$S$3)*INDEX(新属性投放!$Q$6:$Q$10,$U$3)</f>
        <v>1.1499999999999999</v>
      </c>
      <c r="U139" s="14">
        <f>INDEX(新属性投放!J$42:J$62,属性汇总!$S139)*$T139</f>
        <v>8377.864999999998</v>
      </c>
      <c r="V139" s="14">
        <f>INDEX(新属性投放!K$42:K$62,属性汇总!$S139)*$T139</f>
        <v>4186.6324999999997</v>
      </c>
      <c r="W139" s="14">
        <f>INDEX(新属性投放!L$42:L$62,属性汇总!$S139)*$T139</f>
        <v>44499.25</v>
      </c>
      <c r="X139" s="14">
        <f>INDEX(新属性投放!$D$42:$D$62,属性汇总!$S139)*$T139</f>
        <v>204.7</v>
      </c>
      <c r="Y139" s="14">
        <f>INDEX(新属性投放!$E$42:$E$62,属性汇总!$S139)*$T139</f>
        <v>102.35</v>
      </c>
      <c r="Z139" s="14">
        <f>INDEX(新属性投放!$F$42:$F$62,属性汇总!$S139)*$T139</f>
        <v>921.15</v>
      </c>
      <c r="AA139" s="14">
        <f>ROUND(U139+($R139-INDEX(新属性投放!$B$42:$B$62,属性汇总!$S139))*属性汇总!X139,0)</f>
        <v>8992</v>
      </c>
      <c r="AB139" s="14">
        <f>ROUND(V139+($R139-INDEX(新属性投放!$B$42:$B$62,属性汇总!$S139))*属性汇总!Y139,0)</f>
        <v>4494</v>
      </c>
      <c r="AC139" s="14">
        <f>ROUND(W139+($R139-INDEX(新属性投放!$B$42:$B$62,属性汇总!$S139))*属性汇总!Z139,0)</f>
        <v>47263</v>
      </c>
    </row>
    <row r="140" spans="1:29" ht="16.5" x14ac:dyDescent="0.2">
      <c r="A140" s="13">
        <v>124</v>
      </c>
      <c r="B140" s="13">
        <v>13</v>
      </c>
      <c r="C140" s="14">
        <f>INDEX(新属性投放!$L$6:$L$10,属性汇总!$B$3)*INDEX(新属性投放!$Q$6:$Q$10,属性汇总!$D$3)</f>
        <v>1.1499999999999999</v>
      </c>
      <c r="D140" s="14">
        <f>INDEX(新属性投放!J$14:J$34,属性汇总!$B140)*$C140</f>
        <v>8188.1149999999989</v>
      </c>
      <c r="E140" s="14">
        <f>INDEX(新属性投放!K$14:K$34,属性汇总!$B140)*$C140</f>
        <v>4072.7824999999993</v>
      </c>
      <c r="F140" s="14">
        <f>INDEX(新属性投放!L$14:L$34,属性汇总!$B140)*$C140</f>
        <v>24679.345000000001</v>
      </c>
      <c r="G140" s="14">
        <f>INDEX(新属性投放!D$14:D$34,属性汇总!$B140)*$C140</f>
        <v>204.7</v>
      </c>
      <c r="H140" s="14">
        <f>INDEX(新属性投放!E$14:E$34,属性汇总!$B140)*$C140</f>
        <v>102.35</v>
      </c>
      <c r="I140" s="14">
        <f>INDEX(新属性投放!F$14:F$34,属性汇总!$B140)*$C140</f>
        <v>614.09999999999991</v>
      </c>
      <c r="J140" s="14">
        <f>ROUND(D140+($A140-INDEX(新属性投放!$B$14:$B$34,属性汇总!$B140))*属性汇总!G140,0)</f>
        <v>9007</v>
      </c>
      <c r="K140" s="14">
        <f>ROUND(E140+($A140-INDEX(新属性投放!$B$14:$B$34,属性汇总!$B140))*属性汇总!H140,0)</f>
        <v>4482</v>
      </c>
      <c r="L140" s="14">
        <f>ROUND(F140+($A140-INDEX(新属性投放!$B$14:$B$34,属性汇总!$B140))*属性汇总!I140,0)</f>
        <v>27136</v>
      </c>
      <c r="R140" s="13">
        <v>124</v>
      </c>
      <c r="S140" s="13">
        <v>13</v>
      </c>
      <c r="T140" s="14">
        <f>INDEX(新属性投放!$L$6:$L$10,$S$3)*INDEX(新属性投放!$Q$6:$Q$10,$U$3)</f>
        <v>1.1499999999999999</v>
      </c>
      <c r="U140" s="14">
        <f>INDEX(新属性投放!J$42:J$62,属性汇总!$S140)*$T140</f>
        <v>8377.864999999998</v>
      </c>
      <c r="V140" s="14">
        <f>INDEX(新属性投放!K$42:K$62,属性汇总!$S140)*$T140</f>
        <v>4186.6324999999997</v>
      </c>
      <c r="W140" s="14">
        <f>INDEX(新属性投放!L$42:L$62,属性汇总!$S140)*$T140</f>
        <v>44499.25</v>
      </c>
      <c r="X140" s="14">
        <f>INDEX(新属性投放!$D$42:$D$62,属性汇总!$S140)*$T140</f>
        <v>204.7</v>
      </c>
      <c r="Y140" s="14">
        <f>INDEX(新属性投放!$E$42:$E$62,属性汇总!$S140)*$T140</f>
        <v>102.35</v>
      </c>
      <c r="Z140" s="14">
        <f>INDEX(新属性投放!$F$42:$F$62,属性汇总!$S140)*$T140</f>
        <v>921.15</v>
      </c>
      <c r="AA140" s="14">
        <f>ROUND(U140+($R140-INDEX(新属性投放!$B$42:$B$62,属性汇总!$S140))*属性汇总!X140,0)</f>
        <v>9197</v>
      </c>
      <c r="AB140" s="14">
        <f>ROUND(V140+($R140-INDEX(新属性投放!$B$42:$B$62,属性汇总!$S140))*属性汇总!Y140,0)</f>
        <v>4596</v>
      </c>
      <c r="AC140" s="14">
        <f>ROUND(W140+($R140-INDEX(新属性投放!$B$42:$B$62,属性汇总!$S140))*属性汇总!Z140,0)</f>
        <v>48184</v>
      </c>
    </row>
    <row r="141" spans="1:29" ht="16.5" x14ac:dyDescent="0.2">
      <c r="A141" s="13">
        <v>125</v>
      </c>
      <c r="B141" s="13">
        <v>13</v>
      </c>
      <c r="C141" s="14">
        <f>INDEX(新属性投放!$L$6:$L$10,属性汇总!$B$3)*INDEX(新属性投放!$Q$6:$Q$10,属性汇总!$D$3)</f>
        <v>1.1499999999999999</v>
      </c>
      <c r="D141" s="14">
        <f>INDEX(新属性投放!J$14:J$34,属性汇总!$B141)*$C141</f>
        <v>8188.1149999999989</v>
      </c>
      <c r="E141" s="14">
        <f>INDEX(新属性投放!K$14:K$34,属性汇总!$B141)*$C141</f>
        <v>4072.7824999999993</v>
      </c>
      <c r="F141" s="14">
        <f>INDEX(新属性投放!L$14:L$34,属性汇总!$B141)*$C141</f>
        <v>24679.345000000001</v>
      </c>
      <c r="G141" s="14">
        <f>INDEX(新属性投放!D$14:D$34,属性汇总!$B141)*$C141</f>
        <v>204.7</v>
      </c>
      <c r="H141" s="14">
        <f>INDEX(新属性投放!E$14:E$34,属性汇总!$B141)*$C141</f>
        <v>102.35</v>
      </c>
      <c r="I141" s="14">
        <f>INDEX(新属性投放!F$14:F$34,属性汇总!$B141)*$C141</f>
        <v>614.09999999999991</v>
      </c>
      <c r="J141" s="14">
        <f>ROUND(D141+($A141-INDEX(新属性投放!$B$14:$B$34,属性汇总!$B141))*属性汇总!G141,0)</f>
        <v>9212</v>
      </c>
      <c r="K141" s="14">
        <f>ROUND(E141+($A141-INDEX(新属性投放!$B$14:$B$34,属性汇总!$B141))*属性汇总!H141,0)</f>
        <v>4585</v>
      </c>
      <c r="L141" s="14">
        <f>ROUND(F141+($A141-INDEX(新属性投放!$B$14:$B$34,属性汇总!$B141))*属性汇总!I141,0)</f>
        <v>27750</v>
      </c>
      <c r="R141" s="13">
        <v>125</v>
      </c>
      <c r="S141" s="13">
        <v>13</v>
      </c>
      <c r="T141" s="14">
        <f>INDEX(新属性投放!$L$6:$L$10,$S$3)*INDEX(新属性投放!$Q$6:$Q$10,$U$3)</f>
        <v>1.1499999999999999</v>
      </c>
      <c r="U141" s="14">
        <f>INDEX(新属性投放!J$42:J$62,属性汇总!$S141)*$T141</f>
        <v>8377.864999999998</v>
      </c>
      <c r="V141" s="14">
        <f>INDEX(新属性投放!K$42:K$62,属性汇总!$S141)*$T141</f>
        <v>4186.6324999999997</v>
      </c>
      <c r="W141" s="14">
        <f>INDEX(新属性投放!L$42:L$62,属性汇总!$S141)*$T141</f>
        <v>44499.25</v>
      </c>
      <c r="X141" s="14">
        <f>INDEX(新属性投放!$D$42:$D$62,属性汇总!$S141)*$T141</f>
        <v>204.7</v>
      </c>
      <c r="Y141" s="14">
        <f>INDEX(新属性投放!$E$42:$E$62,属性汇总!$S141)*$T141</f>
        <v>102.35</v>
      </c>
      <c r="Z141" s="14">
        <f>INDEX(新属性投放!$F$42:$F$62,属性汇总!$S141)*$T141</f>
        <v>921.15</v>
      </c>
      <c r="AA141" s="14">
        <f>ROUND(U141+($R141-INDEX(新属性投放!$B$42:$B$62,属性汇总!$S141))*属性汇总!X141,0)</f>
        <v>9401</v>
      </c>
      <c r="AB141" s="14">
        <f>ROUND(V141+($R141-INDEX(新属性投放!$B$42:$B$62,属性汇总!$S141))*属性汇总!Y141,0)</f>
        <v>4698</v>
      </c>
      <c r="AC141" s="14">
        <f>ROUND(W141+($R141-INDEX(新属性投放!$B$42:$B$62,属性汇总!$S141))*属性汇总!Z141,0)</f>
        <v>49105</v>
      </c>
    </row>
    <row r="142" spans="1:29" ht="16.5" x14ac:dyDescent="0.2">
      <c r="A142" s="13">
        <v>126</v>
      </c>
      <c r="B142" s="13">
        <v>13</v>
      </c>
      <c r="C142" s="14">
        <f>INDEX(新属性投放!$L$6:$L$10,属性汇总!$B$3)*INDEX(新属性投放!$Q$6:$Q$10,属性汇总!$D$3)</f>
        <v>1.1499999999999999</v>
      </c>
      <c r="D142" s="14">
        <f>INDEX(新属性投放!J$14:J$34,属性汇总!$B142)*$C142</f>
        <v>8188.1149999999989</v>
      </c>
      <c r="E142" s="14">
        <f>INDEX(新属性投放!K$14:K$34,属性汇总!$B142)*$C142</f>
        <v>4072.7824999999993</v>
      </c>
      <c r="F142" s="14">
        <f>INDEX(新属性投放!L$14:L$34,属性汇总!$B142)*$C142</f>
        <v>24679.345000000001</v>
      </c>
      <c r="G142" s="14">
        <f>INDEX(新属性投放!D$14:D$34,属性汇总!$B142)*$C142</f>
        <v>204.7</v>
      </c>
      <c r="H142" s="14">
        <f>INDEX(新属性投放!E$14:E$34,属性汇总!$B142)*$C142</f>
        <v>102.35</v>
      </c>
      <c r="I142" s="14">
        <f>INDEX(新属性投放!F$14:F$34,属性汇总!$B142)*$C142</f>
        <v>614.09999999999991</v>
      </c>
      <c r="J142" s="14">
        <f>ROUND(D142+($A142-INDEX(新属性投放!$B$14:$B$34,属性汇总!$B142))*属性汇总!G142,0)</f>
        <v>9416</v>
      </c>
      <c r="K142" s="14">
        <f>ROUND(E142+($A142-INDEX(新属性投放!$B$14:$B$34,属性汇总!$B142))*属性汇总!H142,0)</f>
        <v>4687</v>
      </c>
      <c r="L142" s="14">
        <f>ROUND(F142+($A142-INDEX(新属性投放!$B$14:$B$34,属性汇总!$B142))*属性汇总!I142,0)</f>
        <v>28364</v>
      </c>
      <c r="R142" s="13">
        <v>126</v>
      </c>
      <c r="S142" s="13">
        <v>13</v>
      </c>
      <c r="T142" s="14">
        <f>INDEX(新属性投放!$L$6:$L$10,$S$3)*INDEX(新属性投放!$Q$6:$Q$10,$U$3)</f>
        <v>1.1499999999999999</v>
      </c>
      <c r="U142" s="14">
        <f>INDEX(新属性投放!J$42:J$62,属性汇总!$S142)*$T142</f>
        <v>8377.864999999998</v>
      </c>
      <c r="V142" s="14">
        <f>INDEX(新属性投放!K$42:K$62,属性汇总!$S142)*$T142</f>
        <v>4186.6324999999997</v>
      </c>
      <c r="W142" s="14">
        <f>INDEX(新属性投放!L$42:L$62,属性汇总!$S142)*$T142</f>
        <v>44499.25</v>
      </c>
      <c r="X142" s="14">
        <f>INDEX(新属性投放!$D$42:$D$62,属性汇总!$S142)*$T142</f>
        <v>204.7</v>
      </c>
      <c r="Y142" s="14">
        <f>INDEX(新属性投放!$E$42:$E$62,属性汇总!$S142)*$T142</f>
        <v>102.35</v>
      </c>
      <c r="Z142" s="14">
        <f>INDEX(新属性投放!$F$42:$F$62,属性汇总!$S142)*$T142</f>
        <v>921.15</v>
      </c>
      <c r="AA142" s="14">
        <f>ROUND(U142+($R142-INDEX(新属性投放!$B$42:$B$62,属性汇总!$S142))*属性汇总!X142,0)</f>
        <v>9606</v>
      </c>
      <c r="AB142" s="14">
        <f>ROUND(V142+($R142-INDEX(新属性投放!$B$42:$B$62,属性汇总!$S142))*属性汇总!Y142,0)</f>
        <v>4801</v>
      </c>
      <c r="AC142" s="14">
        <f>ROUND(W142+($R142-INDEX(新属性投放!$B$42:$B$62,属性汇总!$S142))*属性汇总!Z142,0)</f>
        <v>50026</v>
      </c>
    </row>
    <row r="143" spans="1:29" s="20" customFormat="1" ht="16.5" x14ac:dyDescent="0.2">
      <c r="A143" s="13">
        <v>127</v>
      </c>
      <c r="B143" s="13">
        <v>13</v>
      </c>
      <c r="C143" s="14">
        <f>INDEX(新属性投放!$L$6:$L$10,属性汇总!$B$3)*INDEX(新属性投放!$Q$6:$Q$10,属性汇总!$D$3)</f>
        <v>1.1499999999999999</v>
      </c>
      <c r="D143" s="14">
        <f>INDEX(新属性投放!J$14:J$34,属性汇总!$B143)*$C143</f>
        <v>8188.1149999999989</v>
      </c>
      <c r="E143" s="14">
        <f>INDEX(新属性投放!K$14:K$34,属性汇总!$B143)*$C143</f>
        <v>4072.7824999999993</v>
      </c>
      <c r="F143" s="14">
        <f>INDEX(新属性投放!L$14:L$34,属性汇总!$B143)*$C143</f>
        <v>24679.345000000001</v>
      </c>
      <c r="G143" s="14">
        <f>INDEX(新属性投放!D$14:D$34,属性汇总!$B143)*$C143</f>
        <v>204.7</v>
      </c>
      <c r="H143" s="14">
        <f>INDEX(新属性投放!E$14:E$34,属性汇总!$B143)*$C143</f>
        <v>102.35</v>
      </c>
      <c r="I143" s="14">
        <f>INDEX(新属性投放!F$14:F$34,属性汇总!$B143)*$C143</f>
        <v>614.09999999999991</v>
      </c>
      <c r="J143" s="14">
        <f>ROUND(D143+($A143-INDEX(新属性投放!$B$14:$B$34,属性汇总!$B143))*属性汇总!G143,0)</f>
        <v>9621</v>
      </c>
      <c r="K143" s="14">
        <f>ROUND(E143+($A143-INDEX(新属性投放!$B$14:$B$34,属性汇总!$B143))*属性汇总!H143,0)</f>
        <v>4789</v>
      </c>
      <c r="L143" s="14">
        <f>ROUND(F143+($A143-INDEX(新属性投放!$B$14:$B$34,属性汇总!$B143))*属性汇总!I143,0)</f>
        <v>28978</v>
      </c>
      <c r="N143" s="37"/>
      <c r="O143" s="37"/>
      <c r="P143" s="37"/>
      <c r="R143" s="13">
        <v>127</v>
      </c>
      <c r="S143" s="13">
        <v>13</v>
      </c>
      <c r="T143" s="14">
        <f>INDEX(新属性投放!$L$6:$L$10,$S$3)*INDEX(新属性投放!$Q$6:$Q$10,$U$3)</f>
        <v>1.1499999999999999</v>
      </c>
      <c r="U143" s="14">
        <f>INDEX(新属性投放!J$42:J$62,属性汇总!$S143)*$T143</f>
        <v>8377.864999999998</v>
      </c>
      <c r="V143" s="14">
        <f>INDEX(新属性投放!K$42:K$62,属性汇总!$S143)*$T143</f>
        <v>4186.6324999999997</v>
      </c>
      <c r="W143" s="14">
        <f>INDEX(新属性投放!L$42:L$62,属性汇总!$S143)*$T143</f>
        <v>44499.25</v>
      </c>
      <c r="X143" s="14">
        <f>INDEX(新属性投放!$D$42:$D$62,属性汇总!$S143)*$T143</f>
        <v>204.7</v>
      </c>
      <c r="Y143" s="14">
        <f>INDEX(新属性投放!$E$42:$E$62,属性汇总!$S143)*$T143</f>
        <v>102.35</v>
      </c>
      <c r="Z143" s="14">
        <f>INDEX(新属性投放!$F$42:$F$62,属性汇总!$S143)*$T143</f>
        <v>921.15</v>
      </c>
      <c r="AA143" s="14">
        <f>ROUND(U143+($R143-INDEX(新属性投放!$B$42:$B$62,属性汇总!$S143))*属性汇总!X143,0)</f>
        <v>9811</v>
      </c>
      <c r="AB143" s="14">
        <f>ROUND(V143+($R143-INDEX(新属性投放!$B$42:$B$62,属性汇总!$S143))*属性汇总!Y143,0)</f>
        <v>4903</v>
      </c>
      <c r="AC143" s="14">
        <f>ROUND(W143+($R143-INDEX(新属性投放!$B$42:$B$62,属性汇总!$S143))*属性汇总!Z143,0)</f>
        <v>50947</v>
      </c>
    </row>
    <row r="144" spans="1:29" ht="16.5" x14ac:dyDescent="0.2">
      <c r="A144" s="13">
        <v>128</v>
      </c>
      <c r="B144" s="13">
        <v>13</v>
      </c>
      <c r="C144" s="14">
        <f>INDEX(新属性投放!$L$6:$L$10,属性汇总!$B$3)*INDEX(新属性投放!$Q$6:$Q$10,属性汇总!$D$3)</f>
        <v>1.1499999999999999</v>
      </c>
      <c r="D144" s="14">
        <f>INDEX(新属性投放!J$14:J$34,属性汇总!$B144)*$C144</f>
        <v>8188.1149999999989</v>
      </c>
      <c r="E144" s="14">
        <f>INDEX(新属性投放!K$14:K$34,属性汇总!$B144)*$C144</f>
        <v>4072.7824999999993</v>
      </c>
      <c r="F144" s="14">
        <f>INDEX(新属性投放!L$14:L$34,属性汇总!$B144)*$C144</f>
        <v>24679.345000000001</v>
      </c>
      <c r="G144" s="14">
        <f>INDEX(新属性投放!D$14:D$34,属性汇总!$B144)*$C144</f>
        <v>204.7</v>
      </c>
      <c r="H144" s="14">
        <f>INDEX(新属性投放!E$14:E$34,属性汇总!$B144)*$C144</f>
        <v>102.35</v>
      </c>
      <c r="I144" s="14">
        <f>INDEX(新属性投放!F$14:F$34,属性汇总!$B144)*$C144</f>
        <v>614.09999999999991</v>
      </c>
      <c r="J144" s="14">
        <f>ROUND(D144+($A144-INDEX(新属性投放!$B$14:$B$34,属性汇总!$B144))*属性汇总!G144,0)</f>
        <v>9826</v>
      </c>
      <c r="K144" s="14">
        <f>ROUND(E144+($A144-INDEX(新属性投放!$B$14:$B$34,属性汇总!$B144))*属性汇总!H144,0)</f>
        <v>4892</v>
      </c>
      <c r="L144" s="14">
        <f>ROUND(F144+($A144-INDEX(新属性投放!$B$14:$B$34,属性汇总!$B144))*属性汇总!I144,0)</f>
        <v>29592</v>
      </c>
      <c r="R144" s="13">
        <v>128</v>
      </c>
      <c r="S144" s="13">
        <v>13</v>
      </c>
      <c r="T144" s="14">
        <f>INDEX(新属性投放!$L$6:$L$10,$S$3)*INDEX(新属性投放!$Q$6:$Q$10,$U$3)</f>
        <v>1.1499999999999999</v>
      </c>
      <c r="U144" s="14">
        <f>INDEX(新属性投放!J$42:J$62,属性汇总!$S144)*$T144</f>
        <v>8377.864999999998</v>
      </c>
      <c r="V144" s="14">
        <f>INDEX(新属性投放!K$42:K$62,属性汇总!$S144)*$T144</f>
        <v>4186.6324999999997</v>
      </c>
      <c r="W144" s="14">
        <f>INDEX(新属性投放!L$42:L$62,属性汇总!$S144)*$T144</f>
        <v>44499.25</v>
      </c>
      <c r="X144" s="14">
        <f>INDEX(新属性投放!$D$42:$D$62,属性汇总!$S144)*$T144</f>
        <v>204.7</v>
      </c>
      <c r="Y144" s="14">
        <f>INDEX(新属性投放!$E$42:$E$62,属性汇总!$S144)*$T144</f>
        <v>102.35</v>
      </c>
      <c r="Z144" s="14">
        <f>INDEX(新属性投放!$F$42:$F$62,属性汇总!$S144)*$T144</f>
        <v>921.15</v>
      </c>
      <c r="AA144" s="14">
        <f>ROUND(U144+($R144-INDEX(新属性投放!$B$42:$B$62,属性汇总!$S144))*属性汇总!X144,0)</f>
        <v>10015</v>
      </c>
      <c r="AB144" s="14">
        <f>ROUND(V144+($R144-INDEX(新属性投放!$B$42:$B$62,属性汇总!$S144))*属性汇总!Y144,0)</f>
        <v>5005</v>
      </c>
      <c r="AC144" s="14">
        <f>ROUND(W144+($R144-INDEX(新属性投放!$B$42:$B$62,属性汇总!$S144))*属性汇总!Z144,0)</f>
        <v>51868</v>
      </c>
    </row>
    <row r="145" spans="1:29" ht="16.5" x14ac:dyDescent="0.2">
      <c r="A145" s="13">
        <v>129</v>
      </c>
      <c r="B145" s="13">
        <v>13</v>
      </c>
      <c r="C145" s="14">
        <f>INDEX(新属性投放!$L$6:$L$10,属性汇总!$B$3)*INDEX(新属性投放!$Q$6:$Q$10,属性汇总!$D$3)</f>
        <v>1.1499999999999999</v>
      </c>
      <c r="D145" s="14">
        <f>INDEX(新属性投放!J$14:J$34,属性汇总!$B145)*$C145</f>
        <v>8188.1149999999989</v>
      </c>
      <c r="E145" s="14">
        <f>INDEX(新属性投放!K$14:K$34,属性汇总!$B145)*$C145</f>
        <v>4072.7824999999993</v>
      </c>
      <c r="F145" s="14">
        <f>INDEX(新属性投放!L$14:L$34,属性汇总!$B145)*$C145</f>
        <v>24679.345000000001</v>
      </c>
      <c r="G145" s="14">
        <f>INDEX(新属性投放!D$14:D$34,属性汇总!$B145)*$C145</f>
        <v>204.7</v>
      </c>
      <c r="H145" s="14">
        <f>INDEX(新属性投放!E$14:E$34,属性汇总!$B145)*$C145</f>
        <v>102.35</v>
      </c>
      <c r="I145" s="14">
        <f>INDEX(新属性投放!F$14:F$34,属性汇总!$B145)*$C145</f>
        <v>614.09999999999991</v>
      </c>
      <c r="J145" s="14">
        <f>ROUND(D145+($A145-INDEX(新属性投放!$B$14:$B$34,属性汇总!$B145))*属性汇总!G145,0)</f>
        <v>10030</v>
      </c>
      <c r="K145" s="14">
        <f>ROUND(E145+($A145-INDEX(新属性投放!$B$14:$B$34,属性汇总!$B145))*属性汇总!H145,0)</f>
        <v>4994</v>
      </c>
      <c r="L145" s="14">
        <f>ROUND(F145+($A145-INDEX(新属性投放!$B$14:$B$34,属性汇总!$B145))*属性汇总!I145,0)</f>
        <v>30206</v>
      </c>
      <c r="R145" s="13">
        <v>129</v>
      </c>
      <c r="S145" s="13">
        <v>13</v>
      </c>
      <c r="T145" s="14">
        <f>INDEX(新属性投放!$L$6:$L$10,$S$3)*INDEX(新属性投放!$Q$6:$Q$10,$U$3)</f>
        <v>1.1499999999999999</v>
      </c>
      <c r="U145" s="14">
        <f>INDEX(新属性投放!J$42:J$62,属性汇总!$S145)*$T145</f>
        <v>8377.864999999998</v>
      </c>
      <c r="V145" s="14">
        <f>INDEX(新属性投放!K$42:K$62,属性汇总!$S145)*$T145</f>
        <v>4186.6324999999997</v>
      </c>
      <c r="W145" s="14">
        <f>INDEX(新属性投放!L$42:L$62,属性汇总!$S145)*$T145</f>
        <v>44499.25</v>
      </c>
      <c r="X145" s="14">
        <f>INDEX(新属性投放!$D$42:$D$62,属性汇总!$S145)*$T145</f>
        <v>204.7</v>
      </c>
      <c r="Y145" s="14">
        <f>INDEX(新属性投放!$E$42:$E$62,属性汇总!$S145)*$T145</f>
        <v>102.35</v>
      </c>
      <c r="Z145" s="14">
        <f>INDEX(新属性投放!$F$42:$F$62,属性汇总!$S145)*$T145</f>
        <v>921.15</v>
      </c>
      <c r="AA145" s="14">
        <f>ROUND(U145+($R145-INDEX(新属性投放!$B$42:$B$62,属性汇总!$S145))*属性汇总!X145,0)</f>
        <v>10220</v>
      </c>
      <c r="AB145" s="14">
        <f>ROUND(V145+($R145-INDEX(新属性投放!$B$42:$B$62,属性汇总!$S145))*属性汇总!Y145,0)</f>
        <v>5108</v>
      </c>
      <c r="AC145" s="14">
        <f>ROUND(W145+($R145-INDEX(新属性投放!$B$42:$B$62,属性汇总!$S145))*属性汇总!Z145,0)</f>
        <v>52790</v>
      </c>
    </row>
    <row r="146" spans="1:29" ht="16.5" x14ac:dyDescent="0.2">
      <c r="A146" s="13">
        <v>130</v>
      </c>
      <c r="B146" s="13">
        <v>13</v>
      </c>
      <c r="C146" s="14">
        <f>INDEX(新属性投放!$L$6:$L$10,属性汇总!$B$3)*INDEX(新属性投放!$Q$6:$Q$10,属性汇总!$D$3)</f>
        <v>1.1499999999999999</v>
      </c>
      <c r="D146" s="14">
        <f>INDEX(新属性投放!J$14:J$34,属性汇总!$B146)*$C146</f>
        <v>8188.1149999999989</v>
      </c>
      <c r="E146" s="14">
        <f>INDEX(新属性投放!K$14:K$34,属性汇总!$B146)*$C146</f>
        <v>4072.7824999999993</v>
      </c>
      <c r="F146" s="14">
        <f>INDEX(新属性投放!L$14:L$34,属性汇总!$B146)*$C146</f>
        <v>24679.345000000001</v>
      </c>
      <c r="G146" s="14">
        <f>INDEX(新属性投放!D$14:D$34,属性汇总!$B146)*$C146</f>
        <v>204.7</v>
      </c>
      <c r="H146" s="14">
        <f>INDEX(新属性投放!E$14:E$34,属性汇总!$B146)*$C146</f>
        <v>102.35</v>
      </c>
      <c r="I146" s="14">
        <f>INDEX(新属性投放!F$14:F$34,属性汇总!$B146)*$C146</f>
        <v>614.09999999999991</v>
      </c>
      <c r="J146" s="14">
        <f>ROUND(D146+($A146-INDEX(新属性投放!$B$14:$B$34,属性汇总!$B146))*属性汇总!G146,0)</f>
        <v>10235</v>
      </c>
      <c r="K146" s="14">
        <f>ROUND(E146+($A146-INDEX(新属性投放!$B$14:$B$34,属性汇总!$B146))*属性汇总!H146,0)</f>
        <v>5096</v>
      </c>
      <c r="L146" s="14">
        <f>ROUND(F146+($A146-INDEX(新属性投放!$B$14:$B$34,属性汇总!$B146))*属性汇总!I146,0)</f>
        <v>30820</v>
      </c>
      <c r="R146" s="13">
        <v>130</v>
      </c>
      <c r="S146" s="13">
        <v>13</v>
      </c>
      <c r="T146" s="14">
        <f>INDEX(新属性投放!$L$6:$L$10,$S$3)*INDEX(新属性投放!$Q$6:$Q$10,$U$3)</f>
        <v>1.1499999999999999</v>
      </c>
      <c r="U146" s="14">
        <f>INDEX(新属性投放!J$42:J$62,属性汇总!$S146)*$T146</f>
        <v>8377.864999999998</v>
      </c>
      <c r="V146" s="14">
        <f>INDEX(新属性投放!K$42:K$62,属性汇总!$S146)*$T146</f>
        <v>4186.6324999999997</v>
      </c>
      <c r="W146" s="14">
        <f>INDEX(新属性投放!L$42:L$62,属性汇总!$S146)*$T146</f>
        <v>44499.25</v>
      </c>
      <c r="X146" s="14">
        <f>INDEX(新属性投放!$D$42:$D$62,属性汇总!$S146)*$T146</f>
        <v>204.7</v>
      </c>
      <c r="Y146" s="14">
        <f>INDEX(新属性投放!$E$42:$E$62,属性汇总!$S146)*$T146</f>
        <v>102.35</v>
      </c>
      <c r="Z146" s="14">
        <f>INDEX(新属性投放!$F$42:$F$62,属性汇总!$S146)*$T146</f>
        <v>921.15</v>
      </c>
      <c r="AA146" s="14">
        <f>ROUND(U146+($R146-INDEX(新属性投放!$B$42:$B$62,属性汇总!$S146))*属性汇总!X146,0)</f>
        <v>10425</v>
      </c>
      <c r="AB146" s="14">
        <f>ROUND(V146+($R146-INDEX(新属性投放!$B$42:$B$62,属性汇总!$S146))*属性汇总!Y146,0)</f>
        <v>5210</v>
      </c>
      <c r="AC146" s="14">
        <f>ROUND(W146+($R146-INDEX(新属性投放!$B$42:$B$62,属性汇总!$S146))*属性汇总!Z146,0)</f>
        <v>53711</v>
      </c>
    </row>
    <row r="147" spans="1:29" s="37" customFormat="1" ht="16.5" x14ac:dyDescent="0.2">
      <c r="A147" s="13">
        <v>130</v>
      </c>
      <c r="B147" s="13">
        <v>14</v>
      </c>
      <c r="C147" s="14">
        <f>INDEX(新属性投放!$L$6:$L$10,属性汇总!$B$3)*INDEX(新属性投放!$Q$6:$Q$10,属性汇总!$D$3)</f>
        <v>1.1499999999999999</v>
      </c>
      <c r="D147" s="14">
        <f>INDEX(新属性投放!J$14:J$34,属性汇总!$B147)*$C147</f>
        <v>10746.864999999998</v>
      </c>
      <c r="E147" s="14">
        <f>INDEX(新属性投放!K$14:K$34,属性汇总!$B147)*$C147</f>
        <v>5352.7324999999992</v>
      </c>
      <c r="F147" s="14">
        <f>INDEX(新属性投放!L$14:L$34,属性汇总!$B147)*$C147</f>
        <v>32355.595000000001</v>
      </c>
      <c r="G147" s="14">
        <f>INDEX(新属性投放!D$14:D$34,属性汇总!$B147)*$C147</f>
        <v>268.67449999999997</v>
      </c>
      <c r="H147" s="14">
        <f>INDEX(新属性投放!E$14:E$34,属性汇总!$B147)*$C147</f>
        <v>134.33724999999998</v>
      </c>
      <c r="I147" s="14">
        <f>INDEX(新属性投放!F$14:F$34,属性汇总!$B147)*$C147</f>
        <v>806.0234999999999</v>
      </c>
      <c r="J147" s="14">
        <f>ROUND(D147+($A147-INDEX(新属性投放!$B$14:$B$34,属性汇总!$B147))*属性汇总!G147,0)</f>
        <v>10747</v>
      </c>
      <c r="K147" s="14">
        <f>ROUND(E147+($A147-INDEX(新属性投放!$B$14:$B$34,属性汇总!$B147))*属性汇总!H147,0)</f>
        <v>5353</v>
      </c>
      <c r="L147" s="14">
        <f>ROUND(F147+($A147-INDEX(新属性投放!$B$14:$B$34,属性汇总!$B147))*属性汇总!I147,0)</f>
        <v>32356</v>
      </c>
      <c r="R147" s="13">
        <v>130</v>
      </c>
      <c r="S147" s="13">
        <v>14</v>
      </c>
      <c r="T147" s="14">
        <f>INDEX(新属性投放!$L$6:$L$10,$S$3)*INDEX(新属性投放!$Q$6:$Q$10,$U$3)</f>
        <v>1.1499999999999999</v>
      </c>
      <c r="U147" s="14">
        <f>INDEX(新属性投放!J$42:J$62,属性汇总!$S147)*$T147</f>
        <v>10936.614999999998</v>
      </c>
      <c r="V147" s="14">
        <f>INDEX(新属性投放!K$42:K$62,属性汇总!$S147)*$T147</f>
        <v>5466.5824999999986</v>
      </c>
      <c r="W147" s="14">
        <f>INDEX(新属性投放!L$42:L$62,属性汇总!$S147)*$T147</f>
        <v>58316.499999999993</v>
      </c>
      <c r="X147" s="14">
        <f>INDEX(新属性投放!$D$42:$D$62,属性汇总!$S147)*$T147</f>
        <v>268.67449999999997</v>
      </c>
      <c r="Y147" s="14">
        <f>INDEX(新属性投放!$E$42:$E$62,属性汇总!$S147)*$T147</f>
        <v>134.33724999999998</v>
      </c>
      <c r="Z147" s="14">
        <f>INDEX(新属性投放!$F$42:$F$62,属性汇总!$S147)*$T147</f>
        <v>1208.6499999999999</v>
      </c>
      <c r="AA147" s="14">
        <f>ROUND(U147+($R147-INDEX(新属性投放!$B$42:$B$62,属性汇总!$S147))*属性汇总!X147,0)</f>
        <v>10937</v>
      </c>
      <c r="AB147" s="14">
        <f>ROUND(V147+($R147-INDEX(新属性投放!$B$42:$B$62,属性汇总!$S147))*属性汇总!Y147,0)</f>
        <v>5467</v>
      </c>
      <c r="AC147" s="14">
        <f>ROUND(W147+($R147-INDEX(新属性投放!$B$42:$B$62,属性汇总!$S147))*属性汇总!Z147,0)</f>
        <v>58317</v>
      </c>
    </row>
    <row r="148" spans="1:29" ht="16.5" x14ac:dyDescent="0.2">
      <c r="A148" s="13">
        <v>131</v>
      </c>
      <c r="B148" s="13">
        <v>14</v>
      </c>
      <c r="C148" s="14">
        <f>INDEX(新属性投放!$L$6:$L$10,属性汇总!$B$3)*INDEX(新属性投放!$Q$6:$Q$10,属性汇总!$D$3)</f>
        <v>1.1499999999999999</v>
      </c>
      <c r="D148" s="14">
        <f>INDEX(新属性投放!J$14:J$34,属性汇总!$B148)*$C148</f>
        <v>10746.864999999998</v>
      </c>
      <c r="E148" s="14">
        <f>INDEX(新属性投放!K$14:K$34,属性汇总!$B148)*$C148</f>
        <v>5352.7324999999992</v>
      </c>
      <c r="F148" s="14">
        <f>INDEX(新属性投放!L$14:L$34,属性汇总!$B148)*$C148</f>
        <v>32355.595000000001</v>
      </c>
      <c r="G148" s="14">
        <f>INDEX(新属性投放!D$14:D$34,属性汇总!$B148)*$C148</f>
        <v>268.67449999999997</v>
      </c>
      <c r="H148" s="14">
        <f>INDEX(新属性投放!E$14:E$34,属性汇总!$B148)*$C148</f>
        <v>134.33724999999998</v>
      </c>
      <c r="I148" s="14">
        <f>INDEX(新属性投放!F$14:F$34,属性汇总!$B148)*$C148</f>
        <v>806.0234999999999</v>
      </c>
      <c r="J148" s="14">
        <f>ROUND(D148+($A148-INDEX(新属性投放!$B$14:$B$34,属性汇总!$B148))*属性汇总!G148,0)</f>
        <v>11016</v>
      </c>
      <c r="K148" s="14">
        <f>ROUND(E148+($A148-INDEX(新属性投放!$B$14:$B$34,属性汇总!$B148))*属性汇总!H148,0)</f>
        <v>5487</v>
      </c>
      <c r="L148" s="14">
        <f>ROUND(F148+($A148-INDEX(新属性投放!$B$14:$B$34,属性汇总!$B148))*属性汇总!I148,0)</f>
        <v>33162</v>
      </c>
      <c r="R148" s="13">
        <v>131</v>
      </c>
      <c r="S148" s="13">
        <v>14</v>
      </c>
      <c r="T148" s="14">
        <f>INDEX(新属性投放!$L$6:$L$10,$S$3)*INDEX(新属性投放!$Q$6:$Q$10,$U$3)</f>
        <v>1.1499999999999999</v>
      </c>
      <c r="U148" s="14">
        <f>INDEX(新属性投放!J$42:J$62,属性汇总!$S148)*$T148</f>
        <v>10936.614999999998</v>
      </c>
      <c r="V148" s="14">
        <f>INDEX(新属性投放!K$42:K$62,属性汇总!$S148)*$T148</f>
        <v>5466.5824999999986</v>
      </c>
      <c r="W148" s="14">
        <f>INDEX(新属性投放!L$42:L$62,属性汇总!$S148)*$T148</f>
        <v>58316.499999999993</v>
      </c>
      <c r="X148" s="14">
        <f>INDEX(新属性投放!$D$42:$D$62,属性汇总!$S148)*$T148</f>
        <v>268.67449999999997</v>
      </c>
      <c r="Y148" s="14">
        <f>INDEX(新属性投放!$E$42:$E$62,属性汇总!$S148)*$T148</f>
        <v>134.33724999999998</v>
      </c>
      <c r="Z148" s="14">
        <f>INDEX(新属性投放!$F$42:$F$62,属性汇总!$S148)*$T148</f>
        <v>1208.6499999999999</v>
      </c>
      <c r="AA148" s="14">
        <f>ROUND(U148+($R148-INDEX(新属性投放!$B$42:$B$62,属性汇总!$S148))*属性汇总!X148,0)</f>
        <v>11205</v>
      </c>
      <c r="AB148" s="14">
        <f>ROUND(V148+($R148-INDEX(新属性投放!$B$42:$B$62,属性汇总!$S148))*属性汇总!Y148,0)</f>
        <v>5601</v>
      </c>
      <c r="AC148" s="14">
        <f>ROUND(W148+($R148-INDEX(新属性投放!$B$42:$B$62,属性汇总!$S148))*属性汇总!Z148,0)</f>
        <v>59525</v>
      </c>
    </row>
    <row r="149" spans="1:29" ht="16.5" x14ac:dyDescent="0.2">
      <c r="A149" s="13">
        <v>132</v>
      </c>
      <c r="B149" s="13">
        <v>14</v>
      </c>
      <c r="C149" s="14">
        <f>INDEX(新属性投放!$L$6:$L$10,属性汇总!$B$3)*INDEX(新属性投放!$Q$6:$Q$10,属性汇总!$D$3)</f>
        <v>1.1499999999999999</v>
      </c>
      <c r="D149" s="14">
        <f>INDEX(新属性投放!J$14:J$34,属性汇总!$B149)*$C149</f>
        <v>10746.864999999998</v>
      </c>
      <c r="E149" s="14">
        <f>INDEX(新属性投放!K$14:K$34,属性汇总!$B149)*$C149</f>
        <v>5352.7324999999992</v>
      </c>
      <c r="F149" s="14">
        <f>INDEX(新属性投放!L$14:L$34,属性汇总!$B149)*$C149</f>
        <v>32355.595000000001</v>
      </c>
      <c r="G149" s="14">
        <f>INDEX(新属性投放!D$14:D$34,属性汇总!$B149)*$C149</f>
        <v>268.67449999999997</v>
      </c>
      <c r="H149" s="14">
        <f>INDEX(新属性投放!E$14:E$34,属性汇总!$B149)*$C149</f>
        <v>134.33724999999998</v>
      </c>
      <c r="I149" s="14">
        <f>INDEX(新属性投放!F$14:F$34,属性汇总!$B149)*$C149</f>
        <v>806.0234999999999</v>
      </c>
      <c r="J149" s="14">
        <f>ROUND(D149+($A149-INDEX(新属性投放!$B$14:$B$34,属性汇总!$B149))*属性汇总!G149,0)</f>
        <v>11284</v>
      </c>
      <c r="K149" s="14">
        <f>ROUND(E149+($A149-INDEX(新属性投放!$B$14:$B$34,属性汇总!$B149))*属性汇总!H149,0)</f>
        <v>5621</v>
      </c>
      <c r="L149" s="14">
        <f>ROUND(F149+($A149-INDEX(新属性投放!$B$14:$B$34,属性汇总!$B149))*属性汇总!I149,0)</f>
        <v>33968</v>
      </c>
      <c r="R149" s="13">
        <v>132</v>
      </c>
      <c r="S149" s="13">
        <v>14</v>
      </c>
      <c r="T149" s="14">
        <f>INDEX(新属性投放!$L$6:$L$10,$S$3)*INDEX(新属性投放!$Q$6:$Q$10,$U$3)</f>
        <v>1.1499999999999999</v>
      </c>
      <c r="U149" s="14">
        <f>INDEX(新属性投放!J$42:J$62,属性汇总!$S149)*$T149</f>
        <v>10936.614999999998</v>
      </c>
      <c r="V149" s="14">
        <f>INDEX(新属性投放!K$42:K$62,属性汇总!$S149)*$T149</f>
        <v>5466.5824999999986</v>
      </c>
      <c r="W149" s="14">
        <f>INDEX(新属性投放!L$42:L$62,属性汇总!$S149)*$T149</f>
        <v>58316.499999999993</v>
      </c>
      <c r="X149" s="14">
        <f>INDEX(新属性投放!$D$42:$D$62,属性汇总!$S149)*$T149</f>
        <v>268.67449999999997</v>
      </c>
      <c r="Y149" s="14">
        <f>INDEX(新属性投放!$E$42:$E$62,属性汇总!$S149)*$T149</f>
        <v>134.33724999999998</v>
      </c>
      <c r="Z149" s="14">
        <f>INDEX(新属性投放!$F$42:$F$62,属性汇总!$S149)*$T149</f>
        <v>1208.6499999999999</v>
      </c>
      <c r="AA149" s="14">
        <f>ROUND(U149+($R149-INDEX(新属性投放!$B$42:$B$62,属性汇总!$S149))*属性汇总!X149,0)</f>
        <v>11474</v>
      </c>
      <c r="AB149" s="14">
        <f>ROUND(V149+($R149-INDEX(新属性投放!$B$42:$B$62,属性汇总!$S149))*属性汇总!Y149,0)</f>
        <v>5735</v>
      </c>
      <c r="AC149" s="14">
        <f>ROUND(W149+($R149-INDEX(新属性投放!$B$42:$B$62,属性汇总!$S149))*属性汇总!Z149,0)</f>
        <v>60734</v>
      </c>
    </row>
    <row r="150" spans="1:29" s="20" customFormat="1" ht="16.5" x14ac:dyDescent="0.2">
      <c r="A150" s="13">
        <v>133</v>
      </c>
      <c r="B150" s="13">
        <v>14</v>
      </c>
      <c r="C150" s="14">
        <f>INDEX(新属性投放!$L$6:$L$10,属性汇总!$B$3)*INDEX(新属性投放!$Q$6:$Q$10,属性汇总!$D$3)</f>
        <v>1.1499999999999999</v>
      </c>
      <c r="D150" s="14">
        <f>INDEX(新属性投放!J$14:J$34,属性汇总!$B150)*$C150</f>
        <v>10746.864999999998</v>
      </c>
      <c r="E150" s="14">
        <f>INDEX(新属性投放!K$14:K$34,属性汇总!$B150)*$C150</f>
        <v>5352.7324999999992</v>
      </c>
      <c r="F150" s="14">
        <f>INDEX(新属性投放!L$14:L$34,属性汇总!$B150)*$C150</f>
        <v>32355.595000000001</v>
      </c>
      <c r="G150" s="14">
        <f>INDEX(新属性投放!D$14:D$34,属性汇总!$B150)*$C150</f>
        <v>268.67449999999997</v>
      </c>
      <c r="H150" s="14">
        <f>INDEX(新属性投放!E$14:E$34,属性汇总!$B150)*$C150</f>
        <v>134.33724999999998</v>
      </c>
      <c r="I150" s="14">
        <f>INDEX(新属性投放!F$14:F$34,属性汇总!$B150)*$C150</f>
        <v>806.0234999999999</v>
      </c>
      <c r="J150" s="14">
        <f>ROUND(D150+($A150-INDEX(新属性投放!$B$14:$B$34,属性汇总!$B150))*属性汇总!G150,0)</f>
        <v>11553</v>
      </c>
      <c r="K150" s="14">
        <f>ROUND(E150+($A150-INDEX(新属性投放!$B$14:$B$34,属性汇总!$B150))*属性汇总!H150,0)</f>
        <v>5756</v>
      </c>
      <c r="L150" s="14">
        <f>ROUND(F150+($A150-INDEX(新属性投放!$B$14:$B$34,属性汇总!$B150))*属性汇总!I150,0)</f>
        <v>34774</v>
      </c>
      <c r="N150" s="37"/>
      <c r="O150" s="37"/>
      <c r="P150" s="37"/>
      <c r="R150" s="13">
        <v>133</v>
      </c>
      <c r="S150" s="13">
        <v>14</v>
      </c>
      <c r="T150" s="14">
        <f>INDEX(新属性投放!$L$6:$L$10,$S$3)*INDEX(新属性投放!$Q$6:$Q$10,$U$3)</f>
        <v>1.1499999999999999</v>
      </c>
      <c r="U150" s="14">
        <f>INDEX(新属性投放!J$42:J$62,属性汇总!$S150)*$T150</f>
        <v>10936.614999999998</v>
      </c>
      <c r="V150" s="14">
        <f>INDEX(新属性投放!K$42:K$62,属性汇总!$S150)*$T150</f>
        <v>5466.5824999999986</v>
      </c>
      <c r="W150" s="14">
        <f>INDEX(新属性投放!L$42:L$62,属性汇总!$S150)*$T150</f>
        <v>58316.499999999993</v>
      </c>
      <c r="X150" s="14">
        <f>INDEX(新属性投放!$D$42:$D$62,属性汇总!$S150)*$T150</f>
        <v>268.67449999999997</v>
      </c>
      <c r="Y150" s="14">
        <f>INDEX(新属性投放!$E$42:$E$62,属性汇总!$S150)*$T150</f>
        <v>134.33724999999998</v>
      </c>
      <c r="Z150" s="14">
        <f>INDEX(新属性投放!$F$42:$F$62,属性汇总!$S150)*$T150</f>
        <v>1208.6499999999999</v>
      </c>
      <c r="AA150" s="14">
        <f>ROUND(U150+($R150-INDEX(新属性投放!$B$42:$B$62,属性汇总!$S150))*属性汇总!X150,0)</f>
        <v>11743</v>
      </c>
      <c r="AB150" s="14">
        <f>ROUND(V150+($R150-INDEX(新属性投放!$B$42:$B$62,属性汇总!$S150))*属性汇总!Y150,0)</f>
        <v>5870</v>
      </c>
      <c r="AC150" s="14">
        <f>ROUND(W150+($R150-INDEX(新属性投放!$B$42:$B$62,属性汇总!$S150))*属性汇总!Z150,0)</f>
        <v>61942</v>
      </c>
    </row>
    <row r="151" spans="1:29" ht="16.5" x14ac:dyDescent="0.2">
      <c r="A151" s="13">
        <v>134</v>
      </c>
      <c r="B151" s="13">
        <v>14</v>
      </c>
      <c r="C151" s="14">
        <f>INDEX(新属性投放!$L$6:$L$10,属性汇总!$B$3)*INDEX(新属性投放!$Q$6:$Q$10,属性汇总!$D$3)</f>
        <v>1.1499999999999999</v>
      </c>
      <c r="D151" s="14">
        <f>INDEX(新属性投放!J$14:J$34,属性汇总!$B151)*$C151</f>
        <v>10746.864999999998</v>
      </c>
      <c r="E151" s="14">
        <f>INDEX(新属性投放!K$14:K$34,属性汇总!$B151)*$C151</f>
        <v>5352.7324999999992</v>
      </c>
      <c r="F151" s="14">
        <f>INDEX(新属性投放!L$14:L$34,属性汇总!$B151)*$C151</f>
        <v>32355.595000000001</v>
      </c>
      <c r="G151" s="14">
        <f>INDEX(新属性投放!D$14:D$34,属性汇总!$B151)*$C151</f>
        <v>268.67449999999997</v>
      </c>
      <c r="H151" s="14">
        <f>INDEX(新属性投放!E$14:E$34,属性汇总!$B151)*$C151</f>
        <v>134.33724999999998</v>
      </c>
      <c r="I151" s="14">
        <f>INDEX(新属性投放!F$14:F$34,属性汇总!$B151)*$C151</f>
        <v>806.0234999999999</v>
      </c>
      <c r="J151" s="14">
        <f>ROUND(D151+($A151-INDEX(新属性投放!$B$14:$B$34,属性汇总!$B151))*属性汇总!G151,0)</f>
        <v>11822</v>
      </c>
      <c r="K151" s="14">
        <f>ROUND(E151+($A151-INDEX(新属性投放!$B$14:$B$34,属性汇总!$B151))*属性汇总!H151,0)</f>
        <v>5890</v>
      </c>
      <c r="L151" s="14">
        <f>ROUND(F151+($A151-INDEX(新属性投放!$B$14:$B$34,属性汇总!$B151))*属性汇总!I151,0)</f>
        <v>35580</v>
      </c>
      <c r="R151" s="13">
        <v>134</v>
      </c>
      <c r="S151" s="13">
        <v>14</v>
      </c>
      <c r="T151" s="14">
        <f>INDEX(新属性投放!$L$6:$L$10,$S$3)*INDEX(新属性投放!$Q$6:$Q$10,$U$3)</f>
        <v>1.1499999999999999</v>
      </c>
      <c r="U151" s="14">
        <f>INDEX(新属性投放!J$42:J$62,属性汇总!$S151)*$T151</f>
        <v>10936.614999999998</v>
      </c>
      <c r="V151" s="14">
        <f>INDEX(新属性投放!K$42:K$62,属性汇总!$S151)*$T151</f>
        <v>5466.5824999999986</v>
      </c>
      <c r="W151" s="14">
        <f>INDEX(新属性投放!L$42:L$62,属性汇总!$S151)*$T151</f>
        <v>58316.499999999993</v>
      </c>
      <c r="X151" s="14">
        <f>INDEX(新属性投放!$D$42:$D$62,属性汇总!$S151)*$T151</f>
        <v>268.67449999999997</v>
      </c>
      <c r="Y151" s="14">
        <f>INDEX(新属性投放!$E$42:$E$62,属性汇总!$S151)*$T151</f>
        <v>134.33724999999998</v>
      </c>
      <c r="Z151" s="14">
        <f>INDEX(新属性投放!$F$42:$F$62,属性汇总!$S151)*$T151</f>
        <v>1208.6499999999999</v>
      </c>
      <c r="AA151" s="14">
        <f>ROUND(U151+($R151-INDEX(新属性投放!$B$42:$B$62,属性汇总!$S151))*属性汇总!X151,0)</f>
        <v>12011</v>
      </c>
      <c r="AB151" s="14">
        <f>ROUND(V151+($R151-INDEX(新属性投放!$B$42:$B$62,属性汇总!$S151))*属性汇总!Y151,0)</f>
        <v>6004</v>
      </c>
      <c r="AC151" s="14">
        <f>ROUND(W151+($R151-INDEX(新属性投放!$B$42:$B$62,属性汇总!$S151))*属性汇总!Z151,0)</f>
        <v>63151</v>
      </c>
    </row>
    <row r="152" spans="1:29" ht="16.5" x14ac:dyDescent="0.2">
      <c r="A152" s="13">
        <v>135</v>
      </c>
      <c r="B152" s="13">
        <v>14</v>
      </c>
      <c r="C152" s="14">
        <f>INDEX(新属性投放!$L$6:$L$10,属性汇总!$B$3)*INDEX(新属性投放!$Q$6:$Q$10,属性汇总!$D$3)</f>
        <v>1.1499999999999999</v>
      </c>
      <c r="D152" s="14">
        <f>INDEX(新属性投放!J$14:J$34,属性汇总!$B152)*$C152</f>
        <v>10746.864999999998</v>
      </c>
      <c r="E152" s="14">
        <f>INDEX(新属性投放!K$14:K$34,属性汇总!$B152)*$C152</f>
        <v>5352.7324999999992</v>
      </c>
      <c r="F152" s="14">
        <f>INDEX(新属性投放!L$14:L$34,属性汇总!$B152)*$C152</f>
        <v>32355.595000000001</v>
      </c>
      <c r="G152" s="14">
        <f>INDEX(新属性投放!D$14:D$34,属性汇总!$B152)*$C152</f>
        <v>268.67449999999997</v>
      </c>
      <c r="H152" s="14">
        <f>INDEX(新属性投放!E$14:E$34,属性汇总!$B152)*$C152</f>
        <v>134.33724999999998</v>
      </c>
      <c r="I152" s="14">
        <f>INDEX(新属性投放!F$14:F$34,属性汇总!$B152)*$C152</f>
        <v>806.0234999999999</v>
      </c>
      <c r="J152" s="14">
        <f>ROUND(D152+($A152-INDEX(新属性投放!$B$14:$B$34,属性汇总!$B152))*属性汇总!G152,0)</f>
        <v>12090</v>
      </c>
      <c r="K152" s="14">
        <f>ROUND(E152+($A152-INDEX(新属性投放!$B$14:$B$34,属性汇总!$B152))*属性汇总!H152,0)</f>
        <v>6024</v>
      </c>
      <c r="L152" s="14">
        <f>ROUND(F152+($A152-INDEX(新属性投放!$B$14:$B$34,属性汇总!$B152))*属性汇总!I152,0)</f>
        <v>36386</v>
      </c>
      <c r="R152" s="13">
        <v>135</v>
      </c>
      <c r="S152" s="13">
        <v>14</v>
      </c>
      <c r="T152" s="14">
        <f>INDEX(新属性投放!$L$6:$L$10,$S$3)*INDEX(新属性投放!$Q$6:$Q$10,$U$3)</f>
        <v>1.1499999999999999</v>
      </c>
      <c r="U152" s="14">
        <f>INDEX(新属性投放!J$42:J$62,属性汇总!$S152)*$T152</f>
        <v>10936.614999999998</v>
      </c>
      <c r="V152" s="14">
        <f>INDEX(新属性投放!K$42:K$62,属性汇总!$S152)*$T152</f>
        <v>5466.5824999999986</v>
      </c>
      <c r="W152" s="14">
        <f>INDEX(新属性投放!L$42:L$62,属性汇总!$S152)*$T152</f>
        <v>58316.499999999993</v>
      </c>
      <c r="X152" s="14">
        <f>INDEX(新属性投放!$D$42:$D$62,属性汇总!$S152)*$T152</f>
        <v>268.67449999999997</v>
      </c>
      <c r="Y152" s="14">
        <f>INDEX(新属性投放!$E$42:$E$62,属性汇总!$S152)*$T152</f>
        <v>134.33724999999998</v>
      </c>
      <c r="Z152" s="14">
        <f>INDEX(新属性投放!$F$42:$F$62,属性汇总!$S152)*$T152</f>
        <v>1208.6499999999999</v>
      </c>
      <c r="AA152" s="14">
        <f>ROUND(U152+($R152-INDEX(新属性投放!$B$42:$B$62,属性汇总!$S152))*属性汇总!X152,0)</f>
        <v>12280</v>
      </c>
      <c r="AB152" s="14">
        <f>ROUND(V152+($R152-INDEX(新属性投放!$B$42:$B$62,属性汇总!$S152))*属性汇总!Y152,0)</f>
        <v>6138</v>
      </c>
      <c r="AC152" s="14">
        <f>ROUND(W152+($R152-INDEX(新属性投放!$B$42:$B$62,属性汇总!$S152))*属性汇总!Z152,0)</f>
        <v>64360</v>
      </c>
    </row>
    <row r="153" spans="1:29" ht="16.5" x14ac:dyDescent="0.2">
      <c r="A153" s="13">
        <v>136</v>
      </c>
      <c r="B153" s="13">
        <v>14</v>
      </c>
      <c r="C153" s="14">
        <f>INDEX(新属性投放!$L$6:$L$10,属性汇总!$B$3)*INDEX(新属性投放!$Q$6:$Q$10,属性汇总!$D$3)</f>
        <v>1.1499999999999999</v>
      </c>
      <c r="D153" s="14">
        <f>INDEX(新属性投放!J$14:J$34,属性汇总!$B153)*$C153</f>
        <v>10746.864999999998</v>
      </c>
      <c r="E153" s="14">
        <f>INDEX(新属性投放!K$14:K$34,属性汇总!$B153)*$C153</f>
        <v>5352.7324999999992</v>
      </c>
      <c r="F153" s="14">
        <f>INDEX(新属性投放!L$14:L$34,属性汇总!$B153)*$C153</f>
        <v>32355.595000000001</v>
      </c>
      <c r="G153" s="14">
        <f>INDEX(新属性投放!D$14:D$34,属性汇总!$B153)*$C153</f>
        <v>268.67449999999997</v>
      </c>
      <c r="H153" s="14">
        <f>INDEX(新属性投放!E$14:E$34,属性汇总!$B153)*$C153</f>
        <v>134.33724999999998</v>
      </c>
      <c r="I153" s="14">
        <f>INDEX(新属性投放!F$14:F$34,属性汇总!$B153)*$C153</f>
        <v>806.0234999999999</v>
      </c>
      <c r="J153" s="14">
        <f>ROUND(D153+($A153-INDEX(新属性投放!$B$14:$B$34,属性汇总!$B153))*属性汇总!G153,0)</f>
        <v>12359</v>
      </c>
      <c r="K153" s="14">
        <f>ROUND(E153+($A153-INDEX(新属性投放!$B$14:$B$34,属性汇总!$B153))*属性汇总!H153,0)</f>
        <v>6159</v>
      </c>
      <c r="L153" s="14">
        <f>ROUND(F153+($A153-INDEX(新属性投放!$B$14:$B$34,属性汇总!$B153))*属性汇总!I153,0)</f>
        <v>37192</v>
      </c>
      <c r="R153" s="13">
        <v>136</v>
      </c>
      <c r="S153" s="13">
        <v>14</v>
      </c>
      <c r="T153" s="14">
        <f>INDEX(新属性投放!$L$6:$L$10,$S$3)*INDEX(新属性投放!$Q$6:$Q$10,$U$3)</f>
        <v>1.1499999999999999</v>
      </c>
      <c r="U153" s="14">
        <f>INDEX(新属性投放!J$42:J$62,属性汇总!$S153)*$T153</f>
        <v>10936.614999999998</v>
      </c>
      <c r="V153" s="14">
        <f>INDEX(新属性投放!K$42:K$62,属性汇总!$S153)*$T153</f>
        <v>5466.5824999999986</v>
      </c>
      <c r="W153" s="14">
        <f>INDEX(新属性投放!L$42:L$62,属性汇总!$S153)*$T153</f>
        <v>58316.499999999993</v>
      </c>
      <c r="X153" s="14">
        <f>INDEX(新属性投放!$D$42:$D$62,属性汇总!$S153)*$T153</f>
        <v>268.67449999999997</v>
      </c>
      <c r="Y153" s="14">
        <f>INDEX(新属性投放!$E$42:$E$62,属性汇总!$S153)*$T153</f>
        <v>134.33724999999998</v>
      </c>
      <c r="Z153" s="14">
        <f>INDEX(新属性投放!$F$42:$F$62,属性汇总!$S153)*$T153</f>
        <v>1208.6499999999999</v>
      </c>
      <c r="AA153" s="14">
        <f>ROUND(U153+($R153-INDEX(新属性投放!$B$42:$B$62,属性汇总!$S153))*属性汇总!X153,0)</f>
        <v>12549</v>
      </c>
      <c r="AB153" s="14">
        <f>ROUND(V153+($R153-INDEX(新属性投放!$B$42:$B$62,属性汇总!$S153))*属性汇总!Y153,0)</f>
        <v>6273</v>
      </c>
      <c r="AC153" s="14">
        <f>ROUND(W153+($R153-INDEX(新属性投放!$B$42:$B$62,属性汇总!$S153))*属性汇总!Z153,0)</f>
        <v>65568</v>
      </c>
    </row>
    <row r="154" spans="1:29" ht="16.5" x14ac:dyDescent="0.2">
      <c r="A154" s="13">
        <v>137</v>
      </c>
      <c r="B154" s="13">
        <v>14</v>
      </c>
      <c r="C154" s="14">
        <f>INDEX(新属性投放!$L$6:$L$10,属性汇总!$B$3)*INDEX(新属性投放!$Q$6:$Q$10,属性汇总!$D$3)</f>
        <v>1.1499999999999999</v>
      </c>
      <c r="D154" s="14">
        <f>INDEX(新属性投放!J$14:J$34,属性汇总!$B154)*$C154</f>
        <v>10746.864999999998</v>
      </c>
      <c r="E154" s="14">
        <f>INDEX(新属性投放!K$14:K$34,属性汇总!$B154)*$C154</f>
        <v>5352.7324999999992</v>
      </c>
      <c r="F154" s="14">
        <f>INDEX(新属性投放!L$14:L$34,属性汇总!$B154)*$C154</f>
        <v>32355.595000000001</v>
      </c>
      <c r="G154" s="14">
        <f>INDEX(新属性投放!D$14:D$34,属性汇总!$B154)*$C154</f>
        <v>268.67449999999997</v>
      </c>
      <c r="H154" s="14">
        <f>INDEX(新属性投放!E$14:E$34,属性汇总!$B154)*$C154</f>
        <v>134.33724999999998</v>
      </c>
      <c r="I154" s="14">
        <f>INDEX(新属性投放!F$14:F$34,属性汇总!$B154)*$C154</f>
        <v>806.0234999999999</v>
      </c>
      <c r="J154" s="14">
        <f>ROUND(D154+($A154-INDEX(新属性投放!$B$14:$B$34,属性汇总!$B154))*属性汇总!G154,0)</f>
        <v>12628</v>
      </c>
      <c r="K154" s="14">
        <f>ROUND(E154+($A154-INDEX(新属性投放!$B$14:$B$34,属性汇总!$B154))*属性汇总!H154,0)</f>
        <v>6293</v>
      </c>
      <c r="L154" s="14">
        <f>ROUND(F154+($A154-INDEX(新属性投放!$B$14:$B$34,属性汇总!$B154))*属性汇总!I154,0)</f>
        <v>37998</v>
      </c>
      <c r="R154" s="13">
        <v>137</v>
      </c>
      <c r="S154" s="13">
        <v>14</v>
      </c>
      <c r="T154" s="14">
        <f>INDEX(新属性投放!$L$6:$L$10,$S$3)*INDEX(新属性投放!$Q$6:$Q$10,$U$3)</f>
        <v>1.1499999999999999</v>
      </c>
      <c r="U154" s="14">
        <f>INDEX(新属性投放!J$42:J$62,属性汇总!$S154)*$T154</f>
        <v>10936.614999999998</v>
      </c>
      <c r="V154" s="14">
        <f>INDEX(新属性投放!K$42:K$62,属性汇总!$S154)*$T154</f>
        <v>5466.5824999999986</v>
      </c>
      <c r="W154" s="14">
        <f>INDEX(新属性投放!L$42:L$62,属性汇总!$S154)*$T154</f>
        <v>58316.499999999993</v>
      </c>
      <c r="X154" s="14">
        <f>INDEX(新属性投放!$D$42:$D$62,属性汇总!$S154)*$T154</f>
        <v>268.67449999999997</v>
      </c>
      <c r="Y154" s="14">
        <f>INDEX(新属性投放!$E$42:$E$62,属性汇总!$S154)*$T154</f>
        <v>134.33724999999998</v>
      </c>
      <c r="Z154" s="14">
        <f>INDEX(新属性投放!$F$42:$F$62,属性汇总!$S154)*$T154</f>
        <v>1208.6499999999999</v>
      </c>
      <c r="AA154" s="14">
        <f>ROUND(U154+($R154-INDEX(新属性投放!$B$42:$B$62,属性汇总!$S154))*属性汇总!X154,0)</f>
        <v>12817</v>
      </c>
      <c r="AB154" s="14">
        <f>ROUND(V154+($R154-INDEX(新属性投放!$B$42:$B$62,属性汇总!$S154))*属性汇总!Y154,0)</f>
        <v>6407</v>
      </c>
      <c r="AC154" s="14">
        <f>ROUND(W154+($R154-INDEX(新属性投放!$B$42:$B$62,属性汇总!$S154))*属性汇总!Z154,0)</f>
        <v>66777</v>
      </c>
    </row>
    <row r="155" spans="1:29" ht="16.5" x14ac:dyDescent="0.2">
      <c r="A155" s="13">
        <v>138</v>
      </c>
      <c r="B155" s="13">
        <v>14</v>
      </c>
      <c r="C155" s="14">
        <f>INDEX(新属性投放!$L$6:$L$10,属性汇总!$B$3)*INDEX(新属性投放!$Q$6:$Q$10,属性汇总!$D$3)</f>
        <v>1.1499999999999999</v>
      </c>
      <c r="D155" s="14">
        <f>INDEX(新属性投放!J$14:J$34,属性汇总!$B155)*$C155</f>
        <v>10746.864999999998</v>
      </c>
      <c r="E155" s="14">
        <f>INDEX(新属性投放!K$14:K$34,属性汇总!$B155)*$C155</f>
        <v>5352.7324999999992</v>
      </c>
      <c r="F155" s="14">
        <f>INDEX(新属性投放!L$14:L$34,属性汇总!$B155)*$C155</f>
        <v>32355.595000000001</v>
      </c>
      <c r="G155" s="14">
        <f>INDEX(新属性投放!D$14:D$34,属性汇总!$B155)*$C155</f>
        <v>268.67449999999997</v>
      </c>
      <c r="H155" s="14">
        <f>INDEX(新属性投放!E$14:E$34,属性汇总!$B155)*$C155</f>
        <v>134.33724999999998</v>
      </c>
      <c r="I155" s="14">
        <f>INDEX(新属性投放!F$14:F$34,属性汇总!$B155)*$C155</f>
        <v>806.0234999999999</v>
      </c>
      <c r="J155" s="14">
        <f>ROUND(D155+($A155-INDEX(新属性投放!$B$14:$B$34,属性汇总!$B155))*属性汇总!G155,0)</f>
        <v>12896</v>
      </c>
      <c r="K155" s="14">
        <f>ROUND(E155+($A155-INDEX(新属性投放!$B$14:$B$34,属性汇总!$B155))*属性汇总!H155,0)</f>
        <v>6427</v>
      </c>
      <c r="L155" s="14">
        <f>ROUND(F155+($A155-INDEX(新属性投放!$B$14:$B$34,属性汇总!$B155))*属性汇总!I155,0)</f>
        <v>38804</v>
      </c>
      <c r="R155" s="13">
        <v>138</v>
      </c>
      <c r="S155" s="13">
        <v>14</v>
      </c>
      <c r="T155" s="14">
        <f>INDEX(新属性投放!$L$6:$L$10,$S$3)*INDEX(新属性投放!$Q$6:$Q$10,$U$3)</f>
        <v>1.1499999999999999</v>
      </c>
      <c r="U155" s="14">
        <f>INDEX(新属性投放!J$42:J$62,属性汇总!$S155)*$T155</f>
        <v>10936.614999999998</v>
      </c>
      <c r="V155" s="14">
        <f>INDEX(新属性投放!K$42:K$62,属性汇总!$S155)*$T155</f>
        <v>5466.5824999999986</v>
      </c>
      <c r="W155" s="14">
        <f>INDEX(新属性投放!L$42:L$62,属性汇总!$S155)*$T155</f>
        <v>58316.499999999993</v>
      </c>
      <c r="X155" s="14">
        <f>INDEX(新属性投放!$D$42:$D$62,属性汇总!$S155)*$T155</f>
        <v>268.67449999999997</v>
      </c>
      <c r="Y155" s="14">
        <f>INDEX(新属性投放!$E$42:$E$62,属性汇总!$S155)*$T155</f>
        <v>134.33724999999998</v>
      </c>
      <c r="Z155" s="14">
        <f>INDEX(新属性投放!$F$42:$F$62,属性汇总!$S155)*$T155</f>
        <v>1208.6499999999999</v>
      </c>
      <c r="AA155" s="14">
        <f>ROUND(U155+($R155-INDEX(新属性投放!$B$42:$B$62,属性汇总!$S155))*属性汇总!X155,0)</f>
        <v>13086</v>
      </c>
      <c r="AB155" s="14">
        <f>ROUND(V155+($R155-INDEX(新属性投放!$B$42:$B$62,属性汇总!$S155))*属性汇总!Y155,0)</f>
        <v>6541</v>
      </c>
      <c r="AC155" s="14">
        <f>ROUND(W155+($R155-INDEX(新属性投放!$B$42:$B$62,属性汇总!$S155))*属性汇总!Z155,0)</f>
        <v>67986</v>
      </c>
    </row>
    <row r="156" spans="1:29" s="20" customFormat="1" ht="16.5" x14ac:dyDescent="0.2">
      <c r="A156" s="13">
        <v>139</v>
      </c>
      <c r="B156" s="13">
        <v>14</v>
      </c>
      <c r="C156" s="14">
        <f>INDEX(新属性投放!$L$6:$L$10,属性汇总!$B$3)*INDEX(新属性投放!$Q$6:$Q$10,属性汇总!$D$3)</f>
        <v>1.1499999999999999</v>
      </c>
      <c r="D156" s="14">
        <f>INDEX(新属性投放!J$14:J$34,属性汇总!$B156)*$C156</f>
        <v>10746.864999999998</v>
      </c>
      <c r="E156" s="14">
        <f>INDEX(新属性投放!K$14:K$34,属性汇总!$B156)*$C156</f>
        <v>5352.7324999999992</v>
      </c>
      <c r="F156" s="14">
        <f>INDEX(新属性投放!L$14:L$34,属性汇总!$B156)*$C156</f>
        <v>32355.595000000001</v>
      </c>
      <c r="G156" s="14">
        <f>INDEX(新属性投放!D$14:D$34,属性汇总!$B156)*$C156</f>
        <v>268.67449999999997</v>
      </c>
      <c r="H156" s="14">
        <f>INDEX(新属性投放!E$14:E$34,属性汇总!$B156)*$C156</f>
        <v>134.33724999999998</v>
      </c>
      <c r="I156" s="14">
        <f>INDEX(新属性投放!F$14:F$34,属性汇总!$B156)*$C156</f>
        <v>806.0234999999999</v>
      </c>
      <c r="J156" s="14">
        <f>ROUND(D156+($A156-INDEX(新属性投放!$B$14:$B$34,属性汇总!$B156))*属性汇总!G156,0)</f>
        <v>13165</v>
      </c>
      <c r="K156" s="14">
        <f>ROUND(E156+($A156-INDEX(新属性投放!$B$14:$B$34,属性汇总!$B156))*属性汇总!H156,0)</f>
        <v>6562</v>
      </c>
      <c r="L156" s="14">
        <f>ROUND(F156+($A156-INDEX(新属性投放!$B$14:$B$34,属性汇总!$B156))*属性汇总!I156,0)</f>
        <v>39610</v>
      </c>
      <c r="N156" s="37"/>
      <c r="O156" s="37"/>
      <c r="P156" s="37"/>
      <c r="R156" s="13">
        <v>139</v>
      </c>
      <c r="S156" s="13">
        <v>14</v>
      </c>
      <c r="T156" s="14">
        <f>INDEX(新属性投放!$L$6:$L$10,$S$3)*INDEX(新属性投放!$Q$6:$Q$10,$U$3)</f>
        <v>1.1499999999999999</v>
      </c>
      <c r="U156" s="14">
        <f>INDEX(新属性投放!J$42:J$62,属性汇总!$S156)*$T156</f>
        <v>10936.614999999998</v>
      </c>
      <c r="V156" s="14">
        <f>INDEX(新属性投放!K$42:K$62,属性汇总!$S156)*$T156</f>
        <v>5466.5824999999986</v>
      </c>
      <c r="W156" s="14">
        <f>INDEX(新属性投放!L$42:L$62,属性汇总!$S156)*$T156</f>
        <v>58316.499999999993</v>
      </c>
      <c r="X156" s="14">
        <f>INDEX(新属性投放!$D$42:$D$62,属性汇总!$S156)*$T156</f>
        <v>268.67449999999997</v>
      </c>
      <c r="Y156" s="14">
        <f>INDEX(新属性投放!$E$42:$E$62,属性汇总!$S156)*$T156</f>
        <v>134.33724999999998</v>
      </c>
      <c r="Z156" s="14">
        <f>INDEX(新属性投放!$F$42:$F$62,属性汇总!$S156)*$T156</f>
        <v>1208.6499999999999</v>
      </c>
      <c r="AA156" s="14">
        <f>ROUND(U156+($R156-INDEX(新属性投放!$B$42:$B$62,属性汇总!$S156))*属性汇总!X156,0)</f>
        <v>13355</v>
      </c>
      <c r="AB156" s="14">
        <f>ROUND(V156+($R156-INDEX(新属性投放!$B$42:$B$62,属性汇总!$S156))*属性汇总!Y156,0)</f>
        <v>6676</v>
      </c>
      <c r="AC156" s="14">
        <f>ROUND(W156+($R156-INDEX(新属性投放!$B$42:$B$62,属性汇总!$S156))*属性汇总!Z156,0)</f>
        <v>69194</v>
      </c>
    </row>
    <row r="157" spans="1:29" ht="16.5" x14ac:dyDescent="0.2">
      <c r="A157" s="13">
        <v>140</v>
      </c>
      <c r="B157" s="13">
        <v>14</v>
      </c>
      <c r="C157" s="14">
        <f>INDEX(新属性投放!$L$6:$L$10,属性汇总!$B$3)*INDEX(新属性投放!$Q$6:$Q$10,属性汇总!$D$3)</f>
        <v>1.1499999999999999</v>
      </c>
      <c r="D157" s="14">
        <f>INDEX(新属性投放!J$14:J$34,属性汇总!$B157)*$C157</f>
        <v>10746.864999999998</v>
      </c>
      <c r="E157" s="14">
        <f>INDEX(新属性投放!K$14:K$34,属性汇总!$B157)*$C157</f>
        <v>5352.7324999999992</v>
      </c>
      <c r="F157" s="14">
        <f>INDEX(新属性投放!L$14:L$34,属性汇总!$B157)*$C157</f>
        <v>32355.595000000001</v>
      </c>
      <c r="G157" s="14">
        <f>INDEX(新属性投放!D$14:D$34,属性汇总!$B157)*$C157</f>
        <v>268.67449999999997</v>
      </c>
      <c r="H157" s="14">
        <f>INDEX(新属性投放!E$14:E$34,属性汇总!$B157)*$C157</f>
        <v>134.33724999999998</v>
      </c>
      <c r="I157" s="14">
        <f>INDEX(新属性投放!F$14:F$34,属性汇总!$B157)*$C157</f>
        <v>806.0234999999999</v>
      </c>
      <c r="J157" s="14">
        <f>ROUND(D157+($A157-INDEX(新属性投放!$B$14:$B$34,属性汇总!$B157))*属性汇总!G157,0)</f>
        <v>13434</v>
      </c>
      <c r="K157" s="14">
        <f>ROUND(E157+($A157-INDEX(新属性投放!$B$14:$B$34,属性汇总!$B157))*属性汇总!H157,0)</f>
        <v>6696</v>
      </c>
      <c r="L157" s="14">
        <f>ROUND(F157+($A157-INDEX(新属性投放!$B$14:$B$34,属性汇总!$B157))*属性汇总!I157,0)</f>
        <v>40416</v>
      </c>
      <c r="R157" s="13">
        <v>140</v>
      </c>
      <c r="S157" s="13">
        <v>14</v>
      </c>
      <c r="T157" s="14">
        <f>INDEX(新属性投放!$L$6:$L$10,$S$3)*INDEX(新属性投放!$Q$6:$Q$10,$U$3)</f>
        <v>1.1499999999999999</v>
      </c>
      <c r="U157" s="14">
        <f>INDEX(新属性投放!J$42:J$62,属性汇总!$S157)*$T157</f>
        <v>10936.614999999998</v>
      </c>
      <c r="V157" s="14">
        <f>INDEX(新属性投放!K$42:K$62,属性汇总!$S157)*$T157</f>
        <v>5466.5824999999986</v>
      </c>
      <c r="W157" s="14">
        <f>INDEX(新属性投放!L$42:L$62,属性汇总!$S157)*$T157</f>
        <v>58316.499999999993</v>
      </c>
      <c r="X157" s="14">
        <f>INDEX(新属性投放!$D$42:$D$62,属性汇总!$S157)*$T157</f>
        <v>268.67449999999997</v>
      </c>
      <c r="Y157" s="14">
        <f>INDEX(新属性投放!$E$42:$E$62,属性汇总!$S157)*$T157</f>
        <v>134.33724999999998</v>
      </c>
      <c r="Z157" s="14">
        <f>INDEX(新属性投放!$F$42:$F$62,属性汇总!$S157)*$T157</f>
        <v>1208.6499999999999</v>
      </c>
      <c r="AA157" s="14">
        <f>ROUND(U157+($R157-INDEX(新属性投放!$B$42:$B$62,属性汇总!$S157))*属性汇总!X157,0)</f>
        <v>13623</v>
      </c>
      <c r="AB157" s="14">
        <f>ROUND(V157+($R157-INDEX(新属性投放!$B$42:$B$62,属性汇总!$S157))*属性汇总!Y157,0)</f>
        <v>6810</v>
      </c>
      <c r="AC157" s="14">
        <f>ROUND(W157+($R157-INDEX(新属性投放!$B$42:$B$62,属性汇总!$S157))*属性汇总!Z157,0)</f>
        <v>70403</v>
      </c>
    </row>
    <row r="158" spans="1:29" s="37" customFormat="1" ht="16.5" x14ac:dyDescent="0.2">
      <c r="A158" s="13">
        <v>140</v>
      </c>
      <c r="B158" s="13">
        <v>15</v>
      </c>
      <c r="C158" s="14">
        <f>INDEX(新属性投放!$L$6:$L$10,属性汇总!$B$3)*INDEX(新属性投放!$Q$6:$Q$10,属性汇总!$D$3)</f>
        <v>1.1499999999999999</v>
      </c>
      <c r="D158" s="14">
        <f>INDEX(新属性投放!J$14:J$34,属性汇总!$B158)*$C158</f>
        <v>14105.209999999997</v>
      </c>
      <c r="E158" s="14">
        <f>INDEX(新属性投放!K$14:K$34,属性汇总!$B158)*$C158</f>
        <v>7031.9049999999979</v>
      </c>
      <c r="F158" s="14">
        <f>INDEX(新属性投放!L$14:L$34,属性汇总!$B158)*$C158</f>
        <v>42430.630000000005</v>
      </c>
      <c r="G158" s="14">
        <f>INDEX(新属性投放!D$14:D$34,属性汇总!$B158)*$C158</f>
        <v>352.63599999999997</v>
      </c>
      <c r="H158" s="14">
        <f>INDEX(新属性投放!E$14:E$34,属性汇总!$B158)*$C158</f>
        <v>176.31799999999998</v>
      </c>
      <c r="I158" s="14">
        <f>INDEX(新属性投放!F$14:F$34,属性汇总!$B158)*$C158</f>
        <v>1057.9079999999999</v>
      </c>
      <c r="J158" s="14">
        <f>ROUND(D158+($A158-INDEX(新属性投放!$B$14:$B$34,属性汇总!$B158))*属性汇总!G158,0)</f>
        <v>14105</v>
      </c>
      <c r="K158" s="14">
        <f>ROUND(E158+($A158-INDEX(新属性投放!$B$14:$B$34,属性汇总!$B158))*属性汇总!H158,0)</f>
        <v>7032</v>
      </c>
      <c r="L158" s="14">
        <f>ROUND(F158+($A158-INDEX(新属性投放!$B$14:$B$34,属性汇总!$B158))*属性汇总!I158,0)</f>
        <v>42431</v>
      </c>
      <c r="R158" s="13">
        <v>140</v>
      </c>
      <c r="S158" s="13">
        <v>15</v>
      </c>
      <c r="T158" s="14">
        <f>INDEX(新属性投放!$L$6:$L$10,$S$3)*INDEX(新属性投放!$Q$6:$Q$10,$U$3)</f>
        <v>1.1499999999999999</v>
      </c>
      <c r="U158" s="14">
        <f>INDEX(新属性投放!J$42:J$62,属性汇总!$S158)*$T158</f>
        <v>14294.959999999995</v>
      </c>
      <c r="V158" s="14">
        <f>INDEX(新属性投放!K$42:K$62,属性汇总!$S158)*$T158</f>
        <v>7145.7549999999983</v>
      </c>
      <c r="W158" s="14">
        <f>INDEX(新属性投放!L$42:L$62,属性汇总!$S158)*$T158</f>
        <v>76447.399999999994</v>
      </c>
      <c r="X158" s="14">
        <f>INDEX(新属性投放!$D$42:$D$62,属性汇总!$S158)*$T158</f>
        <v>352.63599999999997</v>
      </c>
      <c r="Y158" s="14">
        <f>INDEX(新属性投放!$E$42:$E$62,属性汇总!$S158)*$T158</f>
        <v>176.31799999999998</v>
      </c>
      <c r="Z158" s="14">
        <f>INDEX(新属性投放!$F$42:$F$62,属性汇总!$S158)*$T158</f>
        <v>1585.85</v>
      </c>
      <c r="AA158" s="14">
        <f>ROUND(U158+($R158-INDEX(新属性投放!$B$42:$B$62,属性汇总!$S158))*属性汇总!X158,0)</f>
        <v>14295</v>
      </c>
      <c r="AB158" s="14">
        <f>ROUND(V158+($R158-INDEX(新属性投放!$B$42:$B$62,属性汇总!$S158))*属性汇总!Y158,0)</f>
        <v>7146</v>
      </c>
      <c r="AC158" s="14">
        <f>ROUND(W158+($R158-INDEX(新属性投放!$B$42:$B$62,属性汇总!$S158))*属性汇总!Z158,0)</f>
        <v>76447</v>
      </c>
    </row>
    <row r="159" spans="1:29" ht="16.5" x14ac:dyDescent="0.2">
      <c r="A159" s="13">
        <v>141</v>
      </c>
      <c r="B159" s="13">
        <v>15</v>
      </c>
      <c r="C159" s="14">
        <f>INDEX(新属性投放!$L$6:$L$10,属性汇总!$B$3)*INDEX(新属性投放!$Q$6:$Q$10,属性汇总!$D$3)</f>
        <v>1.1499999999999999</v>
      </c>
      <c r="D159" s="14">
        <f>INDEX(新属性投放!J$14:J$34,属性汇总!$B159)*$C159</f>
        <v>14105.209999999997</v>
      </c>
      <c r="E159" s="14">
        <f>INDEX(新属性投放!K$14:K$34,属性汇总!$B159)*$C159</f>
        <v>7031.9049999999979</v>
      </c>
      <c r="F159" s="14">
        <f>INDEX(新属性投放!L$14:L$34,属性汇总!$B159)*$C159</f>
        <v>42430.630000000005</v>
      </c>
      <c r="G159" s="14">
        <f>INDEX(新属性投放!D$14:D$34,属性汇总!$B159)*$C159</f>
        <v>352.63599999999997</v>
      </c>
      <c r="H159" s="14">
        <f>INDEX(新属性投放!E$14:E$34,属性汇总!$B159)*$C159</f>
        <v>176.31799999999998</v>
      </c>
      <c r="I159" s="14">
        <f>INDEX(新属性投放!F$14:F$34,属性汇总!$B159)*$C159</f>
        <v>1057.9079999999999</v>
      </c>
      <c r="J159" s="14">
        <f>ROUND(D159+($A159-INDEX(新属性投放!$B$14:$B$34,属性汇总!$B159))*属性汇总!G159,0)</f>
        <v>14458</v>
      </c>
      <c r="K159" s="14">
        <f>ROUND(E159+($A159-INDEX(新属性投放!$B$14:$B$34,属性汇总!$B159))*属性汇总!H159,0)</f>
        <v>7208</v>
      </c>
      <c r="L159" s="14">
        <f>ROUND(F159+($A159-INDEX(新属性投放!$B$14:$B$34,属性汇总!$B159))*属性汇总!I159,0)</f>
        <v>43489</v>
      </c>
      <c r="R159" s="13">
        <v>141</v>
      </c>
      <c r="S159" s="13">
        <v>15</v>
      </c>
      <c r="T159" s="14">
        <f>INDEX(新属性投放!$L$6:$L$10,$S$3)*INDEX(新属性投放!$Q$6:$Q$10,$U$3)</f>
        <v>1.1499999999999999</v>
      </c>
      <c r="U159" s="14">
        <f>INDEX(新属性投放!J$42:J$62,属性汇总!$S159)*$T159</f>
        <v>14294.959999999995</v>
      </c>
      <c r="V159" s="14">
        <f>INDEX(新属性投放!K$42:K$62,属性汇总!$S159)*$T159</f>
        <v>7145.7549999999983</v>
      </c>
      <c r="W159" s="14">
        <f>INDEX(新属性投放!L$42:L$62,属性汇总!$S159)*$T159</f>
        <v>76447.399999999994</v>
      </c>
      <c r="X159" s="14">
        <f>INDEX(新属性投放!$D$42:$D$62,属性汇总!$S159)*$T159</f>
        <v>352.63599999999997</v>
      </c>
      <c r="Y159" s="14">
        <f>INDEX(新属性投放!$E$42:$E$62,属性汇总!$S159)*$T159</f>
        <v>176.31799999999998</v>
      </c>
      <c r="Z159" s="14">
        <f>INDEX(新属性投放!$F$42:$F$62,属性汇总!$S159)*$T159</f>
        <v>1585.85</v>
      </c>
      <c r="AA159" s="14">
        <f>ROUND(U159+($R159-INDEX(新属性投放!$B$42:$B$62,属性汇总!$S159))*属性汇总!X159,0)</f>
        <v>14648</v>
      </c>
      <c r="AB159" s="14">
        <f>ROUND(V159+($R159-INDEX(新属性投放!$B$42:$B$62,属性汇总!$S159))*属性汇总!Y159,0)</f>
        <v>7322</v>
      </c>
      <c r="AC159" s="14">
        <f>ROUND(W159+($R159-INDEX(新属性投放!$B$42:$B$62,属性汇总!$S159))*属性汇总!Z159,0)</f>
        <v>78033</v>
      </c>
    </row>
    <row r="160" spans="1:29" ht="16.5" x14ac:dyDescent="0.2">
      <c r="A160" s="13">
        <v>142</v>
      </c>
      <c r="B160" s="13">
        <v>15</v>
      </c>
      <c r="C160" s="14">
        <f>INDEX(新属性投放!$L$6:$L$10,属性汇总!$B$3)*INDEX(新属性投放!$Q$6:$Q$10,属性汇总!$D$3)</f>
        <v>1.1499999999999999</v>
      </c>
      <c r="D160" s="14">
        <f>INDEX(新属性投放!J$14:J$34,属性汇总!$B160)*$C160</f>
        <v>14105.209999999997</v>
      </c>
      <c r="E160" s="14">
        <f>INDEX(新属性投放!K$14:K$34,属性汇总!$B160)*$C160</f>
        <v>7031.9049999999979</v>
      </c>
      <c r="F160" s="14">
        <f>INDEX(新属性投放!L$14:L$34,属性汇总!$B160)*$C160</f>
        <v>42430.630000000005</v>
      </c>
      <c r="G160" s="14">
        <f>INDEX(新属性投放!D$14:D$34,属性汇总!$B160)*$C160</f>
        <v>352.63599999999997</v>
      </c>
      <c r="H160" s="14">
        <f>INDEX(新属性投放!E$14:E$34,属性汇总!$B160)*$C160</f>
        <v>176.31799999999998</v>
      </c>
      <c r="I160" s="14">
        <f>INDEX(新属性投放!F$14:F$34,属性汇总!$B160)*$C160</f>
        <v>1057.9079999999999</v>
      </c>
      <c r="J160" s="14">
        <f>ROUND(D160+($A160-INDEX(新属性投放!$B$14:$B$34,属性汇总!$B160))*属性汇总!G160,0)</f>
        <v>14810</v>
      </c>
      <c r="K160" s="14">
        <f>ROUND(E160+($A160-INDEX(新属性投放!$B$14:$B$34,属性汇总!$B160))*属性汇总!H160,0)</f>
        <v>7385</v>
      </c>
      <c r="L160" s="14">
        <f>ROUND(F160+($A160-INDEX(新属性投放!$B$14:$B$34,属性汇总!$B160))*属性汇总!I160,0)</f>
        <v>44546</v>
      </c>
      <c r="R160" s="13">
        <v>142</v>
      </c>
      <c r="S160" s="13">
        <v>15</v>
      </c>
      <c r="T160" s="14">
        <f>INDEX(新属性投放!$L$6:$L$10,$S$3)*INDEX(新属性投放!$Q$6:$Q$10,$U$3)</f>
        <v>1.1499999999999999</v>
      </c>
      <c r="U160" s="14">
        <f>INDEX(新属性投放!J$42:J$62,属性汇总!$S160)*$T160</f>
        <v>14294.959999999995</v>
      </c>
      <c r="V160" s="14">
        <f>INDEX(新属性投放!K$42:K$62,属性汇总!$S160)*$T160</f>
        <v>7145.7549999999983</v>
      </c>
      <c r="W160" s="14">
        <f>INDEX(新属性投放!L$42:L$62,属性汇总!$S160)*$T160</f>
        <v>76447.399999999994</v>
      </c>
      <c r="X160" s="14">
        <f>INDEX(新属性投放!$D$42:$D$62,属性汇总!$S160)*$T160</f>
        <v>352.63599999999997</v>
      </c>
      <c r="Y160" s="14">
        <f>INDEX(新属性投放!$E$42:$E$62,属性汇总!$S160)*$T160</f>
        <v>176.31799999999998</v>
      </c>
      <c r="Z160" s="14">
        <f>INDEX(新属性投放!$F$42:$F$62,属性汇总!$S160)*$T160</f>
        <v>1585.85</v>
      </c>
      <c r="AA160" s="14">
        <f>ROUND(U160+($R160-INDEX(新属性投放!$B$42:$B$62,属性汇总!$S160))*属性汇总!X160,0)</f>
        <v>15000</v>
      </c>
      <c r="AB160" s="14">
        <f>ROUND(V160+($R160-INDEX(新属性投放!$B$42:$B$62,属性汇总!$S160))*属性汇总!Y160,0)</f>
        <v>7498</v>
      </c>
      <c r="AC160" s="14">
        <f>ROUND(W160+($R160-INDEX(新属性投放!$B$42:$B$62,属性汇总!$S160))*属性汇总!Z160,0)</f>
        <v>79619</v>
      </c>
    </row>
    <row r="161" spans="1:29" ht="16.5" x14ac:dyDescent="0.2">
      <c r="A161" s="13">
        <v>143</v>
      </c>
      <c r="B161" s="13">
        <v>15</v>
      </c>
      <c r="C161" s="14">
        <f>INDEX(新属性投放!$L$6:$L$10,属性汇总!$B$3)*INDEX(新属性投放!$Q$6:$Q$10,属性汇总!$D$3)</f>
        <v>1.1499999999999999</v>
      </c>
      <c r="D161" s="14">
        <f>INDEX(新属性投放!J$14:J$34,属性汇总!$B161)*$C161</f>
        <v>14105.209999999997</v>
      </c>
      <c r="E161" s="14">
        <f>INDEX(新属性投放!K$14:K$34,属性汇总!$B161)*$C161</f>
        <v>7031.9049999999979</v>
      </c>
      <c r="F161" s="14">
        <f>INDEX(新属性投放!L$14:L$34,属性汇总!$B161)*$C161</f>
        <v>42430.630000000005</v>
      </c>
      <c r="G161" s="14">
        <f>INDEX(新属性投放!D$14:D$34,属性汇总!$B161)*$C161</f>
        <v>352.63599999999997</v>
      </c>
      <c r="H161" s="14">
        <f>INDEX(新属性投放!E$14:E$34,属性汇总!$B161)*$C161</f>
        <v>176.31799999999998</v>
      </c>
      <c r="I161" s="14">
        <f>INDEX(新属性投放!F$14:F$34,属性汇总!$B161)*$C161</f>
        <v>1057.9079999999999</v>
      </c>
      <c r="J161" s="14">
        <f>ROUND(D161+($A161-INDEX(新属性投放!$B$14:$B$34,属性汇总!$B161))*属性汇总!G161,0)</f>
        <v>15163</v>
      </c>
      <c r="K161" s="14">
        <f>ROUND(E161+($A161-INDEX(新属性投放!$B$14:$B$34,属性汇总!$B161))*属性汇总!H161,0)</f>
        <v>7561</v>
      </c>
      <c r="L161" s="14">
        <f>ROUND(F161+($A161-INDEX(新属性投放!$B$14:$B$34,属性汇总!$B161))*属性汇总!I161,0)</f>
        <v>45604</v>
      </c>
      <c r="R161" s="13">
        <v>143</v>
      </c>
      <c r="S161" s="13">
        <v>15</v>
      </c>
      <c r="T161" s="14">
        <f>INDEX(新属性投放!$L$6:$L$10,$S$3)*INDEX(新属性投放!$Q$6:$Q$10,$U$3)</f>
        <v>1.1499999999999999</v>
      </c>
      <c r="U161" s="14">
        <f>INDEX(新属性投放!J$42:J$62,属性汇总!$S161)*$T161</f>
        <v>14294.959999999995</v>
      </c>
      <c r="V161" s="14">
        <f>INDEX(新属性投放!K$42:K$62,属性汇总!$S161)*$T161</f>
        <v>7145.7549999999983</v>
      </c>
      <c r="W161" s="14">
        <f>INDEX(新属性投放!L$42:L$62,属性汇总!$S161)*$T161</f>
        <v>76447.399999999994</v>
      </c>
      <c r="X161" s="14">
        <f>INDEX(新属性投放!$D$42:$D$62,属性汇总!$S161)*$T161</f>
        <v>352.63599999999997</v>
      </c>
      <c r="Y161" s="14">
        <f>INDEX(新属性投放!$E$42:$E$62,属性汇总!$S161)*$T161</f>
        <v>176.31799999999998</v>
      </c>
      <c r="Z161" s="14">
        <f>INDEX(新属性投放!$F$42:$F$62,属性汇总!$S161)*$T161</f>
        <v>1585.85</v>
      </c>
      <c r="AA161" s="14">
        <f>ROUND(U161+($R161-INDEX(新属性投放!$B$42:$B$62,属性汇总!$S161))*属性汇总!X161,0)</f>
        <v>15353</v>
      </c>
      <c r="AB161" s="14">
        <f>ROUND(V161+($R161-INDEX(新属性投放!$B$42:$B$62,属性汇总!$S161))*属性汇总!Y161,0)</f>
        <v>7675</v>
      </c>
      <c r="AC161" s="14">
        <f>ROUND(W161+($R161-INDEX(新属性投放!$B$42:$B$62,属性汇总!$S161))*属性汇总!Z161,0)</f>
        <v>81205</v>
      </c>
    </row>
    <row r="162" spans="1:29" ht="16.5" x14ac:dyDescent="0.2">
      <c r="A162" s="13">
        <v>144</v>
      </c>
      <c r="B162" s="13">
        <v>15</v>
      </c>
      <c r="C162" s="14">
        <f>INDEX(新属性投放!$L$6:$L$10,属性汇总!$B$3)*INDEX(新属性投放!$Q$6:$Q$10,属性汇总!$D$3)</f>
        <v>1.1499999999999999</v>
      </c>
      <c r="D162" s="14">
        <f>INDEX(新属性投放!J$14:J$34,属性汇总!$B162)*$C162</f>
        <v>14105.209999999997</v>
      </c>
      <c r="E162" s="14">
        <f>INDEX(新属性投放!K$14:K$34,属性汇总!$B162)*$C162</f>
        <v>7031.9049999999979</v>
      </c>
      <c r="F162" s="14">
        <f>INDEX(新属性投放!L$14:L$34,属性汇总!$B162)*$C162</f>
        <v>42430.630000000005</v>
      </c>
      <c r="G162" s="14">
        <f>INDEX(新属性投放!D$14:D$34,属性汇总!$B162)*$C162</f>
        <v>352.63599999999997</v>
      </c>
      <c r="H162" s="14">
        <f>INDEX(新属性投放!E$14:E$34,属性汇总!$B162)*$C162</f>
        <v>176.31799999999998</v>
      </c>
      <c r="I162" s="14">
        <f>INDEX(新属性投放!F$14:F$34,属性汇总!$B162)*$C162</f>
        <v>1057.9079999999999</v>
      </c>
      <c r="J162" s="14">
        <f>ROUND(D162+($A162-INDEX(新属性投放!$B$14:$B$34,属性汇总!$B162))*属性汇总!G162,0)</f>
        <v>15516</v>
      </c>
      <c r="K162" s="14">
        <f>ROUND(E162+($A162-INDEX(新属性投放!$B$14:$B$34,属性汇总!$B162))*属性汇总!H162,0)</f>
        <v>7737</v>
      </c>
      <c r="L162" s="14">
        <f>ROUND(F162+($A162-INDEX(新属性投放!$B$14:$B$34,属性汇总!$B162))*属性汇总!I162,0)</f>
        <v>46662</v>
      </c>
      <c r="R162" s="13">
        <v>144</v>
      </c>
      <c r="S162" s="13">
        <v>15</v>
      </c>
      <c r="T162" s="14">
        <f>INDEX(新属性投放!$L$6:$L$10,$S$3)*INDEX(新属性投放!$Q$6:$Q$10,$U$3)</f>
        <v>1.1499999999999999</v>
      </c>
      <c r="U162" s="14">
        <f>INDEX(新属性投放!J$42:J$62,属性汇总!$S162)*$T162</f>
        <v>14294.959999999995</v>
      </c>
      <c r="V162" s="14">
        <f>INDEX(新属性投放!K$42:K$62,属性汇总!$S162)*$T162</f>
        <v>7145.7549999999983</v>
      </c>
      <c r="W162" s="14">
        <f>INDEX(新属性投放!L$42:L$62,属性汇总!$S162)*$T162</f>
        <v>76447.399999999994</v>
      </c>
      <c r="X162" s="14">
        <f>INDEX(新属性投放!$D$42:$D$62,属性汇总!$S162)*$T162</f>
        <v>352.63599999999997</v>
      </c>
      <c r="Y162" s="14">
        <f>INDEX(新属性投放!$E$42:$E$62,属性汇总!$S162)*$T162</f>
        <v>176.31799999999998</v>
      </c>
      <c r="Z162" s="14">
        <f>INDEX(新属性投放!$F$42:$F$62,属性汇总!$S162)*$T162</f>
        <v>1585.85</v>
      </c>
      <c r="AA162" s="14">
        <f>ROUND(U162+($R162-INDEX(新属性投放!$B$42:$B$62,属性汇总!$S162))*属性汇总!X162,0)</f>
        <v>15706</v>
      </c>
      <c r="AB162" s="14">
        <f>ROUND(V162+($R162-INDEX(新属性投放!$B$42:$B$62,属性汇总!$S162))*属性汇总!Y162,0)</f>
        <v>7851</v>
      </c>
      <c r="AC162" s="14">
        <f>ROUND(W162+($R162-INDEX(新属性投放!$B$42:$B$62,属性汇总!$S162))*属性汇总!Z162,0)</f>
        <v>82791</v>
      </c>
    </row>
    <row r="163" spans="1:29" s="20" customFormat="1" ht="16.5" x14ac:dyDescent="0.2">
      <c r="A163" s="13">
        <v>145</v>
      </c>
      <c r="B163" s="13">
        <v>15</v>
      </c>
      <c r="C163" s="14">
        <f>INDEX(新属性投放!$L$6:$L$10,属性汇总!$B$3)*INDEX(新属性投放!$Q$6:$Q$10,属性汇总!$D$3)</f>
        <v>1.1499999999999999</v>
      </c>
      <c r="D163" s="14">
        <f>INDEX(新属性投放!J$14:J$34,属性汇总!$B163)*$C163</f>
        <v>14105.209999999997</v>
      </c>
      <c r="E163" s="14">
        <f>INDEX(新属性投放!K$14:K$34,属性汇总!$B163)*$C163</f>
        <v>7031.9049999999979</v>
      </c>
      <c r="F163" s="14">
        <f>INDEX(新属性投放!L$14:L$34,属性汇总!$B163)*$C163</f>
        <v>42430.630000000005</v>
      </c>
      <c r="G163" s="14">
        <f>INDEX(新属性投放!D$14:D$34,属性汇总!$B163)*$C163</f>
        <v>352.63599999999997</v>
      </c>
      <c r="H163" s="14">
        <f>INDEX(新属性投放!E$14:E$34,属性汇总!$B163)*$C163</f>
        <v>176.31799999999998</v>
      </c>
      <c r="I163" s="14">
        <f>INDEX(新属性投放!F$14:F$34,属性汇总!$B163)*$C163</f>
        <v>1057.9079999999999</v>
      </c>
      <c r="J163" s="14">
        <f>ROUND(D163+($A163-INDEX(新属性投放!$B$14:$B$34,属性汇总!$B163))*属性汇总!G163,0)</f>
        <v>15868</v>
      </c>
      <c r="K163" s="14">
        <f>ROUND(E163+($A163-INDEX(新属性投放!$B$14:$B$34,属性汇总!$B163))*属性汇总!H163,0)</f>
        <v>7913</v>
      </c>
      <c r="L163" s="14">
        <f>ROUND(F163+($A163-INDEX(新属性投放!$B$14:$B$34,属性汇总!$B163))*属性汇总!I163,0)</f>
        <v>47720</v>
      </c>
      <c r="N163" s="37"/>
      <c r="O163" s="37"/>
      <c r="P163" s="37"/>
      <c r="R163" s="13">
        <v>145</v>
      </c>
      <c r="S163" s="13">
        <v>15</v>
      </c>
      <c r="T163" s="14">
        <f>INDEX(新属性投放!$L$6:$L$10,$S$3)*INDEX(新属性投放!$Q$6:$Q$10,$U$3)</f>
        <v>1.1499999999999999</v>
      </c>
      <c r="U163" s="14">
        <f>INDEX(新属性投放!J$42:J$62,属性汇总!$S163)*$T163</f>
        <v>14294.959999999995</v>
      </c>
      <c r="V163" s="14">
        <f>INDEX(新属性投放!K$42:K$62,属性汇总!$S163)*$T163</f>
        <v>7145.7549999999983</v>
      </c>
      <c r="W163" s="14">
        <f>INDEX(新属性投放!L$42:L$62,属性汇总!$S163)*$T163</f>
        <v>76447.399999999994</v>
      </c>
      <c r="X163" s="14">
        <f>INDEX(新属性投放!$D$42:$D$62,属性汇总!$S163)*$T163</f>
        <v>352.63599999999997</v>
      </c>
      <c r="Y163" s="14">
        <f>INDEX(新属性投放!$E$42:$E$62,属性汇总!$S163)*$T163</f>
        <v>176.31799999999998</v>
      </c>
      <c r="Z163" s="14">
        <f>INDEX(新属性投放!$F$42:$F$62,属性汇总!$S163)*$T163</f>
        <v>1585.85</v>
      </c>
      <c r="AA163" s="14">
        <f>ROUND(U163+($R163-INDEX(新属性投放!$B$42:$B$62,属性汇总!$S163))*属性汇总!X163,0)</f>
        <v>16058</v>
      </c>
      <c r="AB163" s="14">
        <f>ROUND(V163+($R163-INDEX(新属性投放!$B$42:$B$62,属性汇总!$S163))*属性汇总!Y163,0)</f>
        <v>8027</v>
      </c>
      <c r="AC163" s="14">
        <f>ROUND(W163+($R163-INDEX(新属性投放!$B$42:$B$62,属性汇总!$S163))*属性汇总!Z163,0)</f>
        <v>84377</v>
      </c>
    </row>
    <row r="164" spans="1:29" ht="16.5" x14ac:dyDescent="0.2">
      <c r="A164" s="13">
        <v>146</v>
      </c>
      <c r="B164" s="13">
        <v>15</v>
      </c>
      <c r="C164" s="14">
        <f>INDEX(新属性投放!$L$6:$L$10,属性汇总!$B$3)*INDEX(新属性投放!$Q$6:$Q$10,属性汇总!$D$3)</f>
        <v>1.1499999999999999</v>
      </c>
      <c r="D164" s="14">
        <f>INDEX(新属性投放!J$14:J$34,属性汇总!$B164)*$C164</f>
        <v>14105.209999999997</v>
      </c>
      <c r="E164" s="14">
        <f>INDEX(新属性投放!K$14:K$34,属性汇总!$B164)*$C164</f>
        <v>7031.9049999999979</v>
      </c>
      <c r="F164" s="14">
        <f>INDEX(新属性投放!L$14:L$34,属性汇总!$B164)*$C164</f>
        <v>42430.630000000005</v>
      </c>
      <c r="G164" s="14">
        <f>INDEX(新属性投放!D$14:D$34,属性汇总!$B164)*$C164</f>
        <v>352.63599999999997</v>
      </c>
      <c r="H164" s="14">
        <f>INDEX(新属性投放!E$14:E$34,属性汇总!$B164)*$C164</f>
        <v>176.31799999999998</v>
      </c>
      <c r="I164" s="14">
        <f>INDEX(新属性投放!F$14:F$34,属性汇总!$B164)*$C164</f>
        <v>1057.9079999999999</v>
      </c>
      <c r="J164" s="14">
        <f>ROUND(D164+($A164-INDEX(新属性投放!$B$14:$B$34,属性汇总!$B164))*属性汇总!G164,0)</f>
        <v>16221</v>
      </c>
      <c r="K164" s="14">
        <f>ROUND(E164+($A164-INDEX(新属性投放!$B$14:$B$34,属性汇总!$B164))*属性汇总!H164,0)</f>
        <v>8090</v>
      </c>
      <c r="L164" s="14">
        <f>ROUND(F164+($A164-INDEX(新属性投放!$B$14:$B$34,属性汇总!$B164))*属性汇总!I164,0)</f>
        <v>48778</v>
      </c>
      <c r="R164" s="13">
        <v>146</v>
      </c>
      <c r="S164" s="13">
        <v>15</v>
      </c>
      <c r="T164" s="14">
        <f>INDEX(新属性投放!$L$6:$L$10,$S$3)*INDEX(新属性投放!$Q$6:$Q$10,$U$3)</f>
        <v>1.1499999999999999</v>
      </c>
      <c r="U164" s="14">
        <f>INDEX(新属性投放!J$42:J$62,属性汇总!$S164)*$T164</f>
        <v>14294.959999999995</v>
      </c>
      <c r="V164" s="14">
        <f>INDEX(新属性投放!K$42:K$62,属性汇总!$S164)*$T164</f>
        <v>7145.7549999999983</v>
      </c>
      <c r="W164" s="14">
        <f>INDEX(新属性投放!L$42:L$62,属性汇总!$S164)*$T164</f>
        <v>76447.399999999994</v>
      </c>
      <c r="X164" s="14">
        <f>INDEX(新属性投放!$D$42:$D$62,属性汇总!$S164)*$T164</f>
        <v>352.63599999999997</v>
      </c>
      <c r="Y164" s="14">
        <f>INDEX(新属性投放!$E$42:$E$62,属性汇总!$S164)*$T164</f>
        <v>176.31799999999998</v>
      </c>
      <c r="Z164" s="14">
        <f>INDEX(新属性投放!$F$42:$F$62,属性汇总!$S164)*$T164</f>
        <v>1585.85</v>
      </c>
      <c r="AA164" s="14">
        <f>ROUND(U164+($R164-INDEX(新属性投放!$B$42:$B$62,属性汇总!$S164))*属性汇总!X164,0)</f>
        <v>16411</v>
      </c>
      <c r="AB164" s="14">
        <f>ROUND(V164+($R164-INDEX(新属性投放!$B$42:$B$62,属性汇总!$S164))*属性汇总!Y164,0)</f>
        <v>8204</v>
      </c>
      <c r="AC164" s="14">
        <f>ROUND(W164+($R164-INDEX(新属性投放!$B$42:$B$62,属性汇总!$S164))*属性汇总!Z164,0)</f>
        <v>85963</v>
      </c>
    </row>
    <row r="165" spans="1:29" ht="16.5" x14ac:dyDescent="0.2">
      <c r="A165" s="13">
        <v>147</v>
      </c>
      <c r="B165" s="13">
        <v>15</v>
      </c>
      <c r="C165" s="14">
        <f>INDEX(新属性投放!$L$6:$L$10,属性汇总!$B$3)*INDEX(新属性投放!$Q$6:$Q$10,属性汇总!$D$3)</f>
        <v>1.1499999999999999</v>
      </c>
      <c r="D165" s="14">
        <f>INDEX(新属性投放!J$14:J$34,属性汇总!$B165)*$C165</f>
        <v>14105.209999999997</v>
      </c>
      <c r="E165" s="14">
        <f>INDEX(新属性投放!K$14:K$34,属性汇总!$B165)*$C165</f>
        <v>7031.9049999999979</v>
      </c>
      <c r="F165" s="14">
        <f>INDEX(新属性投放!L$14:L$34,属性汇总!$B165)*$C165</f>
        <v>42430.630000000005</v>
      </c>
      <c r="G165" s="14">
        <f>INDEX(新属性投放!D$14:D$34,属性汇总!$B165)*$C165</f>
        <v>352.63599999999997</v>
      </c>
      <c r="H165" s="14">
        <f>INDEX(新属性投放!E$14:E$34,属性汇总!$B165)*$C165</f>
        <v>176.31799999999998</v>
      </c>
      <c r="I165" s="14">
        <f>INDEX(新属性投放!F$14:F$34,属性汇总!$B165)*$C165</f>
        <v>1057.9079999999999</v>
      </c>
      <c r="J165" s="14">
        <f>ROUND(D165+($A165-INDEX(新属性投放!$B$14:$B$34,属性汇总!$B165))*属性汇总!G165,0)</f>
        <v>16574</v>
      </c>
      <c r="K165" s="14">
        <f>ROUND(E165+($A165-INDEX(新属性投放!$B$14:$B$34,属性汇总!$B165))*属性汇总!H165,0)</f>
        <v>8266</v>
      </c>
      <c r="L165" s="14">
        <f>ROUND(F165+($A165-INDEX(新属性投放!$B$14:$B$34,属性汇总!$B165))*属性汇总!I165,0)</f>
        <v>49836</v>
      </c>
      <c r="R165" s="13">
        <v>147</v>
      </c>
      <c r="S165" s="13">
        <v>15</v>
      </c>
      <c r="T165" s="14">
        <f>INDEX(新属性投放!$L$6:$L$10,$S$3)*INDEX(新属性投放!$Q$6:$Q$10,$U$3)</f>
        <v>1.1499999999999999</v>
      </c>
      <c r="U165" s="14">
        <f>INDEX(新属性投放!J$42:J$62,属性汇总!$S165)*$T165</f>
        <v>14294.959999999995</v>
      </c>
      <c r="V165" s="14">
        <f>INDEX(新属性投放!K$42:K$62,属性汇总!$S165)*$T165</f>
        <v>7145.7549999999983</v>
      </c>
      <c r="W165" s="14">
        <f>INDEX(新属性投放!L$42:L$62,属性汇总!$S165)*$T165</f>
        <v>76447.399999999994</v>
      </c>
      <c r="X165" s="14">
        <f>INDEX(新属性投放!$D$42:$D$62,属性汇总!$S165)*$T165</f>
        <v>352.63599999999997</v>
      </c>
      <c r="Y165" s="14">
        <f>INDEX(新属性投放!$E$42:$E$62,属性汇总!$S165)*$T165</f>
        <v>176.31799999999998</v>
      </c>
      <c r="Z165" s="14">
        <f>INDEX(新属性投放!$F$42:$F$62,属性汇总!$S165)*$T165</f>
        <v>1585.85</v>
      </c>
      <c r="AA165" s="14">
        <f>ROUND(U165+($R165-INDEX(新属性投放!$B$42:$B$62,属性汇总!$S165))*属性汇总!X165,0)</f>
        <v>16763</v>
      </c>
      <c r="AB165" s="14">
        <f>ROUND(V165+($R165-INDEX(新属性投放!$B$42:$B$62,属性汇总!$S165))*属性汇总!Y165,0)</f>
        <v>8380</v>
      </c>
      <c r="AC165" s="14">
        <f>ROUND(W165+($R165-INDEX(新属性投放!$B$42:$B$62,属性汇总!$S165))*属性汇总!Z165,0)</f>
        <v>87548</v>
      </c>
    </row>
    <row r="166" spans="1:29" ht="16.5" x14ac:dyDescent="0.2">
      <c r="A166" s="13">
        <v>148</v>
      </c>
      <c r="B166" s="13">
        <v>15</v>
      </c>
      <c r="C166" s="14">
        <f>INDEX(新属性投放!$L$6:$L$10,属性汇总!$B$3)*INDEX(新属性投放!$Q$6:$Q$10,属性汇总!$D$3)</f>
        <v>1.1499999999999999</v>
      </c>
      <c r="D166" s="14">
        <f>INDEX(新属性投放!J$14:J$34,属性汇总!$B166)*$C166</f>
        <v>14105.209999999997</v>
      </c>
      <c r="E166" s="14">
        <f>INDEX(新属性投放!K$14:K$34,属性汇总!$B166)*$C166</f>
        <v>7031.9049999999979</v>
      </c>
      <c r="F166" s="14">
        <f>INDEX(新属性投放!L$14:L$34,属性汇总!$B166)*$C166</f>
        <v>42430.630000000005</v>
      </c>
      <c r="G166" s="14">
        <f>INDEX(新属性投放!D$14:D$34,属性汇总!$B166)*$C166</f>
        <v>352.63599999999997</v>
      </c>
      <c r="H166" s="14">
        <f>INDEX(新属性投放!E$14:E$34,属性汇总!$B166)*$C166</f>
        <v>176.31799999999998</v>
      </c>
      <c r="I166" s="14">
        <f>INDEX(新属性投放!F$14:F$34,属性汇总!$B166)*$C166</f>
        <v>1057.9079999999999</v>
      </c>
      <c r="J166" s="14">
        <f>ROUND(D166+($A166-INDEX(新属性投放!$B$14:$B$34,属性汇总!$B166))*属性汇总!G166,0)</f>
        <v>16926</v>
      </c>
      <c r="K166" s="14">
        <f>ROUND(E166+($A166-INDEX(新属性投放!$B$14:$B$34,属性汇总!$B166))*属性汇总!H166,0)</f>
        <v>8442</v>
      </c>
      <c r="L166" s="14">
        <f>ROUND(F166+($A166-INDEX(新属性投放!$B$14:$B$34,属性汇总!$B166))*属性汇总!I166,0)</f>
        <v>50894</v>
      </c>
      <c r="R166" s="13">
        <v>148</v>
      </c>
      <c r="S166" s="13">
        <v>15</v>
      </c>
      <c r="T166" s="14">
        <f>INDEX(新属性投放!$L$6:$L$10,$S$3)*INDEX(新属性投放!$Q$6:$Q$10,$U$3)</f>
        <v>1.1499999999999999</v>
      </c>
      <c r="U166" s="14">
        <f>INDEX(新属性投放!J$42:J$62,属性汇总!$S166)*$T166</f>
        <v>14294.959999999995</v>
      </c>
      <c r="V166" s="14">
        <f>INDEX(新属性投放!K$42:K$62,属性汇总!$S166)*$T166</f>
        <v>7145.7549999999983</v>
      </c>
      <c r="W166" s="14">
        <f>INDEX(新属性投放!L$42:L$62,属性汇总!$S166)*$T166</f>
        <v>76447.399999999994</v>
      </c>
      <c r="X166" s="14">
        <f>INDEX(新属性投放!$D$42:$D$62,属性汇总!$S166)*$T166</f>
        <v>352.63599999999997</v>
      </c>
      <c r="Y166" s="14">
        <f>INDEX(新属性投放!$E$42:$E$62,属性汇总!$S166)*$T166</f>
        <v>176.31799999999998</v>
      </c>
      <c r="Z166" s="14">
        <f>INDEX(新属性投放!$F$42:$F$62,属性汇总!$S166)*$T166</f>
        <v>1585.85</v>
      </c>
      <c r="AA166" s="14">
        <f>ROUND(U166+($R166-INDEX(新属性投放!$B$42:$B$62,属性汇总!$S166))*属性汇总!X166,0)</f>
        <v>17116</v>
      </c>
      <c r="AB166" s="14">
        <f>ROUND(V166+($R166-INDEX(新属性投放!$B$42:$B$62,属性汇总!$S166))*属性汇总!Y166,0)</f>
        <v>8556</v>
      </c>
      <c r="AC166" s="14">
        <f>ROUND(W166+($R166-INDEX(新属性投放!$B$42:$B$62,属性汇总!$S166))*属性汇总!Z166,0)</f>
        <v>89134</v>
      </c>
    </row>
    <row r="167" spans="1:29" ht="16.5" x14ac:dyDescent="0.2">
      <c r="A167" s="13">
        <v>149</v>
      </c>
      <c r="B167" s="13">
        <v>15</v>
      </c>
      <c r="C167" s="14">
        <f>INDEX(新属性投放!$L$6:$L$10,属性汇总!$B$3)*INDEX(新属性投放!$Q$6:$Q$10,属性汇总!$D$3)</f>
        <v>1.1499999999999999</v>
      </c>
      <c r="D167" s="14">
        <f>INDEX(新属性投放!J$14:J$34,属性汇总!$B167)*$C167</f>
        <v>14105.209999999997</v>
      </c>
      <c r="E167" s="14">
        <f>INDEX(新属性投放!K$14:K$34,属性汇总!$B167)*$C167</f>
        <v>7031.9049999999979</v>
      </c>
      <c r="F167" s="14">
        <f>INDEX(新属性投放!L$14:L$34,属性汇总!$B167)*$C167</f>
        <v>42430.630000000005</v>
      </c>
      <c r="G167" s="14">
        <f>INDEX(新属性投放!D$14:D$34,属性汇总!$B167)*$C167</f>
        <v>352.63599999999997</v>
      </c>
      <c r="H167" s="14">
        <f>INDEX(新属性投放!E$14:E$34,属性汇总!$B167)*$C167</f>
        <v>176.31799999999998</v>
      </c>
      <c r="I167" s="14">
        <f>INDEX(新属性投放!F$14:F$34,属性汇总!$B167)*$C167</f>
        <v>1057.9079999999999</v>
      </c>
      <c r="J167" s="14">
        <f>ROUND(D167+($A167-INDEX(新属性投放!$B$14:$B$34,属性汇总!$B167))*属性汇总!G167,0)</f>
        <v>17279</v>
      </c>
      <c r="K167" s="14">
        <f>ROUND(E167+($A167-INDEX(新属性投放!$B$14:$B$34,属性汇总!$B167))*属性汇总!H167,0)</f>
        <v>8619</v>
      </c>
      <c r="L167" s="14">
        <f>ROUND(F167+($A167-INDEX(新属性投放!$B$14:$B$34,属性汇总!$B167))*属性汇总!I167,0)</f>
        <v>51952</v>
      </c>
      <c r="R167" s="13">
        <v>149</v>
      </c>
      <c r="S167" s="13">
        <v>15</v>
      </c>
      <c r="T167" s="14">
        <f>INDEX(新属性投放!$L$6:$L$10,$S$3)*INDEX(新属性投放!$Q$6:$Q$10,$U$3)</f>
        <v>1.1499999999999999</v>
      </c>
      <c r="U167" s="14">
        <f>INDEX(新属性投放!J$42:J$62,属性汇总!$S167)*$T167</f>
        <v>14294.959999999995</v>
      </c>
      <c r="V167" s="14">
        <f>INDEX(新属性投放!K$42:K$62,属性汇总!$S167)*$T167</f>
        <v>7145.7549999999983</v>
      </c>
      <c r="W167" s="14">
        <f>INDEX(新属性投放!L$42:L$62,属性汇总!$S167)*$T167</f>
        <v>76447.399999999994</v>
      </c>
      <c r="X167" s="14">
        <f>INDEX(新属性投放!$D$42:$D$62,属性汇总!$S167)*$T167</f>
        <v>352.63599999999997</v>
      </c>
      <c r="Y167" s="14">
        <f>INDEX(新属性投放!$E$42:$E$62,属性汇总!$S167)*$T167</f>
        <v>176.31799999999998</v>
      </c>
      <c r="Z167" s="14">
        <f>INDEX(新属性投放!$F$42:$F$62,属性汇总!$S167)*$T167</f>
        <v>1585.85</v>
      </c>
      <c r="AA167" s="14">
        <f>ROUND(U167+($R167-INDEX(新属性投放!$B$42:$B$62,属性汇总!$S167))*属性汇总!X167,0)</f>
        <v>17469</v>
      </c>
      <c r="AB167" s="14">
        <f>ROUND(V167+($R167-INDEX(新属性投放!$B$42:$B$62,属性汇总!$S167))*属性汇总!Y167,0)</f>
        <v>8733</v>
      </c>
      <c r="AC167" s="14">
        <f>ROUND(W167+($R167-INDEX(新属性投放!$B$42:$B$62,属性汇总!$S167))*属性汇总!Z167,0)</f>
        <v>90720</v>
      </c>
    </row>
    <row r="168" spans="1:29" ht="16.5" x14ac:dyDescent="0.2">
      <c r="A168" s="13">
        <v>150</v>
      </c>
      <c r="B168" s="13">
        <v>15</v>
      </c>
      <c r="C168" s="14">
        <f>INDEX(新属性投放!$L$6:$L$10,属性汇总!$B$3)*INDEX(新属性投放!$Q$6:$Q$10,属性汇总!$D$3)</f>
        <v>1.1499999999999999</v>
      </c>
      <c r="D168" s="14">
        <f>INDEX(新属性投放!J$14:J$34,属性汇总!$B168)*$C168</f>
        <v>14105.209999999997</v>
      </c>
      <c r="E168" s="14">
        <f>INDEX(新属性投放!K$14:K$34,属性汇总!$B168)*$C168</f>
        <v>7031.9049999999979</v>
      </c>
      <c r="F168" s="14">
        <f>INDEX(新属性投放!L$14:L$34,属性汇总!$B168)*$C168</f>
        <v>42430.630000000005</v>
      </c>
      <c r="G168" s="14">
        <f>INDEX(新属性投放!D$14:D$34,属性汇总!$B168)*$C168</f>
        <v>352.63599999999997</v>
      </c>
      <c r="H168" s="14">
        <f>INDEX(新属性投放!E$14:E$34,属性汇总!$B168)*$C168</f>
        <v>176.31799999999998</v>
      </c>
      <c r="I168" s="14">
        <f>INDEX(新属性投放!F$14:F$34,属性汇总!$B168)*$C168</f>
        <v>1057.9079999999999</v>
      </c>
      <c r="J168" s="14">
        <f>ROUND(D168+($A168-INDEX(新属性投放!$B$14:$B$34,属性汇总!$B168))*属性汇总!G168,0)</f>
        <v>17632</v>
      </c>
      <c r="K168" s="14">
        <f>ROUND(E168+($A168-INDEX(新属性投放!$B$14:$B$34,属性汇总!$B168))*属性汇总!H168,0)</f>
        <v>8795</v>
      </c>
      <c r="L168" s="14">
        <f>ROUND(F168+($A168-INDEX(新属性投放!$B$14:$B$34,属性汇总!$B168))*属性汇总!I168,0)</f>
        <v>53010</v>
      </c>
      <c r="R168" s="13">
        <v>150</v>
      </c>
      <c r="S168" s="13">
        <v>15</v>
      </c>
      <c r="T168" s="14">
        <f>INDEX(新属性投放!$L$6:$L$10,$S$3)*INDEX(新属性投放!$Q$6:$Q$10,$U$3)</f>
        <v>1.1499999999999999</v>
      </c>
      <c r="U168" s="14">
        <f>INDEX(新属性投放!J$42:J$62,属性汇总!$S168)*$T168</f>
        <v>14294.959999999995</v>
      </c>
      <c r="V168" s="14">
        <f>INDEX(新属性投放!K$42:K$62,属性汇总!$S168)*$T168</f>
        <v>7145.7549999999983</v>
      </c>
      <c r="W168" s="14">
        <f>INDEX(新属性投放!L$42:L$62,属性汇总!$S168)*$T168</f>
        <v>76447.399999999994</v>
      </c>
      <c r="X168" s="14">
        <f>INDEX(新属性投放!$D$42:$D$62,属性汇总!$S168)*$T168</f>
        <v>352.63599999999997</v>
      </c>
      <c r="Y168" s="14">
        <f>INDEX(新属性投放!$E$42:$E$62,属性汇总!$S168)*$T168</f>
        <v>176.31799999999998</v>
      </c>
      <c r="Z168" s="14">
        <f>INDEX(新属性投放!$F$42:$F$62,属性汇总!$S168)*$T168</f>
        <v>1585.85</v>
      </c>
      <c r="AA168" s="14">
        <f>ROUND(U168+($R168-INDEX(新属性投放!$B$42:$B$62,属性汇总!$S168))*属性汇总!X168,0)</f>
        <v>17821</v>
      </c>
      <c r="AB168" s="14">
        <f>ROUND(V168+($R168-INDEX(新属性投放!$B$42:$B$62,属性汇总!$S168))*属性汇总!Y168,0)</f>
        <v>8909</v>
      </c>
      <c r="AC168" s="14">
        <f>ROUND(W168+($R168-INDEX(新属性投放!$B$42:$B$62,属性汇总!$S168))*属性汇总!Z168,0)</f>
        <v>92306</v>
      </c>
    </row>
    <row r="169" spans="1:29" s="37" customFormat="1" ht="16.5" x14ac:dyDescent="0.2">
      <c r="A169" s="13">
        <v>150</v>
      </c>
      <c r="B169" s="13">
        <v>16</v>
      </c>
      <c r="C169" s="14">
        <f>INDEX(新属性投放!$L$6:$L$10,属性汇总!$B$3)*INDEX(新属性投放!$Q$6:$Q$10,属性汇总!$D$3)</f>
        <v>1.1499999999999999</v>
      </c>
      <c r="D169" s="14">
        <f>INDEX(新属性投放!J$14:J$34,属性汇总!$B169)*$C169</f>
        <v>18513.619999999995</v>
      </c>
      <c r="E169" s="14">
        <f>INDEX(新属性投放!K$14:K$34,属性汇总!$B169)*$C169</f>
        <v>9235.534999999998</v>
      </c>
      <c r="F169" s="14">
        <f>INDEX(新属性投放!L$14:L$34,属性汇总!$B169)*$C169</f>
        <v>55655.86</v>
      </c>
      <c r="G169" s="14">
        <f>INDEX(新属性投放!D$14:D$34,属性汇总!$B169)*$C169</f>
        <v>462.84050000000002</v>
      </c>
      <c r="H169" s="14">
        <f>INDEX(新属性投放!E$14:E$34,属性汇总!$B169)*$C169</f>
        <v>231.42025000000001</v>
      </c>
      <c r="I169" s="14">
        <f>INDEX(新属性投放!F$14:F$34,属性汇总!$B169)*$C169</f>
        <v>1388.5215000000001</v>
      </c>
      <c r="J169" s="14">
        <f>ROUND(D169+($A169-INDEX(新属性投放!$B$14:$B$34,属性汇总!$B169))*属性汇总!G169,0)</f>
        <v>18514</v>
      </c>
      <c r="K169" s="14">
        <f>ROUND(E169+($A169-INDEX(新属性投放!$B$14:$B$34,属性汇总!$B169))*属性汇总!H169,0)</f>
        <v>9236</v>
      </c>
      <c r="L169" s="14">
        <f>ROUND(F169+($A169-INDEX(新属性投放!$B$14:$B$34,属性汇总!$B169))*属性汇总!I169,0)</f>
        <v>55656</v>
      </c>
      <c r="R169" s="13">
        <v>150</v>
      </c>
      <c r="S169" s="13">
        <v>16</v>
      </c>
      <c r="T169" s="14">
        <f>INDEX(新属性投放!$L$6:$L$10,$S$3)*INDEX(新属性投放!$Q$6:$Q$10,$U$3)</f>
        <v>1.1499999999999999</v>
      </c>
      <c r="U169" s="14">
        <f>INDEX(新属性投放!J$42:J$62,属性汇总!$S169)*$T169</f>
        <v>18703.369999999995</v>
      </c>
      <c r="V169" s="14">
        <f>INDEX(新属性投放!K$42:K$62,属性汇总!$S169)*$T169</f>
        <v>9349.3849999999984</v>
      </c>
      <c r="W169" s="14">
        <f>INDEX(新属性投放!L$42:L$62,属性汇总!$S169)*$T169</f>
        <v>100244.34999999999</v>
      </c>
      <c r="X169" s="14">
        <f>INDEX(新属性投放!$D$42:$D$62,属性汇总!$S169)*$T169</f>
        <v>462.84050000000002</v>
      </c>
      <c r="Y169" s="14">
        <f>INDEX(新属性投放!$E$42:$E$62,属性汇总!$S169)*$T169</f>
        <v>231.42025000000001</v>
      </c>
      <c r="Z169" s="14">
        <f>INDEX(新属性投放!$F$42:$F$62,属性汇总!$S169)*$T169</f>
        <v>2082.6499999999996</v>
      </c>
      <c r="AA169" s="14">
        <f>ROUND(U169+($R169-INDEX(新属性投放!$B$42:$B$62,属性汇总!$S169))*属性汇总!X169,0)</f>
        <v>18703</v>
      </c>
      <c r="AB169" s="14">
        <f>ROUND(V169+($R169-INDEX(新属性投放!$B$42:$B$62,属性汇总!$S169))*属性汇总!Y169,0)</f>
        <v>9349</v>
      </c>
      <c r="AC169" s="14">
        <f>ROUND(W169+($R169-INDEX(新属性投放!$B$42:$B$62,属性汇总!$S169))*属性汇总!Z169,0)</f>
        <v>100244</v>
      </c>
    </row>
    <row r="170" spans="1:29" s="20" customFormat="1" ht="16.5" x14ac:dyDescent="0.2">
      <c r="A170" s="13">
        <v>151</v>
      </c>
      <c r="B170" s="13">
        <v>16</v>
      </c>
      <c r="C170" s="14">
        <f>INDEX(新属性投放!$L$6:$L$10,属性汇总!$B$3)*INDEX(新属性投放!$Q$6:$Q$10,属性汇总!$D$3)</f>
        <v>1.1499999999999999</v>
      </c>
      <c r="D170" s="14">
        <f>INDEX(新属性投放!J$14:J$34,属性汇总!$B170)*$C170</f>
        <v>18513.619999999995</v>
      </c>
      <c r="E170" s="14">
        <f>INDEX(新属性投放!K$14:K$34,属性汇总!$B170)*$C170</f>
        <v>9235.534999999998</v>
      </c>
      <c r="F170" s="14">
        <f>INDEX(新属性投放!L$14:L$34,属性汇总!$B170)*$C170</f>
        <v>55655.86</v>
      </c>
      <c r="G170" s="14">
        <f>INDEX(新属性投放!D$14:D$34,属性汇总!$B170)*$C170</f>
        <v>462.84050000000002</v>
      </c>
      <c r="H170" s="14">
        <f>INDEX(新属性投放!E$14:E$34,属性汇总!$B170)*$C170</f>
        <v>231.42025000000001</v>
      </c>
      <c r="I170" s="14">
        <f>INDEX(新属性投放!F$14:F$34,属性汇总!$B170)*$C170</f>
        <v>1388.5215000000001</v>
      </c>
      <c r="J170" s="14">
        <f>ROUND(D170+($A170-INDEX(新属性投放!$B$14:$B$34,属性汇总!$B170))*属性汇总!G170,0)</f>
        <v>18976</v>
      </c>
      <c r="K170" s="14">
        <f>ROUND(E170+($A170-INDEX(新属性投放!$B$14:$B$34,属性汇总!$B170))*属性汇总!H170,0)</f>
        <v>9467</v>
      </c>
      <c r="L170" s="14">
        <f>ROUND(F170+($A170-INDEX(新属性投放!$B$14:$B$34,属性汇总!$B170))*属性汇总!I170,0)</f>
        <v>57044</v>
      </c>
      <c r="N170" s="37"/>
      <c r="O170" s="37"/>
      <c r="P170" s="37"/>
      <c r="R170" s="13">
        <v>151</v>
      </c>
      <c r="S170" s="13">
        <v>16</v>
      </c>
      <c r="T170" s="14">
        <f>INDEX(新属性投放!$L$6:$L$10,$S$3)*INDEX(新属性投放!$Q$6:$Q$10,$U$3)</f>
        <v>1.1499999999999999</v>
      </c>
      <c r="U170" s="14">
        <f>INDEX(新属性投放!J$42:J$62,属性汇总!$S170)*$T170</f>
        <v>18703.369999999995</v>
      </c>
      <c r="V170" s="14">
        <f>INDEX(新属性投放!K$42:K$62,属性汇总!$S170)*$T170</f>
        <v>9349.3849999999984</v>
      </c>
      <c r="W170" s="14">
        <f>INDEX(新属性投放!L$42:L$62,属性汇总!$S170)*$T170</f>
        <v>100244.34999999999</v>
      </c>
      <c r="X170" s="14">
        <f>INDEX(新属性投放!$D$42:$D$62,属性汇总!$S170)*$T170</f>
        <v>462.84050000000002</v>
      </c>
      <c r="Y170" s="14">
        <f>INDEX(新属性投放!$E$42:$E$62,属性汇总!$S170)*$T170</f>
        <v>231.42025000000001</v>
      </c>
      <c r="Z170" s="14">
        <f>INDEX(新属性投放!$F$42:$F$62,属性汇总!$S170)*$T170</f>
        <v>2082.6499999999996</v>
      </c>
      <c r="AA170" s="14">
        <f>ROUND(U170+($R170-INDEX(新属性投放!$B$42:$B$62,属性汇总!$S170))*属性汇总!X170,0)</f>
        <v>19166</v>
      </c>
      <c r="AB170" s="14">
        <f>ROUND(V170+($R170-INDEX(新属性投放!$B$42:$B$62,属性汇总!$S170))*属性汇总!Y170,0)</f>
        <v>9581</v>
      </c>
      <c r="AC170" s="14">
        <f>ROUND(W170+($R170-INDEX(新属性投放!$B$42:$B$62,属性汇总!$S170))*属性汇总!Z170,0)</f>
        <v>102327</v>
      </c>
    </row>
    <row r="171" spans="1:29" ht="16.5" x14ac:dyDescent="0.2">
      <c r="A171" s="13">
        <v>152</v>
      </c>
      <c r="B171" s="13">
        <v>16</v>
      </c>
      <c r="C171" s="14">
        <f>INDEX(新属性投放!$L$6:$L$10,属性汇总!$B$3)*INDEX(新属性投放!$Q$6:$Q$10,属性汇总!$D$3)</f>
        <v>1.1499999999999999</v>
      </c>
      <c r="D171" s="14">
        <f>INDEX(新属性投放!J$14:J$34,属性汇总!$B171)*$C171</f>
        <v>18513.619999999995</v>
      </c>
      <c r="E171" s="14">
        <f>INDEX(新属性投放!K$14:K$34,属性汇总!$B171)*$C171</f>
        <v>9235.534999999998</v>
      </c>
      <c r="F171" s="14">
        <f>INDEX(新属性投放!L$14:L$34,属性汇总!$B171)*$C171</f>
        <v>55655.86</v>
      </c>
      <c r="G171" s="14">
        <f>INDEX(新属性投放!D$14:D$34,属性汇总!$B171)*$C171</f>
        <v>462.84050000000002</v>
      </c>
      <c r="H171" s="14">
        <f>INDEX(新属性投放!E$14:E$34,属性汇总!$B171)*$C171</f>
        <v>231.42025000000001</v>
      </c>
      <c r="I171" s="14">
        <f>INDEX(新属性投放!F$14:F$34,属性汇总!$B171)*$C171</f>
        <v>1388.5215000000001</v>
      </c>
      <c r="J171" s="14">
        <f>ROUND(D171+($A171-INDEX(新属性投放!$B$14:$B$34,属性汇总!$B171))*属性汇总!G171,0)</f>
        <v>19439</v>
      </c>
      <c r="K171" s="14">
        <f>ROUND(E171+($A171-INDEX(新属性投放!$B$14:$B$34,属性汇总!$B171))*属性汇总!H171,0)</f>
        <v>9698</v>
      </c>
      <c r="L171" s="14">
        <f>ROUND(F171+($A171-INDEX(新属性投放!$B$14:$B$34,属性汇总!$B171))*属性汇总!I171,0)</f>
        <v>58433</v>
      </c>
      <c r="R171" s="13">
        <v>152</v>
      </c>
      <c r="S171" s="13">
        <v>16</v>
      </c>
      <c r="T171" s="14">
        <f>INDEX(新属性投放!$L$6:$L$10,$S$3)*INDEX(新属性投放!$Q$6:$Q$10,$U$3)</f>
        <v>1.1499999999999999</v>
      </c>
      <c r="U171" s="14">
        <f>INDEX(新属性投放!J$42:J$62,属性汇总!$S171)*$T171</f>
        <v>18703.369999999995</v>
      </c>
      <c r="V171" s="14">
        <f>INDEX(新属性投放!K$42:K$62,属性汇总!$S171)*$T171</f>
        <v>9349.3849999999984</v>
      </c>
      <c r="W171" s="14">
        <f>INDEX(新属性投放!L$42:L$62,属性汇总!$S171)*$T171</f>
        <v>100244.34999999999</v>
      </c>
      <c r="X171" s="14">
        <f>INDEX(新属性投放!$D$42:$D$62,属性汇总!$S171)*$T171</f>
        <v>462.84050000000002</v>
      </c>
      <c r="Y171" s="14">
        <f>INDEX(新属性投放!$E$42:$E$62,属性汇总!$S171)*$T171</f>
        <v>231.42025000000001</v>
      </c>
      <c r="Z171" s="14">
        <f>INDEX(新属性投放!$F$42:$F$62,属性汇总!$S171)*$T171</f>
        <v>2082.6499999999996</v>
      </c>
      <c r="AA171" s="14">
        <f>ROUND(U171+($R171-INDEX(新属性投放!$B$42:$B$62,属性汇总!$S171))*属性汇总!X171,0)</f>
        <v>19629</v>
      </c>
      <c r="AB171" s="14">
        <f>ROUND(V171+($R171-INDEX(新属性投放!$B$42:$B$62,属性汇总!$S171))*属性汇总!Y171,0)</f>
        <v>9812</v>
      </c>
      <c r="AC171" s="14">
        <f>ROUND(W171+($R171-INDEX(新属性投放!$B$42:$B$62,属性汇总!$S171))*属性汇总!Z171,0)</f>
        <v>104410</v>
      </c>
    </row>
    <row r="172" spans="1:29" ht="16.5" x14ac:dyDescent="0.2">
      <c r="A172" s="13">
        <v>153</v>
      </c>
      <c r="B172" s="13">
        <v>16</v>
      </c>
      <c r="C172" s="14">
        <f>INDEX(新属性投放!$L$6:$L$10,属性汇总!$B$3)*INDEX(新属性投放!$Q$6:$Q$10,属性汇总!$D$3)</f>
        <v>1.1499999999999999</v>
      </c>
      <c r="D172" s="14">
        <f>INDEX(新属性投放!J$14:J$34,属性汇总!$B172)*$C172</f>
        <v>18513.619999999995</v>
      </c>
      <c r="E172" s="14">
        <f>INDEX(新属性投放!K$14:K$34,属性汇总!$B172)*$C172</f>
        <v>9235.534999999998</v>
      </c>
      <c r="F172" s="14">
        <f>INDEX(新属性投放!L$14:L$34,属性汇总!$B172)*$C172</f>
        <v>55655.86</v>
      </c>
      <c r="G172" s="14">
        <f>INDEX(新属性投放!D$14:D$34,属性汇总!$B172)*$C172</f>
        <v>462.84050000000002</v>
      </c>
      <c r="H172" s="14">
        <f>INDEX(新属性投放!E$14:E$34,属性汇总!$B172)*$C172</f>
        <v>231.42025000000001</v>
      </c>
      <c r="I172" s="14">
        <f>INDEX(新属性投放!F$14:F$34,属性汇总!$B172)*$C172</f>
        <v>1388.5215000000001</v>
      </c>
      <c r="J172" s="14">
        <f>ROUND(D172+($A172-INDEX(新属性投放!$B$14:$B$34,属性汇总!$B172))*属性汇总!G172,0)</f>
        <v>19902</v>
      </c>
      <c r="K172" s="14">
        <f>ROUND(E172+($A172-INDEX(新属性投放!$B$14:$B$34,属性汇总!$B172))*属性汇总!H172,0)</f>
        <v>9930</v>
      </c>
      <c r="L172" s="14">
        <f>ROUND(F172+($A172-INDEX(新属性投放!$B$14:$B$34,属性汇总!$B172))*属性汇总!I172,0)</f>
        <v>59821</v>
      </c>
      <c r="R172" s="13">
        <v>153</v>
      </c>
      <c r="S172" s="13">
        <v>16</v>
      </c>
      <c r="T172" s="14">
        <f>INDEX(新属性投放!$L$6:$L$10,$S$3)*INDEX(新属性投放!$Q$6:$Q$10,$U$3)</f>
        <v>1.1499999999999999</v>
      </c>
      <c r="U172" s="14">
        <f>INDEX(新属性投放!J$42:J$62,属性汇总!$S172)*$T172</f>
        <v>18703.369999999995</v>
      </c>
      <c r="V172" s="14">
        <f>INDEX(新属性投放!K$42:K$62,属性汇总!$S172)*$T172</f>
        <v>9349.3849999999984</v>
      </c>
      <c r="W172" s="14">
        <f>INDEX(新属性投放!L$42:L$62,属性汇总!$S172)*$T172</f>
        <v>100244.34999999999</v>
      </c>
      <c r="X172" s="14">
        <f>INDEX(新属性投放!$D$42:$D$62,属性汇总!$S172)*$T172</f>
        <v>462.84050000000002</v>
      </c>
      <c r="Y172" s="14">
        <f>INDEX(新属性投放!$E$42:$E$62,属性汇总!$S172)*$T172</f>
        <v>231.42025000000001</v>
      </c>
      <c r="Z172" s="14">
        <f>INDEX(新属性投放!$F$42:$F$62,属性汇总!$S172)*$T172</f>
        <v>2082.6499999999996</v>
      </c>
      <c r="AA172" s="14">
        <f>ROUND(U172+($R172-INDEX(新属性投放!$B$42:$B$62,属性汇总!$S172))*属性汇总!X172,0)</f>
        <v>20092</v>
      </c>
      <c r="AB172" s="14">
        <f>ROUND(V172+($R172-INDEX(新属性投放!$B$42:$B$62,属性汇总!$S172))*属性汇总!Y172,0)</f>
        <v>10044</v>
      </c>
      <c r="AC172" s="14">
        <f>ROUND(W172+($R172-INDEX(新属性投放!$B$42:$B$62,属性汇总!$S172))*属性汇总!Z172,0)</f>
        <v>106492</v>
      </c>
    </row>
    <row r="173" spans="1:29" ht="16.5" x14ac:dyDescent="0.2">
      <c r="A173" s="13">
        <v>154</v>
      </c>
      <c r="B173" s="13">
        <v>16</v>
      </c>
      <c r="C173" s="14">
        <f>INDEX(新属性投放!$L$6:$L$10,属性汇总!$B$3)*INDEX(新属性投放!$Q$6:$Q$10,属性汇总!$D$3)</f>
        <v>1.1499999999999999</v>
      </c>
      <c r="D173" s="14">
        <f>INDEX(新属性投放!J$14:J$34,属性汇总!$B173)*$C173</f>
        <v>18513.619999999995</v>
      </c>
      <c r="E173" s="14">
        <f>INDEX(新属性投放!K$14:K$34,属性汇总!$B173)*$C173</f>
        <v>9235.534999999998</v>
      </c>
      <c r="F173" s="14">
        <f>INDEX(新属性投放!L$14:L$34,属性汇总!$B173)*$C173</f>
        <v>55655.86</v>
      </c>
      <c r="G173" s="14">
        <f>INDEX(新属性投放!D$14:D$34,属性汇总!$B173)*$C173</f>
        <v>462.84050000000002</v>
      </c>
      <c r="H173" s="14">
        <f>INDEX(新属性投放!E$14:E$34,属性汇总!$B173)*$C173</f>
        <v>231.42025000000001</v>
      </c>
      <c r="I173" s="14">
        <f>INDEX(新属性投放!F$14:F$34,属性汇总!$B173)*$C173</f>
        <v>1388.5215000000001</v>
      </c>
      <c r="J173" s="14">
        <f>ROUND(D173+($A173-INDEX(新属性投放!$B$14:$B$34,属性汇总!$B173))*属性汇总!G173,0)</f>
        <v>20365</v>
      </c>
      <c r="K173" s="14">
        <f>ROUND(E173+($A173-INDEX(新属性投放!$B$14:$B$34,属性汇总!$B173))*属性汇总!H173,0)</f>
        <v>10161</v>
      </c>
      <c r="L173" s="14">
        <f>ROUND(F173+($A173-INDEX(新属性投放!$B$14:$B$34,属性汇总!$B173))*属性汇总!I173,0)</f>
        <v>61210</v>
      </c>
      <c r="R173" s="13">
        <v>154</v>
      </c>
      <c r="S173" s="13">
        <v>16</v>
      </c>
      <c r="T173" s="14">
        <f>INDEX(新属性投放!$L$6:$L$10,$S$3)*INDEX(新属性投放!$Q$6:$Q$10,$U$3)</f>
        <v>1.1499999999999999</v>
      </c>
      <c r="U173" s="14">
        <f>INDEX(新属性投放!J$42:J$62,属性汇总!$S173)*$T173</f>
        <v>18703.369999999995</v>
      </c>
      <c r="V173" s="14">
        <f>INDEX(新属性投放!K$42:K$62,属性汇总!$S173)*$T173</f>
        <v>9349.3849999999984</v>
      </c>
      <c r="W173" s="14">
        <f>INDEX(新属性投放!L$42:L$62,属性汇总!$S173)*$T173</f>
        <v>100244.34999999999</v>
      </c>
      <c r="X173" s="14">
        <f>INDEX(新属性投放!$D$42:$D$62,属性汇总!$S173)*$T173</f>
        <v>462.84050000000002</v>
      </c>
      <c r="Y173" s="14">
        <f>INDEX(新属性投放!$E$42:$E$62,属性汇总!$S173)*$T173</f>
        <v>231.42025000000001</v>
      </c>
      <c r="Z173" s="14">
        <f>INDEX(新属性投放!$F$42:$F$62,属性汇总!$S173)*$T173</f>
        <v>2082.6499999999996</v>
      </c>
      <c r="AA173" s="14">
        <f>ROUND(U173+($R173-INDEX(新属性投放!$B$42:$B$62,属性汇总!$S173))*属性汇总!X173,0)</f>
        <v>20555</v>
      </c>
      <c r="AB173" s="14">
        <f>ROUND(V173+($R173-INDEX(新属性投放!$B$42:$B$62,属性汇总!$S173))*属性汇总!Y173,0)</f>
        <v>10275</v>
      </c>
      <c r="AC173" s="14">
        <f>ROUND(W173+($R173-INDEX(新属性投放!$B$42:$B$62,属性汇总!$S173))*属性汇总!Z173,0)</f>
        <v>108575</v>
      </c>
    </row>
    <row r="174" spans="1:29" ht="16.5" x14ac:dyDescent="0.2">
      <c r="A174" s="13">
        <v>155</v>
      </c>
      <c r="B174" s="13">
        <v>16</v>
      </c>
      <c r="C174" s="14">
        <f>INDEX(新属性投放!$L$6:$L$10,属性汇总!$B$3)*INDEX(新属性投放!$Q$6:$Q$10,属性汇总!$D$3)</f>
        <v>1.1499999999999999</v>
      </c>
      <c r="D174" s="14">
        <f>INDEX(新属性投放!J$14:J$34,属性汇总!$B174)*$C174</f>
        <v>18513.619999999995</v>
      </c>
      <c r="E174" s="14">
        <f>INDEX(新属性投放!K$14:K$34,属性汇总!$B174)*$C174</f>
        <v>9235.534999999998</v>
      </c>
      <c r="F174" s="14">
        <f>INDEX(新属性投放!L$14:L$34,属性汇总!$B174)*$C174</f>
        <v>55655.86</v>
      </c>
      <c r="G174" s="14">
        <f>INDEX(新属性投放!D$14:D$34,属性汇总!$B174)*$C174</f>
        <v>462.84050000000002</v>
      </c>
      <c r="H174" s="14">
        <f>INDEX(新属性投放!E$14:E$34,属性汇总!$B174)*$C174</f>
        <v>231.42025000000001</v>
      </c>
      <c r="I174" s="14">
        <f>INDEX(新属性投放!F$14:F$34,属性汇总!$B174)*$C174</f>
        <v>1388.5215000000001</v>
      </c>
      <c r="J174" s="14">
        <f>ROUND(D174+($A174-INDEX(新属性投放!$B$14:$B$34,属性汇总!$B174))*属性汇总!G174,0)</f>
        <v>20828</v>
      </c>
      <c r="K174" s="14">
        <f>ROUND(E174+($A174-INDEX(新属性投放!$B$14:$B$34,属性汇总!$B174))*属性汇总!H174,0)</f>
        <v>10393</v>
      </c>
      <c r="L174" s="14">
        <f>ROUND(F174+($A174-INDEX(新属性投放!$B$14:$B$34,属性汇总!$B174))*属性汇总!I174,0)</f>
        <v>62598</v>
      </c>
      <c r="R174" s="13">
        <v>155</v>
      </c>
      <c r="S174" s="13">
        <v>16</v>
      </c>
      <c r="T174" s="14">
        <f>INDEX(新属性投放!$L$6:$L$10,$S$3)*INDEX(新属性投放!$Q$6:$Q$10,$U$3)</f>
        <v>1.1499999999999999</v>
      </c>
      <c r="U174" s="14">
        <f>INDEX(新属性投放!J$42:J$62,属性汇总!$S174)*$T174</f>
        <v>18703.369999999995</v>
      </c>
      <c r="V174" s="14">
        <f>INDEX(新属性投放!K$42:K$62,属性汇总!$S174)*$T174</f>
        <v>9349.3849999999984</v>
      </c>
      <c r="W174" s="14">
        <f>INDEX(新属性投放!L$42:L$62,属性汇总!$S174)*$T174</f>
        <v>100244.34999999999</v>
      </c>
      <c r="X174" s="14">
        <f>INDEX(新属性投放!$D$42:$D$62,属性汇总!$S174)*$T174</f>
        <v>462.84050000000002</v>
      </c>
      <c r="Y174" s="14">
        <f>INDEX(新属性投放!$E$42:$E$62,属性汇总!$S174)*$T174</f>
        <v>231.42025000000001</v>
      </c>
      <c r="Z174" s="14">
        <f>INDEX(新属性投放!$F$42:$F$62,属性汇总!$S174)*$T174</f>
        <v>2082.6499999999996</v>
      </c>
      <c r="AA174" s="14">
        <f>ROUND(U174+($R174-INDEX(新属性投放!$B$42:$B$62,属性汇总!$S174))*属性汇总!X174,0)</f>
        <v>21018</v>
      </c>
      <c r="AB174" s="14">
        <f>ROUND(V174+($R174-INDEX(新属性投放!$B$42:$B$62,属性汇总!$S174))*属性汇总!Y174,0)</f>
        <v>10506</v>
      </c>
      <c r="AC174" s="14">
        <f>ROUND(W174+($R174-INDEX(新属性投放!$B$42:$B$62,属性汇总!$S174))*属性汇总!Z174,0)</f>
        <v>110658</v>
      </c>
    </row>
    <row r="175" spans="1:29" ht="16.5" x14ac:dyDescent="0.2">
      <c r="A175" s="13">
        <v>156</v>
      </c>
      <c r="B175" s="13">
        <v>16</v>
      </c>
      <c r="C175" s="14">
        <f>INDEX(新属性投放!$L$6:$L$10,属性汇总!$B$3)*INDEX(新属性投放!$Q$6:$Q$10,属性汇总!$D$3)</f>
        <v>1.1499999999999999</v>
      </c>
      <c r="D175" s="14">
        <f>INDEX(新属性投放!J$14:J$34,属性汇总!$B175)*$C175</f>
        <v>18513.619999999995</v>
      </c>
      <c r="E175" s="14">
        <f>INDEX(新属性投放!K$14:K$34,属性汇总!$B175)*$C175</f>
        <v>9235.534999999998</v>
      </c>
      <c r="F175" s="14">
        <f>INDEX(新属性投放!L$14:L$34,属性汇总!$B175)*$C175</f>
        <v>55655.86</v>
      </c>
      <c r="G175" s="14">
        <f>INDEX(新属性投放!D$14:D$34,属性汇总!$B175)*$C175</f>
        <v>462.84050000000002</v>
      </c>
      <c r="H175" s="14">
        <f>INDEX(新属性投放!E$14:E$34,属性汇总!$B175)*$C175</f>
        <v>231.42025000000001</v>
      </c>
      <c r="I175" s="14">
        <f>INDEX(新属性投放!F$14:F$34,属性汇总!$B175)*$C175</f>
        <v>1388.5215000000001</v>
      </c>
      <c r="J175" s="14">
        <f>ROUND(D175+($A175-INDEX(新属性投放!$B$14:$B$34,属性汇总!$B175))*属性汇总!G175,0)</f>
        <v>21291</v>
      </c>
      <c r="K175" s="14">
        <f>ROUND(E175+($A175-INDEX(新属性投放!$B$14:$B$34,属性汇总!$B175))*属性汇总!H175,0)</f>
        <v>10624</v>
      </c>
      <c r="L175" s="14">
        <f>ROUND(F175+($A175-INDEX(新属性投放!$B$14:$B$34,属性汇总!$B175))*属性汇总!I175,0)</f>
        <v>63987</v>
      </c>
      <c r="R175" s="13">
        <v>156</v>
      </c>
      <c r="S175" s="13">
        <v>16</v>
      </c>
      <c r="T175" s="14">
        <f>INDEX(新属性投放!$L$6:$L$10,$S$3)*INDEX(新属性投放!$Q$6:$Q$10,$U$3)</f>
        <v>1.1499999999999999</v>
      </c>
      <c r="U175" s="14">
        <f>INDEX(新属性投放!J$42:J$62,属性汇总!$S175)*$T175</f>
        <v>18703.369999999995</v>
      </c>
      <c r="V175" s="14">
        <f>INDEX(新属性投放!K$42:K$62,属性汇总!$S175)*$T175</f>
        <v>9349.3849999999984</v>
      </c>
      <c r="W175" s="14">
        <f>INDEX(新属性投放!L$42:L$62,属性汇总!$S175)*$T175</f>
        <v>100244.34999999999</v>
      </c>
      <c r="X175" s="14">
        <f>INDEX(新属性投放!$D$42:$D$62,属性汇总!$S175)*$T175</f>
        <v>462.84050000000002</v>
      </c>
      <c r="Y175" s="14">
        <f>INDEX(新属性投放!$E$42:$E$62,属性汇总!$S175)*$T175</f>
        <v>231.42025000000001</v>
      </c>
      <c r="Z175" s="14">
        <f>INDEX(新属性投放!$F$42:$F$62,属性汇总!$S175)*$T175</f>
        <v>2082.6499999999996</v>
      </c>
      <c r="AA175" s="14">
        <f>ROUND(U175+($R175-INDEX(新属性投放!$B$42:$B$62,属性汇总!$S175))*属性汇总!X175,0)</f>
        <v>21480</v>
      </c>
      <c r="AB175" s="14">
        <f>ROUND(V175+($R175-INDEX(新属性投放!$B$42:$B$62,属性汇总!$S175))*属性汇总!Y175,0)</f>
        <v>10738</v>
      </c>
      <c r="AC175" s="14">
        <f>ROUND(W175+($R175-INDEX(新属性投放!$B$42:$B$62,属性汇总!$S175))*属性汇总!Z175,0)</f>
        <v>112740</v>
      </c>
    </row>
    <row r="176" spans="1:29" s="20" customFormat="1" ht="16.5" x14ac:dyDescent="0.2">
      <c r="A176" s="13">
        <v>157</v>
      </c>
      <c r="B176" s="13">
        <v>16</v>
      </c>
      <c r="C176" s="14">
        <f>INDEX(新属性投放!$L$6:$L$10,属性汇总!$B$3)*INDEX(新属性投放!$Q$6:$Q$10,属性汇总!$D$3)</f>
        <v>1.1499999999999999</v>
      </c>
      <c r="D176" s="14">
        <f>INDEX(新属性投放!J$14:J$34,属性汇总!$B176)*$C176</f>
        <v>18513.619999999995</v>
      </c>
      <c r="E176" s="14">
        <f>INDEX(新属性投放!K$14:K$34,属性汇总!$B176)*$C176</f>
        <v>9235.534999999998</v>
      </c>
      <c r="F176" s="14">
        <f>INDEX(新属性投放!L$14:L$34,属性汇总!$B176)*$C176</f>
        <v>55655.86</v>
      </c>
      <c r="G176" s="14">
        <f>INDEX(新属性投放!D$14:D$34,属性汇总!$B176)*$C176</f>
        <v>462.84050000000002</v>
      </c>
      <c r="H176" s="14">
        <f>INDEX(新属性投放!E$14:E$34,属性汇总!$B176)*$C176</f>
        <v>231.42025000000001</v>
      </c>
      <c r="I176" s="14">
        <f>INDEX(新属性投放!F$14:F$34,属性汇总!$B176)*$C176</f>
        <v>1388.5215000000001</v>
      </c>
      <c r="J176" s="14">
        <f>ROUND(D176+($A176-INDEX(新属性投放!$B$14:$B$34,属性汇总!$B176))*属性汇总!G176,0)</f>
        <v>21754</v>
      </c>
      <c r="K176" s="14">
        <f>ROUND(E176+($A176-INDEX(新属性投放!$B$14:$B$34,属性汇总!$B176))*属性汇总!H176,0)</f>
        <v>10855</v>
      </c>
      <c r="L176" s="14">
        <f>ROUND(F176+($A176-INDEX(新属性投放!$B$14:$B$34,属性汇总!$B176))*属性汇总!I176,0)</f>
        <v>65376</v>
      </c>
      <c r="N176" s="37"/>
      <c r="O176" s="37"/>
      <c r="P176" s="37"/>
      <c r="R176" s="13">
        <v>157</v>
      </c>
      <c r="S176" s="13">
        <v>16</v>
      </c>
      <c r="T176" s="14">
        <f>INDEX(新属性投放!$L$6:$L$10,$S$3)*INDEX(新属性投放!$Q$6:$Q$10,$U$3)</f>
        <v>1.1499999999999999</v>
      </c>
      <c r="U176" s="14">
        <f>INDEX(新属性投放!J$42:J$62,属性汇总!$S176)*$T176</f>
        <v>18703.369999999995</v>
      </c>
      <c r="V176" s="14">
        <f>INDEX(新属性投放!K$42:K$62,属性汇总!$S176)*$T176</f>
        <v>9349.3849999999984</v>
      </c>
      <c r="W176" s="14">
        <f>INDEX(新属性投放!L$42:L$62,属性汇总!$S176)*$T176</f>
        <v>100244.34999999999</v>
      </c>
      <c r="X176" s="14">
        <f>INDEX(新属性投放!$D$42:$D$62,属性汇总!$S176)*$T176</f>
        <v>462.84050000000002</v>
      </c>
      <c r="Y176" s="14">
        <f>INDEX(新属性投放!$E$42:$E$62,属性汇总!$S176)*$T176</f>
        <v>231.42025000000001</v>
      </c>
      <c r="Z176" s="14">
        <f>INDEX(新属性投放!$F$42:$F$62,属性汇总!$S176)*$T176</f>
        <v>2082.6499999999996</v>
      </c>
      <c r="AA176" s="14">
        <f>ROUND(U176+($R176-INDEX(新属性投放!$B$42:$B$62,属性汇总!$S176))*属性汇总!X176,0)</f>
        <v>21943</v>
      </c>
      <c r="AB176" s="14">
        <f>ROUND(V176+($R176-INDEX(新属性投放!$B$42:$B$62,属性汇总!$S176))*属性汇总!Y176,0)</f>
        <v>10969</v>
      </c>
      <c r="AC176" s="14">
        <f>ROUND(W176+($R176-INDEX(新属性投放!$B$42:$B$62,属性汇总!$S176))*属性汇总!Z176,0)</f>
        <v>114823</v>
      </c>
    </row>
    <row r="177" spans="1:29" ht="16.5" x14ac:dyDescent="0.2">
      <c r="A177" s="13">
        <v>158</v>
      </c>
      <c r="B177" s="13">
        <v>16</v>
      </c>
      <c r="C177" s="14">
        <f>INDEX(新属性投放!$L$6:$L$10,属性汇总!$B$3)*INDEX(新属性投放!$Q$6:$Q$10,属性汇总!$D$3)</f>
        <v>1.1499999999999999</v>
      </c>
      <c r="D177" s="14">
        <f>INDEX(新属性投放!J$14:J$34,属性汇总!$B177)*$C177</f>
        <v>18513.619999999995</v>
      </c>
      <c r="E177" s="14">
        <f>INDEX(新属性投放!K$14:K$34,属性汇总!$B177)*$C177</f>
        <v>9235.534999999998</v>
      </c>
      <c r="F177" s="14">
        <f>INDEX(新属性投放!L$14:L$34,属性汇总!$B177)*$C177</f>
        <v>55655.86</v>
      </c>
      <c r="G177" s="14">
        <f>INDEX(新属性投放!D$14:D$34,属性汇总!$B177)*$C177</f>
        <v>462.84050000000002</v>
      </c>
      <c r="H177" s="14">
        <f>INDEX(新属性投放!E$14:E$34,属性汇总!$B177)*$C177</f>
        <v>231.42025000000001</v>
      </c>
      <c r="I177" s="14">
        <f>INDEX(新属性投放!F$14:F$34,属性汇总!$B177)*$C177</f>
        <v>1388.5215000000001</v>
      </c>
      <c r="J177" s="14">
        <f>ROUND(D177+($A177-INDEX(新属性投放!$B$14:$B$34,属性汇总!$B177))*属性汇总!G177,0)</f>
        <v>22216</v>
      </c>
      <c r="K177" s="14">
        <f>ROUND(E177+($A177-INDEX(新属性投放!$B$14:$B$34,属性汇总!$B177))*属性汇总!H177,0)</f>
        <v>11087</v>
      </c>
      <c r="L177" s="14">
        <f>ROUND(F177+($A177-INDEX(新属性投放!$B$14:$B$34,属性汇总!$B177))*属性汇总!I177,0)</f>
        <v>66764</v>
      </c>
      <c r="R177" s="13">
        <v>158</v>
      </c>
      <c r="S177" s="13">
        <v>16</v>
      </c>
      <c r="T177" s="14">
        <f>INDEX(新属性投放!$L$6:$L$10,$S$3)*INDEX(新属性投放!$Q$6:$Q$10,$U$3)</f>
        <v>1.1499999999999999</v>
      </c>
      <c r="U177" s="14">
        <f>INDEX(新属性投放!J$42:J$62,属性汇总!$S177)*$T177</f>
        <v>18703.369999999995</v>
      </c>
      <c r="V177" s="14">
        <f>INDEX(新属性投放!K$42:K$62,属性汇总!$S177)*$T177</f>
        <v>9349.3849999999984</v>
      </c>
      <c r="W177" s="14">
        <f>INDEX(新属性投放!L$42:L$62,属性汇总!$S177)*$T177</f>
        <v>100244.34999999999</v>
      </c>
      <c r="X177" s="14">
        <f>INDEX(新属性投放!$D$42:$D$62,属性汇总!$S177)*$T177</f>
        <v>462.84050000000002</v>
      </c>
      <c r="Y177" s="14">
        <f>INDEX(新属性投放!$E$42:$E$62,属性汇总!$S177)*$T177</f>
        <v>231.42025000000001</v>
      </c>
      <c r="Z177" s="14">
        <f>INDEX(新属性投放!$F$42:$F$62,属性汇总!$S177)*$T177</f>
        <v>2082.6499999999996</v>
      </c>
      <c r="AA177" s="14">
        <f>ROUND(U177+($R177-INDEX(新属性投放!$B$42:$B$62,属性汇总!$S177))*属性汇总!X177,0)</f>
        <v>22406</v>
      </c>
      <c r="AB177" s="14">
        <f>ROUND(V177+($R177-INDEX(新属性投放!$B$42:$B$62,属性汇总!$S177))*属性汇总!Y177,0)</f>
        <v>11201</v>
      </c>
      <c r="AC177" s="14">
        <f>ROUND(W177+($R177-INDEX(新属性投放!$B$42:$B$62,属性汇总!$S177))*属性汇总!Z177,0)</f>
        <v>116906</v>
      </c>
    </row>
    <row r="178" spans="1:29" ht="16.5" x14ac:dyDescent="0.2">
      <c r="A178" s="13">
        <v>159</v>
      </c>
      <c r="B178" s="13">
        <v>16</v>
      </c>
      <c r="C178" s="14">
        <f>INDEX(新属性投放!$L$6:$L$10,属性汇总!$B$3)*INDEX(新属性投放!$Q$6:$Q$10,属性汇总!$D$3)</f>
        <v>1.1499999999999999</v>
      </c>
      <c r="D178" s="14">
        <f>INDEX(新属性投放!J$14:J$34,属性汇总!$B178)*$C178</f>
        <v>18513.619999999995</v>
      </c>
      <c r="E178" s="14">
        <f>INDEX(新属性投放!K$14:K$34,属性汇总!$B178)*$C178</f>
        <v>9235.534999999998</v>
      </c>
      <c r="F178" s="14">
        <f>INDEX(新属性投放!L$14:L$34,属性汇总!$B178)*$C178</f>
        <v>55655.86</v>
      </c>
      <c r="G178" s="14">
        <f>INDEX(新属性投放!D$14:D$34,属性汇总!$B178)*$C178</f>
        <v>462.84050000000002</v>
      </c>
      <c r="H178" s="14">
        <f>INDEX(新属性投放!E$14:E$34,属性汇总!$B178)*$C178</f>
        <v>231.42025000000001</v>
      </c>
      <c r="I178" s="14">
        <f>INDEX(新属性投放!F$14:F$34,属性汇总!$B178)*$C178</f>
        <v>1388.5215000000001</v>
      </c>
      <c r="J178" s="14">
        <f>ROUND(D178+($A178-INDEX(新属性投放!$B$14:$B$34,属性汇总!$B178))*属性汇总!G178,0)</f>
        <v>22679</v>
      </c>
      <c r="K178" s="14">
        <f>ROUND(E178+($A178-INDEX(新属性投放!$B$14:$B$34,属性汇总!$B178))*属性汇总!H178,0)</f>
        <v>11318</v>
      </c>
      <c r="L178" s="14">
        <f>ROUND(F178+($A178-INDEX(新属性投放!$B$14:$B$34,属性汇总!$B178))*属性汇总!I178,0)</f>
        <v>68153</v>
      </c>
      <c r="R178" s="13">
        <v>159</v>
      </c>
      <c r="S178" s="13">
        <v>16</v>
      </c>
      <c r="T178" s="14">
        <f>INDEX(新属性投放!$L$6:$L$10,$S$3)*INDEX(新属性投放!$Q$6:$Q$10,$U$3)</f>
        <v>1.1499999999999999</v>
      </c>
      <c r="U178" s="14">
        <f>INDEX(新属性投放!J$42:J$62,属性汇总!$S178)*$T178</f>
        <v>18703.369999999995</v>
      </c>
      <c r="V178" s="14">
        <f>INDEX(新属性投放!K$42:K$62,属性汇总!$S178)*$T178</f>
        <v>9349.3849999999984</v>
      </c>
      <c r="W178" s="14">
        <f>INDEX(新属性投放!L$42:L$62,属性汇总!$S178)*$T178</f>
        <v>100244.34999999999</v>
      </c>
      <c r="X178" s="14">
        <f>INDEX(新属性投放!$D$42:$D$62,属性汇总!$S178)*$T178</f>
        <v>462.84050000000002</v>
      </c>
      <c r="Y178" s="14">
        <f>INDEX(新属性投放!$E$42:$E$62,属性汇总!$S178)*$T178</f>
        <v>231.42025000000001</v>
      </c>
      <c r="Z178" s="14">
        <f>INDEX(新属性投放!$F$42:$F$62,属性汇总!$S178)*$T178</f>
        <v>2082.6499999999996</v>
      </c>
      <c r="AA178" s="14">
        <f>ROUND(U178+($R178-INDEX(新属性投放!$B$42:$B$62,属性汇总!$S178))*属性汇总!X178,0)</f>
        <v>22869</v>
      </c>
      <c r="AB178" s="14">
        <f>ROUND(V178+($R178-INDEX(新属性投放!$B$42:$B$62,属性汇总!$S178))*属性汇总!Y178,0)</f>
        <v>11432</v>
      </c>
      <c r="AC178" s="14">
        <f>ROUND(W178+($R178-INDEX(新属性投放!$B$42:$B$62,属性汇总!$S178))*属性汇总!Z178,0)</f>
        <v>118988</v>
      </c>
    </row>
    <row r="179" spans="1:29" ht="16.5" x14ac:dyDescent="0.2">
      <c r="A179" s="13">
        <v>160</v>
      </c>
      <c r="B179" s="13">
        <v>16</v>
      </c>
      <c r="C179" s="14">
        <f>INDEX(新属性投放!$L$6:$L$10,属性汇总!$B$3)*INDEX(新属性投放!$Q$6:$Q$10,属性汇总!$D$3)</f>
        <v>1.1499999999999999</v>
      </c>
      <c r="D179" s="14">
        <f>INDEX(新属性投放!J$14:J$34,属性汇总!$B179)*$C179</f>
        <v>18513.619999999995</v>
      </c>
      <c r="E179" s="14">
        <f>INDEX(新属性投放!K$14:K$34,属性汇总!$B179)*$C179</f>
        <v>9235.534999999998</v>
      </c>
      <c r="F179" s="14">
        <f>INDEX(新属性投放!L$14:L$34,属性汇总!$B179)*$C179</f>
        <v>55655.86</v>
      </c>
      <c r="G179" s="14">
        <f>INDEX(新属性投放!D$14:D$34,属性汇总!$B179)*$C179</f>
        <v>462.84050000000002</v>
      </c>
      <c r="H179" s="14">
        <f>INDEX(新属性投放!E$14:E$34,属性汇总!$B179)*$C179</f>
        <v>231.42025000000001</v>
      </c>
      <c r="I179" s="14">
        <f>INDEX(新属性投放!F$14:F$34,属性汇总!$B179)*$C179</f>
        <v>1388.5215000000001</v>
      </c>
      <c r="J179" s="14">
        <f>ROUND(D179+($A179-INDEX(新属性投放!$B$14:$B$34,属性汇总!$B179))*属性汇总!G179,0)</f>
        <v>23142</v>
      </c>
      <c r="K179" s="14">
        <f>ROUND(E179+($A179-INDEX(新属性投放!$B$14:$B$34,属性汇总!$B179))*属性汇总!H179,0)</f>
        <v>11550</v>
      </c>
      <c r="L179" s="14">
        <f>ROUND(F179+($A179-INDEX(新属性投放!$B$14:$B$34,属性汇总!$B179))*属性汇总!I179,0)</f>
        <v>69541</v>
      </c>
      <c r="R179" s="13">
        <v>160</v>
      </c>
      <c r="S179" s="13">
        <v>16</v>
      </c>
      <c r="T179" s="14">
        <f>INDEX(新属性投放!$L$6:$L$10,$S$3)*INDEX(新属性投放!$Q$6:$Q$10,$U$3)</f>
        <v>1.1499999999999999</v>
      </c>
      <c r="U179" s="14">
        <f>INDEX(新属性投放!J$42:J$62,属性汇总!$S179)*$T179</f>
        <v>18703.369999999995</v>
      </c>
      <c r="V179" s="14">
        <f>INDEX(新属性投放!K$42:K$62,属性汇总!$S179)*$T179</f>
        <v>9349.3849999999984</v>
      </c>
      <c r="W179" s="14">
        <f>INDEX(新属性投放!L$42:L$62,属性汇总!$S179)*$T179</f>
        <v>100244.34999999999</v>
      </c>
      <c r="X179" s="14">
        <f>INDEX(新属性投放!$D$42:$D$62,属性汇总!$S179)*$T179</f>
        <v>462.84050000000002</v>
      </c>
      <c r="Y179" s="14">
        <f>INDEX(新属性投放!$E$42:$E$62,属性汇总!$S179)*$T179</f>
        <v>231.42025000000001</v>
      </c>
      <c r="Z179" s="14">
        <f>INDEX(新属性投放!$F$42:$F$62,属性汇总!$S179)*$T179</f>
        <v>2082.6499999999996</v>
      </c>
      <c r="AA179" s="14">
        <f>ROUND(U179+($R179-INDEX(新属性投放!$B$42:$B$62,属性汇总!$S179))*属性汇总!X179,0)</f>
        <v>23332</v>
      </c>
      <c r="AB179" s="14">
        <f>ROUND(V179+($R179-INDEX(新属性投放!$B$42:$B$62,属性汇总!$S179))*属性汇总!Y179,0)</f>
        <v>11664</v>
      </c>
      <c r="AC179" s="14">
        <f>ROUND(W179+($R179-INDEX(新属性投放!$B$42:$B$62,属性汇总!$S179))*属性汇总!Z179,0)</f>
        <v>121071</v>
      </c>
    </row>
    <row r="180" spans="1:29" s="37" customFormat="1" ht="16.5" x14ac:dyDescent="0.2">
      <c r="A180" s="13">
        <v>160</v>
      </c>
      <c r="B180" s="13">
        <v>17</v>
      </c>
      <c r="C180" s="14">
        <f>INDEX(新属性投放!$L$6:$L$10,属性汇总!$B$3)*INDEX(新属性投放!$Q$6:$Q$10,属性汇总!$D$3)</f>
        <v>1.1499999999999999</v>
      </c>
      <c r="D180" s="14">
        <f>INDEX(新属性投放!J$14:J$34,属性汇总!$B180)*$C180</f>
        <v>24298.924999999996</v>
      </c>
      <c r="E180" s="14">
        <f>INDEX(新属性投放!K$14:K$34,属性汇总!$B180)*$C180</f>
        <v>12128.187499999996</v>
      </c>
      <c r="F180" s="14">
        <f>INDEX(新属性投放!L$14:L$34,属性汇总!$B180)*$C180</f>
        <v>73011.774999999994</v>
      </c>
      <c r="G180" s="14">
        <f>INDEX(新属性投放!D$14:D$34,属性汇总!$B180)*$C180</f>
        <v>607.476</v>
      </c>
      <c r="H180" s="14">
        <f>INDEX(新属性投放!E$14:E$34,属性汇总!$B180)*$C180</f>
        <v>303.738</v>
      </c>
      <c r="I180" s="14">
        <f>INDEX(新属性投放!F$14:F$34,属性汇总!$B180)*$C180</f>
        <v>1822.4279999999999</v>
      </c>
      <c r="J180" s="14">
        <f>ROUND(D180+($A180-INDEX(新属性投放!$B$14:$B$34,属性汇总!$B180))*属性汇总!G180,0)</f>
        <v>24299</v>
      </c>
      <c r="K180" s="14">
        <f>ROUND(E180+($A180-INDEX(新属性投放!$B$14:$B$34,属性汇总!$B180))*属性汇总!H180,0)</f>
        <v>12128</v>
      </c>
      <c r="L180" s="14">
        <f>ROUND(F180+($A180-INDEX(新属性投放!$B$14:$B$34,属性汇总!$B180))*属性汇总!I180,0)</f>
        <v>73012</v>
      </c>
      <c r="R180" s="13">
        <v>160</v>
      </c>
      <c r="S180" s="13">
        <v>17</v>
      </c>
      <c r="T180" s="14">
        <f>INDEX(新属性投放!$L$6:$L$10,$S$3)*INDEX(新属性投放!$Q$6:$Q$10,$U$3)</f>
        <v>1.1499999999999999</v>
      </c>
      <c r="U180" s="14">
        <f>INDEX(新属性投放!J$42:J$62,属性汇总!$S180)*$T180</f>
        <v>24488.674999999996</v>
      </c>
      <c r="V180" s="14">
        <f>INDEX(新属性投放!K$42:K$62,属性汇总!$S180)*$T180</f>
        <v>12242.037499999997</v>
      </c>
      <c r="W180" s="14">
        <f>INDEX(新属性投放!L$42:L$62,属性汇总!$S180)*$T180</f>
        <v>131482.94999999998</v>
      </c>
      <c r="X180" s="14">
        <f>INDEX(新属性投放!$D$42:$D$62,属性汇总!$S180)*$T180</f>
        <v>607.476</v>
      </c>
      <c r="Y180" s="14">
        <f>INDEX(新属性投放!$E$42:$E$62,属性汇总!$S180)*$T180</f>
        <v>303.738</v>
      </c>
      <c r="Z180" s="14">
        <f>INDEX(新属性投放!$F$42:$F$62,属性汇总!$S180)*$T180</f>
        <v>2733.5499999999997</v>
      </c>
      <c r="AA180" s="14">
        <f>ROUND(U180+($R180-INDEX(新属性投放!$B$42:$B$62,属性汇总!$S180))*属性汇总!X180,0)</f>
        <v>24489</v>
      </c>
      <c r="AB180" s="14">
        <f>ROUND(V180+($R180-INDEX(新属性投放!$B$42:$B$62,属性汇总!$S180))*属性汇总!Y180,0)</f>
        <v>12242</v>
      </c>
      <c r="AC180" s="14">
        <f>ROUND(W180+($R180-INDEX(新属性投放!$B$42:$B$62,属性汇总!$S180))*属性汇总!Z180,0)</f>
        <v>131483</v>
      </c>
    </row>
    <row r="181" spans="1:29" ht="16.5" x14ac:dyDescent="0.2">
      <c r="A181" s="13">
        <v>161</v>
      </c>
      <c r="B181" s="13">
        <v>17</v>
      </c>
      <c r="C181" s="14">
        <f>INDEX(新属性投放!$L$6:$L$10,属性汇总!$B$3)*INDEX(新属性投放!$Q$6:$Q$10,属性汇总!$D$3)</f>
        <v>1.1499999999999999</v>
      </c>
      <c r="D181" s="14">
        <f>INDEX(新属性投放!J$14:J$34,属性汇总!$B181)*$C181</f>
        <v>24298.924999999996</v>
      </c>
      <c r="E181" s="14">
        <f>INDEX(新属性投放!K$14:K$34,属性汇总!$B181)*$C181</f>
        <v>12128.187499999996</v>
      </c>
      <c r="F181" s="14">
        <f>INDEX(新属性投放!L$14:L$34,属性汇总!$B181)*$C181</f>
        <v>73011.774999999994</v>
      </c>
      <c r="G181" s="14">
        <f>INDEX(新属性投放!D$14:D$34,属性汇总!$B181)*$C181</f>
        <v>607.476</v>
      </c>
      <c r="H181" s="14">
        <f>INDEX(新属性投放!E$14:E$34,属性汇总!$B181)*$C181</f>
        <v>303.738</v>
      </c>
      <c r="I181" s="14">
        <f>INDEX(新属性投放!F$14:F$34,属性汇总!$B181)*$C181</f>
        <v>1822.4279999999999</v>
      </c>
      <c r="J181" s="14">
        <f>ROUND(D181+($A181-INDEX(新属性投放!$B$14:$B$34,属性汇总!$B181))*属性汇总!G181,0)</f>
        <v>24906</v>
      </c>
      <c r="K181" s="14">
        <f>ROUND(E181+($A181-INDEX(新属性投放!$B$14:$B$34,属性汇总!$B181))*属性汇总!H181,0)</f>
        <v>12432</v>
      </c>
      <c r="L181" s="14">
        <f>ROUND(F181+($A181-INDEX(新属性投放!$B$14:$B$34,属性汇总!$B181))*属性汇总!I181,0)</f>
        <v>74834</v>
      </c>
      <c r="R181" s="13">
        <v>161</v>
      </c>
      <c r="S181" s="13">
        <v>17</v>
      </c>
      <c r="T181" s="14">
        <f>INDEX(新属性投放!$L$6:$L$10,$S$3)*INDEX(新属性投放!$Q$6:$Q$10,$U$3)</f>
        <v>1.1499999999999999</v>
      </c>
      <c r="U181" s="14">
        <f>INDEX(新属性投放!J$42:J$62,属性汇总!$S181)*$T181</f>
        <v>24488.674999999996</v>
      </c>
      <c r="V181" s="14">
        <f>INDEX(新属性投放!K$42:K$62,属性汇总!$S181)*$T181</f>
        <v>12242.037499999997</v>
      </c>
      <c r="W181" s="14">
        <f>INDEX(新属性投放!L$42:L$62,属性汇总!$S181)*$T181</f>
        <v>131482.94999999998</v>
      </c>
      <c r="X181" s="14">
        <f>INDEX(新属性投放!$D$42:$D$62,属性汇总!$S181)*$T181</f>
        <v>607.476</v>
      </c>
      <c r="Y181" s="14">
        <f>INDEX(新属性投放!$E$42:$E$62,属性汇总!$S181)*$T181</f>
        <v>303.738</v>
      </c>
      <c r="Z181" s="14">
        <f>INDEX(新属性投放!$F$42:$F$62,属性汇总!$S181)*$T181</f>
        <v>2733.5499999999997</v>
      </c>
      <c r="AA181" s="14">
        <f>ROUND(U181+($R181-INDEX(新属性投放!$B$42:$B$62,属性汇总!$S181))*属性汇总!X181,0)</f>
        <v>25096</v>
      </c>
      <c r="AB181" s="14">
        <f>ROUND(V181+($R181-INDEX(新属性投放!$B$42:$B$62,属性汇总!$S181))*属性汇总!Y181,0)</f>
        <v>12546</v>
      </c>
      <c r="AC181" s="14">
        <f>ROUND(W181+($R181-INDEX(新属性投放!$B$42:$B$62,属性汇总!$S181))*属性汇总!Z181,0)</f>
        <v>134217</v>
      </c>
    </row>
    <row r="182" spans="1:29" ht="16.5" x14ac:dyDescent="0.2">
      <c r="A182" s="13">
        <v>162</v>
      </c>
      <c r="B182" s="13">
        <v>17</v>
      </c>
      <c r="C182" s="14">
        <f>INDEX(新属性投放!$L$6:$L$10,属性汇总!$B$3)*INDEX(新属性投放!$Q$6:$Q$10,属性汇总!$D$3)</f>
        <v>1.1499999999999999</v>
      </c>
      <c r="D182" s="14">
        <f>INDEX(新属性投放!J$14:J$34,属性汇总!$B182)*$C182</f>
        <v>24298.924999999996</v>
      </c>
      <c r="E182" s="14">
        <f>INDEX(新属性投放!K$14:K$34,属性汇总!$B182)*$C182</f>
        <v>12128.187499999996</v>
      </c>
      <c r="F182" s="14">
        <f>INDEX(新属性投放!L$14:L$34,属性汇总!$B182)*$C182</f>
        <v>73011.774999999994</v>
      </c>
      <c r="G182" s="14">
        <f>INDEX(新属性投放!D$14:D$34,属性汇总!$B182)*$C182</f>
        <v>607.476</v>
      </c>
      <c r="H182" s="14">
        <f>INDEX(新属性投放!E$14:E$34,属性汇总!$B182)*$C182</f>
        <v>303.738</v>
      </c>
      <c r="I182" s="14">
        <f>INDEX(新属性投放!F$14:F$34,属性汇总!$B182)*$C182</f>
        <v>1822.4279999999999</v>
      </c>
      <c r="J182" s="14">
        <f>ROUND(D182+($A182-INDEX(新属性投放!$B$14:$B$34,属性汇总!$B182))*属性汇总!G182,0)</f>
        <v>25514</v>
      </c>
      <c r="K182" s="14">
        <f>ROUND(E182+($A182-INDEX(新属性投放!$B$14:$B$34,属性汇总!$B182))*属性汇总!H182,0)</f>
        <v>12736</v>
      </c>
      <c r="L182" s="14">
        <f>ROUND(F182+($A182-INDEX(新属性投放!$B$14:$B$34,属性汇总!$B182))*属性汇总!I182,0)</f>
        <v>76657</v>
      </c>
      <c r="R182" s="13">
        <v>162</v>
      </c>
      <c r="S182" s="13">
        <v>17</v>
      </c>
      <c r="T182" s="14">
        <f>INDEX(新属性投放!$L$6:$L$10,$S$3)*INDEX(新属性投放!$Q$6:$Q$10,$U$3)</f>
        <v>1.1499999999999999</v>
      </c>
      <c r="U182" s="14">
        <f>INDEX(新属性投放!J$42:J$62,属性汇总!$S182)*$T182</f>
        <v>24488.674999999996</v>
      </c>
      <c r="V182" s="14">
        <f>INDEX(新属性投放!K$42:K$62,属性汇总!$S182)*$T182</f>
        <v>12242.037499999997</v>
      </c>
      <c r="W182" s="14">
        <f>INDEX(新属性投放!L$42:L$62,属性汇总!$S182)*$T182</f>
        <v>131482.94999999998</v>
      </c>
      <c r="X182" s="14">
        <f>INDEX(新属性投放!$D$42:$D$62,属性汇总!$S182)*$T182</f>
        <v>607.476</v>
      </c>
      <c r="Y182" s="14">
        <f>INDEX(新属性投放!$E$42:$E$62,属性汇总!$S182)*$T182</f>
        <v>303.738</v>
      </c>
      <c r="Z182" s="14">
        <f>INDEX(新属性投放!$F$42:$F$62,属性汇总!$S182)*$T182</f>
        <v>2733.5499999999997</v>
      </c>
      <c r="AA182" s="14">
        <f>ROUND(U182+($R182-INDEX(新属性投放!$B$42:$B$62,属性汇总!$S182))*属性汇总!X182,0)</f>
        <v>25704</v>
      </c>
      <c r="AB182" s="14">
        <f>ROUND(V182+($R182-INDEX(新属性投放!$B$42:$B$62,属性汇总!$S182))*属性汇总!Y182,0)</f>
        <v>12850</v>
      </c>
      <c r="AC182" s="14">
        <f>ROUND(W182+($R182-INDEX(新属性投放!$B$42:$B$62,属性汇总!$S182))*属性汇总!Z182,0)</f>
        <v>136950</v>
      </c>
    </row>
    <row r="183" spans="1:29" ht="16.5" x14ac:dyDescent="0.2">
      <c r="A183" s="13">
        <v>163</v>
      </c>
      <c r="B183" s="13">
        <v>17</v>
      </c>
      <c r="C183" s="14">
        <f>INDEX(新属性投放!$L$6:$L$10,属性汇总!$B$3)*INDEX(新属性投放!$Q$6:$Q$10,属性汇总!$D$3)</f>
        <v>1.1499999999999999</v>
      </c>
      <c r="D183" s="14">
        <f>INDEX(新属性投放!J$14:J$34,属性汇总!$B183)*$C183</f>
        <v>24298.924999999996</v>
      </c>
      <c r="E183" s="14">
        <f>INDEX(新属性投放!K$14:K$34,属性汇总!$B183)*$C183</f>
        <v>12128.187499999996</v>
      </c>
      <c r="F183" s="14">
        <f>INDEX(新属性投放!L$14:L$34,属性汇总!$B183)*$C183</f>
        <v>73011.774999999994</v>
      </c>
      <c r="G183" s="14">
        <f>INDEX(新属性投放!D$14:D$34,属性汇总!$B183)*$C183</f>
        <v>607.476</v>
      </c>
      <c r="H183" s="14">
        <f>INDEX(新属性投放!E$14:E$34,属性汇总!$B183)*$C183</f>
        <v>303.738</v>
      </c>
      <c r="I183" s="14">
        <f>INDEX(新属性投放!F$14:F$34,属性汇总!$B183)*$C183</f>
        <v>1822.4279999999999</v>
      </c>
      <c r="J183" s="14">
        <f>ROUND(D183+($A183-INDEX(新属性投放!$B$14:$B$34,属性汇总!$B183))*属性汇总!G183,0)</f>
        <v>26121</v>
      </c>
      <c r="K183" s="14">
        <f>ROUND(E183+($A183-INDEX(新属性投放!$B$14:$B$34,属性汇总!$B183))*属性汇总!H183,0)</f>
        <v>13039</v>
      </c>
      <c r="L183" s="14">
        <f>ROUND(F183+($A183-INDEX(新属性投放!$B$14:$B$34,属性汇总!$B183))*属性汇总!I183,0)</f>
        <v>78479</v>
      </c>
      <c r="R183" s="13">
        <v>163</v>
      </c>
      <c r="S183" s="13">
        <v>17</v>
      </c>
      <c r="T183" s="14">
        <f>INDEX(新属性投放!$L$6:$L$10,$S$3)*INDEX(新属性投放!$Q$6:$Q$10,$U$3)</f>
        <v>1.1499999999999999</v>
      </c>
      <c r="U183" s="14">
        <f>INDEX(新属性投放!J$42:J$62,属性汇总!$S183)*$T183</f>
        <v>24488.674999999996</v>
      </c>
      <c r="V183" s="14">
        <f>INDEX(新属性投放!K$42:K$62,属性汇总!$S183)*$T183</f>
        <v>12242.037499999997</v>
      </c>
      <c r="W183" s="14">
        <f>INDEX(新属性投放!L$42:L$62,属性汇总!$S183)*$T183</f>
        <v>131482.94999999998</v>
      </c>
      <c r="X183" s="14">
        <f>INDEX(新属性投放!$D$42:$D$62,属性汇总!$S183)*$T183</f>
        <v>607.476</v>
      </c>
      <c r="Y183" s="14">
        <f>INDEX(新属性投放!$E$42:$E$62,属性汇总!$S183)*$T183</f>
        <v>303.738</v>
      </c>
      <c r="Z183" s="14">
        <f>INDEX(新属性投放!$F$42:$F$62,属性汇总!$S183)*$T183</f>
        <v>2733.5499999999997</v>
      </c>
      <c r="AA183" s="14">
        <f>ROUND(U183+($R183-INDEX(新属性投放!$B$42:$B$62,属性汇总!$S183))*属性汇总!X183,0)</f>
        <v>26311</v>
      </c>
      <c r="AB183" s="14">
        <f>ROUND(V183+($R183-INDEX(新属性投放!$B$42:$B$62,属性汇总!$S183))*属性汇总!Y183,0)</f>
        <v>13153</v>
      </c>
      <c r="AC183" s="14">
        <f>ROUND(W183+($R183-INDEX(新属性投放!$B$42:$B$62,属性汇总!$S183))*属性汇总!Z183,0)</f>
        <v>139684</v>
      </c>
    </row>
    <row r="184" spans="1:29" ht="16.5" x14ac:dyDescent="0.2">
      <c r="A184" s="13">
        <v>164</v>
      </c>
      <c r="B184" s="13">
        <v>17</v>
      </c>
      <c r="C184" s="14">
        <f>INDEX(新属性投放!$L$6:$L$10,属性汇总!$B$3)*INDEX(新属性投放!$Q$6:$Q$10,属性汇总!$D$3)</f>
        <v>1.1499999999999999</v>
      </c>
      <c r="D184" s="14">
        <f>INDEX(新属性投放!J$14:J$34,属性汇总!$B184)*$C184</f>
        <v>24298.924999999996</v>
      </c>
      <c r="E184" s="14">
        <f>INDEX(新属性投放!K$14:K$34,属性汇总!$B184)*$C184</f>
        <v>12128.187499999996</v>
      </c>
      <c r="F184" s="14">
        <f>INDEX(新属性投放!L$14:L$34,属性汇总!$B184)*$C184</f>
        <v>73011.774999999994</v>
      </c>
      <c r="G184" s="14">
        <f>INDEX(新属性投放!D$14:D$34,属性汇总!$B184)*$C184</f>
        <v>607.476</v>
      </c>
      <c r="H184" s="14">
        <f>INDEX(新属性投放!E$14:E$34,属性汇总!$B184)*$C184</f>
        <v>303.738</v>
      </c>
      <c r="I184" s="14">
        <f>INDEX(新属性投放!F$14:F$34,属性汇总!$B184)*$C184</f>
        <v>1822.4279999999999</v>
      </c>
      <c r="J184" s="14">
        <f>ROUND(D184+($A184-INDEX(新属性投放!$B$14:$B$34,属性汇总!$B184))*属性汇总!G184,0)</f>
        <v>26729</v>
      </c>
      <c r="K184" s="14">
        <f>ROUND(E184+($A184-INDEX(新属性投放!$B$14:$B$34,属性汇总!$B184))*属性汇总!H184,0)</f>
        <v>13343</v>
      </c>
      <c r="L184" s="14">
        <f>ROUND(F184+($A184-INDEX(新属性投放!$B$14:$B$34,属性汇总!$B184))*属性汇总!I184,0)</f>
        <v>80301</v>
      </c>
      <c r="R184" s="13">
        <v>164</v>
      </c>
      <c r="S184" s="13">
        <v>17</v>
      </c>
      <c r="T184" s="14">
        <f>INDEX(新属性投放!$L$6:$L$10,$S$3)*INDEX(新属性投放!$Q$6:$Q$10,$U$3)</f>
        <v>1.1499999999999999</v>
      </c>
      <c r="U184" s="14">
        <f>INDEX(新属性投放!J$42:J$62,属性汇总!$S184)*$T184</f>
        <v>24488.674999999996</v>
      </c>
      <c r="V184" s="14">
        <f>INDEX(新属性投放!K$42:K$62,属性汇总!$S184)*$T184</f>
        <v>12242.037499999997</v>
      </c>
      <c r="W184" s="14">
        <f>INDEX(新属性投放!L$42:L$62,属性汇总!$S184)*$T184</f>
        <v>131482.94999999998</v>
      </c>
      <c r="X184" s="14">
        <f>INDEX(新属性投放!$D$42:$D$62,属性汇总!$S184)*$T184</f>
        <v>607.476</v>
      </c>
      <c r="Y184" s="14">
        <f>INDEX(新属性投放!$E$42:$E$62,属性汇总!$S184)*$T184</f>
        <v>303.738</v>
      </c>
      <c r="Z184" s="14">
        <f>INDEX(新属性投放!$F$42:$F$62,属性汇总!$S184)*$T184</f>
        <v>2733.5499999999997</v>
      </c>
      <c r="AA184" s="14">
        <f>ROUND(U184+($R184-INDEX(新属性投放!$B$42:$B$62,属性汇总!$S184))*属性汇总!X184,0)</f>
        <v>26919</v>
      </c>
      <c r="AB184" s="14">
        <f>ROUND(V184+($R184-INDEX(新属性投放!$B$42:$B$62,属性汇总!$S184))*属性汇总!Y184,0)</f>
        <v>13457</v>
      </c>
      <c r="AC184" s="14">
        <f>ROUND(W184+($R184-INDEX(新属性投放!$B$42:$B$62,属性汇总!$S184))*属性汇总!Z184,0)</f>
        <v>142417</v>
      </c>
    </row>
    <row r="185" spans="1:29" ht="16.5" x14ac:dyDescent="0.2">
      <c r="A185" s="13">
        <v>165</v>
      </c>
      <c r="B185" s="13">
        <v>17</v>
      </c>
      <c r="C185" s="14">
        <f>INDEX(新属性投放!$L$6:$L$10,属性汇总!$B$3)*INDEX(新属性投放!$Q$6:$Q$10,属性汇总!$D$3)</f>
        <v>1.1499999999999999</v>
      </c>
      <c r="D185" s="14">
        <f>INDEX(新属性投放!J$14:J$34,属性汇总!$B185)*$C185</f>
        <v>24298.924999999996</v>
      </c>
      <c r="E185" s="14">
        <f>INDEX(新属性投放!K$14:K$34,属性汇总!$B185)*$C185</f>
        <v>12128.187499999996</v>
      </c>
      <c r="F185" s="14">
        <f>INDEX(新属性投放!L$14:L$34,属性汇总!$B185)*$C185</f>
        <v>73011.774999999994</v>
      </c>
      <c r="G185" s="14">
        <f>INDEX(新属性投放!D$14:D$34,属性汇总!$B185)*$C185</f>
        <v>607.476</v>
      </c>
      <c r="H185" s="14">
        <f>INDEX(新属性投放!E$14:E$34,属性汇总!$B185)*$C185</f>
        <v>303.738</v>
      </c>
      <c r="I185" s="14">
        <f>INDEX(新属性投放!F$14:F$34,属性汇总!$B185)*$C185</f>
        <v>1822.4279999999999</v>
      </c>
      <c r="J185" s="14">
        <f>ROUND(D185+($A185-INDEX(新属性投放!$B$14:$B$34,属性汇总!$B185))*属性汇总!G185,0)</f>
        <v>27336</v>
      </c>
      <c r="K185" s="14">
        <f>ROUND(E185+($A185-INDEX(新属性投放!$B$14:$B$34,属性汇总!$B185))*属性汇总!H185,0)</f>
        <v>13647</v>
      </c>
      <c r="L185" s="14">
        <f>ROUND(F185+($A185-INDEX(新属性投放!$B$14:$B$34,属性汇总!$B185))*属性汇总!I185,0)</f>
        <v>82124</v>
      </c>
      <c r="R185" s="13">
        <v>165</v>
      </c>
      <c r="S185" s="13">
        <v>17</v>
      </c>
      <c r="T185" s="14">
        <f>INDEX(新属性投放!$L$6:$L$10,$S$3)*INDEX(新属性投放!$Q$6:$Q$10,$U$3)</f>
        <v>1.1499999999999999</v>
      </c>
      <c r="U185" s="14">
        <f>INDEX(新属性投放!J$42:J$62,属性汇总!$S185)*$T185</f>
        <v>24488.674999999996</v>
      </c>
      <c r="V185" s="14">
        <f>INDEX(新属性投放!K$42:K$62,属性汇总!$S185)*$T185</f>
        <v>12242.037499999997</v>
      </c>
      <c r="W185" s="14">
        <f>INDEX(新属性投放!L$42:L$62,属性汇总!$S185)*$T185</f>
        <v>131482.94999999998</v>
      </c>
      <c r="X185" s="14">
        <f>INDEX(新属性投放!$D$42:$D$62,属性汇总!$S185)*$T185</f>
        <v>607.476</v>
      </c>
      <c r="Y185" s="14">
        <f>INDEX(新属性投放!$E$42:$E$62,属性汇总!$S185)*$T185</f>
        <v>303.738</v>
      </c>
      <c r="Z185" s="14">
        <f>INDEX(新属性投放!$F$42:$F$62,属性汇总!$S185)*$T185</f>
        <v>2733.5499999999997</v>
      </c>
      <c r="AA185" s="14">
        <f>ROUND(U185+($R185-INDEX(新属性投放!$B$42:$B$62,属性汇总!$S185))*属性汇总!X185,0)</f>
        <v>27526</v>
      </c>
      <c r="AB185" s="14">
        <f>ROUND(V185+($R185-INDEX(新属性投放!$B$42:$B$62,属性汇总!$S185))*属性汇总!Y185,0)</f>
        <v>13761</v>
      </c>
      <c r="AC185" s="14">
        <f>ROUND(W185+($R185-INDEX(新属性投放!$B$42:$B$62,属性汇总!$S185))*属性汇总!Z185,0)</f>
        <v>145151</v>
      </c>
    </row>
    <row r="186" spans="1:29" ht="16.5" x14ac:dyDescent="0.2">
      <c r="A186" s="13">
        <v>166</v>
      </c>
      <c r="B186" s="13">
        <v>17</v>
      </c>
      <c r="C186" s="14">
        <f>INDEX(新属性投放!$L$6:$L$10,属性汇总!$B$3)*INDEX(新属性投放!$Q$6:$Q$10,属性汇总!$D$3)</f>
        <v>1.1499999999999999</v>
      </c>
      <c r="D186" s="14">
        <f>INDEX(新属性投放!J$14:J$34,属性汇总!$B186)*$C186</f>
        <v>24298.924999999996</v>
      </c>
      <c r="E186" s="14">
        <f>INDEX(新属性投放!K$14:K$34,属性汇总!$B186)*$C186</f>
        <v>12128.187499999996</v>
      </c>
      <c r="F186" s="14">
        <f>INDEX(新属性投放!L$14:L$34,属性汇总!$B186)*$C186</f>
        <v>73011.774999999994</v>
      </c>
      <c r="G186" s="14">
        <f>INDEX(新属性投放!D$14:D$34,属性汇总!$B186)*$C186</f>
        <v>607.476</v>
      </c>
      <c r="H186" s="14">
        <f>INDEX(新属性投放!E$14:E$34,属性汇总!$B186)*$C186</f>
        <v>303.738</v>
      </c>
      <c r="I186" s="14">
        <f>INDEX(新属性投放!F$14:F$34,属性汇总!$B186)*$C186</f>
        <v>1822.4279999999999</v>
      </c>
      <c r="J186" s="14">
        <f>ROUND(D186+($A186-INDEX(新属性投放!$B$14:$B$34,属性汇总!$B186))*属性汇总!G186,0)</f>
        <v>27944</v>
      </c>
      <c r="K186" s="14">
        <f>ROUND(E186+($A186-INDEX(新属性投放!$B$14:$B$34,属性汇总!$B186))*属性汇总!H186,0)</f>
        <v>13951</v>
      </c>
      <c r="L186" s="14">
        <f>ROUND(F186+($A186-INDEX(新属性投放!$B$14:$B$34,属性汇总!$B186))*属性汇总!I186,0)</f>
        <v>83946</v>
      </c>
      <c r="R186" s="13">
        <v>166</v>
      </c>
      <c r="S186" s="13">
        <v>17</v>
      </c>
      <c r="T186" s="14">
        <f>INDEX(新属性投放!$L$6:$L$10,$S$3)*INDEX(新属性投放!$Q$6:$Q$10,$U$3)</f>
        <v>1.1499999999999999</v>
      </c>
      <c r="U186" s="14">
        <f>INDEX(新属性投放!J$42:J$62,属性汇总!$S186)*$T186</f>
        <v>24488.674999999996</v>
      </c>
      <c r="V186" s="14">
        <f>INDEX(新属性投放!K$42:K$62,属性汇总!$S186)*$T186</f>
        <v>12242.037499999997</v>
      </c>
      <c r="W186" s="14">
        <f>INDEX(新属性投放!L$42:L$62,属性汇总!$S186)*$T186</f>
        <v>131482.94999999998</v>
      </c>
      <c r="X186" s="14">
        <f>INDEX(新属性投放!$D$42:$D$62,属性汇总!$S186)*$T186</f>
        <v>607.476</v>
      </c>
      <c r="Y186" s="14">
        <f>INDEX(新属性投放!$E$42:$E$62,属性汇总!$S186)*$T186</f>
        <v>303.738</v>
      </c>
      <c r="Z186" s="14">
        <f>INDEX(新属性投放!$F$42:$F$62,属性汇总!$S186)*$T186</f>
        <v>2733.5499999999997</v>
      </c>
      <c r="AA186" s="14">
        <f>ROUND(U186+($R186-INDEX(新属性投放!$B$42:$B$62,属性汇总!$S186))*属性汇总!X186,0)</f>
        <v>28134</v>
      </c>
      <c r="AB186" s="14">
        <f>ROUND(V186+($R186-INDEX(新属性投放!$B$42:$B$62,属性汇总!$S186))*属性汇总!Y186,0)</f>
        <v>14064</v>
      </c>
      <c r="AC186" s="14">
        <f>ROUND(W186+($R186-INDEX(新属性投放!$B$42:$B$62,属性汇总!$S186))*属性汇总!Z186,0)</f>
        <v>147884</v>
      </c>
    </row>
    <row r="187" spans="1:29" ht="16.5" x14ac:dyDescent="0.2">
      <c r="A187" s="13">
        <v>167</v>
      </c>
      <c r="B187" s="13">
        <v>17</v>
      </c>
      <c r="C187" s="14">
        <f>INDEX(新属性投放!$L$6:$L$10,属性汇总!$B$3)*INDEX(新属性投放!$Q$6:$Q$10,属性汇总!$D$3)</f>
        <v>1.1499999999999999</v>
      </c>
      <c r="D187" s="14">
        <f>INDEX(新属性投放!J$14:J$34,属性汇总!$B187)*$C187</f>
        <v>24298.924999999996</v>
      </c>
      <c r="E187" s="14">
        <f>INDEX(新属性投放!K$14:K$34,属性汇总!$B187)*$C187</f>
        <v>12128.187499999996</v>
      </c>
      <c r="F187" s="14">
        <f>INDEX(新属性投放!L$14:L$34,属性汇总!$B187)*$C187</f>
        <v>73011.774999999994</v>
      </c>
      <c r="G187" s="14">
        <f>INDEX(新属性投放!D$14:D$34,属性汇总!$B187)*$C187</f>
        <v>607.476</v>
      </c>
      <c r="H187" s="14">
        <f>INDEX(新属性投放!E$14:E$34,属性汇总!$B187)*$C187</f>
        <v>303.738</v>
      </c>
      <c r="I187" s="14">
        <f>INDEX(新属性投放!F$14:F$34,属性汇总!$B187)*$C187</f>
        <v>1822.4279999999999</v>
      </c>
      <c r="J187" s="14">
        <f>ROUND(D187+($A187-INDEX(新属性投放!$B$14:$B$34,属性汇总!$B187))*属性汇总!G187,0)</f>
        <v>28551</v>
      </c>
      <c r="K187" s="14">
        <f>ROUND(E187+($A187-INDEX(新属性投放!$B$14:$B$34,属性汇总!$B187))*属性汇总!H187,0)</f>
        <v>14254</v>
      </c>
      <c r="L187" s="14">
        <f>ROUND(F187+($A187-INDEX(新属性投放!$B$14:$B$34,属性汇总!$B187))*属性汇总!I187,0)</f>
        <v>85769</v>
      </c>
      <c r="R187" s="13">
        <v>167</v>
      </c>
      <c r="S187" s="13">
        <v>17</v>
      </c>
      <c r="T187" s="14">
        <f>INDEX(新属性投放!$L$6:$L$10,$S$3)*INDEX(新属性投放!$Q$6:$Q$10,$U$3)</f>
        <v>1.1499999999999999</v>
      </c>
      <c r="U187" s="14">
        <f>INDEX(新属性投放!J$42:J$62,属性汇总!$S187)*$T187</f>
        <v>24488.674999999996</v>
      </c>
      <c r="V187" s="14">
        <f>INDEX(新属性投放!K$42:K$62,属性汇总!$S187)*$T187</f>
        <v>12242.037499999997</v>
      </c>
      <c r="W187" s="14">
        <f>INDEX(新属性投放!L$42:L$62,属性汇总!$S187)*$T187</f>
        <v>131482.94999999998</v>
      </c>
      <c r="X187" s="14">
        <f>INDEX(新属性投放!$D$42:$D$62,属性汇总!$S187)*$T187</f>
        <v>607.476</v>
      </c>
      <c r="Y187" s="14">
        <f>INDEX(新属性投放!$E$42:$E$62,属性汇总!$S187)*$T187</f>
        <v>303.738</v>
      </c>
      <c r="Z187" s="14">
        <f>INDEX(新属性投放!$F$42:$F$62,属性汇总!$S187)*$T187</f>
        <v>2733.5499999999997</v>
      </c>
      <c r="AA187" s="14">
        <f>ROUND(U187+($R187-INDEX(新属性投放!$B$42:$B$62,属性汇总!$S187))*属性汇总!X187,0)</f>
        <v>28741</v>
      </c>
      <c r="AB187" s="14">
        <f>ROUND(V187+($R187-INDEX(新属性投放!$B$42:$B$62,属性汇总!$S187))*属性汇总!Y187,0)</f>
        <v>14368</v>
      </c>
      <c r="AC187" s="14">
        <f>ROUND(W187+($R187-INDEX(新属性投放!$B$42:$B$62,属性汇总!$S187))*属性汇总!Z187,0)</f>
        <v>150618</v>
      </c>
    </row>
    <row r="188" spans="1:29" ht="16.5" x14ac:dyDescent="0.2">
      <c r="A188" s="13">
        <v>168</v>
      </c>
      <c r="B188" s="13">
        <v>17</v>
      </c>
      <c r="C188" s="14">
        <f>INDEX(新属性投放!$L$6:$L$10,属性汇总!$B$3)*INDEX(新属性投放!$Q$6:$Q$10,属性汇总!$D$3)</f>
        <v>1.1499999999999999</v>
      </c>
      <c r="D188" s="14">
        <f>INDEX(新属性投放!J$14:J$34,属性汇总!$B188)*$C188</f>
        <v>24298.924999999996</v>
      </c>
      <c r="E188" s="14">
        <f>INDEX(新属性投放!K$14:K$34,属性汇总!$B188)*$C188</f>
        <v>12128.187499999996</v>
      </c>
      <c r="F188" s="14">
        <f>INDEX(新属性投放!L$14:L$34,属性汇总!$B188)*$C188</f>
        <v>73011.774999999994</v>
      </c>
      <c r="G188" s="14">
        <f>INDEX(新属性投放!D$14:D$34,属性汇总!$B188)*$C188</f>
        <v>607.476</v>
      </c>
      <c r="H188" s="14">
        <f>INDEX(新属性投放!E$14:E$34,属性汇总!$B188)*$C188</f>
        <v>303.738</v>
      </c>
      <c r="I188" s="14">
        <f>INDEX(新属性投放!F$14:F$34,属性汇总!$B188)*$C188</f>
        <v>1822.4279999999999</v>
      </c>
      <c r="J188" s="14">
        <f>ROUND(D188+($A188-INDEX(新属性投放!$B$14:$B$34,属性汇总!$B188))*属性汇总!G188,0)</f>
        <v>29159</v>
      </c>
      <c r="K188" s="14">
        <f>ROUND(E188+($A188-INDEX(新属性投放!$B$14:$B$34,属性汇总!$B188))*属性汇总!H188,0)</f>
        <v>14558</v>
      </c>
      <c r="L188" s="14">
        <f>ROUND(F188+($A188-INDEX(新属性投放!$B$14:$B$34,属性汇总!$B188))*属性汇总!I188,0)</f>
        <v>87591</v>
      </c>
      <c r="R188" s="13">
        <v>168</v>
      </c>
      <c r="S188" s="13">
        <v>17</v>
      </c>
      <c r="T188" s="14">
        <f>INDEX(新属性投放!$L$6:$L$10,$S$3)*INDEX(新属性投放!$Q$6:$Q$10,$U$3)</f>
        <v>1.1499999999999999</v>
      </c>
      <c r="U188" s="14">
        <f>INDEX(新属性投放!J$42:J$62,属性汇总!$S188)*$T188</f>
        <v>24488.674999999996</v>
      </c>
      <c r="V188" s="14">
        <f>INDEX(新属性投放!K$42:K$62,属性汇总!$S188)*$T188</f>
        <v>12242.037499999997</v>
      </c>
      <c r="W188" s="14">
        <f>INDEX(新属性投放!L$42:L$62,属性汇总!$S188)*$T188</f>
        <v>131482.94999999998</v>
      </c>
      <c r="X188" s="14">
        <f>INDEX(新属性投放!$D$42:$D$62,属性汇总!$S188)*$T188</f>
        <v>607.476</v>
      </c>
      <c r="Y188" s="14">
        <f>INDEX(新属性投放!$E$42:$E$62,属性汇总!$S188)*$T188</f>
        <v>303.738</v>
      </c>
      <c r="Z188" s="14">
        <f>INDEX(新属性投放!$F$42:$F$62,属性汇总!$S188)*$T188</f>
        <v>2733.5499999999997</v>
      </c>
      <c r="AA188" s="14">
        <f>ROUND(U188+($R188-INDEX(新属性投放!$B$42:$B$62,属性汇总!$S188))*属性汇总!X188,0)</f>
        <v>29348</v>
      </c>
      <c r="AB188" s="14">
        <f>ROUND(V188+($R188-INDEX(新属性投放!$B$42:$B$62,属性汇总!$S188))*属性汇总!Y188,0)</f>
        <v>14672</v>
      </c>
      <c r="AC188" s="14">
        <f>ROUND(W188+($R188-INDEX(新属性投放!$B$42:$B$62,属性汇总!$S188))*属性汇总!Z188,0)</f>
        <v>153351</v>
      </c>
    </row>
    <row r="189" spans="1:29" ht="16.5" x14ac:dyDescent="0.2">
      <c r="A189" s="13">
        <v>169</v>
      </c>
      <c r="B189" s="13">
        <v>17</v>
      </c>
      <c r="C189" s="14">
        <f>INDEX(新属性投放!$L$6:$L$10,属性汇总!$B$3)*INDEX(新属性投放!$Q$6:$Q$10,属性汇总!$D$3)</f>
        <v>1.1499999999999999</v>
      </c>
      <c r="D189" s="14">
        <f>INDEX(新属性投放!J$14:J$34,属性汇总!$B189)*$C189</f>
        <v>24298.924999999996</v>
      </c>
      <c r="E189" s="14">
        <f>INDEX(新属性投放!K$14:K$34,属性汇总!$B189)*$C189</f>
        <v>12128.187499999996</v>
      </c>
      <c r="F189" s="14">
        <f>INDEX(新属性投放!L$14:L$34,属性汇总!$B189)*$C189</f>
        <v>73011.774999999994</v>
      </c>
      <c r="G189" s="14">
        <f>INDEX(新属性投放!D$14:D$34,属性汇总!$B189)*$C189</f>
        <v>607.476</v>
      </c>
      <c r="H189" s="14">
        <f>INDEX(新属性投放!E$14:E$34,属性汇总!$B189)*$C189</f>
        <v>303.738</v>
      </c>
      <c r="I189" s="14">
        <f>INDEX(新属性投放!F$14:F$34,属性汇总!$B189)*$C189</f>
        <v>1822.4279999999999</v>
      </c>
      <c r="J189" s="14">
        <f>ROUND(D189+($A189-INDEX(新属性投放!$B$14:$B$34,属性汇总!$B189))*属性汇总!G189,0)</f>
        <v>29766</v>
      </c>
      <c r="K189" s="14">
        <f>ROUND(E189+($A189-INDEX(新属性投放!$B$14:$B$34,属性汇总!$B189))*属性汇总!H189,0)</f>
        <v>14862</v>
      </c>
      <c r="L189" s="14">
        <f>ROUND(F189+($A189-INDEX(新属性投放!$B$14:$B$34,属性汇总!$B189))*属性汇总!I189,0)</f>
        <v>89414</v>
      </c>
      <c r="R189" s="13">
        <v>169</v>
      </c>
      <c r="S189" s="13">
        <v>17</v>
      </c>
      <c r="T189" s="14">
        <f>INDEX(新属性投放!$L$6:$L$10,$S$3)*INDEX(新属性投放!$Q$6:$Q$10,$U$3)</f>
        <v>1.1499999999999999</v>
      </c>
      <c r="U189" s="14">
        <f>INDEX(新属性投放!J$42:J$62,属性汇总!$S189)*$T189</f>
        <v>24488.674999999996</v>
      </c>
      <c r="V189" s="14">
        <f>INDEX(新属性投放!K$42:K$62,属性汇总!$S189)*$T189</f>
        <v>12242.037499999997</v>
      </c>
      <c r="W189" s="14">
        <f>INDEX(新属性投放!L$42:L$62,属性汇总!$S189)*$T189</f>
        <v>131482.94999999998</v>
      </c>
      <c r="X189" s="14">
        <f>INDEX(新属性投放!$D$42:$D$62,属性汇总!$S189)*$T189</f>
        <v>607.476</v>
      </c>
      <c r="Y189" s="14">
        <f>INDEX(新属性投放!$E$42:$E$62,属性汇总!$S189)*$T189</f>
        <v>303.738</v>
      </c>
      <c r="Z189" s="14">
        <f>INDEX(新属性投放!$F$42:$F$62,属性汇总!$S189)*$T189</f>
        <v>2733.5499999999997</v>
      </c>
      <c r="AA189" s="14">
        <f>ROUND(U189+($R189-INDEX(新属性投放!$B$42:$B$62,属性汇总!$S189))*属性汇总!X189,0)</f>
        <v>29956</v>
      </c>
      <c r="AB189" s="14">
        <f>ROUND(V189+($R189-INDEX(新属性投放!$B$42:$B$62,属性汇总!$S189))*属性汇总!Y189,0)</f>
        <v>14976</v>
      </c>
      <c r="AC189" s="14">
        <f>ROUND(W189+($R189-INDEX(新属性投放!$B$42:$B$62,属性汇总!$S189))*属性汇总!Z189,0)</f>
        <v>156085</v>
      </c>
    </row>
    <row r="190" spans="1:29" ht="16.5" x14ac:dyDescent="0.2">
      <c r="A190" s="13">
        <v>170</v>
      </c>
      <c r="B190" s="13">
        <v>17</v>
      </c>
      <c r="C190" s="14">
        <f>INDEX(新属性投放!$L$6:$L$10,属性汇总!$B$3)*INDEX(新属性投放!$Q$6:$Q$10,属性汇总!$D$3)</f>
        <v>1.1499999999999999</v>
      </c>
      <c r="D190" s="14">
        <f>INDEX(新属性投放!J$14:J$34,属性汇总!$B190)*$C190</f>
        <v>24298.924999999996</v>
      </c>
      <c r="E190" s="14">
        <f>INDEX(新属性投放!K$14:K$34,属性汇总!$B190)*$C190</f>
        <v>12128.187499999996</v>
      </c>
      <c r="F190" s="14">
        <f>INDEX(新属性投放!L$14:L$34,属性汇总!$B190)*$C190</f>
        <v>73011.774999999994</v>
      </c>
      <c r="G190" s="14">
        <f>INDEX(新属性投放!D$14:D$34,属性汇总!$B190)*$C190</f>
        <v>607.476</v>
      </c>
      <c r="H190" s="14">
        <f>INDEX(新属性投放!E$14:E$34,属性汇总!$B190)*$C190</f>
        <v>303.738</v>
      </c>
      <c r="I190" s="14">
        <f>INDEX(新属性投放!F$14:F$34,属性汇总!$B190)*$C190</f>
        <v>1822.4279999999999</v>
      </c>
      <c r="J190" s="14">
        <f>ROUND(D190+($A190-INDEX(新属性投放!$B$14:$B$34,属性汇总!$B190))*属性汇总!G190,0)</f>
        <v>30374</v>
      </c>
      <c r="K190" s="14">
        <f>ROUND(E190+($A190-INDEX(新属性投放!$B$14:$B$34,属性汇总!$B190))*属性汇总!H190,0)</f>
        <v>15166</v>
      </c>
      <c r="L190" s="14">
        <f>ROUND(F190+($A190-INDEX(新属性投放!$B$14:$B$34,属性汇总!$B190))*属性汇总!I190,0)</f>
        <v>91236</v>
      </c>
      <c r="R190" s="13">
        <v>170</v>
      </c>
      <c r="S190" s="13">
        <v>17</v>
      </c>
      <c r="T190" s="14">
        <f>INDEX(新属性投放!$L$6:$L$10,$S$3)*INDEX(新属性投放!$Q$6:$Q$10,$U$3)</f>
        <v>1.1499999999999999</v>
      </c>
      <c r="U190" s="14">
        <f>INDEX(新属性投放!J$42:J$62,属性汇总!$S190)*$T190</f>
        <v>24488.674999999996</v>
      </c>
      <c r="V190" s="14">
        <f>INDEX(新属性投放!K$42:K$62,属性汇总!$S190)*$T190</f>
        <v>12242.037499999997</v>
      </c>
      <c r="W190" s="14">
        <f>INDEX(新属性投放!L$42:L$62,属性汇总!$S190)*$T190</f>
        <v>131482.94999999998</v>
      </c>
      <c r="X190" s="14">
        <f>INDEX(新属性投放!$D$42:$D$62,属性汇总!$S190)*$T190</f>
        <v>607.476</v>
      </c>
      <c r="Y190" s="14">
        <f>INDEX(新属性投放!$E$42:$E$62,属性汇总!$S190)*$T190</f>
        <v>303.738</v>
      </c>
      <c r="Z190" s="14">
        <f>INDEX(新属性投放!$F$42:$F$62,属性汇总!$S190)*$T190</f>
        <v>2733.5499999999997</v>
      </c>
      <c r="AA190" s="14">
        <f>ROUND(U190+($R190-INDEX(新属性投放!$B$42:$B$62,属性汇总!$S190))*属性汇总!X190,0)</f>
        <v>30563</v>
      </c>
      <c r="AB190" s="14">
        <f>ROUND(V190+($R190-INDEX(新属性投放!$B$42:$B$62,属性汇总!$S190))*属性汇总!Y190,0)</f>
        <v>15279</v>
      </c>
      <c r="AC190" s="14">
        <f>ROUND(W190+($R190-INDEX(新属性投放!$B$42:$B$62,属性汇总!$S190))*属性汇总!Z190,0)</f>
        <v>158818</v>
      </c>
    </row>
    <row r="191" spans="1:29" s="37" customFormat="1" ht="16.5" x14ac:dyDescent="0.2">
      <c r="A191" s="13">
        <v>170</v>
      </c>
      <c r="B191" s="13">
        <v>18</v>
      </c>
      <c r="C191" s="14">
        <f>INDEX(新属性投放!$L$6:$L$10,属性汇总!$B$3)*INDEX(新属性投放!$Q$6:$Q$10,属性汇总!$D$3)</f>
        <v>1.1499999999999999</v>
      </c>
      <c r="D191" s="14">
        <f>INDEX(新属性投放!J$14:J$34,属性汇总!$B191)*$C191</f>
        <v>31892.834999999992</v>
      </c>
      <c r="E191" s="14">
        <f>INDEX(新属性投放!K$14:K$34,属性汇总!$B191)*$C191</f>
        <v>15924.567499999996</v>
      </c>
      <c r="F191" s="14">
        <f>INDEX(新属性投放!L$14:L$34,属性汇总!$B191)*$C191</f>
        <v>95793.50499999999</v>
      </c>
      <c r="G191" s="14">
        <f>INDEX(新属性投放!D$14:D$34,属性汇总!$B191)*$C191</f>
        <v>797.31799999999998</v>
      </c>
      <c r="H191" s="14">
        <f>INDEX(新属性投放!E$14:E$34,属性汇总!$B191)*$C191</f>
        <v>398.65899999999999</v>
      </c>
      <c r="I191" s="14">
        <f>INDEX(新属性投放!F$14:F$34,属性汇总!$B191)*$C191</f>
        <v>2391.9539999999997</v>
      </c>
      <c r="J191" s="14">
        <f>ROUND(D191+($A191-INDEX(新属性投放!$B$14:$B$34,属性汇总!$B191))*属性汇总!G191,0)</f>
        <v>31893</v>
      </c>
      <c r="K191" s="14">
        <f>ROUND(E191+($A191-INDEX(新属性投放!$B$14:$B$34,属性汇总!$B191))*属性汇总!H191,0)</f>
        <v>15925</v>
      </c>
      <c r="L191" s="14">
        <f>ROUND(F191+($A191-INDEX(新属性投放!$B$14:$B$34,属性汇总!$B191))*属性汇总!I191,0)</f>
        <v>95794</v>
      </c>
      <c r="R191" s="13">
        <v>170</v>
      </c>
      <c r="S191" s="13">
        <v>18</v>
      </c>
      <c r="T191" s="14">
        <f>INDEX(新属性投放!$L$6:$L$10,$S$3)*INDEX(新属性投放!$Q$6:$Q$10,$U$3)</f>
        <v>1.1499999999999999</v>
      </c>
      <c r="U191" s="14">
        <f>INDEX(新属性投放!J$42:J$62,属性汇总!$S191)*$T191</f>
        <v>32082.584999999992</v>
      </c>
      <c r="V191" s="14">
        <f>INDEX(新属性投放!K$42:K$62,属性汇总!$S191)*$T191</f>
        <v>16038.417499999996</v>
      </c>
      <c r="W191" s="14">
        <f>INDEX(新属性投放!L$42:L$62,属性汇总!$S191)*$T191</f>
        <v>172490.8</v>
      </c>
      <c r="X191" s="14">
        <f>INDEX(新属性投放!$D$42:$D$62,属性汇总!$S191)*$T191</f>
        <v>797.31799999999998</v>
      </c>
      <c r="Y191" s="14">
        <f>INDEX(新属性投放!$E$42:$E$62,属性汇总!$S191)*$T191</f>
        <v>398.65899999999999</v>
      </c>
      <c r="Z191" s="14">
        <f>INDEX(新属性投放!$F$42:$F$62,属性汇总!$S191)*$T191</f>
        <v>3586.85</v>
      </c>
      <c r="AA191" s="14">
        <f>ROUND(U191+($R191-INDEX(新属性投放!$B$42:$B$62,属性汇总!$S191))*属性汇总!X191,0)</f>
        <v>32083</v>
      </c>
      <c r="AB191" s="14">
        <f>ROUND(V191+($R191-INDEX(新属性投放!$B$42:$B$62,属性汇总!$S191))*属性汇总!Y191,0)</f>
        <v>16038</v>
      </c>
      <c r="AC191" s="14">
        <f>ROUND(W191+($R191-INDEX(新属性投放!$B$42:$B$62,属性汇总!$S191))*属性汇总!Z191,0)</f>
        <v>172491</v>
      </c>
    </row>
    <row r="192" spans="1:29" ht="16.5" x14ac:dyDescent="0.2">
      <c r="A192" s="13">
        <v>171</v>
      </c>
      <c r="B192" s="13">
        <v>18</v>
      </c>
      <c r="C192" s="14">
        <f>INDEX(新属性投放!$L$6:$L$10,属性汇总!$B$3)*INDEX(新属性投放!$Q$6:$Q$10,属性汇总!$D$3)</f>
        <v>1.1499999999999999</v>
      </c>
      <c r="D192" s="14">
        <f>INDEX(新属性投放!J$14:J$34,属性汇总!$B192)*$C192</f>
        <v>31892.834999999992</v>
      </c>
      <c r="E192" s="14">
        <f>INDEX(新属性投放!K$14:K$34,属性汇总!$B192)*$C192</f>
        <v>15924.567499999996</v>
      </c>
      <c r="F192" s="14">
        <f>INDEX(新属性投放!L$14:L$34,属性汇总!$B192)*$C192</f>
        <v>95793.50499999999</v>
      </c>
      <c r="G192" s="14">
        <f>INDEX(新属性投放!D$14:D$34,属性汇总!$B192)*$C192</f>
        <v>797.31799999999998</v>
      </c>
      <c r="H192" s="14">
        <f>INDEX(新属性投放!E$14:E$34,属性汇总!$B192)*$C192</f>
        <v>398.65899999999999</v>
      </c>
      <c r="I192" s="14">
        <f>INDEX(新属性投放!F$14:F$34,属性汇总!$B192)*$C192</f>
        <v>2391.9539999999997</v>
      </c>
      <c r="J192" s="14">
        <f>ROUND(D192+($A192-INDEX(新属性投放!$B$14:$B$34,属性汇总!$B192))*属性汇总!G192,0)</f>
        <v>32690</v>
      </c>
      <c r="K192" s="14">
        <f>ROUND(E192+($A192-INDEX(新属性投放!$B$14:$B$34,属性汇总!$B192))*属性汇总!H192,0)</f>
        <v>16323</v>
      </c>
      <c r="L192" s="14">
        <f>ROUND(F192+($A192-INDEX(新属性投放!$B$14:$B$34,属性汇总!$B192))*属性汇总!I192,0)</f>
        <v>98185</v>
      </c>
      <c r="R192" s="13">
        <v>171</v>
      </c>
      <c r="S192" s="13">
        <v>18</v>
      </c>
      <c r="T192" s="14">
        <f>INDEX(新属性投放!$L$6:$L$10,$S$3)*INDEX(新属性投放!$Q$6:$Q$10,$U$3)</f>
        <v>1.1499999999999999</v>
      </c>
      <c r="U192" s="14">
        <f>INDEX(新属性投放!J$42:J$62,属性汇总!$S192)*$T192</f>
        <v>32082.584999999992</v>
      </c>
      <c r="V192" s="14">
        <f>INDEX(新属性投放!K$42:K$62,属性汇总!$S192)*$T192</f>
        <v>16038.417499999996</v>
      </c>
      <c r="W192" s="14">
        <f>INDEX(新属性投放!L$42:L$62,属性汇总!$S192)*$T192</f>
        <v>172490.8</v>
      </c>
      <c r="X192" s="14">
        <f>INDEX(新属性投放!$D$42:$D$62,属性汇总!$S192)*$T192</f>
        <v>797.31799999999998</v>
      </c>
      <c r="Y192" s="14">
        <f>INDEX(新属性投放!$E$42:$E$62,属性汇总!$S192)*$T192</f>
        <v>398.65899999999999</v>
      </c>
      <c r="Z192" s="14">
        <f>INDEX(新属性投放!$F$42:$F$62,属性汇总!$S192)*$T192</f>
        <v>3586.85</v>
      </c>
      <c r="AA192" s="14">
        <f>ROUND(U192+($R192-INDEX(新属性投放!$B$42:$B$62,属性汇总!$S192))*属性汇总!X192,0)</f>
        <v>32880</v>
      </c>
      <c r="AB192" s="14">
        <f>ROUND(V192+($R192-INDEX(新属性投放!$B$42:$B$62,属性汇总!$S192))*属性汇总!Y192,0)</f>
        <v>16437</v>
      </c>
      <c r="AC192" s="14">
        <f>ROUND(W192+($R192-INDEX(新属性投放!$B$42:$B$62,属性汇总!$S192))*属性汇总!Z192,0)</f>
        <v>176078</v>
      </c>
    </row>
    <row r="193" spans="1:29" ht="16.5" x14ac:dyDescent="0.2">
      <c r="A193" s="13">
        <v>172</v>
      </c>
      <c r="B193" s="13">
        <v>18</v>
      </c>
      <c r="C193" s="14">
        <f>INDEX(新属性投放!$L$6:$L$10,属性汇总!$B$3)*INDEX(新属性投放!$Q$6:$Q$10,属性汇总!$D$3)</f>
        <v>1.1499999999999999</v>
      </c>
      <c r="D193" s="14">
        <f>INDEX(新属性投放!J$14:J$34,属性汇总!$B193)*$C193</f>
        <v>31892.834999999992</v>
      </c>
      <c r="E193" s="14">
        <f>INDEX(新属性投放!K$14:K$34,属性汇总!$B193)*$C193</f>
        <v>15924.567499999996</v>
      </c>
      <c r="F193" s="14">
        <f>INDEX(新属性投放!L$14:L$34,属性汇总!$B193)*$C193</f>
        <v>95793.50499999999</v>
      </c>
      <c r="G193" s="14">
        <f>INDEX(新属性投放!D$14:D$34,属性汇总!$B193)*$C193</f>
        <v>797.31799999999998</v>
      </c>
      <c r="H193" s="14">
        <f>INDEX(新属性投放!E$14:E$34,属性汇总!$B193)*$C193</f>
        <v>398.65899999999999</v>
      </c>
      <c r="I193" s="14">
        <f>INDEX(新属性投放!F$14:F$34,属性汇总!$B193)*$C193</f>
        <v>2391.9539999999997</v>
      </c>
      <c r="J193" s="14">
        <f>ROUND(D193+($A193-INDEX(新属性投放!$B$14:$B$34,属性汇总!$B193))*属性汇总!G193,0)</f>
        <v>33487</v>
      </c>
      <c r="K193" s="14">
        <f>ROUND(E193+($A193-INDEX(新属性投放!$B$14:$B$34,属性汇总!$B193))*属性汇总!H193,0)</f>
        <v>16722</v>
      </c>
      <c r="L193" s="14">
        <f>ROUND(F193+($A193-INDEX(新属性投放!$B$14:$B$34,属性汇总!$B193))*属性汇总!I193,0)</f>
        <v>100577</v>
      </c>
      <c r="R193" s="13">
        <v>172</v>
      </c>
      <c r="S193" s="13">
        <v>18</v>
      </c>
      <c r="T193" s="14">
        <f>INDEX(新属性投放!$L$6:$L$10,$S$3)*INDEX(新属性投放!$Q$6:$Q$10,$U$3)</f>
        <v>1.1499999999999999</v>
      </c>
      <c r="U193" s="14">
        <f>INDEX(新属性投放!J$42:J$62,属性汇总!$S193)*$T193</f>
        <v>32082.584999999992</v>
      </c>
      <c r="V193" s="14">
        <f>INDEX(新属性投放!K$42:K$62,属性汇总!$S193)*$T193</f>
        <v>16038.417499999996</v>
      </c>
      <c r="W193" s="14">
        <f>INDEX(新属性投放!L$42:L$62,属性汇总!$S193)*$T193</f>
        <v>172490.8</v>
      </c>
      <c r="X193" s="14">
        <f>INDEX(新属性投放!$D$42:$D$62,属性汇总!$S193)*$T193</f>
        <v>797.31799999999998</v>
      </c>
      <c r="Y193" s="14">
        <f>INDEX(新属性投放!$E$42:$E$62,属性汇总!$S193)*$T193</f>
        <v>398.65899999999999</v>
      </c>
      <c r="Z193" s="14">
        <f>INDEX(新属性投放!$F$42:$F$62,属性汇总!$S193)*$T193</f>
        <v>3586.85</v>
      </c>
      <c r="AA193" s="14">
        <f>ROUND(U193+($R193-INDEX(新属性投放!$B$42:$B$62,属性汇总!$S193))*属性汇总!X193,0)</f>
        <v>33677</v>
      </c>
      <c r="AB193" s="14">
        <f>ROUND(V193+($R193-INDEX(新属性投放!$B$42:$B$62,属性汇总!$S193))*属性汇总!Y193,0)</f>
        <v>16836</v>
      </c>
      <c r="AC193" s="14">
        <f>ROUND(W193+($R193-INDEX(新属性投放!$B$42:$B$62,属性汇总!$S193))*属性汇总!Z193,0)</f>
        <v>179665</v>
      </c>
    </row>
    <row r="194" spans="1:29" ht="16.5" x14ac:dyDescent="0.2">
      <c r="A194" s="13">
        <v>173</v>
      </c>
      <c r="B194" s="13">
        <v>18</v>
      </c>
      <c r="C194" s="14">
        <f>INDEX(新属性投放!$L$6:$L$10,属性汇总!$B$3)*INDEX(新属性投放!$Q$6:$Q$10,属性汇总!$D$3)</f>
        <v>1.1499999999999999</v>
      </c>
      <c r="D194" s="14">
        <f>INDEX(新属性投放!J$14:J$34,属性汇总!$B194)*$C194</f>
        <v>31892.834999999992</v>
      </c>
      <c r="E194" s="14">
        <f>INDEX(新属性投放!K$14:K$34,属性汇总!$B194)*$C194</f>
        <v>15924.567499999996</v>
      </c>
      <c r="F194" s="14">
        <f>INDEX(新属性投放!L$14:L$34,属性汇总!$B194)*$C194</f>
        <v>95793.50499999999</v>
      </c>
      <c r="G194" s="14">
        <f>INDEX(新属性投放!D$14:D$34,属性汇总!$B194)*$C194</f>
        <v>797.31799999999998</v>
      </c>
      <c r="H194" s="14">
        <f>INDEX(新属性投放!E$14:E$34,属性汇总!$B194)*$C194</f>
        <v>398.65899999999999</v>
      </c>
      <c r="I194" s="14">
        <f>INDEX(新属性投放!F$14:F$34,属性汇总!$B194)*$C194</f>
        <v>2391.9539999999997</v>
      </c>
      <c r="J194" s="14">
        <f>ROUND(D194+($A194-INDEX(新属性投放!$B$14:$B$34,属性汇总!$B194))*属性汇总!G194,0)</f>
        <v>34285</v>
      </c>
      <c r="K194" s="14">
        <f>ROUND(E194+($A194-INDEX(新属性投放!$B$14:$B$34,属性汇总!$B194))*属性汇总!H194,0)</f>
        <v>17121</v>
      </c>
      <c r="L194" s="14">
        <f>ROUND(F194+($A194-INDEX(新属性投放!$B$14:$B$34,属性汇总!$B194))*属性汇总!I194,0)</f>
        <v>102969</v>
      </c>
      <c r="R194" s="13">
        <v>173</v>
      </c>
      <c r="S194" s="13">
        <v>18</v>
      </c>
      <c r="T194" s="14">
        <f>INDEX(新属性投放!$L$6:$L$10,$S$3)*INDEX(新属性投放!$Q$6:$Q$10,$U$3)</f>
        <v>1.1499999999999999</v>
      </c>
      <c r="U194" s="14">
        <f>INDEX(新属性投放!J$42:J$62,属性汇总!$S194)*$T194</f>
        <v>32082.584999999992</v>
      </c>
      <c r="V194" s="14">
        <f>INDEX(新属性投放!K$42:K$62,属性汇总!$S194)*$T194</f>
        <v>16038.417499999996</v>
      </c>
      <c r="W194" s="14">
        <f>INDEX(新属性投放!L$42:L$62,属性汇总!$S194)*$T194</f>
        <v>172490.8</v>
      </c>
      <c r="X194" s="14">
        <f>INDEX(新属性投放!$D$42:$D$62,属性汇总!$S194)*$T194</f>
        <v>797.31799999999998</v>
      </c>
      <c r="Y194" s="14">
        <f>INDEX(新属性投放!$E$42:$E$62,属性汇总!$S194)*$T194</f>
        <v>398.65899999999999</v>
      </c>
      <c r="Z194" s="14">
        <f>INDEX(新属性投放!$F$42:$F$62,属性汇总!$S194)*$T194</f>
        <v>3586.85</v>
      </c>
      <c r="AA194" s="14">
        <f>ROUND(U194+($R194-INDEX(新属性投放!$B$42:$B$62,属性汇总!$S194))*属性汇总!X194,0)</f>
        <v>34475</v>
      </c>
      <c r="AB194" s="14">
        <f>ROUND(V194+($R194-INDEX(新属性投放!$B$42:$B$62,属性汇总!$S194))*属性汇总!Y194,0)</f>
        <v>17234</v>
      </c>
      <c r="AC194" s="14">
        <f>ROUND(W194+($R194-INDEX(新属性投放!$B$42:$B$62,属性汇总!$S194))*属性汇总!Z194,0)</f>
        <v>183251</v>
      </c>
    </row>
    <row r="195" spans="1:29" ht="16.5" x14ac:dyDescent="0.2">
      <c r="A195" s="13">
        <v>174</v>
      </c>
      <c r="B195" s="13">
        <v>18</v>
      </c>
      <c r="C195" s="14">
        <f>INDEX(新属性投放!$L$6:$L$10,属性汇总!$B$3)*INDEX(新属性投放!$Q$6:$Q$10,属性汇总!$D$3)</f>
        <v>1.1499999999999999</v>
      </c>
      <c r="D195" s="14">
        <f>INDEX(新属性投放!J$14:J$34,属性汇总!$B195)*$C195</f>
        <v>31892.834999999992</v>
      </c>
      <c r="E195" s="14">
        <f>INDEX(新属性投放!K$14:K$34,属性汇总!$B195)*$C195</f>
        <v>15924.567499999996</v>
      </c>
      <c r="F195" s="14">
        <f>INDEX(新属性投放!L$14:L$34,属性汇总!$B195)*$C195</f>
        <v>95793.50499999999</v>
      </c>
      <c r="G195" s="14">
        <f>INDEX(新属性投放!D$14:D$34,属性汇总!$B195)*$C195</f>
        <v>797.31799999999998</v>
      </c>
      <c r="H195" s="14">
        <f>INDEX(新属性投放!E$14:E$34,属性汇总!$B195)*$C195</f>
        <v>398.65899999999999</v>
      </c>
      <c r="I195" s="14">
        <f>INDEX(新属性投放!F$14:F$34,属性汇总!$B195)*$C195</f>
        <v>2391.9539999999997</v>
      </c>
      <c r="J195" s="14">
        <f>ROUND(D195+($A195-INDEX(新属性投放!$B$14:$B$34,属性汇总!$B195))*属性汇总!G195,0)</f>
        <v>35082</v>
      </c>
      <c r="K195" s="14">
        <f>ROUND(E195+($A195-INDEX(新属性投放!$B$14:$B$34,属性汇总!$B195))*属性汇总!H195,0)</f>
        <v>17519</v>
      </c>
      <c r="L195" s="14">
        <f>ROUND(F195+($A195-INDEX(新属性投放!$B$14:$B$34,属性汇总!$B195))*属性汇总!I195,0)</f>
        <v>105361</v>
      </c>
      <c r="R195" s="13">
        <v>174</v>
      </c>
      <c r="S195" s="13">
        <v>18</v>
      </c>
      <c r="T195" s="14">
        <f>INDEX(新属性投放!$L$6:$L$10,$S$3)*INDEX(新属性投放!$Q$6:$Q$10,$U$3)</f>
        <v>1.1499999999999999</v>
      </c>
      <c r="U195" s="14">
        <f>INDEX(新属性投放!J$42:J$62,属性汇总!$S195)*$T195</f>
        <v>32082.584999999992</v>
      </c>
      <c r="V195" s="14">
        <f>INDEX(新属性投放!K$42:K$62,属性汇总!$S195)*$T195</f>
        <v>16038.417499999996</v>
      </c>
      <c r="W195" s="14">
        <f>INDEX(新属性投放!L$42:L$62,属性汇总!$S195)*$T195</f>
        <v>172490.8</v>
      </c>
      <c r="X195" s="14">
        <f>INDEX(新属性投放!$D$42:$D$62,属性汇总!$S195)*$T195</f>
        <v>797.31799999999998</v>
      </c>
      <c r="Y195" s="14">
        <f>INDEX(新属性投放!$E$42:$E$62,属性汇总!$S195)*$T195</f>
        <v>398.65899999999999</v>
      </c>
      <c r="Z195" s="14">
        <f>INDEX(新属性投放!$F$42:$F$62,属性汇总!$S195)*$T195</f>
        <v>3586.85</v>
      </c>
      <c r="AA195" s="14">
        <f>ROUND(U195+($R195-INDEX(新属性投放!$B$42:$B$62,属性汇总!$S195))*属性汇总!X195,0)</f>
        <v>35272</v>
      </c>
      <c r="AB195" s="14">
        <f>ROUND(V195+($R195-INDEX(新属性投放!$B$42:$B$62,属性汇总!$S195))*属性汇总!Y195,0)</f>
        <v>17633</v>
      </c>
      <c r="AC195" s="14">
        <f>ROUND(W195+($R195-INDEX(新属性投放!$B$42:$B$62,属性汇总!$S195))*属性汇总!Z195,0)</f>
        <v>186838</v>
      </c>
    </row>
    <row r="196" spans="1:29" ht="16.5" x14ac:dyDescent="0.2">
      <c r="A196" s="13">
        <v>175</v>
      </c>
      <c r="B196" s="13">
        <v>18</v>
      </c>
      <c r="C196" s="14">
        <f>INDEX(新属性投放!$L$6:$L$10,属性汇总!$B$3)*INDEX(新属性投放!$Q$6:$Q$10,属性汇总!$D$3)</f>
        <v>1.1499999999999999</v>
      </c>
      <c r="D196" s="14">
        <f>INDEX(新属性投放!J$14:J$34,属性汇总!$B196)*$C196</f>
        <v>31892.834999999992</v>
      </c>
      <c r="E196" s="14">
        <f>INDEX(新属性投放!K$14:K$34,属性汇总!$B196)*$C196</f>
        <v>15924.567499999996</v>
      </c>
      <c r="F196" s="14">
        <f>INDEX(新属性投放!L$14:L$34,属性汇总!$B196)*$C196</f>
        <v>95793.50499999999</v>
      </c>
      <c r="G196" s="14">
        <f>INDEX(新属性投放!D$14:D$34,属性汇总!$B196)*$C196</f>
        <v>797.31799999999998</v>
      </c>
      <c r="H196" s="14">
        <f>INDEX(新属性投放!E$14:E$34,属性汇总!$B196)*$C196</f>
        <v>398.65899999999999</v>
      </c>
      <c r="I196" s="14">
        <f>INDEX(新属性投放!F$14:F$34,属性汇总!$B196)*$C196</f>
        <v>2391.9539999999997</v>
      </c>
      <c r="J196" s="14">
        <f>ROUND(D196+($A196-INDEX(新属性投放!$B$14:$B$34,属性汇总!$B196))*属性汇总!G196,0)</f>
        <v>35879</v>
      </c>
      <c r="K196" s="14">
        <f>ROUND(E196+($A196-INDEX(新属性投放!$B$14:$B$34,属性汇总!$B196))*属性汇总!H196,0)</f>
        <v>17918</v>
      </c>
      <c r="L196" s="14">
        <f>ROUND(F196+($A196-INDEX(新属性投放!$B$14:$B$34,属性汇总!$B196))*属性汇总!I196,0)</f>
        <v>107753</v>
      </c>
      <c r="R196" s="13">
        <v>175</v>
      </c>
      <c r="S196" s="13">
        <v>18</v>
      </c>
      <c r="T196" s="14">
        <f>INDEX(新属性投放!$L$6:$L$10,$S$3)*INDEX(新属性投放!$Q$6:$Q$10,$U$3)</f>
        <v>1.1499999999999999</v>
      </c>
      <c r="U196" s="14">
        <f>INDEX(新属性投放!J$42:J$62,属性汇总!$S196)*$T196</f>
        <v>32082.584999999992</v>
      </c>
      <c r="V196" s="14">
        <f>INDEX(新属性投放!K$42:K$62,属性汇总!$S196)*$T196</f>
        <v>16038.417499999996</v>
      </c>
      <c r="W196" s="14">
        <f>INDEX(新属性投放!L$42:L$62,属性汇总!$S196)*$T196</f>
        <v>172490.8</v>
      </c>
      <c r="X196" s="14">
        <f>INDEX(新属性投放!$D$42:$D$62,属性汇总!$S196)*$T196</f>
        <v>797.31799999999998</v>
      </c>
      <c r="Y196" s="14">
        <f>INDEX(新属性投放!$E$42:$E$62,属性汇总!$S196)*$T196</f>
        <v>398.65899999999999</v>
      </c>
      <c r="Z196" s="14">
        <f>INDEX(新属性投放!$F$42:$F$62,属性汇总!$S196)*$T196</f>
        <v>3586.85</v>
      </c>
      <c r="AA196" s="14">
        <f>ROUND(U196+($R196-INDEX(新属性投放!$B$42:$B$62,属性汇总!$S196))*属性汇总!X196,0)</f>
        <v>36069</v>
      </c>
      <c r="AB196" s="14">
        <f>ROUND(V196+($R196-INDEX(新属性投放!$B$42:$B$62,属性汇总!$S196))*属性汇总!Y196,0)</f>
        <v>18032</v>
      </c>
      <c r="AC196" s="14">
        <f>ROUND(W196+($R196-INDEX(新属性投放!$B$42:$B$62,属性汇总!$S196))*属性汇总!Z196,0)</f>
        <v>190425</v>
      </c>
    </row>
    <row r="197" spans="1:29" ht="16.5" x14ac:dyDescent="0.2">
      <c r="A197" s="13">
        <v>176</v>
      </c>
      <c r="B197" s="13">
        <v>18</v>
      </c>
      <c r="C197" s="14">
        <f>INDEX(新属性投放!$L$6:$L$10,属性汇总!$B$3)*INDEX(新属性投放!$Q$6:$Q$10,属性汇总!$D$3)</f>
        <v>1.1499999999999999</v>
      </c>
      <c r="D197" s="14">
        <f>INDEX(新属性投放!J$14:J$34,属性汇总!$B197)*$C197</f>
        <v>31892.834999999992</v>
      </c>
      <c r="E197" s="14">
        <f>INDEX(新属性投放!K$14:K$34,属性汇总!$B197)*$C197</f>
        <v>15924.567499999996</v>
      </c>
      <c r="F197" s="14">
        <f>INDEX(新属性投放!L$14:L$34,属性汇总!$B197)*$C197</f>
        <v>95793.50499999999</v>
      </c>
      <c r="G197" s="14">
        <f>INDEX(新属性投放!D$14:D$34,属性汇总!$B197)*$C197</f>
        <v>797.31799999999998</v>
      </c>
      <c r="H197" s="14">
        <f>INDEX(新属性投放!E$14:E$34,属性汇总!$B197)*$C197</f>
        <v>398.65899999999999</v>
      </c>
      <c r="I197" s="14">
        <f>INDEX(新属性投放!F$14:F$34,属性汇总!$B197)*$C197</f>
        <v>2391.9539999999997</v>
      </c>
      <c r="J197" s="14">
        <f>ROUND(D197+($A197-INDEX(新属性投放!$B$14:$B$34,属性汇总!$B197))*属性汇总!G197,0)</f>
        <v>36677</v>
      </c>
      <c r="K197" s="14">
        <f>ROUND(E197+($A197-INDEX(新属性投放!$B$14:$B$34,属性汇总!$B197))*属性汇总!H197,0)</f>
        <v>18317</v>
      </c>
      <c r="L197" s="14">
        <f>ROUND(F197+($A197-INDEX(新属性投放!$B$14:$B$34,属性汇总!$B197))*属性汇总!I197,0)</f>
        <v>110145</v>
      </c>
      <c r="R197" s="13">
        <v>176</v>
      </c>
      <c r="S197" s="13">
        <v>18</v>
      </c>
      <c r="T197" s="14">
        <f>INDEX(新属性投放!$L$6:$L$10,$S$3)*INDEX(新属性投放!$Q$6:$Q$10,$U$3)</f>
        <v>1.1499999999999999</v>
      </c>
      <c r="U197" s="14">
        <f>INDEX(新属性投放!J$42:J$62,属性汇总!$S197)*$T197</f>
        <v>32082.584999999992</v>
      </c>
      <c r="V197" s="14">
        <f>INDEX(新属性投放!K$42:K$62,属性汇总!$S197)*$T197</f>
        <v>16038.417499999996</v>
      </c>
      <c r="W197" s="14">
        <f>INDEX(新属性投放!L$42:L$62,属性汇总!$S197)*$T197</f>
        <v>172490.8</v>
      </c>
      <c r="X197" s="14">
        <f>INDEX(新属性投放!$D$42:$D$62,属性汇总!$S197)*$T197</f>
        <v>797.31799999999998</v>
      </c>
      <c r="Y197" s="14">
        <f>INDEX(新属性投放!$E$42:$E$62,属性汇总!$S197)*$T197</f>
        <v>398.65899999999999</v>
      </c>
      <c r="Z197" s="14">
        <f>INDEX(新属性投放!$F$42:$F$62,属性汇总!$S197)*$T197</f>
        <v>3586.85</v>
      </c>
      <c r="AA197" s="14">
        <f>ROUND(U197+($R197-INDEX(新属性投放!$B$42:$B$62,属性汇总!$S197))*属性汇总!X197,0)</f>
        <v>36866</v>
      </c>
      <c r="AB197" s="14">
        <f>ROUND(V197+($R197-INDEX(新属性投放!$B$42:$B$62,属性汇总!$S197))*属性汇总!Y197,0)</f>
        <v>18430</v>
      </c>
      <c r="AC197" s="14">
        <f>ROUND(W197+($R197-INDEX(新属性投放!$B$42:$B$62,属性汇总!$S197))*属性汇总!Z197,0)</f>
        <v>194012</v>
      </c>
    </row>
    <row r="198" spans="1:29" ht="16.5" x14ac:dyDescent="0.2">
      <c r="A198" s="13">
        <v>177</v>
      </c>
      <c r="B198" s="13">
        <v>18</v>
      </c>
      <c r="C198" s="14">
        <f>INDEX(新属性投放!$L$6:$L$10,属性汇总!$B$3)*INDEX(新属性投放!$Q$6:$Q$10,属性汇总!$D$3)</f>
        <v>1.1499999999999999</v>
      </c>
      <c r="D198" s="14">
        <f>INDEX(新属性投放!J$14:J$34,属性汇总!$B198)*$C198</f>
        <v>31892.834999999992</v>
      </c>
      <c r="E198" s="14">
        <f>INDEX(新属性投放!K$14:K$34,属性汇总!$B198)*$C198</f>
        <v>15924.567499999996</v>
      </c>
      <c r="F198" s="14">
        <f>INDEX(新属性投放!L$14:L$34,属性汇总!$B198)*$C198</f>
        <v>95793.50499999999</v>
      </c>
      <c r="G198" s="14">
        <f>INDEX(新属性投放!D$14:D$34,属性汇总!$B198)*$C198</f>
        <v>797.31799999999998</v>
      </c>
      <c r="H198" s="14">
        <f>INDEX(新属性投放!E$14:E$34,属性汇总!$B198)*$C198</f>
        <v>398.65899999999999</v>
      </c>
      <c r="I198" s="14">
        <f>INDEX(新属性投放!F$14:F$34,属性汇总!$B198)*$C198</f>
        <v>2391.9539999999997</v>
      </c>
      <c r="J198" s="14">
        <f>ROUND(D198+($A198-INDEX(新属性投放!$B$14:$B$34,属性汇总!$B198))*属性汇总!G198,0)</f>
        <v>37474</v>
      </c>
      <c r="K198" s="14">
        <f>ROUND(E198+($A198-INDEX(新属性投放!$B$14:$B$34,属性汇总!$B198))*属性汇总!H198,0)</f>
        <v>18715</v>
      </c>
      <c r="L198" s="14">
        <f>ROUND(F198+($A198-INDEX(新属性投放!$B$14:$B$34,属性汇总!$B198))*属性汇总!I198,0)</f>
        <v>112537</v>
      </c>
      <c r="R198" s="13">
        <v>177</v>
      </c>
      <c r="S198" s="13">
        <v>18</v>
      </c>
      <c r="T198" s="14">
        <f>INDEX(新属性投放!$L$6:$L$10,$S$3)*INDEX(新属性投放!$Q$6:$Q$10,$U$3)</f>
        <v>1.1499999999999999</v>
      </c>
      <c r="U198" s="14">
        <f>INDEX(新属性投放!J$42:J$62,属性汇总!$S198)*$T198</f>
        <v>32082.584999999992</v>
      </c>
      <c r="V198" s="14">
        <f>INDEX(新属性投放!K$42:K$62,属性汇总!$S198)*$T198</f>
        <v>16038.417499999996</v>
      </c>
      <c r="W198" s="14">
        <f>INDEX(新属性投放!L$42:L$62,属性汇总!$S198)*$T198</f>
        <v>172490.8</v>
      </c>
      <c r="X198" s="14">
        <f>INDEX(新属性投放!$D$42:$D$62,属性汇总!$S198)*$T198</f>
        <v>797.31799999999998</v>
      </c>
      <c r="Y198" s="14">
        <f>INDEX(新属性投放!$E$42:$E$62,属性汇总!$S198)*$T198</f>
        <v>398.65899999999999</v>
      </c>
      <c r="Z198" s="14">
        <f>INDEX(新属性投放!$F$42:$F$62,属性汇总!$S198)*$T198</f>
        <v>3586.85</v>
      </c>
      <c r="AA198" s="14">
        <f>ROUND(U198+($R198-INDEX(新属性投放!$B$42:$B$62,属性汇总!$S198))*属性汇总!X198,0)</f>
        <v>37664</v>
      </c>
      <c r="AB198" s="14">
        <f>ROUND(V198+($R198-INDEX(新属性投放!$B$42:$B$62,属性汇总!$S198))*属性汇总!Y198,0)</f>
        <v>18829</v>
      </c>
      <c r="AC198" s="14">
        <f>ROUND(W198+($R198-INDEX(新属性投放!$B$42:$B$62,属性汇总!$S198))*属性汇总!Z198,0)</f>
        <v>197599</v>
      </c>
    </row>
    <row r="199" spans="1:29" ht="16.5" x14ac:dyDescent="0.2">
      <c r="A199" s="13">
        <v>178</v>
      </c>
      <c r="B199" s="13">
        <v>18</v>
      </c>
      <c r="C199" s="14">
        <f>INDEX(新属性投放!$L$6:$L$10,属性汇总!$B$3)*INDEX(新属性投放!$Q$6:$Q$10,属性汇总!$D$3)</f>
        <v>1.1499999999999999</v>
      </c>
      <c r="D199" s="14">
        <f>INDEX(新属性投放!J$14:J$34,属性汇总!$B199)*$C199</f>
        <v>31892.834999999992</v>
      </c>
      <c r="E199" s="14">
        <f>INDEX(新属性投放!K$14:K$34,属性汇总!$B199)*$C199</f>
        <v>15924.567499999996</v>
      </c>
      <c r="F199" s="14">
        <f>INDEX(新属性投放!L$14:L$34,属性汇总!$B199)*$C199</f>
        <v>95793.50499999999</v>
      </c>
      <c r="G199" s="14">
        <f>INDEX(新属性投放!D$14:D$34,属性汇总!$B199)*$C199</f>
        <v>797.31799999999998</v>
      </c>
      <c r="H199" s="14">
        <f>INDEX(新属性投放!E$14:E$34,属性汇总!$B199)*$C199</f>
        <v>398.65899999999999</v>
      </c>
      <c r="I199" s="14">
        <f>INDEX(新属性投放!F$14:F$34,属性汇总!$B199)*$C199</f>
        <v>2391.9539999999997</v>
      </c>
      <c r="J199" s="14">
        <f>ROUND(D199+($A199-INDEX(新属性投放!$B$14:$B$34,属性汇总!$B199))*属性汇总!G199,0)</f>
        <v>38271</v>
      </c>
      <c r="K199" s="14">
        <f>ROUND(E199+($A199-INDEX(新属性投放!$B$14:$B$34,属性汇总!$B199))*属性汇总!H199,0)</f>
        <v>19114</v>
      </c>
      <c r="L199" s="14">
        <f>ROUND(F199+($A199-INDEX(新属性投放!$B$14:$B$34,属性汇总!$B199))*属性汇总!I199,0)</f>
        <v>114929</v>
      </c>
      <c r="R199" s="13">
        <v>178</v>
      </c>
      <c r="S199" s="13">
        <v>18</v>
      </c>
      <c r="T199" s="14">
        <f>INDEX(新属性投放!$L$6:$L$10,$S$3)*INDEX(新属性投放!$Q$6:$Q$10,$U$3)</f>
        <v>1.1499999999999999</v>
      </c>
      <c r="U199" s="14">
        <f>INDEX(新属性投放!J$42:J$62,属性汇总!$S199)*$T199</f>
        <v>32082.584999999992</v>
      </c>
      <c r="V199" s="14">
        <f>INDEX(新属性投放!K$42:K$62,属性汇总!$S199)*$T199</f>
        <v>16038.417499999996</v>
      </c>
      <c r="W199" s="14">
        <f>INDEX(新属性投放!L$42:L$62,属性汇总!$S199)*$T199</f>
        <v>172490.8</v>
      </c>
      <c r="X199" s="14">
        <f>INDEX(新属性投放!$D$42:$D$62,属性汇总!$S199)*$T199</f>
        <v>797.31799999999998</v>
      </c>
      <c r="Y199" s="14">
        <f>INDEX(新属性投放!$E$42:$E$62,属性汇总!$S199)*$T199</f>
        <v>398.65899999999999</v>
      </c>
      <c r="Z199" s="14">
        <f>INDEX(新属性投放!$F$42:$F$62,属性汇总!$S199)*$T199</f>
        <v>3586.85</v>
      </c>
      <c r="AA199" s="14">
        <f>ROUND(U199+($R199-INDEX(新属性投放!$B$42:$B$62,属性汇总!$S199))*属性汇总!X199,0)</f>
        <v>38461</v>
      </c>
      <c r="AB199" s="14">
        <f>ROUND(V199+($R199-INDEX(新属性投放!$B$42:$B$62,属性汇总!$S199))*属性汇总!Y199,0)</f>
        <v>19228</v>
      </c>
      <c r="AC199" s="14">
        <f>ROUND(W199+($R199-INDEX(新属性投放!$B$42:$B$62,属性汇总!$S199))*属性汇总!Z199,0)</f>
        <v>201186</v>
      </c>
    </row>
    <row r="200" spans="1:29" ht="16.5" x14ac:dyDescent="0.2">
      <c r="A200" s="13">
        <v>179</v>
      </c>
      <c r="B200" s="13">
        <v>18</v>
      </c>
      <c r="C200" s="14">
        <f>INDEX(新属性投放!$L$6:$L$10,属性汇总!$B$3)*INDEX(新属性投放!$Q$6:$Q$10,属性汇总!$D$3)</f>
        <v>1.1499999999999999</v>
      </c>
      <c r="D200" s="14">
        <f>INDEX(新属性投放!J$14:J$34,属性汇总!$B200)*$C200</f>
        <v>31892.834999999992</v>
      </c>
      <c r="E200" s="14">
        <f>INDEX(新属性投放!K$14:K$34,属性汇总!$B200)*$C200</f>
        <v>15924.567499999996</v>
      </c>
      <c r="F200" s="14">
        <f>INDEX(新属性投放!L$14:L$34,属性汇总!$B200)*$C200</f>
        <v>95793.50499999999</v>
      </c>
      <c r="G200" s="14">
        <f>INDEX(新属性投放!D$14:D$34,属性汇总!$B200)*$C200</f>
        <v>797.31799999999998</v>
      </c>
      <c r="H200" s="14">
        <f>INDEX(新属性投放!E$14:E$34,属性汇总!$B200)*$C200</f>
        <v>398.65899999999999</v>
      </c>
      <c r="I200" s="14">
        <f>INDEX(新属性投放!F$14:F$34,属性汇总!$B200)*$C200</f>
        <v>2391.9539999999997</v>
      </c>
      <c r="J200" s="14">
        <f>ROUND(D200+($A200-INDEX(新属性投放!$B$14:$B$34,属性汇总!$B200))*属性汇总!G200,0)</f>
        <v>39069</v>
      </c>
      <c r="K200" s="14">
        <f>ROUND(E200+($A200-INDEX(新属性投放!$B$14:$B$34,属性汇总!$B200))*属性汇总!H200,0)</f>
        <v>19512</v>
      </c>
      <c r="L200" s="14">
        <f>ROUND(F200+($A200-INDEX(新属性投放!$B$14:$B$34,属性汇总!$B200))*属性汇总!I200,0)</f>
        <v>117321</v>
      </c>
      <c r="R200" s="13">
        <v>179</v>
      </c>
      <c r="S200" s="13">
        <v>18</v>
      </c>
      <c r="T200" s="14">
        <f>INDEX(新属性投放!$L$6:$L$10,$S$3)*INDEX(新属性投放!$Q$6:$Q$10,$U$3)</f>
        <v>1.1499999999999999</v>
      </c>
      <c r="U200" s="14">
        <f>INDEX(新属性投放!J$42:J$62,属性汇总!$S200)*$T200</f>
        <v>32082.584999999992</v>
      </c>
      <c r="V200" s="14">
        <f>INDEX(新属性投放!K$42:K$62,属性汇总!$S200)*$T200</f>
        <v>16038.417499999996</v>
      </c>
      <c r="W200" s="14">
        <f>INDEX(新属性投放!L$42:L$62,属性汇总!$S200)*$T200</f>
        <v>172490.8</v>
      </c>
      <c r="X200" s="14">
        <f>INDEX(新属性投放!$D$42:$D$62,属性汇总!$S200)*$T200</f>
        <v>797.31799999999998</v>
      </c>
      <c r="Y200" s="14">
        <f>INDEX(新属性投放!$E$42:$E$62,属性汇总!$S200)*$T200</f>
        <v>398.65899999999999</v>
      </c>
      <c r="Z200" s="14">
        <f>INDEX(新属性投放!$F$42:$F$62,属性汇总!$S200)*$T200</f>
        <v>3586.85</v>
      </c>
      <c r="AA200" s="14">
        <f>ROUND(U200+($R200-INDEX(新属性投放!$B$42:$B$62,属性汇总!$S200))*属性汇总!X200,0)</f>
        <v>39258</v>
      </c>
      <c r="AB200" s="14">
        <f>ROUND(V200+($R200-INDEX(新属性投放!$B$42:$B$62,属性汇总!$S200))*属性汇总!Y200,0)</f>
        <v>19626</v>
      </c>
      <c r="AC200" s="14">
        <f>ROUND(W200+($R200-INDEX(新属性投放!$B$42:$B$62,属性汇总!$S200))*属性汇总!Z200,0)</f>
        <v>204772</v>
      </c>
    </row>
    <row r="201" spans="1:29" ht="16.5" x14ac:dyDescent="0.2">
      <c r="A201" s="13">
        <v>180</v>
      </c>
      <c r="B201" s="13">
        <v>18</v>
      </c>
      <c r="C201" s="14">
        <f>INDEX(新属性投放!$L$6:$L$10,属性汇总!$B$3)*INDEX(新属性投放!$Q$6:$Q$10,属性汇总!$D$3)</f>
        <v>1.1499999999999999</v>
      </c>
      <c r="D201" s="14">
        <f>INDEX(新属性投放!J$14:J$34,属性汇总!$B201)*$C201</f>
        <v>31892.834999999992</v>
      </c>
      <c r="E201" s="14">
        <f>INDEX(新属性投放!K$14:K$34,属性汇总!$B201)*$C201</f>
        <v>15924.567499999996</v>
      </c>
      <c r="F201" s="14">
        <f>INDEX(新属性投放!L$14:L$34,属性汇总!$B201)*$C201</f>
        <v>95793.50499999999</v>
      </c>
      <c r="G201" s="14">
        <f>INDEX(新属性投放!D$14:D$34,属性汇总!$B201)*$C201</f>
        <v>797.31799999999998</v>
      </c>
      <c r="H201" s="14">
        <f>INDEX(新属性投放!E$14:E$34,属性汇总!$B201)*$C201</f>
        <v>398.65899999999999</v>
      </c>
      <c r="I201" s="14">
        <f>INDEX(新属性投放!F$14:F$34,属性汇总!$B201)*$C201</f>
        <v>2391.9539999999997</v>
      </c>
      <c r="J201" s="14">
        <f>ROUND(D201+($A201-INDEX(新属性投放!$B$14:$B$34,属性汇总!$B201))*属性汇总!G201,0)</f>
        <v>39866</v>
      </c>
      <c r="K201" s="14">
        <f>ROUND(E201+($A201-INDEX(新属性投放!$B$14:$B$34,属性汇总!$B201))*属性汇总!H201,0)</f>
        <v>19911</v>
      </c>
      <c r="L201" s="14">
        <f>ROUND(F201+($A201-INDEX(新属性投放!$B$14:$B$34,属性汇总!$B201))*属性汇总!I201,0)</f>
        <v>119713</v>
      </c>
      <c r="R201" s="13">
        <v>180</v>
      </c>
      <c r="S201" s="13">
        <v>18</v>
      </c>
      <c r="T201" s="14">
        <f>INDEX(新属性投放!$L$6:$L$10,$S$3)*INDEX(新属性投放!$Q$6:$Q$10,$U$3)</f>
        <v>1.1499999999999999</v>
      </c>
      <c r="U201" s="14">
        <f>INDEX(新属性投放!J$42:J$62,属性汇总!$S201)*$T201</f>
        <v>32082.584999999992</v>
      </c>
      <c r="V201" s="14">
        <f>INDEX(新属性投放!K$42:K$62,属性汇总!$S201)*$T201</f>
        <v>16038.417499999996</v>
      </c>
      <c r="W201" s="14">
        <f>INDEX(新属性投放!L$42:L$62,属性汇总!$S201)*$T201</f>
        <v>172490.8</v>
      </c>
      <c r="X201" s="14">
        <f>INDEX(新属性投放!$D$42:$D$62,属性汇总!$S201)*$T201</f>
        <v>797.31799999999998</v>
      </c>
      <c r="Y201" s="14">
        <f>INDEX(新属性投放!$E$42:$E$62,属性汇总!$S201)*$T201</f>
        <v>398.65899999999999</v>
      </c>
      <c r="Z201" s="14">
        <f>INDEX(新属性投放!$F$42:$F$62,属性汇总!$S201)*$T201</f>
        <v>3586.85</v>
      </c>
      <c r="AA201" s="14">
        <f>ROUND(U201+($R201-INDEX(新属性投放!$B$42:$B$62,属性汇总!$S201))*属性汇总!X201,0)</f>
        <v>40056</v>
      </c>
      <c r="AB201" s="14">
        <f>ROUND(V201+($R201-INDEX(新属性投放!$B$42:$B$62,属性汇总!$S201))*属性汇总!Y201,0)</f>
        <v>20025</v>
      </c>
      <c r="AC201" s="14">
        <f>ROUND(W201+($R201-INDEX(新属性投放!$B$42:$B$62,属性汇总!$S201))*属性汇总!Z201,0)</f>
        <v>208359</v>
      </c>
    </row>
    <row r="202" spans="1:29" s="37" customFormat="1" ht="16.5" x14ac:dyDescent="0.2">
      <c r="A202" s="13">
        <v>180</v>
      </c>
      <c r="B202" s="13">
        <v>19</v>
      </c>
      <c r="C202" s="14">
        <f>INDEX(新属性投放!$L$6:$L$10,属性汇总!$B$3)*INDEX(新属性投放!$Q$6:$Q$10,属性汇总!$D$3)</f>
        <v>1.1499999999999999</v>
      </c>
      <c r="D202" s="14">
        <f>INDEX(新属性投放!J$14:J$34,属性汇总!$B202)*$C202</f>
        <v>41858.964999999989</v>
      </c>
      <c r="E202" s="14">
        <f>INDEX(新属性投放!K$14:K$34,属性汇总!$B202)*$C202</f>
        <v>20908.207499999993</v>
      </c>
      <c r="F202" s="14">
        <f>INDEX(新属性投放!L$14:L$34,属性汇总!$B202)*$C202</f>
        <v>125691.89499999997</v>
      </c>
      <c r="G202" s="14">
        <f>INDEX(新属性投放!D$14:D$34,属性汇总!$B202)*$C202</f>
        <v>1046.4769999999999</v>
      </c>
      <c r="H202" s="14">
        <f>INDEX(新属性投放!E$14:E$34,属性汇总!$B202)*$C202</f>
        <v>523.23849999999993</v>
      </c>
      <c r="I202" s="14">
        <f>INDEX(新属性投放!F$14:F$34,属性汇总!$B202)*$C202</f>
        <v>3139.431</v>
      </c>
      <c r="J202" s="14">
        <f>ROUND(D202+($A202-INDEX(新属性投放!$B$14:$B$34,属性汇总!$B202))*属性汇总!G202,0)</f>
        <v>41859</v>
      </c>
      <c r="K202" s="14">
        <f>ROUND(E202+($A202-INDEX(新属性投放!$B$14:$B$34,属性汇总!$B202))*属性汇总!H202,0)</f>
        <v>20908</v>
      </c>
      <c r="L202" s="14">
        <f>ROUND(F202+($A202-INDEX(新属性投放!$B$14:$B$34,属性汇总!$B202))*属性汇总!I202,0)</f>
        <v>125692</v>
      </c>
      <c r="R202" s="13">
        <v>180</v>
      </c>
      <c r="S202" s="13">
        <v>19</v>
      </c>
      <c r="T202" s="14">
        <f>INDEX(新属性投放!$L$6:$L$10,$S$3)*INDEX(新属性投放!$Q$6:$Q$10,$U$3)</f>
        <v>1.1499999999999999</v>
      </c>
      <c r="U202" s="14">
        <f>INDEX(新属性投放!J$42:J$62,属性汇总!$S202)*$T202</f>
        <v>42048.714999999989</v>
      </c>
      <c r="V202" s="14">
        <f>INDEX(新属性投放!K$42:K$62,属性汇总!$S202)*$T202</f>
        <v>21022.057499999992</v>
      </c>
      <c r="W202" s="14">
        <f>INDEX(新属性投放!L$42:L$62,属性汇总!$S202)*$T202</f>
        <v>226295.84999999998</v>
      </c>
      <c r="X202" s="14">
        <f>INDEX(新属性投放!$D$42:$D$62,属性汇总!$S202)*$T202</f>
        <v>1046.4769999999999</v>
      </c>
      <c r="Y202" s="14">
        <f>INDEX(新属性投放!$E$42:$E$62,属性汇总!$S202)*$T202</f>
        <v>523.23849999999993</v>
      </c>
      <c r="Z202" s="14">
        <f>INDEX(新属性投放!$F$42:$F$62,属性汇总!$S202)*$T202</f>
        <v>4708.0999999999995</v>
      </c>
      <c r="AA202" s="14">
        <f>ROUND(U202+($R202-INDEX(新属性投放!$B$42:$B$62,属性汇总!$S202))*属性汇总!X202,0)</f>
        <v>42049</v>
      </c>
      <c r="AB202" s="14">
        <f>ROUND(V202+($R202-INDEX(新属性投放!$B$42:$B$62,属性汇总!$S202))*属性汇总!Y202,0)</f>
        <v>21022</v>
      </c>
      <c r="AC202" s="14">
        <f>ROUND(W202+($R202-INDEX(新属性投放!$B$42:$B$62,属性汇总!$S202))*属性汇总!Z202,0)</f>
        <v>226296</v>
      </c>
    </row>
    <row r="203" spans="1:29" ht="16.5" x14ac:dyDescent="0.2">
      <c r="A203" s="13">
        <v>181</v>
      </c>
      <c r="B203" s="13">
        <v>19</v>
      </c>
      <c r="C203" s="14">
        <f>INDEX(新属性投放!$L$6:$L$10,属性汇总!$B$3)*INDEX(新属性投放!$Q$6:$Q$10,属性汇总!$D$3)</f>
        <v>1.1499999999999999</v>
      </c>
      <c r="D203" s="14">
        <f>INDEX(新属性投放!J$14:J$34,属性汇总!$B203)*$C203</f>
        <v>41858.964999999989</v>
      </c>
      <c r="E203" s="14">
        <f>INDEX(新属性投放!K$14:K$34,属性汇总!$B203)*$C203</f>
        <v>20908.207499999993</v>
      </c>
      <c r="F203" s="14">
        <f>INDEX(新属性投放!L$14:L$34,属性汇总!$B203)*$C203</f>
        <v>125691.89499999997</v>
      </c>
      <c r="G203" s="14">
        <f>INDEX(新属性投放!D$14:D$34,属性汇总!$B203)*$C203</f>
        <v>1046.4769999999999</v>
      </c>
      <c r="H203" s="14">
        <f>INDEX(新属性投放!E$14:E$34,属性汇总!$B203)*$C203</f>
        <v>523.23849999999993</v>
      </c>
      <c r="I203" s="14">
        <f>INDEX(新属性投放!F$14:F$34,属性汇总!$B203)*$C203</f>
        <v>3139.431</v>
      </c>
      <c r="J203" s="14">
        <f>ROUND(D203+($A203-INDEX(新属性投放!$B$14:$B$34,属性汇总!$B203))*属性汇总!G203,0)</f>
        <v>42905</v>
      </c>
      <c r="K203" s="14">
        <f>ROUND(E203+($A203-INDEX(新属性投放!$B$14:$B$34,属性汇总!$B203))*属性汇总!H203,0)</f>
        <v>21431</v>
      </c>
      <c r="L203" s="14">
        <f>ROUND(F203+($A203-INDEX(新属性投放!$B$14:$B$34,属性汇总!$B203))*属性汇总!I203,0)</f>
        <v>128831</v>
      </c>
      <c r="R203" s="13">
        <v>181</v>
      </c>
      <c r="S203" s="13">
        <v>19</v>
      </c>
      <c r="T203" s="14">
        <f>INDEX(新属性投放!$L$6:$L$10,$S$3)*INDEX(新属性投放!$Q$6:$Q$10,$U$3)</f>
        <v>1.1499999999999999</v>
      </c>
      <c r="U203" s="14">
        <f>INDEX(新属性投放!J$42:J$62,属性汇总!$S203)*$T203</f>
        <v>42048.714999999989</v>
      </c>
      <c r="V203" s="14">
        <f>INDEX(新属性投放!K$42:K$62,属性汇总!$S203)*$T203</f>
        <v>21022.057499999992</v>
      </c>
      <c r="W203" s="14">
        <f>INDEX(新属性投放!L$42:L$62,属性汇总!$S203)*$T203</f>
        <v>226295.84999999998</v>
      </c>
      <c r="X203" s="14">
        <f>INDEX(新属性投放!$D$42:$D$62,属性汇总!$S203)*$T203</f>
        <v>1046.4769999999999</v>
      </c>
      <c r="Y203" s="14">
        <f>INDEX(新属性投放!$E$42:$E$62,属性汇总!$S203)*$T203</f>
        <v>523.23849999999993</v>
      </c>
      <c r="Z203" s="14">
        <f>INDEX(新属性投放!$F$42:$F$62,属性汇总!$S203)*$T203</f>
        <v>4708.0999999999995</v>
      </c>
      <c r="AA203" s="14">
        <f>ROUND(U203+($R203-INDEX(新属性投放!$B$42:$B$62,属性汇总!$S203))*属性汇总!X203,0)</f>
        <v>43095</v>
      </c>
      <c r="AB203" s="14">
        <f>ROUND(V203+($R203-INDEX(新属性投放!$B$42:$B$62,属性汇总!$S203))*属性汇总!Y203,0)</f>
        <v>21545</v>
      </c>
      <c r="AC203" s="14">
        <f>ROUND(W203+($R203-INDEX(新属性投放!$B$42:$B$62,属性汇总!$S203))*属性汇总!Z203,0)</f>
        <v>231004</v>
      </c>
    </row>
    <row r="204" spans="1:29" ht="16.5" x14ac:dyDescent="0.2">
      <c r="A204" s="13">
        <v>182</v>
      </c>
      <c r="B204" s="13">
        <v>19</v>
      </c>
      <c r="C204" s="14">
        <f>INDEX(新属性投放!$L$6:$L$10,属性汇总!$B$3)*INDEX(新属性投放!$Q$6:$Q$10,属性汇总!$D$3)</f>
        <v>1.1499999999999999</v>
      </c>
      <c r="D204" s="14">
        <f>INDEX(新属性投放!J$14:J$34,属性汇总!$B204)*$C204</f>
        <v>41858.964999999989</v>
      </c>
      <c r="E204" s="14">
        <f>INDEX(新属性投放!K$14:K$34,属性汇总!$B204)*$C204</f>
        <v>20908.207499999993</v>
      </c>
      <c r="F204" s="14">
        <f>INDEX(新属性投放!L$14:L$34,属性汇总!$B204)*$C204</f>
        <v>125691.89499999997</v>
      </c>
      <c r="G204" s="14">
        <f>INDEX(新属性投放!D$14:D$34,属性汇总!$B204)*$C204</f>
        <v>1046.4769999999999</v>
      </c>
      <c r="H204" s="14">
        <f>INDEX(新属性投放!E$14:E$34,属性汇总!$B204)*$C204</f>
        <v>523.23849999999993</v>
      </c>
      <c r="I204" s="14">
        <f>INDEX(新属性投放!F$14:F$34,属性汇总!$B204)*$C204</f>
        <v>3139.431</v>
      </c>
      <c r="J204" s="14">
        <f>ROUND(D204+($A204-INDEX(新属性投放!$B$14:$B$34,属性汇总!$B204))*属性汇总!G204,0)</f>
        <v>43952</v>
      </c>
      <c r="K204" s="14">
        <f>ROUND(E204+($A204-INDEX(新属性投放!$B$14:$B$34,属性汇总!$B204))*属性汇总!H204,0)</f>
        <v>21955</v>
      </c>
      <c r="L204" s="14">
        <f>ROUND(F204+($A204-INDEX(新属性投放!$B$14:$B$34,属性汇总!$B204))*属性汇总!I204,0)</f>
        <v>131971</v>
      </c>
      <c r="R204" s="13">
        <v>182</v>
      </c>
      <c r="S204" s="13">
        <v>19</v>
      </c>
      <c r="T204" s="14">
        <f>INDEX(新属性投放!$L$6:$L$10,$S$3)*INDEX(新属性投放!$Q$6:$Q$10,$U$3)</f>
        <v>1.1499999999999999</v>
      </c>
      <c r="U204" s="14">
        <f>INDEX(新属性投放!J$42:J$62,属性汇总!$S204)*$T204</f>
        <v>42048.714999999989</v>
      </c>
      <c r="V204" s="14">
        <f>INDEX(新属性投放!K$42:K$62,属性汇总!$S204)*$T204</f>
        <v>21022.057499999992</v>
      </c>
      <c r="W204" s="14">
        <f>INDEX(新属性投放!L$42:L$62,属性汇总!$S204)*$T204</f>
        <v>226295.84999999998</v>
      </c>
      <c r="X204" s="14">
        <f>INDEX(新属性投放!$D$42:$D$62,属性汇总!$S204)*$T204</f>
        <v>1046.4769999999999</v>
      </c>
      <c r="Y204" s="14">
        <f>INDEX(新属性投放!$E$42:$E$62,属性汇总!$S204)*$T204</f>
        <v>523.23849999999993</v>
      </c>
      <c r="Z204" s="14">
        <f>INDEX(新属性投放!$F$42:$F$62,属性汇总!$S204)*$T204</f>
        <v>4708.0999999999995</v>
      </c>
      <c r="AA204" s="14">
        <f>ROUND(U204+($R204-INDEX(新属性投放!$B$42:$B$62,属性汇总!$S204))*属性汇总!X204,0)</f>
        <v>44142</v>
      </c>
      <c r="AB204" s="14">
        <f>ROUND(V204+($R204-INDEX(新属性投放!$B$42:$B$62,属性汇总!$S204))*属性汇总!Y204,0)</f>
        <v>22069</v>
      </c>
      <c r="AC204" s="14">
        <f>ROUND(W204+($R204-INDEX(新属性投放!$B$42:$B$62,属性汇总!$S204))*属性汇总!Z204,0)</f>
        <v>235712</v>
      </c>
    </row>
    <row r="205" spans="1:29" ht="16.5" x14ac:dyDescent="0.2">
      <c r="A205" s="13">
        <v>183</v>
      </c>
      <c r="B205" s="13">
        <v>19</v>
      </c>
      <c r="C205" s="14">
        <f>INDEX(新属性投放!$L$6:$L$10,属性汇总!$B$3)*INDEX(新属性投放!$Q$6:$Q$10,属性汇总!$D$3)</f>
        <v>1.1499999999999999</v>
      </c>
      <c r="D205" s="14">
        <f>INDEX(新属性投放!J$14:J$34,属性汇总!$B205)*$C205</f>
        <v>41858.964999999989</v>
      </c>
      <c r="E205" s="14">
        <f>INDEX(新属性投放!K$14:K$34,属性汇总!$B205)*$C205</f>
        <v>20908.207499999993</v>
      </c>
      <c r="F205" s="14">
        <f>INDEX(新属性投放!L$14:L$34,属性汇总!$B205)*$C205</f>
        <v>125691.89499999997</v>
      </c>
      <c r="G205" s="14">
        <f>INDEX(新属性投放!D$14:D$34,属性汇总!$B205)*$C205</f>
        <v>1046.4769999999999</v>
      </c>
      <c r="H205" s="14">
        <f>INDEX(新属性投放!E$14:E$34,属性汇总!$B205)*$C205</f>
        <v>523.23849999999993</v>
      </c>
      <c r="I205" s="14">
        <f>INDEX(新属性投放!F$14:F$34,属性汇总!$B205)*$C205</f>
        <v>3139.431</v>
      </c>
      <c r="J205" s="14">
        <f>ROUND(D205+($A205-INDEX(新属性投放!$B$14:$B$34,属性汇总!$B205))*属性汇总!G205,0)</f>
        <v>44998</v>
      </c>
      <c r="K205" s="14">
        <f>ROUND(E205+($A205-INDEX(新属性投放!$B$14:$B$34,属性汇总!$B205))*属性汇总!H205,0)</f>
        <v>22478</v>
      </c>
      <c r="L205" s="14">
        <f>ROUND(F205+($A205-INDEX(新属性投放!$B$14:$B$34,属性汇总!$B205))*属性汇总!I205,0)</f>
        <v>135110</v>
      </c>
      <c r="R205" s="13">
        <v>183</v>
      </c>
      <c r="S205" s="13">
        <v>19</v>
      </c>
      <c r="T205" s="14">
        <f>INDEX(新属性投放!$L$6:$L$10,$S$3)*INDEX(新属性投放!$Q$6:$Q$10,$U$3)</f>
        <v>1.1499999999999999</v>
      </c>
      <c r="U205" s="14">
        <f>INDEX(新属性投放!J$42:J$62,属性汇总!$S205)*$T205</f>
        <v>42048.714999999989</v>
      </c>
      <c r="V205" s="14">
        <f>INDEX(新属性投放!K$42:K$62,属性汇总!$S205)*$T205</f>
        <v>21022.057499999992</v>
      </c>
      <c r="W205" s="14">
        <f>INDEX(新属性投放!L$42:L$62,属性汇总!$S205)*$T205</f>
        <v>226295.84999999998</v>
      </c>
      <c r="X205" s="14">
        <f>INDEX(新属性投放!$D$42:$D$62,属性汇总!$S205)*$T205</f>
        <v>1046.4769999999999</v>
      </c>
      <c r="Y205" s="14">
        <f>INDEX(新属性投放!$E$42:$E$62,属性汇总!$S205)*$T205</f>
        <v>523.23849999999993</v>
      </c>
      <c r="Z205" s="14">
        <f>INDEX(新属性投放!$F$42:$F$62,属性汇总!$S205)*$T205</f>
        <v>4708.0999999999995</v>
      </c>
      <c r="AA205" s="14">
        <f>ROUND(U205+($R205-INDEX(新属性投放!$B$42:$B$62,属性汇总!$S205))*属性汇总!X205,0)</f>
        <v>45188</v>
      </c>
      <c r="AB205" s="14">
        <f>ROUND(V205+($R205-INDEX(新属性投放!$B$42:$B$62,属性汇总!$S205))*属性汇总!Y205,0)</f>
        <v>22592</v>
      </c>
      <c r="AC205" s="14">
        <f>ROUND(W205+($R205-INDEX(新属性投放!$B$42:$B$62,属性汇总!$S205))*属性汇总!Z205,0)</f>
        <v>240420</v>
      </c>
    </row>
    <row r="206" spans="1:29" ht="16.5" x14ac:dyDescent="0.2">
      <c r="A206" s="13">
        <v>184</v>
      </c>
      <c r="B206" s="13">
        <v>19</v>
      </c>
      <c r="C206" s="14">
        <f>INDEX(新属性投放!$L$6:$L$10,属性汇总!$B$3)*INDEX(新属性投放!$Q$6:$Q$10,属性汇总!$D$3)</f>
        <v>1.1499999999999999</v>
      </c>
      <c r="D206" s="14">
        <f>INDEX(新属性投放!J$14:J$34,属性汇总!$B206)*$C206</f>
        <v>41858.964999999989</v>
      </c>
      <c r="E206" s="14">
        <f>INDEX(新属性投放!K$14:K$34,属性汇总!$B206)*$C206</f>
        <v>20908.207499999993</v>
      </c>
      <c r="F206" s="14">
        <f>INDEX(新属性投放!L$14:L$34,属性汇总!$B206)*$C206</f>
        <v>125691.89499999997</v>
      </c>
      <c r="G206" s="14">
        <f>INDEX(新属性投放!D$14:D$34,属性汇总!$B206)*$C206</f>
        <v>1046.4769999999999</v>
      </c>
      <c r="H206" s="14">
        <f>INDEX(新属性投放!E$14:E$34,属性汇总!$B206)*$C206</f>
        <v>523.23849999999993</v>
      </c>
      <c r="I206" s="14">
        <f>INDEX(新属性投放!F$14:F$34,属性汇总!$B206)*$C206</f>
        <v>3139.431</v>
      </c>
      <c r="J206" s="14">
        <f>ROUND(D206+($A206-INDEX(新属性投放!$B$14:$B$34,属性汇总!$B206))*属性汇总!G206,0)</f>
        <v>46045</v>
      </c>
      <c r="K206" s="14">
        <f>ROUND(E206+($A206-INDEX(新属性投放!$B$14:$B$34,属性汇总!$B206))*属性汇总!H206,0)</f>
        <v>23001</v>
      </c>
      <c r="L206" s="14">
        <f>ROUND(F206+($A206-INDEX(新属性投放!$B$14:$B$34,属性汇总!$B206))*属性汇总!I206,0)</f>
        <v>138250</v>
      </c>
      <c r="R206" s="13">
        <v>184</v>
      </c>
      <c r="S206" s="13">
        <v>19</v>
      </c>
      <c r="T206" s="14">
        <f>INDEX(新属性投放!$L$6:$L$10,$S$3)*INDEX(新属性投放!$Q$6:$Q$10,$U$3)</f>
        <v>1.1499999999999999</v>
      </c>
      <c r="U206" s="14">
        <f>INDEX(新属性投放!J$42:J$62,属性汇总!$S206)*$T206</f>
        <v>42048.714999999989</v>
      </c>
      <c r="V206" s="14">
        <f>INDEX(新属性投放!K$42:K$62,属性汇总!$S206)*$T206</f>
        <v>21022.057499999992</v>
      </c>
      <c r="W206" s="14">
        <f>INDEX(新属性投放!L$42:L$62,属性汇总!$S206)*$T206</f>
        <v>226295.84999999998</v>
      </c>
      <c r="X206" s="14">
        <f>INDEX(新属性投放!$D$42:$D$62,属性汇总!$S206)*$T206</f>
        <v>1046.4769999999999</v>
      </c>
      <c r="Y206" s="14">
        <f>INDEX(新属性投放!$E$42:$E$62,属性汇总!$S206)*$T206</f>
        <v>523.23849999999993</v>
      </c>
      <c r="Z206" s="14">
        <f>INDEX(新属性投放!$F$42:$F$62,属性汇总!$S206)*$T206</f>
        <v>4708.0999999999995</v>
      </c>
      <c r="AA206" s="14">
        <f>ROUND(U206+($R206-INDEX(新属性投放!$B$42:$B$62,属性汇总!$S206))*属性汇总!X206,0)</f>
        <v>46235</v>
      </c>
      <c r="AB206" s="14">
        <f>ROUND(V206+($R206-INDEX(新属性投放!$B$42:$B$62,属性汇总!$S206))*属性汇总!Y206,0)</f>
        <v>23115</v>
      </c>
      <c r="AC206" s="14">
        <f>ROUND(W206+($R206-INDEX(新属性投放!$B$42:$B$62,属性汇总!$S206))*属性汇总!Z206,0)</f>
        <v>245128</v>
      </c>
    </row>
    <row r="207" spans="1:29" ht="16.5" x14ac:dyDescent="0.2">
      <c r="A207" s="13">
        <v>185</v>
      </c>
      <c r="B207" s="13">
        <v>19</v>
      </c>
      <c r="C207" s="14">
        <f>INDEX(新属性投放!$L$6:$L$10,属性汇总!$B$3)*INDEX(新属性投放!$Q$6:$Q$10,属性汇总!$D$3)</f>
        <v>1.1499999999999999</v>
      </c>
      <c r="D207" s="14">
        <f>INDEX(新属性投放!J$14:J$34,属性汇总!$B207)*$C207</f>
        <v>41858.964999999989</v>
      </c>
      <c r="E207" s="14">
        <f>INDEX(新属性投放!K$14:K$34,属性汇总!$B207)*$C207</f>
        <v>20908.207499999993</v>
      </c>
      <c r="F207" s="14">
        <f>INDEX(新属性投放!L$14:L$34,属性汇总!$B207)*$C207</f>
        <v>125691.89499999997</v>
      </c>
      <c r="G207" s="14">
        <f>INDEX(新属性投放!D$14:D$34,属性汇总!$B207)*$C207</f>
        <v>1046.4769999999999</v>
      </c>
      <c r="H207" s="14">
        <f>INDEX(新属性投放!E$14:E$34,属性汇总!$B207)*$C207</f>
        <v>523.23849999999993</v>
      </c>
      <c r="I207" s="14">
        <f>INDEX(新属性投放!F$14:F$34,属性汇总!$B207)*$C207</f>
        <v>3139.431</v>
      </c>
      <c r="J207" s="14">
        <f>ROUND(D207+($A207-INDEX(新属性投放!$B$14:$B$34,属性汇总!$B207))*属性汇总!G207,0)</f>
        <v>47091</v>
      </c>
      <c r="K207" s="14">
        <f>ROUND(E207+($A207-INDEX(新属性投放!$B$14:$B$34,属性汇总!$B207))*属性汇总!H207,0)</f>
        <v>23524</v>
      </c>
      <c r="L207" s="14">
        <f>ROUND(F207+($A207-INDEX(新属性投放!$B$14:$B$34,属性汇总!$B207))*属性汇总!I207,0)</f>
        <v>141389</v>
      </c>
      <c r="R207" s="13">
        <v>185</v>
      </c>
      <c r="S207" s="13">
        <v>19</v>
      </c>
      <c r="T207" s="14">
        <f>INDEX(新属性投放!$L$6:$L$10,$S$3)*INDEX(新属性投放!$Q$6:$Q$10,$U$3)</f>
        <v>1.1499999999999999</v>
      </c>
      <c r="U207" s="14">
        <f>INDEX(新属性投放!J$42:J$62,属性汇总!$S207)*$T207</f>
        <v>42048.714999999989</v>
      </c>
      <c r="V207" s="14">
        <f>INDEX(新属性投放!K$42:K$62,属性汇总!$S207)*$T207</f>
        <v>21022.057499999992</v>
      </c>
      <c r="W207" s="14">
        <f>INDEX(新属性投放!L$42:L$62,属性汇总!$S207)*$T207</f>
        <v>226295.84999999998</v>
      </c>
      <c r="X207" s="14">
        <f>INDEX(新属性投放!$D$42:$D$62,属性汇总!$S207)*$T207</f>
        <v>1046.4769999999999</v>
      </c>
      <c r="Y207" s="14">
        <f>INDEX(新属性投放!$E$42:$E$62,属性汇总!$S207)*$T207</f>
        <v>523.23849999999993</v>
      </c>
      <c r="Z207" s="14">
        <f>INDEX(新属性投放!$F$42:$F$62,属性汇总!$S207)*$T207</f>
        <v>4708.0999999999995</v>
      </c>
      <c r="AA207" s="14">
        <f>ROUND(U207+($R207-INDEX(新属性投放!$B$42:$B$62,属性汇总!$S207))*属性汇总!X207,0)</f>
        <v>47281</v>
      </c>
      <c r="AB207" s="14">
        <f>ROUND(V207+($R207-INDEX(新属性投放!$B$42:$B$62,属性汇总!$S207))*属性汇总!Y207,0)</f>
        <v>23638</v>
      </c>
      <c r="AC207" s="14">
        <f>ROUND(W207+($R207-INDEX(新属性投放!$B$42:$B$62,属性汇总!$S207))*属性汇总!Z207,0)</f>
        <v>249836</v>
      </c>
    </row>
    <row r="208" spans="1:29" ht="16.5" x14ac:dyDescent="0.2">
      <c r="A208" s="13">
        <v>186</v>
      </c>
      <c r="B208" s="13">
        <v>19</v>
      </c>
      <c r="C208" s="14">
        <f>INDEX(新属性投放!$L$6:$L$10,属性汇总!$B$3)*INDEX(新属性投放!$Q$6:$Q$10,属性汇总!$D$3)</f>
        <v>1.1499999999999999</v>
      </c>
      <c r="D208" s="14">
        <f>INDEX(新属性投放!J$14:J$34,属性汇总!$B208)*$C208</f>
        <v>41858.964999999989</v>
      </c>
      <c r="E208" s="14">
        <f>INDEX(新属性投放!K$14:K$34,属性汇总!$B208)*$C208</f>
        <v>20908.207499999993</v>
      </c>
      <c r="F208" s="14">
        <f>INDEX(新属性投放!L$14:L$34,属性汇总!$B208)*$C208</f>
        <v>125691.89499999997</v>
      </c>
      <c r="G208" s="14">
        <f>INDEX(新属性投放!D$14:D$34,属性汇总!$B208)*$C208</f>
        <v>1046.4769999999999</v>
      </c>
      <c r="H208" s="14">
        <f>INDEX(新属性投放!E$14:E$34,属性汇总!$B208)*$C208</f>
        <v>523.23849999999993</v>
      </c>
      <c r="I208" s="14">
        <f>INDEX(新属性投放!F$14:F$34,属性汇总!$B208)*$C208</f>
        <v>3139.431</v>
      </c>
      <c r="J208" s="14">
        <f>ROUND(D208+($A208-INDEX(新属性投放!$B$14:$B$34,属性汇总!$B208))*属性汇总!G208,0)</f>
        <v>48138</v>
      </c>
      <c r="K208" s="14">
        <f>ROUND(E208+($A208-INDEX(新属性投放!$B$14:$B$34,属性汇总!$B208))*属性汇总!H208,0)</f>
        <v>24048</v>
      </c>
      <c r="L208" s="14">
        <f>ROUND(F208+($A208-INDEX(新属性投放!$B$14:$B$34,属性汇总!$B208))*属性汇总!I208,0)</f>
        <v>144528</v>
      </c>
      <c r="R208" s="13">
        <v>186</v>
      </c>
      <c r="S208" s="13">
        <v>19</v>
      </c>
      <c r="T208" s="14">
        <f>INDEX(新属性投放!$L$6:$L$10,$S$3)*INDEX(新属性投放!$Q$6:$Q$10,$U$3)</f>
        <v>1.1499999999999999</v>
      </c>
      <c r="U208" s="14">
        <f>INDEX(新属性投放!J$42:J$62,属性汇总!$S208)*$T208</f>
        <v>42048.714999999989</v>
      </c>
      <c r="V208" s="14">
        <f>INDEX(新属性投放!K$42:K$62,属性汇总!$S208)*$T208</f>
        <v>21022.057499999992</v>
      </c>
      <c r="W208" s="14">
        <f>INDEX(新属性投放!L$42:L$62,属性汇总!$S208)*$T208</f>
        <v>226295.84999999998</v>
      </c>
      <c r="X208" s="14">
        <f>INDEX(新属性投放!$D$42:$D$62,属性汇总!$S208)*$T208</f>
        <v>1046.4769999999999</v>
      </c>
      <c r="Y208" s="14">
        <f>INDEX(新属性投放!$E$42:$E$62,属性汇总!$S208)*$T208</f>
        <v>523.23849999999993</v>
      </c>
      <c r="Z208" s="14">
        <f>INDEX(新属性投放!$F$42:$F$62,属性汇总!$S208)*$T208</f>
        <v>4708.0999999999995</v>
      </c>
      <c r="AA208" s="14">
        <f>ROUND(U208+($R208-INDEX(新属性投放!$B$42:$B$62,属性汇总!$S208))*属性汇总!X208,0)</f>
        <v>48328</v>
      </c>
      <c r="AB208" s="14">
        <f>ROUND(V208+($R208-INDEX(新属性投放!$B$42:$B$62,属性汇总!$S208))*属性汇总!Y208,0)</f>
        <v>24161</v>
      </c>
      <c r="AC208" s="14">
        <f>ROUND(W208+($R208-INDEX(新属性投放!$B$42:$B$62,属性汇总!$S208))*属性汇总!Z208,0)</f>
        <v>254544</v>
      </c>
    </row>
    <row r="209" spans="1:29" ht="16.5" x14ac:dyDescent="0.2">
      <c r="A209" s="13">
        <v>187</v>
      </c>
      <c r="B209" s="13">
        <v>19</v>
      </c>
      <c r="C209" s="14">
        <f>INDEX(新属性投放!$L$6:$L$10,属性汇总!$B$3)*INDEX(新属性投放!$Q$6:$Q$10,属性汇总!$D$3)</f>
        <v>1.1499999999999999</v>
      </c>
      <c r="D209" s="14">
        <f>INDEX(新属性投放!J$14:J$34,属性汇总!$B209)*$C209</f>
        <v>41858.964999999989</v>
      </c>
      <c r="E209" s="14">
        <f>INDEX(新属性投放!K$14:K$34,属性汇总!$B209)*$C209</f>
        <v>20908.207499999993</v>
      </c>
      <c r="F209" s="14">
        <f>INDEX(新属性投放!L$14:L$34,属性汇总!$B209)*$C209</f>
        <v>125691.89499999997</v>
      </c>
      <c r="G209" s="14">
        <f>INDEX(新属性投放!D$14:D$34,属性汇总!$B209)*$C209</f>
        <v>1046.4769999999999</v>
      </c>
      <c r="H209" s="14">
        <f>INDEX(新属性投放!E$14:E$34,属性汇总!$B209)*$C209</f>
        <v>523.23849999999993</v>
      </c>
      <c r="I209" s="14">
        <f>INDEX(新属性投放!F$14:F$34,属性汇总!$B209)*$C209</f>
        <v>3139.431</v>
      </c>
      <c r="J209" s="14">
        <f>ROUND(D209+($A209-INDEX(新属性投放!$B$14:$B$34,属性汇总!$B209))*属性汇总!G209,0)</f>
        <v>49184</v>
      </c>
      <c r="K209" s="14">
        <f>ROUND(E209+($A209-INDEX(新属性投放!$B$14:$B$34,属性汇总!$B209))*属性汇总!H209,0)</f>
        <v>24571</v>
      </c>
      <c r="L209" s="14">
        <f>ROUND(F209+($A209-INDEX(新属性投放!$B$14:$B$34,属性汇总!$B209))*属性汇总!I209,0)</f>
        <v>147668</v>
      </c>
      <c r="R209" s="13">
        <v>187</v>
      </c>
      <c r="S209" s="13">
        <v>19</v>
      </c>
      <c r="T209" s="14">
        <f>INDEX(新属性投放!$L$6:$L$10,$S$3)*INDEX(新属性投放!$Q$6:$Q$10,$U$3)</f>
        <v>1.1499999999999999</v>
      </c>
      <c r="U209" s="14">
        <f>INDEX(新属性投放!J$42:J$62,属性汇总!$S209)*$T209</f>
        <v>42048.714999999989</v>
      </c>
      <c r="V209" s="14">
        <f>INDEX(新属性投放!K$42:K$62,属性汇总!$S209)*$T209</f>
        <v>21022.057499999992</v>
      </c>
      <c r="W209" s="14">
        <f>INDEX(新属性投放!L$42:L$62,属性汇总!$S209)*$T209</f>
        <v>226295.84999999998</v>
      </c>
      <c r="X209" s="14">
        <f>INDEX(新属性投放!$D$42:$D$62,属性汇总!$S209)*$T209</f>
        <v>1046.4769999999999</v>
      </c>
      <c r="Y209" s="14">
        <f>INDEX(新属性投放!$E$42:$E$62,属性汇总!$S209)*$T209</f>
        <v>523.23849999999993</v>
      </c>
      <c r="Z209" s="14">
        <f>INDEX(新属性投放!$F$42:$F$62,属性汇总!$S209)*$T209</f>
        <v>4708.0999999999995</v>
      </c>
      <c r="AA209" s="14">
        <f>ROUND(U209+($R209-INDEX(新属性投放!$B$42:$B$62,属性汇总!$S209))*属性汇总!X209,0)</f>
        <v>49374</v>
      </c>
      <c r="AB209" s="14">
        <f>ROUND(V209+($R209-INDEX(新属性投放!$B$42:$B$62,属性汇总!$S209))*属性汇总!Y209,0)</f>
        <v>24685</v>
      </c>
      <c r="AC209" s="14">
        <f>ROUND(W209+($R209-INDEX(新属性投放!$B$42:$B$62,属性汇总!$S209))*属性汇总!Z209,0)</f>
        <v>259253</v>
      </c>
    </row>
    <row r="210" spans="1:29" ht="16.5" x14ac:dyDescent="0.2">
      <c r="A210" s="13">
        <v>188</v>
      </c>
      <c r="B210" s="13">
        <v>19</v>
      </c>
      <c r="C210" s="14">
        <f>INDEX(新属性投放!$L$6:$L$10,属性汇总!$B$3)*INDEX(新属性投放!$Q$6:$Q$10,属性汇总!$D$3)</f>
        <v>1.1499999999999999</v>
      </c>
      <c r="D210" s="14">
        <f>INDEX(新属性投放!J$14:J$34,属性汇总!$B210)*$C210</f>
        <v>41858.964999999989</v>
      </c>
      <c r="E210" s="14">
        <f>INDEX(新属性投放!K$14:K$34,属性汇总!$B210)*$C210</f>
        <v>20908.207499999993</v>
      </c>
      <c r="F210" s="14">
        <f>INDEX(新属性投放!L$14:L$34,属性汇总!$B210)*$C210</f>
        <v>125691.89499999997</v>
      </c>
      <c r="G210" s="14">
        <f>INDEX(新属性投放!D$14:D$34,属性汇总!$B210)*$C210</f>
        <v>1046.4769999999999</v>
      </c>
      <c r="H210" s="14">
        <f>INDEX(新属性投放!E$14:E$34,属性汇总!$B210)*$C210</f>
        <v>523.23849999999993</v>
      </c>
      <c r="I210" s="14">
        <f>INDEX(新属性投放!F$14:F$34,属性汇总!$B210)*$C210</f>
        <v>3139.431</v>
      </c>
      <c r="J210" s="14">
        <f>ROUND(D210+($A210-INDEX(新属性投放!$B$14:$B$34,属性汇总!$B210))*属性汇总!G210,0)</f>
        <v>50231</v>
      </c>
      <c r="K210" s="14">
        <f>ROUND(E210+($A210-INDEX(新属性投放!$B$14:$B$34,属性汇总!$B210))*属性汇总!H210,0)</f>
        <v>25094</v>
      </c>
      <c r="L210" s="14">
        <f>ROUND(F210+($A210-INDEX(新属性投放!$B$14:$B$34,属性汇总!$B210))*属性汇总!I210,0)</f>
        <v>150807</v>
      </c>
      <c r="R210" s="13">
        <v>188</v>
      </c>
      <c r="S210" s="13">
        <v>19</v>
      </c>
      <c r="T210" s="14">
        <f>INDEX(新属性投放!$L$6:$L$10,$S$3)*INDEX(新属性投放!$Q$6:$Q$10,$U$3)</f>
        <v>1.1499999999999999</v>
      </c>
      <c r="U210" s="14">
        <f>INDEX(新属性投放!J$42:J$62,属性汇总!$S210)*$T210</f>
        <v>42048.714999999989</v>
      </c>
      <c r="V210" s="14">
        <f>INDEX(新属性投放!K$42:K$62,属性汇总!$S210)*$T210</f>
        <v>21022.057499999992</v>
      </c>
      <c r="W210" s="14">
        <f>INDEX(新属性投放!L$42:L$62,属性汇总!$S210)*$T210</f>
        <v>226295.84999999998</v>
      </c>
      <c r="X210" s="14">
        <f>INDEX(新属性投放!$D$42:$D$62,属性汇总!$S210)*$T210</f>
        <v>1046.4769999999999</v>
      </c>
      <c r="Y210" s="14">
        <f>INDEX(新属性投放!$E$42:$E$62,属性汇总!$S210)*$T210</f>
        <v>523.23849999999993</v>
      </c>
      <c r="Z210" s="14">
        <f>INDEX(新属性投放!$F$42:$F$62,属性汇总!$S210)*$T210</f>
        <v>4708.0999999999995</v>
      </c>
      <c r="AA210" s="14">
        <f>ROUND(U210+($R210-INDEX(新属性投放!$B$42:$B$62,属性汇总!$S210))*属性汇总!X210,0)</f>
        <v>50421</v>
      </c>
      <c r="AB210" s="14">
        <f>ROUND(V210+($R210-INDEX(新属性投放!$B$42:$B$62,属性汇总!$S210))*属性汇总!Y210,0)</f>
        <v>25208</v>
      </c>
      <c r="AC210" s="14">
        <f>ROUND(W210+($R210-INDEX(新属性投放!$B$42:$B$62,属性汇总!$S210))*属性汇总!Z210,0)</f>
        <v>263961</v>
      </c>
    </row>
    <row r="211" spans="1:29" ht="16.5" x14ac:dyDescent="0.2">
      <c r="A211" s="13">
        <v>189</v>
      </c>
      <c r="B211" s="13">
        <v>19</v>
      </c>
      <c r="C211" s="14">
        <f>INDEX(新属性投放!$L$6:$L$10,属性汇总!$B$3)*INDEX(新属性投放!$Q$6:$Q$10,属性汇总!$D$3)</f>
        <v>1.1499999999999999</v>
      </c>
      <c r="D211" s="14">
        <f>INDEX(新属性投放!J$14:J$34,属性汇总!$B211)*$C211</f>
        <v>41858.964999999989</v>
      </c>
      <c r="E211" s="14">
        <f>INDEX(新属性投放!K$14:K$34,属性汇总!$B211)*$C211</f>
        <v>20908.207499999993</v>
      </c>
      <c r="F211" s="14">
        <f>INDEX(新属性投放!L$14:L$34,属性汇总!$B211)*$C211</f>
        <v>125691.89499999997</v>
      </c>
      <c r="G211" s="14">
        <f>INDEX(新属性投放!D$14:D$34,属性汇总!$B211)*$C211</f>
        <v>1046.4769999999999</v>
      </c>
      <c r="H211" s="14">
        <f>INDEX(新属性投放!E$14:E$34,属性汇总!$B211)*$C211</f>
        <v>523.23849999999993</v>
      </c>
      <c r="I211" s="14">
        <f>INDEX(新属性投放!F$14:F$34,属性汇总!$B211)*$C211</f>
        <v>3139.431</v>
      </c>
      <c r="J211" s="14">
        <f>ROUND(D211+($A211-INDEX(新属性投放!$B$14:$B$34,属性汇总!$B211))*属性汇总!G211,0)</f>
        <v>51277</v>
      </c>
      <c r="K211" s="14">
        <f>ROUND(E211+($A211-INDEX(新属性投放!$B$14:$B$34,属性汇总!$B211))*属性汇总!H211,0)</f>
        <v>25617</v>
      </c>
      <c r="L211" s="14">
        <f>ROUND(F211+($A211-INDEX(新属性投放!$B$14:$B$34,属性汇总!$B211))*属性汇总!I211,0)</f>
        <v>153947</v>
      </c>
      <c r="R211" s="13">
        <v>189</v>
      </c>
      <c r="S211" s="13">
        <v>19</v>
      </c>
      <c r="T211" s="14">
        <f>INDEX(新属性投放!$L$6:$L$10,$S$3)*INDEX(新属性投放!$Q$6:$Q$10,$U$3)</f>
        <v>1.1499999999999999</v>
      </c>
      <c r="U211" s="14">
        <f>INDEX(新属性投放!J$42:J$62,属性汇总!$S211)*$T211</f>
        <v>42048.714999999989</v>
      </c>
      <c r="V211" s="14">
        <f>INDEX(新属性投放!K$42:K$62,属性汇总!$S211)*$T211</f>
        <v>21022.057499999992</v>
      </c>
      <c r="W211" s="14">
        <f>INDEX(新属性投放!L$42:L$62,属性汇总!$S211)*$T211</f>
        <v>226295.84999999998</v>
      </c>
      <c r="X211" s="14">
        <f>INDEX(新属性投放!$D$42:$D$62,属性汇总!$S211)*$T211</f>
        <v>1046.4769999999999</v>
      </c>
      <c r="Y211" s="14">
        <f>INDEX(新属性投放!$E$42:$E$62,属性汇总!$S211)*$T211</f>
        <v>523.23849999999993</v>
      </c>
      <c r="Z211" s="14">
        <f>INDEX(新属性投放!$F$42:$F$62,属性汇总!$S211)*$T211</f>
        <v>4708.0999999999995</v>
      </c>
      <c r="AA211" s="14">
        <f>ROUND(U211+($R211-INDEX(新属性投放!$B$42:$B$62,属性汇总!$S211))*属性汇总!X211,0)</f>
        <v>51467</v>
      </c>
      <c r="AB211" s="14">
        <f>ROUND(V211+($R211-INDEX(新属性投放!$B$42:$B$62,属性汇总!$S211))*属性汇总!Y211,0)</f>
        <v>25731</v>
      </c>
      <c r="AC211" s="14">
        <f>ROUND(W211+($R211-INDEX(新属性投放!$B$42:$B$62,属性汇总!$S211))*属性汇总!Z211,0)</f>
        <v>268669</v>
      </c>
    </row>
    <row r="212" spans="1:29" ht="16.5" x14ac:dyDescent="0.2">
      <c r="A212" s="13">
        <v>190</v>
      </c>
      <c r="B212" s="13">
        <v>19</v>
      </c>
      <c r="C212" s="14">
        <f>INDEX(新属性投放!$L$6:$L$10,属性汇总!$B$3)*INDEX(新属性投放!$Q$6:$Q$10,属性汇总!$D$3)</f>
        <v>1.1499999999999999</v>
      </c>
      <c r="D212" s="14">
        <f>INDEX(新属性投放!J$14:J$34,属性汇总!$B212)*$C212</f>
        <v>41858.964999999989</v>
      </c>
      <c r="E212" s="14">
        <f>INDEX(新属性投放!K$14:K$34,属性汇总!$B212)*$C212</f>
        <v>20908.207499999993</v>
      </c>
      <c r="F212" s="14">
        <f>INDEX(新属性投放!L$14:L$34,属性汇总!$B212)*$C212</f>
        <v>125691.89499999997</v>
      </c>
      <c r="G212" s="14">
        <f>INDEX(新属性投放!D$14:D$34,属性汇总!$B212)*$C212</f>
        <v>1046.4769999999999</v>
      </c>
      <c r="H212" s="14">
        <f>INDEX(新属性投放!E$14:E$34,属性汇总!$B212)*$C212</f>
        <v>523.23849999999993</v>
      </c>
      <c r="I212" s="14">
        <f>INDEX(新属性投放!F$14:F$34,属性汇总!$B212)*$C212</f>
        <v>3139.431</v>
      </c>
      <c r="J212" s="14">
        <f>ROUND(D212+($A212-INDEX(新属性投放!$B$14:$B$34,属性汇总!$B212))*属性汇总!G212,0)</f>
        <v>52324</v>
      </c>
      <c r="K212" s="14">
        <f>ROUND(E212+($A212-INDEX(新属性投放!$B$14:$B$34,属性汇总!$B212))*属性汇总!H212,0)</f>
        <v>26141</v>
      </c>
      <c r="L212" s="14">
        <f>ROUND(F212+($A212-INDEX(新属性投放!$B$14:$B$34,属性汇总!$B212))*属性汇总!I212,0)</f>
        <v>157086</v>
      </c>
      <c r="R212" s="13">
        <v>190</v>
      </c>
      <c r="S212" s="13">
        <v>19</v>
      </c>
      <c r="T212" s="14">
        <f>INDEX(新属性投放!$L$6:$L$10,$S$3)*INDEX(新属性投放!$Q$6:$Q$10,$U$3)</f>
        <v>1.1499999999999999</v>
      </c>
      <c r="U212" s="14">
        <f>INDEX(新属性投放!J$42:J$62,属性汇总!$S212)*$T212</f>
        <v>42048.714999999989</v>
      </c>
      <c r="V212" s="14">
        <f>INDEX(新属性投放!K$42:K$62,属性汇总!$S212)*$T212</f>
        <v>21022.057499999992</v>
      </c>
      <c r="W212" s="14">
        <f>INDEX(新属性投放!L$42:L$62,属性汇总!$S212)*$T212</f>
        <v>226295.84999999998</v>
      </c>
      <c r="X212" s="14">
        <f>INDEX(新属性投放!$D$42:$D$62,属性汇总!$S212)*$T212</f>
        <v>1046.4769999999999</v>
      </c>
      <c r="Y212" s="14">
        <f>INDEX(新属性投放!$E$42:$E$62,属性汇总!$S212)*$T212</f>
        <v>523.23849999999993</v>
      </c>
      <c r="Z212" s="14">
        <f>INDEX(新属性投放!$F$42:$F$62,属性汇总!$S212)*$T212</f>
        <v>4708.0999999999995</v>
      </c>
      <c r="AA212" s="14">
        <f>ROUND(U212+($R212-INDEX(新属性投放!$B$42:$B$62,属性汇总!$S212))*属性汇总!X212,0)</f>
        <v>52513</v>
      </c>
      <c r="AB212" s="14">
        <f>ROUND(V212+($R212-INDEX(新属性投放!$B$42:$B$62,属性汇总!$S212))*属性汇总!Y212,0)</f>
        <v>26254</v>
      </c>
      <c r="AC212" s="14">
        <f>ROUND(W212+($R212-INDEX(新属性投放!$B$42:$B$62,属性汇总!$S212))*属性汇总!Z212,0)</f>
        <v>273377</v>
      </c>
    </row>
    <row r="213" spans="1:29" s="37" customFormat="1" ht="16.5" x14ac:dyDescent="0.2">
      <c r="A213" s="13">
        <v>190</v>
      </c>
      <c r="B213" s="13">
        <v>20</v>
      </c>
      <c r="C213" s="14">
        <f>INDEX(新属性投放!$L$6:$L$10,属性汇总!$B$3)*INDEX(新属性投放!$Q$6:$Q$10,属性汇总!$D$3)</f>
        <v>1.1499999999999999</v>
      </c>
      <c r="D213" s="14">
        <f>INDEX(新属性投放!J$14:J$34,属性汇总!$B213)*$C213</f>
        <v>54939.984999999986</v>
      </c>
      <c r="E213" s="14">
        <f>INDEX(新属性投放!K$14:K$34,属性汇总!$B213)*$C213</f>
        <v>27448.142499999994</v>
      </c>
      <c r="F213" s="14">
        <f>INDEX(新属性投放!L$14:L$34,属性汇总!$B213)*$C213</f>
        <v>164934.95499999996</v>
      </c>
      <c r="G213" s="14">
        <f>INDEX(新属性投放!D$14:D$34,属性汇总!$B213)*$C213</f>
        <v>1373.5024999999998</v>
      </c>
      <c r="H213" s="14">
        <f>INDEX(新属性投放!E$14:E$34,属性汇总!$B213)*$C213</f>
        <v>686.75124999999991</v>
      </c>
      <c r="I213" s="14">
        <f>INDEX(新属性投放!F$14:F$34,属性汇总!$B213)*$C213</f>
        <v>4120.5074999999997</v>
      </c>
      <c r="J213" s="14">
        <f>ROUND(D213+($A213-INDEX(新属性投放!$B$14:$B$34,属性汇总!$B213))*属性汇总!G213,0)</f>
        <v>54940</v>
      </c>
      <c r="K213" s="14">
        <f>ROUND(E213+($A213-INDEX(新属性投放!$B$14:$B$34,属性汇总!$B213))*属性汇总!H213,0)</f>
        <v>27448</v>
      </c>
      <c r="L213" s="14">
        <f>ROUND(F213+($A213-INDEX(新属性投放!$B$14:$B$34,属性汇总!$B213))*属性汇总!I213,0)</f>
        <v>164935</v>
      </c>
      <c r="R213" s="13">
        <v>190</v>
      </c>
      <c r="S213" s="13">
        <v>20</v>
      </c>
      <c r="T213" s="14">
        <f>INDEX(新属性投放!$L$6:$L$10,$S$3)*INDEX(新属性投放!$Q$6:$Q$10,$U$3)</f>
        <v>1.1499999999999999</v>
      </c>
      <c r="U213" s="14">
        <f>INDEX(新属性投放!J$42:J$62,属性汇总!$S213)*$T213</f>
        <v>55129.734999999986</v>
      </c>
      <c r="V213" s="14">
        <f>INDEX(新属性投放!K$42:K$62,属性汇总!$S213)*$T213</f>
        <v>27561.992499999993</v>
      </c>
      <c r="W213" s="14">
        <f>INDEX(新属性投放!L$42:L$62,属性汇总!$S213)*$T213</f>
        <v>296923.09999999998</v>
      </c>
      <c r="X213" s="14">
        <f>INDEX(新属性投放!$D$42:$D$62,属性汇总!$S213)*$T213</f>
        <v>1373.5024999999998</v>
      </c>
      <c r="Y213" s="14">
        <f>INDEX(新属性投放!$E$42:$E$62,属性汇总!$S213)*$T213</f>
        <v>686.75124999999991</v>
      </c>
      <c r="Z213" s="14">
        <f>INDEX(新属性投放!$F$42:$F$62,属性汇总!$S213)*$T213</f>
        <v>6180.0999999999995</v>
      </c>
      <c r="AA213" s="14">
        <f>ROUND(U213+($R213-INDEX(新属性投放!$B$42:$B$62,属性汇总!$S213))*属性汇总!X213,0)</f>
        <v>55130</v>
      </c>
      <c r="AB213" s="14">
        <f>ROUND(V213+($R213-INDEX(新属性投放!$B$42:$B$62,属性汇总!$S213))*属性汇总!Y213,0)</f>
        <v>27562</v>
      </c>
      <c r="AC213" s="14">
        <f>ROUND(W213+($R213-INDEX(新属性投放!$B$42:$B$62,属性汇总!$S213))*属性汇总!Z213,0)</f>
        <v>296923</v>
      </c>
    </row>
    <row r="214" spans="1:29" ht="16.5" x14ac:dyDescent="0.2">
      <c r="A214" s="13">
        <v>191</v>
      </c>
      <c r="B214" s="13">
        <v>20</v>
      </c>
      <c r="C214" s="14">
        <f>INDEX(新属性投放!$L$6:$L$10,属性汇总!$B$3)*INDEX(新属性投放!$Q$6:$Q$10,属性汇总!$D$3)</f>
        <v>1.1499999999999999</v>
      </c>
      <c r="D214" s="14">
        <f>INDEX(新属性投放!J$14:J$34,属性汇总!$B214)*$C214</f>
        <v>54939.984999999986</v>
      </c>
      <c r="E214" s="14">
        <f>INDEX(新属性投放!K$14:K$34,属性汇总!$B214)*$C214</f>
        <v>27448.142499999994</v>
      </c>
      <c r="F214" s="14">
        <f>INDEX(新属性投放!L$14:L$34,属性汇总!$B214)*$C214</f>
        <v>164934.95499999996</v>
      </c>
      <c r="G214" s="14">
        <f>INDEX(新属性投放!D$14:D$34,属性汇总!$B214)*$C214</f>
        <v>1373.5024999999998</v>
      </c>
      <c r="H214" s="14">
        <f>INDEX(新属性投放!E$14:E$34,属性汇总!$B214)*$C214</f>
        <v>686.75124999999991</v>
      </c>
      <c r="I214" s="14">
        <f>INDEX(新属性投放!F$14:F$34,属性汇总!$B214)*$C214</f>
        <v>4120.5074999999997</v>
      </c>
      <c r="J214" s="14">
        <f>ROUND(D214+($A214-INDEX(新属性投放!$B$14:$B$34,属性汇总!$B214))*属性汇总!G214,0)</f>
        <v>56313</v>
      </c>
      <c r="K214" s="14">
        <f>ROUND(E214+($A214-INDEX(新属性投放!$B$14:$B$34,属性汇总!$B214))*属性汇总!H214,0)</f>
        <v>28135</v>
      </c>
      <c r="L214" s="14">
        <f>ROUND(F214+($A214-INDEX(新属性投放!$B$14:$B$34,属性汇总!$B214))*属性汇总!I214,0)</f>
        <v>169055</v>
      </c>
      <c r="R214" s="13">
        <v>191</v>
      </c>
      <c r="S214" s="13">
        <v>20</v>
      </c>
      <c r="T214" s="14">
        <f>INDEX(新属性投放!$L$6:$L$10,$S$3)*INDEX(新属性投放!$Q$6:$Q$10,$U$3)</f>
        <v>1.1499999999999999</v>
      </c>
      <c r="U214" s="14">
        <f>INDEX(新属性投放!J$42:J$62,属性汇总!$S214)*$T214</f>
        <v>55129.734999999986</v>
      </c>
      <c r="V214" s="14">
        <f>INDEX(新属性投放!K$42:K$62,属性汇总!$S214)*$T214</f>
        <v>27561.992499999993</v>
      </c>
      <c r="W214" s="14">
        <f>INDEX(新属性投放!L$42:L$62,属性汇总!$S214)*$T214</f>
        <v>296923.09999999998</v>
      </c>
      <c r="X214" s="14">
        <f>INDEX(新属性投放!$D$42:$D$62,属性汇总!$S214)*$T214</f>
        <v>1373.5024999999998</v>
      </c>
      <c r="Y214" s="14">
        <f>INDEX(新属性投放!$E$42:$E$62,属性汇总!$S214)*$T214</f>
        <v>686.75124999999991</v>
      </c>
      <c r="Z214" s="14">
        <f>INDEX(新属性投放!$F$42:$F$62,属性汇总!$S214)*$T214</f>
        <v>6180.0999999999995</v>
      </c>
      <c r="AA214" s="14">
        <f>ROUND(U214+($R214-INDEX(新属性投放!$B$42:$B$62,属性汇总!$S214))*属性汇总!X214,0)</f>
        <v>56503</v>
      </c>
      <c r="AB214" s="14">
        <f>ROUND(V214+($R214-INDEX(新属性投放!$B$42:$B$62,属性汇总!$S214))*属性汇总!Y214,0)</f>
        <v>28249</v>
      </c>
      <c r="AC214" s="14">
        <f>ROUND(W214+($R214-INDEX(新属性投放!$B$42:$B$62,属性汇总!$S214))*属性汇总!Z214,0)</f>
        <v>303103</v>
      </c>
    </row>
    <row r="215" spans="1:29" ht="16.5" x14ac:dyDescent="0.2">
      <c r="A215" s="13">
        <v>192</v>
      </c>
      <c r="B215" s="13">
        <v>20</v>
      </c>
      <c r="C215" s="14">
        <f>INDEX(新属性投放!$L$6:$L$10,属性汇总!$B$3)*INDEX(新属性投放!$Q$6:$Q$10,属性汇总!$D$3)</f>
        <v>1.1499999999999999</v>
      </c>
      <c r="D215" s="14">
        <f>INDEX(新属性投放!J$14:J$34,属性汇总!$B215)*$C215</f>
        <v>54939.984999999986</v>
      </c>
      <c r="E215" s="14">
        <f>INDEX(新属性投放!K$14:K$34,属性汇总!$B215)*$C215</f>
        <v>27448.142499999994</v>
      </c>
      <c r="F215" s="14">
        <f>INDEX(新属性投放!L$14:L$34,属性汇总!$B215)*$C215</f>
        <v>164934.95499999996</v>
      </c>
      <c r="G215" s="14">
        <f>INDEX(新属性投放!D$14:D$34,属性汇总!$B215)*$C215</f>
        <v>1373.5024999999998</v>
      </c>
      <c r="H215" s="14">
        <f>INDEX(新属性投放!E$14:E$34,属性汇总!$B215)*$C215</f>
        <v>686.75124999999991</v>
      </c>
      <c r="I215" s="14">
        <f>INDEX(新属性投放!F$14:F$34,属性汇总!$B215)*$C215</f>
        <v>4120.5074999999997</v>
      </c>
      <c r="J215" s="14">
        <f>ROUND(D215+($A215-INDEX(新属性投放!$B$14:$B$34,属性汇总!$B215))*属性汇总!G215,0)</f>
        <v>57687</v>
      </c>
      <c r="K215" s="14">
        <f>ROUND(E215+($A215-INDEX(新属性投放!$B$14:$B$34,属性汇总!$B215))*属性汇总!H215,0)</f>
        <v>28822</v>
      </c>
      <c r="L215" s="14">
        <f>ROUND(F215+($A215-INDEX(新属性投放!$B$14:$B$34,属性汇总!$B215))*属性汇总!I215,0)</f>
        <v>173176</v>
      </c>
      <c r="R215" s="13">
        <v>192</v>
      </c>
      <c r="S215" s="13">
        <v>20</v>
      </c>
      <c r="T215" s="14">
        <f>INDEX(新属性投放!$L$6:$L$10,$S$3)*INDEX(新属性投放!$Q$6:$Q$10,$U$3)</f>
        <v>1.1499999999999999</v>
      </c>
      <c r="U215" s="14">
        <f>INDEX(新属性投放!J$42:J$62,属性汇总!$S215)*$T215</f>
        <v>55129.734999999986</v>
      </c>
      <c r="V215" s="14">
        <f>INDEX(新属性投放!K$42:K$62,属性汇总!$S215)*$T215</f>
        <v>27561.992499999993</v>
      </c>
      <c r="W215" s="14">
        <f>INDEX(新属性投放!L$42:L$62,属性汇总!$S215)*$T215</f>
        <v>296923.09999999998</v>
      </c>
      <c r="X215" s="14">
        <f>INDEX(新属性投放!$D$42:$D$62,属性汇总!$S215)*$T215</f>
        <v>1373.5024999999998</v>
      </c>
      <c r="Y215" s="14">
        <f>INDEX(新属性投放!$E$42:$E$62,属性汇总!$S215)*$T215</f>
        <v>686.75124999999991</v>
      </c>
      <c r="Z215" s="14">
        <f>INDEX(新属性投放!$F$42:$F$62,属性汇总!$S215)*$T215</f>
        <v>6180.0999999999995</v>
      </c>
      <c r="AA215" s="14">
        <f>ROUND(U215+($R215-INDEX(新属性投放!$B$42:$B$62,属性汇总!$S215))*属性汇总!X215,0)</f>
        <v>57877</v>
      </c>
      <c r="AB215" s="14">
        <f>ROUND(V215+($R215-INDEX(新属性投放!$B$42:$B$62,属性汇总!$S215))*属性汇总!Y215,0)</f>
        <v>28935</v>
      </c>
      <c r="AC215" s="14">
        <f>ROUND(W215+($R215-INDEX(新属性投放!$B$42:$B$62,属性汇总!$S215))*属性汇总!Z215,0)</f>
        <v>309283</v>
      </c>
    </row>
    <row r="216" spans="1:29" ht="16.5" x14ac:dyDescent="0.2">
      <c r="A216" s="13">
        <v>193</v>
      </c>
      <c r="B216" s="13">
        <v>20</v>
      </c>
      <c r="C216" s="14">
        <f>INDEX(新属性投放!$L$6:$L$10,属性汇总!$B$3)*INDEX(新属性投放!$Q$6:$Q$10,属性汇总!$D$3)</f>
        <v>1.1499999999999999</v>
      </c>
      <c r="D216" s="14">
        <f>INDEX(新属性投放!J$14:J$34,属性汇总!$B216)*$C216</f>
        <v>54939.984999999986</v>
      </c>
      <c r="E216" s="14">
        <f>INDEX(新属性投放!K$14:K$34,属性汇总!$B216)*$C216</f>
        <v>27448.142499999994</v>
      </c>
      <c r="F216" s="14">
        <f>INDEX(新属性投放!L$14:L$34,属性汇总!$B216)*$C216</f>
        <v>164934.95499999996</v>
      </c>
      <c r="G216" s="14">
        <f>INDEX(新属性投放!D$14:D$34,属性汇总!$B216)*$C216</f>
        <v>1373.5024999999998</v>
      </c>
      <c r="H216" s="14">
        <f>INDEX(新属性投放!E$14:E$34,属性汇总!$B216)*$C216</f>
        <v>686.75124999999991</v>
      </c>
      <c r="I216" s="14">
        <f>INDEX(新属性投放!F$14:F$34,属性汇总!$B216)*$C216</f>
        <v>4120.5074999999997</v>
      </c>
      <c r="J216" s="14">
        <f>ROUND(D216+($A216-INDEX(新属性投放!$B$14:$B$34,属性汇总!$B216))*属性汇总!G216,0)</f>
        <v>59060</v>
      </c>
      <c r="K216" s="14">
        <f>ROUND(E216+($A216-INDEX(新属性投放!$B$14:$B$34,属性汇总!$B216))*属性汇总!H216,0)</f>
        <v>29508</v>
      </c>
      <c r="L216" s="14">
        <f>ROUND(F216+($A216-INDEX(新属性投放!$B$14:$B$34,属性汇总!$B216))*属性汇总!I216,0)</f>
        <v>177296</v>
      </c>
      <c r="R216" s="13">
        <v>193</v>
      </c>
      <c r="S216" s="13">
        <v>20</v>
      </c>
      <c r="T216" s="14">
        <f>INDEX(新属性投放!$L$6:$L$10,$S$3)*INDEX(新属性投放!$Q$6:$Q$10,$U$3)</f>
        <v>1.1499999999999999</v>
      </c>
      <c r="U216" s="14">
        <f>INDEX(新属性投放!J$42:J$62,属性汇总!$S216)*$T216</f>
        <v>55129.734999999986</v>
      </c>
      <c r="V216" s="14">
        <f>INDEX(新属性投放!K$42:K$62,属性汇总!$S216)*$T216</f>
        <v>27561.992499999993</v>
      </c>
      <c r="W216" s="14">
        <f>INDEX(新属性投放!L$42:L$62,属性汇总!$S216)*$T216</f>
        <v>296923.09999999998</v>
      </c>
      <c r="X216" s="14">
        <f>INDEX(新属性投放!$D$42:$D$62,属性汇总!$S216)*$T216</f>
        <v>1373.5024999999998</v>
      </c>
      <c r="Y216" s="14">
        <f>INDEX(新属性投放!$E$42:$E$62,属性汇总!$S216)*$T216</f>
        <v>686.75124999999991</v>
      </c>
      <c r="Z216" s="14">
        <f>INDEX(新属性投放!$F$42:$F$62,属性汇总!$S216)*$T216</f>
        <v>6180.0999999999995</v>
      </c>
      <c r="AA216" s="14">
        <f>ROUND(U216+($R216-INDEX(新属性投放!$B$42:$B$62,属性汇总!$S216))*属性汇总!X216,0)</f>
        <v>59250</v>
      </c>
      <c r="AB216" s="14">
        <f>ROUND(V216+($R216-INDEX(新属性投放!$B$42:$B$62,属性汇总!$S216))*属性汇总!Y216,0)</f>
        <v>29622</v>
      </c>
      <c r="AC216" s="14">
        <f>ROUND(W216+($R216-INDEX(新属性投放!$B$42:$B$62,属性汇总!$S216))*属性汇总!Z216,0)</f>
        <v>315463</v>
      </c>
    </row>
    <row r="217" spans="1:29" ht="16.5" x14ac:dyDescent="0.2">
      <c r="A217" s="13">
        <v>194</v>
      </c>
      <c r="B217" s="13">
        <v>20</v>
      </c>
      <c r="C217" s="14">
        <f>INDEX(新属性投放!$L$6:$L$10,属性汇总!$B$3)*INDEX(新属性投放!$Q$6:$Q$10,属性汇总!$D$3)</f>
        <v>1.1499999999999999</v>
      </c>
      <c r="D217" s="14">
        <f>INDEX(新属性投放!J$14:J$34,属性汇总!$B217)*$C217</f>
        <v>54939.984999999986</v>
      </c>
      <c r="E217" s="14">
        <f>INDEX(新属性投放!K$14:K$34,属性汇总!$B217)*$C217</f>
        <v>27448.142499999994</v>
      </c>
      <c r="F217" s="14">
        <f>INDEX(新属性投放!L$14:L$34,属性汇总!$B217)*$C217</f>
        <v>164934.95499999996</v>
      </c>
      <c r="G217" s="14">
        <f>INDEX(新属性投放!D$14:D$34,属性汇总!$B217)*$C217</f>
        <v>1373.5024999999998</v>
      </c>
      <c r="H217" s="14">
        <f>INDEX(新属性投放!E$14:E$34,属性汇总!$B217)*$C217</f>
        <v>686.75124999999991</v>
      </c>
      <c r="I217" s="14">
        <f>INDEX(新属性投放!F$14:F$34,属性汇总!$B217)*$C217</f>
        <v>4120.5074999999997</v>
      </c>
      <c r="J217" s="14">
        <f>ROUND(D217+($A217-INDEX(新属性投放!$B$14:$B$34,属性汇总!$B217))*属性汇总!G217,0)</f>
        <v>60434</v>
      </c>
      <c r="K217" s="14">
        <f>ROUND(E217+($A217-INDEX(新属性投放!$B$14:$B$34,属性汇总!$B217))*属性汇总!H217,0)</f>
        <v>30195</v>
      </c>
      <c r="L217" s="14">
        <f>ROUND(F217+($A217-INDEX(新属性投放!$B$14:$B$34,属性汇总!$B217))*属性汇总!I217,0)</f>
        <v>181417</v>
      </c>
      <c r="R217" s="13">
        <v>194</v>
      </c>
      <c r="S217" s="13">
        <v>20</v>
      </c>
      <c r="T217" s="14">
        <f>INDEX(新属性投放!$L$6:$L$10,$S$3)*INDEX(新属性投放!$Q$6:$Q$10,$U$3)</f>
        <v>1.1499999999999999</v>
      </c>
      <c r="U217" s="14">
        <f>INDEX(新属性投放!J$42:J$62,属性汇总!$S217)*$T217</f>
        <v>55129.734999999986</v>
      </c>
      <c r="V217" s="14">
        <f>INDEX(新属性投放!K$42:K$62,属性汇总!$S217)*$T217</f>
        <v>27561.992499999993</v>
      </c>
      <c r="W217" s="14">
        <f>INDEX(新属性投放!L$42:L$62,属性汇总!$S217)*$T217</f>
        <v>296923.09999999998</v>
      </c>
      <c r="X217" s="14">
        <f>INDEX(新属性投放!$D$42:$D$62,属性汇总!$S217)*$T217</f>
        <v>1373.5024999999998</v>
      </c>
      <c r="Y217" s="14">
        <f>INDEX(新属性投放!$E$42:$E$62,属性汇总!$S217)*$T217</f>
        <v>686.75124999999991</v>
      </c>
      <c r="Z217" s="14">
        <f>INDEX(新属性投放!$F$42:$F$62,属性汇总!$S217)*$T217</f>
        <v>6180.0999999999995</v>
      </c>
      <c r="AA217" s="14">
        <f>ROUND(U217+($R217-INDEX(新属性投放!$B$42:$B$62,属性汇总!$S217))*属性汇总!X217,0)</f>
        <v>60624</v>
      </c>
      <c r="AB217" s="14">
        <f>ROUND(V217+($R217-INDEX(新属性投放!$B$42:$B$62,属性汇总!$S217))*属性汇总!Y217,0)</f>
        <v>30309</v>
      </c>
      <c r="AC217" s="14">
        <f>ROUND(W217+($R217-INDEX(新属性投放!$B$42:$B$62,属性汇总!$S217))*属性汇总!Z217,0)</f>
        <v>321644</v>
      </c>
    </row>
    <row r="218" spans="1:29" ht="16.5" x14ac:dyDescent="0.2">
      <c r="A218" s="13">
        <v>195</v>
      </c>
      <c r="B218" s="13">
        <v>20</v>
      </c>
      <c r="C218" s="14">
        <f>INDEX(新属性投放!$L$6:$L$10,属性汇总!$B$3)*INDEX(新属性投放!$Q$6:$Q$10,属性汇总!$D$3)</f>
        <v>1.1499999999999999</v>
      </c>
      <c r="D218" s="14">
        <f>INDEX(新属性投放!J$14:J$34,属性汇总!$B218)*$C218</f>
        <v>54939.984999999986</v>
      </c>
      <c r="E218" s="14">
        <f>INDEX(新属性投放!K$14:K$34,属性汇总!$B218)*$C218</f>
        <v>27448.142499999994</v>
      </c>
      <c r="F218" s="14">
        <f>INDEX(新属性投放!L$14:L$34,属性汇总!$B218)*$C218</f>
        <v>164934.95499999996</v>
      </c>
      <c r="G218" s="14">
        <f>INDEX(新属性投放!D$14:D$34,属性汇总!$B218)*$C218</f>
        <v>1373.5024999999998</v>
      </c>
      <c r="H218" s="14">
        <f>INDEX(新属性投放!E$14:E$34,属性汇总!$B218)*$C218</f>
        <v>686.75124999999991</v>
      </c>
      <c r="I218" s="14">
        <f>INDEX(新属性投放!F$14:F$34,属性汇总!$B218)*$C218</f>
        <v>4120.5074999999997</v>
      </c>
      <c r="J218" s="14">
        <f>ROUND(D218+($A218-INDEX(新属性投放!$B$14:$B$34,属性汇总!$B218))*属性汇总!G218,0)</f>
        <v>61807</v>
      </c>
      <c r="K218" s="14">
        <f>ROUND(E218+($A218-INDEX(新属性投放!$B$14:$B$34,属性汇总!$B218))*属性汇总!H218,0)</f>
        <v>30882</v>
      </c>
      <c r="L218" s="14">
        <f>ROUND(F218+($A218-INDEX(新属性投放!$B$14:$B$34,属性汇总!$B218))*属性汇总!I218,0)</f>
        <v>185537</v>
      </c>
      <c r="R218" s="13">
        <v>195</v>
      </c>
      <c r="S218" s="13">
        <v>20</v>
      </c>
      <c r="T218" s="14">
        <f>INDEX(新属性投放!$L$6:$L$10,$S$3)*INDEX(新属性投放!$Q$6:$Q$10,$U$3)</f>
        <v>1.1499999999999999</v>
      </c>
      <c r="U218" s="14">
        <f>INDEX(新属性投放!J$42:J$62,属性汇总!$S218)*$T218</f>
        <v>55129.734999999986</v>
      </c>
      <c r="V218" s="14">
        <f>INDEX(新属性投放!K$42:K$62,属性汇总!$S218)*$T218</f>
        <v>27561.992499999993</v>
      </c>
      <c r="W218" s="14">
        <f>INDEX(新属性投放!L$42:L$62,属性汇总!$S218)*$T218</f>
        <v>296923.09999999998</v>
      </c>
      <c r="X218" s="14">
        <f>INDEX(新属性投放!$D$42:$D$62,属性汇总!$S218)*$T218</f>
        <v>1373.5024999999998</v>
      </c>
      <c r="Y218" s="14">
        <f>INDEX(新属性投放!$E$42:$E$62,属性汇总!$S218)*$T218</f>
        <v>686.75124999999991</v>
      </c>
      <c r="Z218" s="14">
        <f>INDEX(新属性投放!$F$42:$F$62,属性汇总!$S218)*$T218</f>
        <v>6180.0999999999995</v>
      </c>
      <c r="AA218" s="14">
        <f>ROUND(U218+($R218-INDEX(新属性投放!$B$42:$B$62,属性汇总!$S218))*属性汇总!X218,0)</f>
        <v>61997</v>
      </c>
      <c r="AB218" s="14">
        <f>ROUND(V218+($R218-INDEX(新属性投放!$B$42:$B$62,属性汇总!$S218))*属性汇总!Y218,0)</f>
        <v>30996</v>
      </c>
      <c r="AC218" s="14">
        <f>ROUND(W218+($R218-INDEX(新属性投放!$B$42:$B$62,属性汇总!$S218))*属性汇总!Z218,0)</f>
        <v>327824</v>
      </c>
    </row>
    <row r="219" spans="1:29" ht="16.5" x14ac:dyDescent="0.2">
      <c r="A219" s="13">
        <v>196</v>
      </c>
      <c r="B219" s="13">
        <v>20</v>
      </c>
      <c r="C219" s="14">
        <f>INDEX(新属性投放!$L$6:$L$10,属性汇总!$B$3)*INDEX(新属性投放!$Q$6:$Q$10,属性汇总!$D$3)</f>
        <v>1.1499999999999999</v>
      </c>
      <c r="D219" s="14">
        <f>INDEX(新属性投放!J$14:J$34,属性汇总!$B219)*$C219</f>
        <v>54939.984999999986</v>
      </c>
      <c r="E219" s="14">
        <f>INDEX(新属性投放!K$14:K$34,属性汇总!$B219)*$C219</f>
        <v>27448.142499999994</v>
      </c>
      <c r="F219" s="14">
        <f>INDEX(新属性投放!L$14:L$34,属性汇总!$B219)*$C219</f>
        <v>164934.95499999996</v>
      </c>
      <c r="G219" s="14">
        <f>INDEX(新属性投放!D$14:D$34,属性汇总!$B219)*$C219</f>
        <v>1373.5024999999998</v>
      </c>
      <c r="H219" s="14">
        <f>INDEX(新属性投放!E$14:E$34,属性汇总!$B219)*$C219</f>
        <v>686.75124999999991</v>
      </c>
      <c r="I219" s="14">
        <f>INDEX(新属性投放!F$14:F$34,属性汇总!$B219)*$C219</f>
        <v>4120.5074999999997</v>
      </c>
      <c r="J219" s="14">
        <f>ROUND(D219+($A219-INDEX(新属性投放!$B$14:$B$34,属性汇总!$B219))*属性汇总!G219,0)</f>
        <v>63181</v>
      </c>
      <c r="K219" s="14">
        <f>ROUND(E219+($A219-INDEX(新属性投放!$B$14:$B$34,属性汇总!$B219))*属性汇总!H219,0)</f>
        <v>31569</v>
      </c>
      <c r="L219" s="14">
        <f>ROUND(F219+($A219-INDEX(新属性投放!$B$14:$B$34,属性汇总!$B219))*属性汇总!I219,0)</f>
        <v>189658</v>
      </c>
      <c r="R219" s="13">
        <v>196</v>
      </c>
      <c r="S219" s="13">
        <v>20</v>
      </c>
      <c r="T219" s="14">
        <f>INDEX(新属性投放!$L$6:$L$10,$S$3)*INDEX(新属性投放!$Q$6:$Q$10,$U$3)</f>
        <v>1.1499999999999999</v>
      </c>
      <c r="U219" s="14">
        <f>INDEX(新属性投放!J$42:J$62,属性汇总!$S219)*$T219</f>
        <v>55129.734999999986</v>
      </c>
      <c r="V219" s="14">
        <f>INDEX(新属性投放!K$42:K$62,属性汇总!$S219)*$T219</f>
        <v>27561.992499999993</v>
      </c>
      <c r="W219" s="14">
        <f>INDEX(新属性投放!L$42:L$62,属性汇总!$S219)*$T219</f>
        <v>296923.09999999998</v>
      </c>
      <c r="X219" s="14">
        <f>INDEX(新属性投放!$D$42:$D$62,属性汇总!$S219)*$T219</f>
        <v>1373.5024999999998</v>
      </c>
      <c r="Y219" s="14">
        <f>INDEX(新属性投放!$E$42:$E$62,属性汇总!$S219)*$T219</f>
        <v>686.75124999999991</v>
      </c>
      <c r="Z219" s="14">
        <f>INDEX(新属性投放!$F$42:$F$62,属性汇总!$S219)*$T219</f>
        <v>6180.0999999999995</v>
      </c>
      <c r="AA219" s="14">
        <f>ROUND(U219+($R219-INDEX(新属性投放!$B$42:$B$62,属性汇总!$S219))*属性汇总!X219,0)</f>
        <v>63371</v>
      </c>
      <c r="AB219" s="14">
        <f>ROUND(V219+($R219-INDEX(新属性投放!$B$42:$B$62,属性汇总!$S219))*属性汇总!Y219,0)</f>
        <v>31683</v>
      </c>
      <c r="AC219" s="14">
        <f>ROUND(W219+($R219-INDEX(新属性投放!$B$42:$B$62,属性汇总!$S219))*属性汇总!Z219,0)</f>
        <v>334004</v>
      </c>
    </row>
    <row r="220" spans="1:29" ht="16.5" x14ac:dyDescent="0.2">
      <c r="A220" s="13">
        <v>197</v>
      </c>
      <c r="B220" s="13">
        <v>20</v>
      </c>
      <c r="C220" s="14">
        <f>INDEX(新属性投放!$L$6:$L$10,属性汇总!$B$3)*INDEX(新属性投放!$Q$6:$Q$10,属性汇总!$D$3)</f>
        <v>1.1499999999999999</v>
      </c>
      <c r="D220" s="14">
        <f>INDEX(新属性投放!J$14:J$34,属性汇总!$B220)*$C220</f>
        <v>54939.984999999986</v>
      </c>
      <c r="E220" s="14">
        <f>INDEX(新属性投放!K$14:K$34,属性汇总!$B220)*$C220</f>
        <v>27448.142499999994</v>
      </c>
      <c r="F220" s="14">
        <f>INDEX(新属性投放!L$14:L$34,属性汇总!$B220)*$C220</f>
        <v>164934.95499999996</v>
      </c>
      <c r="G220" s="14">
        <f>INDEX(新属性投放!D$14:D$34,属性汇总!$B220)*$C220</f>
        <v>1373.5024999999998</v>
      </c>
      <c r="H220" s="14">
        <f>INDEX(新属性投放!E$14:E$34,属性汇总!$B220)*$C220</f>
        <v>686.75124999999991</v>
      </c>
      <c r="I220" s="14">
        <f>INDEX(新属性投放!F$14:F$34,属性汇总!$B220)*$C220</f>
        <v>4120.5074999999997</v>
      </c>
      <c r="J220" s="14">
        <f>ROUND(D220+($A220-INDEX(新属性投放!$B$14:$B$34,属性汇总!$B220))*属性汇总!G220,0)</f>
        <v>64555</v>
      </c>
      <c r="K220" s="14">
        <f>ROUND(E220+($A220-INDEX(新属性投放!$B$14:$B$34,属性汇总!$B220))*属性汇总!H220,0)</f>
        <v>32255</v>
      </c>
      <c r="L220" s="14">
        <f>ROUND(F220+($A220-INDEX(新属性投放!$B$14:$B$34,属性汇总!$B220))*属性汇总!I220,0)</f>
        <v>193779</v>
      </c>
      <c r="R220" s="13">
        <v>197</v>
      </c>
      <c r="S220" s="13">
        <v>20</v>
      </c>
      <c r="T220" s="14">
        <f>INDEX(新属性投放!$L$6:$L$10,$S$3)*INDEX(新属性投放!$Q$6:$Q$10,$U$3)</f>
        <v>1.1499999999999999</v>
      </c>
      <c r="U220" s="14">
        <f>INDEX(新属性投放!J$42:J$62,属性汇总!$S220)*$T220</f>
        <v>55129.734999999986</v>
      </c>
      <c r="V220" s="14">
        <f>INDEX(新属性投放!K$42:K$62,属性汇总!$S220)*$T220</f>
        <v>27561.992499999993</v>
      </c>
      <c r="W220" s="14">
        <f>INDEX(新属性投放!L$42:L$62,属性汇总!$S220)*$T220</f>
        <v>296923.09999999998</v>
      </c>
      <c r="X220" s="14">
        <f>INDEX(新属性投放!$D$42:$D$62,属性汇总!$S220)*$T220</f>
        <v>1373.5024999999998</v>
      </c>
      <c r="Y220" s="14">
        <f>INDEX(新属性投放!$E$42:$E$62,属性汇总!$S220)*$T220</f>
        <v>686.75124999999991</v>
      </c>
      <c r="Z220" s="14">
        <f>INDEX(新属性投放!$F$42:$F$62,属性汇总!$S220)*$T220</f>
        <v>6180.0999999999995</v>
      </c>
      <c r="AA220" s="14">
        <f>ROUND(U220+($R220-INDEX(新属性投放!$B$42:$B$62,属性汇总!$S220))*属性汇总!X220,0)</f>
        <v>64744</v>
      </c>
      <c r="AB220" s="14">
        <f>ROUND(V220+($R220-INDEX(新属性投放!$B$42:$B$62,属性汇总!$S220))*属性汇总!Y220,0)</f>
        <v>32369</v>
      </c>
      <c r="AC220" s="14">
        <f>ROUND(W220+($R220-INDEX(新属性投放!$B$42:$B$62,属性汇总!$S220))*属性汇总!Z220,0)</f>
        <v>340184</v>
      </c>
    </row>
    <row r="221" spans="1:29" ht="16.5" x14ac:dyDescent="0.2">
      <c r="A221" s="13">
        <v>198</v>
      </c>
      <c r="B221" s="13">
        <v>20</v>
      </c>
      <c r="C221" s="14">
        <f>INDEX(新属性投放!$L$6:$L$10,属性汇总!$B$3)*INDEX(新属性投放!$Q$6:$Q$10,属性汇总!$D$3)</f>
        <v>1.1499999999999999</v>
      </c>
      <c r="D221" s="14">
        <f>INDEX(新属性投放!J$14:J$34,属性汇总!$B221)*$C221</f>
        <v>54939.984999999986</v>
      </c>
      <c r="E221" s="14">
        <f>INDEX(新属性投放!K$14:K$34,属性汇总!$B221)*$C221</f>
        <v>27448.142499999994</v>
      </c>
      <c r="F221" s="14">
        <f>INDEX(新属性投放!L$14:L$34,属性汇总!$B221)*$C221</f>
        <v>164934.95499999996</v>
      </c>
      <c r="G221" s="14">
        <f>INDEX(新属性投放!D$14:D$34,属性汇总!$B221)*$C221</f>
        <v>1373.5024999999998</v>
      </c>
      <c r="H221" s="14">
        <f>INDEX(新属性投放!E$14:E$34,属性汇总!$B221)*$C221</f>
        <v>686.75124999999991</v>
      </c>
      <c r="I221" s="14">
        <f>INDEX(新属性投放!F$14:F$34,属性汇总!$B221)*$C221</f>
        <v>4120.5074999999997</v>
      </c>
      <c r="J221" s="14">
        <f>ROUND(D221+($A221-INDEX(新属性投放!$B$14:$B$34,属性汇总!$B221))*属性汇总!G221,0)</f>
        <v>65928</v>
      </c>
      <c r="K221" s="14">
        <f>ROUND(E221+($A221-INDEX(新属性投放!$B$14:$B$34,属性汇总!$B221))*属性汇总!H221,0)</f>
        <v>32942</v>
      </c>
      <c r="L221" s="14">
        <f>ROUND(F221+($A221-INDEX(新属性投放!$B$14:$B$34,属性汇总!$B221))*属性汇总!I221,0)</f>
        <v>197899</v>
      </c>
      <c r="R221" s="13">
        <v>198</v>
      </c>
      <c r="S221" s="13">
        <v>20</v>
      </c>
      <c r="T221" s="14">
        <f>INDEX(新属性投放!$L$6:$L$10,$S$3)*INDEX(新属性投放!$Q$6:$Q$10,$U$3)</f>
        <v>1.1499999999999999</v>
      </c>
      <c r="U221" s="14">
        <f>INDEX(新属性投放!J$42:J$62,属性汇总!$S221)*$T221</f>
        <v>55129.734999999986</v>
      </c>
      <c r="V221" s="14">
        <f>INDEX(新属性投放!K$42:K$62,属性汇总!$S221)*$T221</f>
        <v>27561.992499999993</v>
      </c>
      <c r="W221" s="14">
        <f>INDEX(新属性投放!L$42:L$62,属性汇总!$S221)*$T221</f>
        <v>296923.09999999998</v>
      </c>
      <c r="X221" s="14">
        <f>INDEX(新属性投放!$D$42:$D$62,属性汇总!$S221)*$T221</f>
        <v>1373.5024999999998</v>
      </c>
      <c r="Y221" s="14">
        <f>INDEX(新属性投放!$E$42:$E$62,属性汇总!$S221)*$T221</f>
        <v>686.75124999999991</v>
      </c>
      <c r="Z221" s="14">
        <f>INDEX(新属性投放!$F$42:$F$62,属性汇总!$S221)*$T221</f>
        <v>6180.0999999999995</v>
      </c>
      <c r="AA221" s="14">
        <f>ROUND(U221+($R221-INDEX(新属性投放!$B$42:$B$62,属性汇总!$S221))*属性汇总!X221,0)</f>
        <v>66118</v>
      </c>
      <c r="AB221" s="14">
        <f>ROUND(V221+($R221-INDEX(新属性投放!$B$42:$B$62,属性汇总!$S221))*属性汇总!Y221,0)</f>
        <v>33056</v>
      </c>
      <c r="AC221" s="14">
        <f>ROUND(W221+($R221-INDEX(新属性投放!$B$42:$B$62,属性汇总!$S221))*属性汇总!Z221,0)</f>
        <v>346364</v>
      </c>
    </row>
    <row r="222" spans="1:29" ht="16.5" x14ac:dyDescent="0.2">
      <c r="A222" s="13">
        <v>199</v>
      </c>
      <c r="B222" s="13">
        <v>20</v>
      </c>
      <c r="C222" s="14">
        <f>INDEX(新属性投放!$L$6:$L$10,属性汇总!$B$3)*INDEX(新属性投放!$Q$6:$Q$10,属性汇总!$D$3)</f>
        <v>1.1499999999999999</v>
      </c>
      <c r="D222" s="14">
        <f>INDEX(新属性投放!J$14:J$34,属性汇总!$B222)*$C222</f>
        <v>54939.984999999986</v>
      </c>
      <c r="E222" s="14">
        <f>INDEX(新属性投放!K$14:K$34,属性汇总!$B222)*$C222</f>
        <v>27448.142499999994</v>
      </c>
      <c r="F222" s="14">
        <f>INDEX(新属性投放!L$14:L$34,属性汇总!$B222)*$C222</f>
        <v>164934.95499999996</v>
      </c>
      <c r="G222" s="14">
        <f>INDEX(新属性投放!D$14:D$34,属性汇总!$B222)*$C222</f>
        <v>1373.5024999999998</v>
      </c>
      <c r="H222" s="14">
        <f>INDEX(新属性投放!E$14:E$34,属性汇总!$B222)*$C222</f>
        <v>686.75124999999991</v>
      </c>
      <c r="I222" s="14">
        <f>INDEX(新属性投放!F$14:F$34,属性汇总!$B222)*$C222</f>
        <v>4120.5074999999997</v>
      </c>
      <c r="J222" s="14">
        <f>ROUND(D222+($A222-INDEX(新属性投放!$B$14:$B$34,属性汇总!$B222))*属性汇总!G222,0)</f>
        <v>67302</v>
      </c>
      <c r="K222" s="14">
        <f>ROUND(E222+($A222-INDEX(新属性投放!$B$14:$B$34,属性汇总!$B222))*属性汇总!H222,0)</f>
        <v>33629</v>
      </c>
      <c r="L222" s="14">
        <f>ROUND(F222+($A222-INDEX(新属性投放!$B$14:$B$34,属性汇总!$B222))*属性汇总!I222,0)</f>
        <v>202020</v>
      </c>
      <c r="R222" s="13">
        <v>199</v>
      </c>
      <c r="S222" s="13">
        <v>20</v>
      </c>
      <c r="T222" s="14">
        <f>INDEX(新属性投放!$L$6:$L$10,$S$3)*INDEX(新属性投放!$Q$6:$Q$10,$U$3)</f>
        <v>1.1499999999999999</v>
      </c>
      <c r="U222" s="14">
        <f>INDEX(新属性投放!J$42:J$62,属性汇总!$S222)*$T222</f>
        <v>55129.734999999986</v>
      </c>
      <c r="V222" s="14">
        <f>INDEX(新属性投放!K$42:K$62,属性汇总!$S222)*$T222</f>
        <v>27561.992499999993</v>
      </c>
      <c r="W222" s="14">
        <f>INDEX(新属性投放!L$42:L$62,属性汇总!$S222)*$T222</f>
        <v>296923.09999999998</v>
      </c>
      <c r="X222" s="14">
        <f>INDEX(新属性投放!$D$42:$D$62,属性汇总!$S222)*$T222</f>
        <v>1373.5024999999998</v>
      </c>
      <c r="Y222" s="14">
        <f>INDEX(新属性投放!$E$42:$E$62,属性汇总!$S222)*$T222</f>
        <v>686.75124999999991</v>
      </c>
      <c r="Z222" s="14">
        <f>INDEX(新属性投放!$F$42:$F$62,属性汇总!$S222)*$T222</f>
        <v>6180.0999999999995</v>
      </c>
      <c r="AA222" s="14">
        <f>ROUND(U222+($R222-INDEX(新属性投放!$B$42:$B$62,属性汇总!$S222))*属性汇总!X222,0)</f>
        <v>67491</v>
      </c>
      <c r="AB222" s="14">
        <f>ROUND(V222+($R222-INDEX(新属性投放!$B$42:$B$62,属性汇总!$S222))*属性汇总!Y222,0)</f>
        <v>33743</v>
      </c>
      <c r="AC222" s="14">
        <f>ROUND(W222+($R222-INDEX(新属性投放!$B$42:$B$62,属性汇总!$S222))*属性汇总!Z222,0)</f>
        <v>352544</v>
      </c>
    </row>
    <row r="223" spans="1:29" ht="16.5" x14ac:dyDescent="0.2">
      <c r="A223" s="13">
        <v>200</v>
      </c>
      <c r="B223" s="13">
        <v>20</v>
      </c>
      <c r="C223" s="14">
        <f>INDEX(新属性投放!$L$6:$L$10,属性汇总!$B$3)*INDEX(新属性投放!$Q$6:$Q$10,属性汇总!$D$3)</f>
        <v>1.1499999999999999</v>
      </c>
      <c r="D223" s="14">
        <f>INDEX(新属性投放!J$14:J$34,属性汇总!$B223)*$C223</f>
        <v>54939.984999999986</v>
      </c>
      <c r="E223" s="14">
        <f>INDEX(新属性投放!K$14:K$34,属性汇总!$B223)*$C223</f>
        <v>27448.142499999994</v>
      </c>
      <c r="F223" s="14">
        <f>INDEX(新属性投放!L$14:L$34,属性汇总!$B223)*$C223</f>
        <v>164934.95499999996</v>
      </c>
      <c r="G223" s="14">
        <f>INDEX(新属性投放!D$14:D$34,属性汇总!$B223)*$C223</f>
        <v>1373.5024999999998</v>
      </c>
      <c r="H223" s="14">
        <f>INDEX(新属性投放!E$14:E$34,属性汇总!$B223)*$C223</f>
        <v>686.75124999999991</v>
      </c>
      <c r="I223" s="14">
        <f>INDEX(新属性投放!F$14:F$34,属性汇总!$B223)*$C223</f>
        <v>4120.5074999999997</v>
      </c>
      <c r="J223" s="14">
        <f>ROUND(D223+($A223-INDEX(新属性投放!$B$14:$B$34,属性汇总!$B223))*属性汇总!G223,0)</f>
        <v>68675</v>
      </c>
      <c r="K223" s="14">
        <f>ROUND(E223+($A223-INDEX(新属性投放!$B$14:$B$34,属性汇总!$B223))*属性汇总!H223,0)</f>
        <v>34316</v>
      </c>
      <c r="L223" s="14">
        <f>ROUND(F223+($A223-INDEX(新属性投放!$B$14:$B$34,属性汇总!$B223))*属性汇总!I223,0)</f>
        <v>206140</v>
      </c>
      <c r="R223" s="13">
        <v>200</v>
      </c>
      <c r="S223" s="13">
        <v>20</v>
      </c>
      <c r="T223" s="14">
        <f>INDEX(新属性投放!$L$6:$L$10,$S$3)*INDEX(新属性投放!$Q$6:$Q$10,$U$3)</f>
        <v>1.1499999999999999</v>
      </c>
      <c r="U223" s="14">
        <f>INDEX(新属性投放!J$42:J$62,属性汇总!$S223)*$T223</f>
        <v>55129.734999999986</v>
      </c>
      <c r="V223" s="14">
        <f>INDEX(新属性投放!K$42:K$62,属性汇总!$S223)*$T223</f>
        <v>27561.992499999993</v>
      </c>
      <c r="W223" s="14">
        <f>INDEX(新属性投放!L$42:L$62,属性汇总!$S223)*$T223</f>
        <v>296923.09999999998</v>
      </c>
      <c r="X223" s="14">
        <f>INDEX(新属性投放!$D$42:$D$62,属性汇总!$S223)*$T223</f>
        <v>1373.5024999999998</v>
      </c>
      <c r="Y223" s="14">
        <f>INDEX(新属性投放!$E$42:$E$62,属性汇总!$S223)*$T223</f>
        <v>686.75124999999991</v>
      </c>
      <c r="Z223" s="14">
        <f>INDEX(新属性投放!$F$42:$F$62,属性汇总!$S223)*$T223</f>
        <v>6180.0999999999995</v>
      </c>
      <c r="AA223" s="14">
        <f>ROUND(U223+($R223-INDEX(新属性投放!$B$42:$B$62,属性汇总!$S223))*属性汇总!X223,0)</f>
        <v>68865</v>
      </c>
      <c r="AB223" s="14">
        <f>ROUND(V223+($R223-INDEX(新属性投放!$B$42:$B$62,属性汇总!$S223))*属性汇总!Y223,0)</f>
        <v>34430</v>
      </c>
      <c r="AC223" s="14">
        <f>ROUND(W223+($R223-INDEX(新属性投放!$B$42:$B$62,属性汇总!$S223))*属性汇总!Z223,0)</f>
        <v>358724</v>
      </c>
    </row>
  </sheetData>
  <mergeCells count="2">
    <mergeCell ref="A2:L2"/>
    <mergeCell ref="R2:AC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B552"/>
  <sheetViews>
    <sheetView topLeftCell="EG1" zoomScaleNormal="100" workbookViewId="0">
      <selection activeCell="AH28" sqref="AH28"/>
    </sheetView>
  </sheetViews>
  <sheetFormatPr defaultRowHeight="14.25" x14ac:dyDescent="0.2"/>
  <cols>
    <col min="1" max="3" width="9" style="37"/>
    <col min="4" max="4" width="8.25" style="37" customWidth="1"/>
    <col min="5" max="5" width="9.25" style="37" customWidth="1"/>
    <col min="6" max="11" width="9" style="37"/>
    <col min="12" max="12" width="9.875" style="37" customWidth="1"/>
    <col min="13" max="40" width="9" style="37"/>
    <col min="41" max="41" width="7.75" style="37" customWidth="1"/>
    <col min="42" max="46" width="9" style="37"/>
    <col min="47" max="47" width="13.625" style="37" customWidth="1"/>
    <col min="48" max="50" width="9" style="37"/>
    <col min="51" max="51" width="9.625" style="37" customWidth="1"/>
    <col min="52" max="61" width="9" style="37"/>
    <col min="62" max="62" width="9.875" style="37" customWidth="1"/>
    <col min="63" max="70" width="9" style="37"/>
    <col min="71" max="71" width="10.25" style="20" customWidth="1"/>
    <col min="72" max="72" width="12" bestFit="1" customWidth="1"/>
    <col min="73" max="73" width="7.625" customWidth="1"/>
    <col min="74" max="74" width="10.5" customWidth="1"/>
    <col min="75" max="75" width="10.125" customWidth="1"/>
    <col min="76" max="76" width="17.25" customWidth="1"/>
    <col min="77" max="77" width="19.375" style="37" customWidth="1"/>
    <col min="80" max="80" width="9" style="20"/>
    <col min="89" max="89" width="9" style="37"/>
    <col min="93" max="94" width="9" style="37"/>
    <col min="95" max="95" width="10.375" customWidth="1"/>
    <col min="96" max="96" width="15.125" customWidth="1"/>
    <col min="97" max="97" width="39.75" customWidth="1"/>
    <col min="98" max="98" width="10.5" customWidth="1"/>
    <col min="100" max="104" width="9" style="37"/>
    <col min="108" max="108" width="9.625" customWidth="1"/>
    <col min="111" max="113" width="9" style="37"/>
    <col min="114" max="114" width="9" customWidth="1"/>
    <col min="118" max="118" width="9.5" customWidth="1"/>
    <col min="119" max="119" width="10" customWidth="1"/>
    <col min="120" max="120" width="10" style="37" customWidth="1"/>
    <col min="121" max="121" width="9.875" customWidth="1"/>
    <col min="122" max="122" width="10.75" customWidth="1"/>
    <col min="123" max="123" width="9.75" style="37" customWidth="1"/>
    <col min="124" max="124" width="12.625" customWidth="1"/>
    <col min="125" max="125" width="8.375" style="37" customWidth="1"/>
    <col min="126" max="128" width="7.25" style="37" customWidth="1"/>
    <col min="131" max="131" width="9" style="37"/>
    <col min="132" max="132" width="19" style="37" customWidth="1"/>
    <col min="133" max="134" width="9" style="37"/>
    <col min="136" max="136" width="16.625" style="37" customWidth="1"/>
    <col min="137" max="137" width="8.875" style="37" customWidth="1"/>
    <col min="139" max="139" width="11.625" customWidth="1"/>
    <col min="143" max="143" width="18.125" style="37" customWidth="1"/>
    <col min="144" max="144" width="8.375" style="37" customWidth="1"/>
    <col min="146" max="146" width="12.875" customWidth="1"/>
    <col min="147" max="147" width="10.625" customWidth="1"/>
    <col min="150" max="150" width="9" style="37"/>
    <col min="151" max="151" width="8.25" style="37" customWidth="1"/>
    <col min="152" max="152" width="19.875" style="37" customWidth="1"/>
    <col min="156" max="156" width="12.125" customWidth="1"/>
    <col min="157" max="157" width="9" style="37"/>
  </cols>
  <sheetData>
    <row r="2" spans="1:158" s="37" customFormat="1" x14ac:dyDescent="0.2">
      <c r="B2" s="37">
        <v>1.135</v>
      </c>
      <c r="AY2" s="37">
        <v>1800</v>
      </c>
      <c r="AZ2" s="37">
        <v>1800</v>
      </c>
      <c r="BA2" s="37">
        <v>2000</v>
      </c>
      <c r="BB2" s="37">
        <v>500</v>
      </c>
      <c r="BC2" s="37">
        <v>400</v>
      </c>
      <c r="BD2" s="37">
        <v>500</v>
      </c>
      <c r="BE2" s="37">
        <v>500</v>
      </c>
      <c r="BF2" s="37">
        <v>500</v>
      </c>
      <c r="BG2" s="37">
        <v>500</v>
      </c>
      <c r="BH2" s="37">
        <v>500</v>
      </c>
      <c r="BI2" s="37">
        <v>500</v>
      </c>
      <c r="BJ2" s="37">
        <v>500</v>
      </c>
    </row>
    <row r="3" spans="1:158" s="20" customFormat="1" ht="20.25" x14ac:dyDescent="0.2">
      <c r="A3" s="15" t="s">
        <v>597</v>
      </c>
      <c r="B3" s="14">
        <v>1</v>
      </c>
      <c r="C3" s="37"/>
      <c r="D3" s="37"/>
      <c r="E3" s="37"/>
      <c r="F3" s="37"/>
      <c r="G3" s="37"/>
      <c r="H3" s="37"/>
      <c r="I3" s="37"/>
      <c r="J3" s="37"/>
      <c r="K3" s="37"/>
      <c r="L3" s="15" t="s">
        <v>597</v>
      </c>
      <c r="M3" s="14">
        <f>0.35</f>
        <v>0.35</v>
      </c>
      <c r="N3" s="37"/>
      <c r="O3" s="37"/>
      <c r="P3" s="37"/>
      <c r="Q3" s="37"/>
      <c r="R3" s="37"/>
      <c r="S3" s="65" t="s">
        <v>752</v>
      </c>
      <c r="T3" s="65"/>
      <c r="U3" s="65"/>
      <c r="V3" s="65"/>
      <c r="W3" s="65"/>
      <c r="X3" s="65"/>
      <c r="Y3" s="65"/>
      <c r="Z3" s="37"/>
      <c r="AA3" s="37" t="s">
        <v>627</v>
      </c>
      <c r="AB3" s="37" t="s">
        <v>628</v>
      </c>
      <c r="AC3" s="37" t="s">
        <v>629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>
        <v>0.5</v>
      </c>
      <c r="AQ3" s="37">
        <v>0.5</v>
      </c>
      <c r="AR3" s="37"/>
      <c r="AS3" s="37"/>
      <c r="AT3" s="37"/>
      <c r="AU3" s="37"/>
      <c r="AV3" s="37"/>
      <c r="AW3" s="37"/>
      <c r="AX3" s="37"/>
      <c r="AY3" s="37" t="s">
        <v>712</v>
      </c>
      <c r="AZ3" s="37" t="s">
        <v>713</v>
      </c>
      <c r="BA3" s="37" t="s">
        <v>714</v>
      </c>
      <c r="BB3" s="37" t="s">
        <v>718</v>
      </c>
      <c r="BC3" s="37" t="s">
        <v>755</v>
      </c>
      <c r="BD3" s="37" t="s">
        <v>756</v>
      </c>
      <c r="BE3" s="37" t="s">
        <v>833</v>
      </c>
      <c r="BF3" s="37" t="s">
        <v>834</v>
      </c>
      <c r="BG3" s="37" t="s">
        <v>835</v>
      </c>
      <c r="BH3" s="37" t="s">
        <v>836</v>
      </c>
      <c r="BI3" s="37" t="s">
        <v>837</v>
      </c>
      <c r="BJ3" s="37" t="s">
        <v>838</v>
      </c>
      <c r="BK3" s="37"/>
      <c r="BL3" s="37"/>
      <c r="BM3" s="37"/>
      <c r="BN3" s="37"/>
      <c r="BO3" s="37"/>
      <c r="BP3" s="37"/>
      <c r="BQ3" s="37"/>
      <c r="BR3" s="37"/>
      <c r="BY3" s="37"/>
      <c r="CC3" s="20" t="s">
        <v>560</v>
      </c>
      <c r="CD3" s="20" t="s">
        <v>561</v>
      </c>
      <c r="CE3" s="20" t="s">
        <v>562</v>
      </c>
      <c r="CF3" s="20" t="s">
        <v>563</v>
      </c>
      <c r="CG3" s="20" t="s">
        <v>564</v>
      </c>
      <c r="CH3" s="20" t="s">
        <v>565</v>
      </c>
      <c r="CI3" s="20" t="s">
        <v>566</v>
      </c>
      <c r="CJ3" s="20" t="s">
        <v>567</v>
      </c>
      <c r="CK3" s="37"/>
      <c r="CO3" s="37"/>
      <c r="CP3" s="37"/>
      <c r="CV3" s="37"/>
      <c r="CW3" s="37"/>
      <c r="CX3" s="37"/>
      <c r="CY3" s="37"/>
      <c r="CZ3" s="37"/>
      <c r="DD3" s="20">
        <v>5</v>
      </c>
      <c r="DE3" s="20">
        <v>10</v>
      </c>
      <c r="DF3" s="20">
        <v>1</v>
      </c>
      <c r="DG3" s="37"/>
      <c r="DH3" s="37"/>
      <c r="DI3" s="37"/>
      <c r="DP3" s="37"/>
      <c r="DS3" s="37"/>
      <c r="DU3" s="37"/>
      <c r="DV3" s="37"/>
      <c r="DW3" s="37"/>
      <c r="DX3" s="37"/>
      <c r="EA3" s="37"/>
      <c r="EB3" s="37"/>
      <c r="EC3" s="37"/>
      <c r="ED3" s="37"/>
      <c r="EE3" s="65" t="s">
        <v>653</v>
      </c>
      <c r="EF3" s="65"/>
      <c r="EG3" s="65"/>
      <c r="EH3" s="65"/>
      <c r="EI3" s="65"/>
      <c r="EJ3" s="65"/>
      <c r="EL3" s="65" t="s">
        <v>667</v>
      </c>
      <c r="EM3" s="65"/>
      <c r="EN3" s="65"/>
      <c r="EO3" s="65"/>
      <c r="EP3" s="65"/>
      <c r="EQ3" s="65"/>
      <c r="ET3" s="64" t="s">
        <v>704</v>
      </c>
      <c r="EU3" s="64"/>
      <c r="EV3" s="64"/>
      <c r="EW3" s="64"/>
      <c r="EX3" s="64"/>
      <c r="EY3" s="64"/>
      <c r="EZ3" s="64"/>
      <c r="FA3" s="64"/>
      <c r="FB3" s="64"/>
    </row>
    <row r="4" spans="1:158" s="20" customFormat="1" ht="17.25" x14ac:dyDescent="0.2">
      <c r="A4" s="12" t="s">
        <v>592</v>
      </c>
      <c r="B4" s="12" t="s">
        <v>596</v>
      </c>
      <c r="C4" s="12" t="s">
        <v>598</v>
      </c>
      <c r="D4" s="12" t="s">
        <v>599</v>
      </c>
      <c r="E4" s="12" t="s">
        <v>593</v>
      </c>
      <c r="F4" s="12" t="s">
        <v>595</v>
      </c>
      <c r="G4" s="12" t="s">
        <v>594</v>
      </c>
      <c r="H4" s="12" t="s">
        <v>875</v>
      </c>
      <c r="I4" s="12" t="s">
        <v>872</v>
      </c>
      <c r="J4" s="12" t="s">
        <v>873</v>
      </c>
      <c r="K4" s="12" t="s">
        <v>623</v>
      </c>
      <c r="L4" s="12" t="s">
        <v>600</v>
      </c>
      <c r="M4" s="12" t="s">
        <v>601</v>
      </c>
      <c r="N4" s="12" t="s">
        <v>602</v>
      </c>
      <c r="O4" s="12" t="s">
        <v>876</v>
      </c>
      <c r="P4" s="12" t="s">
        <v>877</v>
      </c>
      <c r="Q4" s="12" t="s">
        <v>878</v>
      </c>
      <c r="R4" s="37"/>
      <c r="S4" s="37"/>
      <c r="T4" s="12" t="s">
        <v>743</v>
      </c>
      <c r="U4" s="12" t="s">
        <v>744</v>
      </c>
      <c r="V4" s="12" t="s">
        <v>745</v>
      </c>
      <c r="W4" s="12" t="s">
        <v>746</v>
      </c>
      <c r="X4" s="12" t="s">
        <v>747</v>
      </c>
      <c r="Y4" s="12" t="s">
        <v>748</v>
      </c>
      <c r="Z4" s="37"/>
      <c r="AA4" s="12" t="s">
        <v>613</v>
      </c>
      <c r="AB4" s="12" t="s">
        <v>609</v>
      </c>
      <c r="AC4" s="12" t="s">
        <v>610</v>
      </c>
      <c r="AD4" s="12" t="s">
        <v>611</v>
      </c>
      <c r="AE4" s="12" t="s">
        <v>612</v>
      </c>
      <c r="AF4" s="12" t="s">
        <v>625</v>
      </c>
      <c r="AG4" s="12" t="s">
        <v>626</v>
      </c>
      <c r="AH4" s="37"/>
      <c r="AI4" s="37"/>
      <c r="AJ4" s="12" t="s">
        <v>619</v>
      </c>
      <c r="AK4" s="12" t="s">
        <v>617</v>
      </c>
      <c r="AL4" s="12" t="s">
        <v>618</v>
      </c>
      <c r="AM4" s="37"/>
      <c r="AN4" s="12" t="s">
        <v>642</v>
      </c>
      <c r="AO4" s="12" t="s">
        <v>908</v>
      </c>
      <c r="AP4" s="12" t="s">
        <v>640</v>
      </c>
      <c r="AQ4" s="12" t="s">
        <v>641</v>
      </c>
      <c r="AR4" s="37"/>
      <c r="AS4" s="37"/>
      <c r="AT4" s="12" t="s">
        <v>719</v>
      </c>
      <c r="AU4" s="12" t="s">
        <v>642</v>
      </c>
      <c r="AV4" s="12" t="s">
        <v>710</v>
      </c>
      <c r="AW4" s="12" t="s">
        <v>709</v>
      </c>
      <c r="AX4" s="12" t="s">
        <v>708</v>
      </c>
      <c r="AY4" s="12" t="s">
        <v>705</v>
      </c>
      <c r="AZ4" s="12" t="s">
        <v>706</v>
      </c>
      <c r="BA4" s="12" t="s">
        <v>707</v>
      </c>
      <c r="BB4" s="12" t="s">
        <v>715</v>
      </c>
      <c r="BC4" s="12" t="s">
        <v>716</v>
      </c>
      <c r="BD4" s="12" t="s">
        <v>717</v>
      </c>
      <c r="BE4" s="12" t="s">
        <v>823</v>
      </c>
      <c r="BF4" s="12" t="s">
        <v>831</v>
      </c>
      <c r="BG4" s="12" t="s">
        <v>825</v>
      </c>
      <c r="BH4" s="12" t="s">
        <v>824</v>
      </c>
      <c r="BI4" s="12" t="s">
        <v>55</v>
      </c>
      <c r="BJ4" s="12" t="s">
        <v>832</v>
      </c>
      <c r="BK4" s="12"/>
      <c r="BL4" s="37"/>
      <c r="BM4" s="12" t="s">
        <v>736</v>
      </c>
      <c r="BN4" s="12" t="s">
        <v>737</v>
      </c>
      <c r="BO4" s="12" t="s">
        <v>738</v>
      </c>
      <c r="BP4" s="12" t="s">
        <v>739</v>
      </c>
      <c r="BQ4" s="37"/>
      <c r="BR4" s="12" t="s">
        <v>572</v>
      </c>
      <c r="BS4" s="12" t="s">
        <v>546</v>
      </c>
      <c r="BT4" s="12" t="s">
        <v>547</v>
      </c>
      <c r="BU4" s="12" t="s">
        <v>548</v>
      </c>
      <c r="BV4" s="12" t="s">
        <v>550</v>
      </c>
      <c r="BW4" s="12" t="s">
        <v>569</v>
      </c>
      <c r="BX4" s="12" t="s">
        <v>568</v>
      </c>
      <c r="BY4" s="12" t="s">
        <v>577</v>
      </c>
      <c r="BZ4" s="12" t="s">
        <v>549</v>
      </c>
      <c r="CA4" s="12" t="s">
        <v>559</v>
      </c>
      <c r="CB4" s="12" t="s">
        <v>570</v>
      </c>
      <c r="CC4" s="12" t="s">
        <v>551</v>
      </c>
      <c r="CD4" s="12" t="s">
        <v>552</v>
      </c>
      <c r="CE4" s="12" t="s">
        <v>553</v>
      </c>
      <c r="CF4" s="12" t="s">
        <v>554</v>
      </c>
      <c r="CG4" s="12" t="s">
        <v>555</v>
      </c>
      <c r="CH4" s="12" t="s">
        <v>556</v>
      </c>
      <c r="CI4" s="12" t="s">
        <v>557</v>
      </c>
      <c r="CJ4" s="12" t="s">
        <v>558</v>
      </c>
      <c r="CK4" s="37"/>
      <c r="CM4" s="12" t="s">
        <v>545</v>
      </c>
      <c r="CN4" s="12" t="s">
        <v>571</v>
      </c>
      <c r="CO4" s="12" t="s">
        <v>575</v>
      </c>
      <c r="CP4" s="12" t="s">
        <v>759</v>
      </c>
      <c r="CQ4" s="12" t="s">
        <v>574</v>
      </c>
      <c r="CR4" s="12" t="s">
        <v>541</v>
      </c>
      <c r="CS4" s="12" t="s">
        <v>542</v>
      </c>
      <c r="CT4" s="12" t="s">
        <v>544</v>
      </c>
      <c r="CU4" s="12" t="s">
        <v>543</v>
      </c>
      <c r="CV4" s="12" t="s">
        <v>632</v>
      </c>
      <c r="CW4" s="12" t="s">
        <v>633</v>
      </c>
      <c r="CX4" s="12" t="s">
        <v>573</v>
      </c>
      <c r="CY4" s="12" t="s">
        <v>703</v>
      </c>
      <c r="CZ4" s="12" t="s">
        <v>760</v>
      </c>
      <c r="DA4" s="12" t="s">
        <v>614</v>
      </c>
      <c r="DB4" s="12" t="s">
        <v>615</v>
      </c>
      <c r="DC4" s="12" t="s">
        <v>616</v>
      </c>
      <c r="DD4" s="12" t="s">
        <v>624</v>
      </c>
      <c r="DE4" s="12" t="s">
        <v>874</v>
      </c>
      <c r="DF4" s="12" t="s">
        <v>594</v>
      </c>
      <c r="DG4" s="12" t="s">
        <v>740</v>
      </c>
      <c r="DH4" s="12" t="s">
        <v>734</v>
      </c>
      <c r="DI4" s="12" t="s">
        <v>735</v>
      </c>
      <c r="DL4" s="12" t="s">
        <v>625</v>
      </c>
      <c r="DM4" s="12" t="s">
        <v>630</v>
      </c>
      <c r="DN4" s="12" t="s">
        <v>631</v>
      </c>
      <c r="DO4" s="12" t="s">
        <v>634</v>
      </c>
      <c r="DP4" s="12" t="s">
        <v>635</v>
      </c>
      <c r="DQ4" s="12" t="s">
        <v>636</v>
      </c>
      <c r="DR4" s="12" t="s">
        <v>637</v>
      </c>
      <c r="DS4" s="12" t="s">
        <v>638</v>
      </c>
      <c r="DT4" s="12" t="s">
        <v>639</v>
      </c>
      <c r="DU4" s="12" t="s">
        <v>741</v>
      </c>
      <c r="DV4" s="12" t="s">
        <v>742</v>
      </c>
      <c r="DW4" s="12" t="s">
        <v>757</v>
      </c>
      <c r="DX4" s="12" t="s">
        <v>754</v>
      </c>
      <c r="EA4" s="12" t="s">
        <v>674</v>
      </c>
      <c r="EB4" s="12" t="s">
        <v>671</v>
      </c>
      <c r="EC4" s="37"/>
      <c r="ED4" s="37"/>
      <c r="EE4" s="12" t="s">
        <v>644</v>
      </c>
      <c r="EF4" s="12" t="s">
        <v>672</v>
      </c>
      <c r="EG4" s="12" t="s">
        <v>673</v>
      </c>
      <c r="EH4" s="12" t="s">
        <v>645</v>
      </c>
      <c r="EI4" s="12" t="s">
        <v>646</v>
      </c>
      <c r="EJ4" s="12" t="s">
        <v>647</v>
      </c>
      <c r="EL4" s="12" t="s">
        <v>644</v>
      </c>
      <c r="EM4" s="12" t="s">
        <v>670</v>
      </c>
      <c r="EN4" s="12" t="s">
        <v>673</v>
      </c>
      <c r="EO4" s="12" t="s">
        <v>645</v>
      </c>
      <c r="EP4" s="12" t="s">
        <v>646</v>
      </c>
      <c r="EQ4" s="12" t="s">
        <v>647</v>
      </c>
      <c r="ET4" s="12" t="s">
        <v>720</v>
      </c>
      <c r="EU4" s="12" t="s">
        <v>725</v>
      </c>
      <c r="EV4" s="12" t="s">
        <v>726</v>
      </c>
      <c r="EW4" s="12" t="s">
        <v>711</v>
      </c>
      <c r="EX4" s="12" t="s">
        <v>721</v>
      </c>
      <c r="EY4" s="12" t="s">
        <v>722</v>
      </c>
      <c r="EZ4" s="12" t="s">
        <v>723</v>
      </c>
      <c r="FA4" s="12" t="s">
        <v>724</v>
      </c>
      <c r="FB4" s="12" t="s">
        <v>724</v>
      </c>
    </row>
    <row r="5" spans="1:158" s="20" customFormat="1" ht="16.5" x14ac:dyDescent="0.2">
      <c r="A5" s="13">
        <v>1</v>
      </c>
      <c r="B5" s="13">
        <v>1</v>
      </c>
      <c r="C5" s="13">
        <v>3</v>
      </c>
      <c r="D5" s="13">
        <v>30</v>
      </c>
      <c r="E5" s="13">
        <f>ROUND(INDEX(新属性投放!J$14:J$35,装备!$C5)*装备!$B$3/$D5,0)</f>
        <v>9</v>
      </c>
      <c r="F5" s="13">
        <f t="shared" ref="F5:F16" si="0">E5/2</f>
        <v>4.5</v>
      </c>
      <c r="G5" s="13">
        <f>ROUND(INDEX(新属性投放!L$14:L$35,装备!$C5)*装备!$B$3/$D5,0)</f>
        <v>31</v>
      </c>
      <c r="H5" s="13">
        <v>9</v>
      </c>
      <c r="I5" s="13">
        <v>4</v>
      </c>
      <c r="J5" s="13">
        <v>30</v>
      </c>
      <c r="K5" s="13">
        <v>0.35</v>
      </c>
      <c r="L5" s="13">
        <f>E5*$K5*$D5</f>
        <v>94.5</v>
      </c>
      <c r="M5" s="13">
        <f>F5*$K5*$D5</f>
        <v>47.25</v>
      </c>
      <c r="N5" s="13">
        <f>G5*$K5*$D5</f>
        <v>325.5</v>
      </c>
      <c r="O5" s="13">
        <v>90</v>
      </c>
      <c r="P5" s="13">
        <v>45</v>
      </c>
      <c r="Q5" s="13">
        <v>300</v>
      </c>
      <c r="R5" s="37"/>
      <c r="S5" s="15" t="s">
        <v>445</v>
      </c>
      <c r="T5" s="13">
        <v>5</v>
      </c>
      <c r="U5" s="13">
        <v>10</v>
      </c>
      <c r="V5" s="13">
        <v>15</v>
      </c>
      <c r="W5" s="13">
        <v>30</v>
      </c>
      <c r="X5" s="13">
        <v>45</v>
      </c>
      <c r="Y5" s="13">
        <v>75</v>
      </c>
      <c r="Z5" s="37"/>
      <c r="AA5" s="13">
        <v>1</v>
      </c>
      <c r="AB5" s="13" t="s">
        <v>560</v>
      </c>
      <c r="AC5" s="28">
        <v>0.6</v>
      </c>
      <c r="AD5" s="13"/>
      <c r="AE5" s="13"/>
      <c r="AF5" s="13">
        <v>1</v>
      </c>
      <c r="AG5" s="13"/>
      <c r="AH5" s="37"/>
      <c r="AI5" s="37"/>
      <c r="AJ5" s="13">
        <v>1</v>
      </c>
      <c r="AK5" s="13" t="s">
        <v>620</v>
      </c>
      <c r="AL5" s="28">
        <v>0.5</v>
      </c>
      <c r="AM5" s="37"/>
      <c r="AN5" s="13" t="s">
        <v>862</v>
      </c>
      <c r="AO5" s="13">
        <v>4</v>
      </c>
      <c r="AP5" s="14">
        <f>INT(INDEX(新属性投放!$J$14:$J$35,装备!AO5)*AP$3)</f>
        <v>231</v>
      </c>
      <c r="AQ5" s="14">
        <f>INT(INDEX(新属性投放!$L$14:$L$35,装备!AO5)*AQ$3)</f>
        <v>744</v>
      </c>
      <c r="AR5" s="37"/>
      <c r="AS5" s="37"/>
      <c r="AT5" s="13">
        <v>11</v>
      </c>
      <c r="AU5" s="13" t="s">
        <v>826</v>
      </c>
      <c r="AV5" s="13">
        <v>2</v>
      </c>
      <c r="AW5" s="13">
        <v>2</v>
      </c>
      <c r="AX5" s="40">
        <v>0.35</v>
      </c>
      <c r="AY5" s="13">
        <f>ROUND(INDEX($D$5:$D$16,AV5)*E5*$AX5/8,0)</f>
        <v>24</v>
      </c>
      <c r="AZ5" s="13">
        <f>ROUND(INDEX($D$5:$D$16,AW5)*F5*$AX5/8,0)</f>
        <v>12</v>
      </c>
      <c r="BA5" s="13">
        <f>ROUND(INDEX($D$5:$D$16,AX5)*G5*$AX5/8,0)</f>
        <v>41</v>
      </c>
      <c r="BB5" s="28">
        <v>0.04</v>
      </c>
      <c r="BC5" s="28">
        <v>0.04</v>
      </c>
      <c r="BD5" s="28">
        <v>0.04</v>
      </c>
      <c r="BE5" s="28">
        <v>0.03</v>
      </c>
      <c r="BF5" s="28">
        <v>0.08</v>
      </c>
      <c r="BG5" s="28">
        <v>0.03</v>
      </c>
      <c r="BH5" s="28">
        <v>0.03</v>
      </c>
      <c r="BI5" s="28">
        <v>0.05</v>
      </c>
      <c r="BJ5" s="28">
        <v>0.05</v>
      </c>
      <c r="BK5" s="28"/>
      <c r="BL5" s="37"/>
      <c r="BM5" s="13">
        <v>0</v>
      </c>
      <c r="BN5" s="13">
        <v>0</v>
      </c>
      <c r="BO5" s="13">
        <v>1</v>
      </c>
      <c r="BP5" s="13">
        <v>2</v>
      </c>
      <c r="BQ5" s="37"/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/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37"/>
      <c r="CM5" s="13">
        <v>1</v>
      </c>
      <c r="CN5" s="14">
        <f>MATCH(CM5-1,$CB$5:$CB$81,1)</f>
        <v>1</v>
      </c>
      <c r="CO5" s="14">
        <f>INDEX($BW$6:$BW$81,CN5)</f>
        <v>1</v>
      </c>
      <c r="CP5" s="14">
        <f>CM5-INDEX($CB$5:$CB$81,CN5)</f>
        <v>1</v>
      </c>
      <c r="CQ5" s="14">
        <f t="shared" ref="CQ5:CQ68" si="1">INDEX($BS$6:$BS$81,CN5)</f>
        <v>1</v>
      </c>
      <c r="CR5" s="14">
        <f t="shared" ref="CR5:CR68" si="2">INDEX($BX$6:$BX$81,CN5)+CX5</f>
        <v>2011011</v>
      </c>
      <c r="CS5" s="13" t="str">
        <f t="shared" ref="CS5:CS68" si="3">INDEX($BY$6:$BY$81,CN5)&amp;"-"&amp;INDEX($CC$3:$CJ$3,CX5)</f>
        <v>30级寄灵人绿色-武器</v>
      </c>
      <c r="CT5" s="14">
        <f t="shared" ref="CT5:CT68" si="4">INDEX($BV$6:$BV$81,CN5)</f>
        <v>1</v>
      </c>
      <c r="CU5" s="14">
        <f t="shared" ref="CU5:CU68" si="5">INDEX($BU$6:$BU$81,CN5)</f>
        <v>1</v>
      </c>
      <c r="CV5" s="14">
        <f>INDEX($D$5:$D$16,(CT5-1)*6+CQ5)</f>
        <v>30</v>
      </c>
      <c r="CW5" s="14">
        <f>INDEX($D$5:$D$16,(CT5-1)*6+CQ5)</f>
        <v>30</v>
      </c>
      <c r="CX5" s="14">
        <f>INDEX($CC$6:$CJ$81,CN5,CP5)</f>
        <v>1</v>
      </c>
      <c r="CY5" s="14" t="str">
        <f>IF(INDEX($BZ$6:$BZ$81,CN5)&gt;0,INDEX($BZ$6:$BZ$81,CN5),"")</f>
        <v/>
      </c>
      <c r="CZ5" s="14">
        <f>INT(SUMPRODUCT($DD$3:$DF$3,DD5:DF5))</f>
        <v>13</v>
      </c>
      <c r="DA5" s="14">
        <f>ROUND(INDEX(O$5:O$16,($CT5-1)*6+$CQ5)*INDEX(AC$5:AC$12,$CX5)*INDEX($AL$5:$AL$8,$CU5),0)</f>
        <v>27</v>
      </c>
      <c r="DB5" s="14">
        <f>ROUND(INDEX(P$5:P$16,($CT5-1)*6+$CQ5)*INDEX(AD$5:AD$12,$CX5)*INDEX($AL$5:$AL$8,$CU5),0)</f>
        <v>0</v>
      </c>
      <c r="DC5" s="14">
        <f>ROUND(INDEX(Q$5:Q$16,($CT5-1)*6+$CQ5)*INDEX(AE$5:AE$12,$CX5)*INDEX($AL$5:$AL$8,$CU5),0)</f>
        <v>0</v>
      </c>
      <c r="DD5" s="14">
        <f>ROUND(INDEX(H$5:H$16,($CT5-1)*6+$CQ5)*INDEX(AC$5:AC$12,$CX5) * INDEX($AL$5:$AL$8,$CU5),2)</f>
        <v>2.7</v>
      </c>
      <c r="DE5" s="14">
        <f>ROUND(INDEX(I$5:I$16,($CT5-1)*6+$CQ5)*INDEX(AD$5:AD$12,$CX5) * INDEX($AL$5:$AL$8,$CU5),2)</f>
        <v>0</v>
      </c>
      <c r="DF5" s="14">
        <f>ROUND(INDEX(J$5:J$16,($CT5-1)*6+$CQ5)*INDEX(AE$5:AE$12,$CX5) * INDEX($AL$5:$AL$8,$CU5),2)</f>
        <v>0</v>
      </c>
      <c r="DG5" s="14">
        <f>(CQ5-1)*4+CU5</f>
        <v>1</v>
      </c>
      <c r="DH5" s="14">
        <f>INDEX($BM$5:$BP$16,CQ5,CU5)</f>
        <v>0</v>
      </c>
      <c r="DI5" s="14">
        <f>CT5*10+CQ5</f>
        <v>11</v>
      </c>
      <c r="DL5" s="14">
        <f t="shared" ref="DL5:DL68" si="6">INDEX(AF$5:AF$12,$CX5)</f>
        <v>1</v>
      </c>
      <c r="DM5" s="14">
        <f t="shared" ref="DM5:DM68" si="7">INDEX(AG$5:AG$12,$CX5)</f>
        <v>0</v>
      </c>
      <c r="DN5" s="14" t="str">
        <f>INDEX($AA$3:$AC$3,DL5)</f>
        <v>AtkExt</v>
      </c>
      <c r="DO5" s="14">
        <f>INDEX(DA5:DC5,DL5)</f>
        <v>27</v>
      </c>
      <c r="DP5" s="14">
        <f>INDEX(DD5:DF5,DL5)</f>
        <v>2.7</v>
      </c>
      <c r="DQ5" s="14" t="str">
        <f>IF(DM5&gt;0,INDEX($AA$3:$AC$3,DM5),"")</f>
        <v/>
      </c>
      <c r="DR5" s="14" t="str">
        <f>IF(DM5&gt;0,INDEX(DA5:DC5,DM5),"")</f>
        <v/>
      </c>
      <c r="DS5" s="14" t="str">
        <f>IF(DM5&gt;0,INDEX(DD5:DF5,DM5),"")</f>
        <v/>
      </c>
      <c r="DT5" s="14">
        <f>(CQ5-1)*4+CU5</f>
        <v>1</v>
      </c>
      <c r="DU5" s="14">
        <f>INDEX($BM$5:$BP$16,CQ5,CU5)</f>
        <v>0</v>
      </c>
      <c r="DV5" s="14">
        <f>CT5*10+CQ5</f>
        <v>11</v>
      </c>
      <c r="DW5" s="29" t="s">
        <v>758</v>
      </c>
      <c r="DX5" s="14">
        <f>INDEX($T$5:$Y$8,CU5,CQ5)</f>
        <v>5</v>
      </c>
      <c r="EA5" s="13">
        <v>1011</v>
      </c>
      <c r="EB5" s="13" t="s">
        <v>675</v>
      </c>
      <c r="EC5" s="37"/>
      <c r="ED5" s="37"/>
      <c r="EE5" s="13">
        <v>1</v>
      </c>
      <c r="EF5" s="13" t="s">
        <v>689</v>
      </c>
      <c r="EG5" s="13">
        <v>1</v>
      </c>
      <c r="EH5" s="13">
        <v>2</v>
      </c>
      <c r="EI5" s="13" t="s">
        <v>648</v>
      </c>
      <c r="EJ5" s="13">
        <f>AP5</f>
        <v>231</v>
      </c>
      <c r="EL5" s="13">
        <v>1</v>
      </c>
      <c r="EM5" s="13" t="s">
        <v>675</v>
      </c>
      <c r="EN5" s="13">
        <v>1</v>
      </c>
      <c r="EO5" s="13">
        <v>2</v>
      </c>
      <c r="EP5" s="13" t="s">
        <v>648</v>
      </c>
      <c r="EQ5" s="13">
        <f>AP11</f>
        <v>314</v>
      </c>
      <c r="ET5" s="13">
        <v>1</v>
      </c>
      <c r="EU5" s="13">
        <f>INT((ET5-1)/12)+1</f>
        <v>1</v>
      </c>
      <c r="EV5" s="13" t="str">
        <f>INDEX($AU$5:$AU$16,EU5)&amp;"洗练-"&amp;EX5</f>
        <v>30级寄灵人洗练-1</v>
      </c>
      <c r="EW5" s="13">
        <f>INDEX($AT$5:$AT$16,EU5)</f>
        <v>11</v>
      </c>
      <c r="EX5" s="13">
        <f>MOD(ET5-1,12)+1</f>
        <v>1</v>
      </c>
      <c r="EY5" s="13">
        <f>INDEX($AY$2:$BJ$2,EX5)</f>
        <v>1800</v>
      </c>
      <c r="EZ5" s="13" t="str">
        <f>INDEX($AY$3:$BJ$3,EX5)</f>
        <v>AtkExt</v>
      </c>
      <c r="FA5" s="13">
        <f>IF(FB5&gt;1,INT(FB5*0.35),ROUND(FB5*0.35,3))</f>
        <v>8</v>
      </c>
      <c r="FB5" s="13">
        <f>INDEX($AY$5:$BJ$16,EU5,EX5)</f>
        <v>24</v>
      </c>
    </row>
    <row r="6" spans="1:158" s="20" customFormat="1" ht="16.5" x14ac:dyDescent="0.2">
      <c r="A6" s="13">
        <v>2</v>
      </c>
      <c r="B6" s="13">
        <v>1</v>
      </c>
      <c r="C6" s="13">
        <v>6</v>
      </c>
      <c r="D6" s="13">
        <v>60</v>
      </c>
      <c r="E6" s="13">
        <f>ROUND(INDEX(新属性投放!J$14:J$35,装备!$C6)*装备!$B$3/$D6,0)</f>
        <v>17</v>
      </c>
      <c r="F6" s="13">
        <f t="shared" si="0"/>
        <v>8.5</v>
      </c>
      <c r="G6" s="13">
        <f>ROUND(INDEX(新属性投放!L$14:L$35,装备!$C6)*装备!$B$3/$D6,0)</f>
        <v>53</v>
      </c>
      <c r="H6" s="13">
        <v>12</v>
      </c>
      <c r="I6" s="13">
        <v>6</v>
      </c>
      <c r="J6" s="13">
        <v>36</v>
      </c>
      <c r="K6" s="13">
        <v>0.3</v>
      </c>
      <c r="L6" s="13">
        <f t="shared" ref="L6:L16" si="8">E6*$K6*$D6</f>
        <v>306</v>
      </c>
      <c r="M6" s="13">
        <f t="shared" ref="M6:M16" si="9">F6*$K6*$D6</f>
        <v>153</v>
      </c>
      <c r="N6" s="13">
        <f t="shared" ref="N6:N16" si="10">G6*$K6*$D6</f>
        <v>953.99999999999989</v>
      </c>
      <c r="O6" s="13">
        <v>220</v>
      </c>
      <c r="P6" s="13">
        <v>110</v>
      </c>
      <c r="Q6" s="13">
        <v>650</v>
      </c>
      <c r="R6" s="37"/>
      <c r="S6" s="15" t="s">
        <v>753</v>
      </c>
      <c r="T6" s="13">
        <v>15</v>
      </c>
      <c r="U6" s="13">
        <v>30</v>
      </c>
      <c r="V6" s="13">
        <v>45</v>
      </c>
      <c r="W6" s="13">
        <v>90</v>
      </c>
      <c r="X6" s="13">
        <v>135</v>
      </c>
      <c r="Y6" s="13">
        <v>225</v>
      </c>
      <c r="Z6" s="37"/>
      <c r="AA6" s="13">
        <v>2</v>
      </c>
      <c r="AB6" s="13" t="s">
        <v>603</v>
      </c>
      <c r="AC6" s="13"/>
      <c r="AD6" s="28">
        <v>0.3</v>
      </c>
      <c r="AE6" s="13"/>
      <c r="AF6" s="13">
        <v>2</v>
      </c>
      <c r="AG6" s="13"/>
      <c r="AH6" s="37"/>
      <c r="AI6" s="37"/>
      <c r="AJ6" s="13">
        <v>2</v>
      </c>
      <c r="AK6" s="13" t="s">
        <v>621</v>
      </c>
      <c r="AL6" s="28">
        <v>0.75</v>
      </c>
      <c r="AM6" s="37"/>
      <c r="AN6" s="13" t="s">
        <v>864</v>
      </c>
      <c r="AO6" s="13">
        <v>7</v>
      </c>
      <c r="AP6" s="14">
        <f>INT(INDEX(新属性投放!$J$14:$J$35,装备!AO6)*AP$3)</f>
        <v>700</v>
      </c>
      <c r="AQ6" s="14">
        <f>INT(INDEX(新属性投放!$L$14:$L$35,装备!AO6)*AQ$3)</f>
        <v>2151</v>
      </c>
      <c r="AR6" s="37"/>
      <c r="AS6" s="37"/>
      <c r="AT6" s="13">
        <v>12</v>
      </c>
      <c r="AU6" s="13" t="s">
        <v>827</v>
      </c>
      <c r="AV6" s="13">
        <v>2</v>
      </c>
      <c r="AW6" s="13">
        <v>3</v>
      </c>
      <c r="AX6" s="40">
        <v>0.35</v>
      </c>
      <c r="AY6" s="13">
        <f t="shared" ref="AY6:AY16" si="11">ROUND(INDEX($D$5:$D$16,AV6)*E6*$AX6/8,0)</f>
        <v>45</v>
      </c>
      <c r="AZ6" s="13">
        <f t="shared" ref="AZ6:AZ16" si="12">ROUND(INDEX($D$5:$D$16,AW6)*F6*$AX6/8,0)</f>
        <v>33</v>
      </c>
      <c r="BA6" s="13">
        <f t="shared" ref="BA6:BA16" si="13">ROUND(INDEX($D$5:$D$16,AX6)*G6*$AX6/8,0)</f>
        <v>139</v>
      </c>
      <c r="BB6" s="28">
        <v>0.04</v>
      </c>
      <c r="BC6" s="28">
        <v>0.04</v>
      </c>
      <c r="BD6" s="28">
        <v>0.04</v>
      </c>
      <c r="BE6" s="28">
        <v>0.03</v>
      </c>
      <c r="BF6" s="28">
        <v>0.08</v>
      </c>
      <c r="BG6" s="28">
        <v>0.03</v>
      </c>
      <c r="BH6" s="28">
        <v>0.03</v>
      </c>
      <c r="BI6" s="28">
        <v>0.05</v>
      </c>
      <c r="BJ6" s="28">
        <v>0.05</v>
      </c>
      <c r="BK6" s="28"/>
      <c r="BL6" s="37"/>
      <c r="BM6" s="13">
        <v>0</v>
      </c>
      <c r="BN6" s="13">
        <v>0</v>
      </c>
      <c r="BO6" s="13">
        <v>2</v>
      </c>
      <c r="BP6" s="13">
        <v>3</v>
      </c>
      <c r="BQ6" s="37"/>
      <c r="BR6" s="13">
        <v>1</v>
      </c>
      <c r="BS6" s="13">
        <v>1</v>
      </c>
      <c r="BT6" s="13">
        <v>20</v>
      </c>
      <c r="BU6" s="13">
        <v>1</v>
      </c>
      <c r="BV6" s="13">
        <v>1</v>
      </c>
      <c r="BW6" s="13">
        <v>1</v>
      </c>
      <c r="BX6" s="13">
        <f>BW6*10+BU6*1000+BS6*10000+2000000</f>
        <v>2011010</v>
      </c>
      <c r="BY6" s="13" t="s">
        <v>761</v>
      </c>
      <c r="BZ6" s="13"/>
      <c r="CA6" s="13">
        <v>8</v>
      </c>
      <c r="CB6" s="13">
        <f>SUM(CA$6:CA6)</f>
        <v>8</v>
      </c>
      <c r="CC6" s="13">
        <v>1</v>
      </c>
      <c r="CD6" s="13">
        <v>2</v>
      </c>
      <c r="CE6" s="13">
        <v>3</v>
      </c>
      <c r="CF6" s="13">
        <v>4</v>
      </c>
      <c r="CG6" s="13">
        <v>5</v>
      </c>
      <c r="CH6" s="13">
        <v>6</v>
      </c>
      <c r="CI6" s="13">
        <v>7</v>
      </c>
      <c r="CJ6" s="13">
        <v>8</v>
      </c>
      <c r="CK6" s="37"/>
      <c r="CM6" s="13">
        <v>2</v>
      </c>
      <c r="CN6" s="14">
        <f t="shared" ref="CN6:CN69" si="14">MATCH(CM6-1,$CB$5:$CB$81,1)</f>
        <v>1</v>
      </c>
      <c r="CO6" s="14">
        <f t="shared" ref="CO6:CO69" si="15">INDEX($BW$6:$BW$81,CN6)</f>
        <v>1</v>
      </c>
      <c r="CP6" s="14">
        <f t="shared" ref="CP6:CP69" si="16">CM6-INDEX($CB$5:$CB$81,CN6)</f>
        <v>2</v>
      </c>
      <c r="CQ6" s="14">
        <f t="shared" si="1"/>
        <v>1</v>
      </c>
      <c r="CR6" s="14">
        <f t="shared" si="2"/>
        <v>2011012</v>
      </c>
      <c r="CS6" s="13" t="str">
        <f t="shared" si="3"/>
        <v>30级寄灵人绿色-头盔</v>
      </c>
      <c r="CT6" s="14">
        <f t="shared" si="4"/>
        <v>1</v>
      </c>
      <c r="CU6" s="14">
        <f t="shared" si="5"/>
        <v>1</v>
      </c>
      <c r="CV6" s="14">
        <f t="shared" ref="CV6:CV69" si="17">INDEX($D$5:$D$16,(CT6-1)*6+CQ6)</f>
        <v>30</v>
      </c>
      <c r="CW6" s="14">
        <f t="shared" ref="CW6:CW69" si="18">INDEX($D$5:$D$16,(CT6-1)*6+CQ6)</f>
        <v>30</v>
      </c>
      <c r="CX6" s="14">
        <f t="shared" ref="CX6:CX69" si="19">INDEX($CC$6:$CJ$81,CN6,CP6)</f>
        <v>2</v>
      </c>
      <c r="CY6" s="14" t="str">
        <f t="shared" ref="CY6:CY69" si="20">IF(INDEX($BZ$6:$BZ$81,CN6)&gt;0,INDEX($BZ$6:$BZ$81,CN6),"")</f>
        <v/>
      </c>
      <c r="CZ6" s="14">
        <f t="shared" ref="CZ6:CZ69" si="21">INT(SUMPRODUCT($DD$3:$DF$3,DD6:DF6))</f>
        <v>6</v>
      </c>
      <c r="DA6" s="14">
        <f t="shared" ref="DA6:DA69" si="22">ROUND(INDEX(O$5:O$16,($CT6-1)*6+$CQ6)*INDEX(AC$5:AC$12,$CX6)*INDEX($AL$5:$AL$8,$CU6),0)</f>
        <v>0</v>
      </c>
      <c r="DB6" s="14">
        <f t="shared" ref="DB6:DB69" si="23">ROUND(INDEX(P$5:P$16,($CT6-1)*6+$CQ6)*INDEX(AD$5:AD$12,$CX6)*INDEX($AL$5:$AL$8,$CU6),0)</f>
        <v>7</v>
      </c>
      <c r="DC6" s="14">
        <f t="shared" ref="DC6:DC69" si="24">ROUND(INDEX(Q$5:Q$16,($CT6-1)*6+$CQ6)*INDEX(AE$5:AE$12,$CX6)*INDEX($AL$5:$AL$8,$CU6),0)</f>
        <v>0</v>
      </c>
      <c r="DD6" s="14">
        <f t="shared" ref="DD6:DD69" si="25">ROUND(INDEX(H$5:H$16,($CT6-1)*6+$CQ6)*INDEX(AC$5:AC$12,$CX6) * INDEX($AL$5:$AL$8,$CU6),2)</f>
        <v>0</v>
      </c>
      <c r="DE6" s="14">
        <f t="shared" ref="DE6:DE69" si="26">ROUND(INDEX(I$5:I$16,($CT6-1)*6+$CQ6)*INDEX(AD$5:AD$12,$CX6) * INDEX($AL$5:$AL$8,$CU6),2)</f>
        <v>0.6</v>
      </c>
      <c r="DF6" s="14">
        <f t="shared" ref="DF6:DF69" si="27">ROUND(INDEX(J$5:J$16,($CT6-1)*6+$CQ6)*INDEX(AE$5:AE$12,$CX6) * INDEX($AL$5:$AL$8,$CU6),2)</f>
        <v>0</v>
      </c>
      <c r="DG6" s="14">
        <f t="shared" ref="DG6:DG69" si="28">(CQ6-1)*4+CU6</f>
        <v>1</v>
      </c>
      <c r="DH6" s="14">
        <f t="shared" ref="DH6:DH69" si="29">INDEX($BM$5:$BP$16,CQ6,CU6)</f>
        <v>0</v>
      </c>
      <c r="DI6" s="14">
        <f t="shared" ref="DI6:DI69" si="30">CT6*10+CQ6</f>
        <v>11</v>
      </c>
      <c r="DL6" s="14">
        <f t="shared" si="6"/>
        <v>2</v>
      </c>
      <c r="DM6" s="14">
        <f t="shared" si="7"/>
        <v>0</v>
      </c>
      <c r="DN6" s="14" t="str">
        <f t="shared" ref="DN6:DN69" si="31">INDEX($AA$3:$AC$3,DL6)</f>
        <v>DefExt</v>
      </c>
      <c r="DO6" s="14">
        <f t="shared" ref="DO6:DO69" si="32">INDEX(DA6:DC6,DL6)</f>
        <v>7</v>
      </c>
      <c r="DP6" s="14">
        <f t="shared" ref="DP6:DP69" si="33">INDEX(DD6:DF6,DL6)</f>
        <v>0.6</v>
      </c>
      <c r="DQ6" s="14" t="str">
        <f t="shared" ref="DQ6:DQ69" si="34">IF(DM6&gt;0,INDEX($AA$3:$AC$3,DM6),"")</f>
        <v/>
      </c>
      <c r="DR6" s="14" t="str">
        <f t="shared" ref="DR6:DR69" si="35">IF(DM6&gt;0,INDEX(DA6:DC6,DM6),"")</f>
        <v/>
      </c>
      <c r="DS6" s="14" t="str">
        <f t="shared" ref="DS6:DS69" si="36">IF(DM6&gt;0,INDEX(DD6:DF6,DM6),"")</f>
        <v/>
      </c>
      <c r="DT6" s="14">
        <f t="shared" ref="DT6:DT69" si="37">(CQ6-1)*4+CU6</f>
        <v>1</v>
      </c>
      <c r="DU6" s="14">
        <f t="shared" ref="DU6:DU69" si="38">INDEX($BM$5:$BP$16,CQ6,CU6)</f>
        <v>0</v>
      </c>
      <c r="DV6" s="14">
        <f t="shared" ref="DV6:DV69" si="39">CT6*10+CQ6</f>
        <v>11</v>
      </c>
      <c r="DW6" s="29" t="s">
        <v>758</v>
      </c>
      <c r="DX6" s="14">
        <f t="shared" ref="DX6:DX69" si="40">INDEX($T$5:$Y$8,CU6,CQ6)</f>
        <v>5</v>
      </c>
      <c r="EA6" s="13">
        <v>1021</v>
      </c>
      <c r="EB6" s="13" t="s">
        <v>676</v>
      </c>
      <c r="EC6" s="37"/>
      <c r="ED6" s="37"/>
      <c r="EE6" s="13">
        <v>1</v>
      </c>
      <c r="EF6" s="13" t="s">
        <v>689</v>
      </c>
      <c r="EG6" s="13">
        <v>2</v>
      </c>
      <c r="EH6" s="13">
        <v>4</v>
      </c>
      <c r="EI6" s="13" t="s">
        <v>649</v>
      </c>
      <c r="EJ6" s="13">
        <f>AQ5</f>
        <v>744</v>
      </c>
      <c r="EL6" s="13">
        <v>1</v>
      </c>
      <c r="EM6" s="13" t="s">
        <v>675</v>
      </c>
      <c r="EN6" s="13">
        <v>2</v>
      </c>
      <c r="EO6" s="13">
        <v>4</v>
      </c>
      <c r="EP6" s="13" t="s">
        <v>649</v>
      </c>
      <c r="EQ6" s="13">
        <f>AQ11</f>
        <v>1383</v>
      </c>
      <c r="ET6" s="13">
        <v>2</v>
      </c>
      <c r="EU6" s="13">
        <f t="shared" ref="EU6:EU69" si="41">INT((ET6-1)/12)+1</f>
        <v>1</v>
      </c>
      <c r="EV6" s="13" t="str">
        <f t="shared" ref="EV6:EV69" si="42">INDEX($AU$5:$AU$16,EU6)&amp;"洗练-"&amp;EX6</f>
        <v>30级寄灵人洗练-2</v>
      </c>
      <c r="EW6" s="13">
        <f t="shared" ref="EW6:EW69" si="43">INDEX($AT$5:$AT$16,EU6)</f>
        <v>11</v>
      </c>
      <c r="EX6" s="13">
        <f t="shared" ref="EX6:EX69" si="44">MOD(ET6-1,12)+1</f>
        <v>2</v>
      </c>
      <c r="EY6" s="13">
        <f t="shared" ref="EY6:EY69" si="45">INDEX($AY$2:$BJ$2,EX6)</f>
        <v>1800</v>
      </c>
      <c r="EZ6" s="13" t="str">
        <f t="shared" ref="EZ6:EZ69" si="46">INDEX($AY$3:$BJ$3,EX6)</f>
        <v>DefExt</v>
      </c>
      <c r="FA6" s="13">
        <f t="shared" ref="FA6:FA69" si="47">IF(FB6&gt;1,INT(FB6*0.35),ROUND(FB6*0.35,3))</f>
        <v>4</v>
      </c>
      <c r="FB6" s="13">
        <f t="shared" ref="FB6:FB69" si="48">INDEX($AY$5:$BJ$16,EU6,EX6)</f>
        <v>12</v>
      </c>
    </row>
    <row r="7" spans="1:158" s="20" customFormat="1" ht="16.5" x14ac:dyDescent="0.2">
      <c r="A7" s="13">
        <v>3</v>
      </c>
      <c r="B7" s="13">
        <v>1</v>
      </c>
      <c r="C7" s="13">
        <v>9</v>
      </c>
      <c r="D7" s="13">
        <v>90</v>
      </c>
      <c r="E7" s="13">
        <f>ROUND(INDEX(新属性投放!J$14:J$35,装备!$C7)*装备!$B$3/$D7,0)</f>
        <v>27</v>
      </c>
      <c r="F7" s="13">
        <f t="shared" si="0"/>
        <v>13.5</v>
      </c>
      <c r="G7" s="13">
        <f>ROUND(INDEX(新属性投放!L$14:L$35,装备!$C7)*装备!$B$3/$D7,0)</f>
        <v>81</v>
      </c>
      <c r="H7" s="13">
        <v>20</v>
      </c>
      <c r="I7" s="13">
        <v>10</v>
      </c>
      <c r="J7" s="13">
        <v>60</v>
      </c>
      <c r="K7" s="13">
        <v>0.25</v>
      </c>
      <c r="L7" s="13">
        <f t="shared" si="8"/>
        <v>607.5</v>
      </c>
      <c r="M7" s="13">
        <f t="shared" si="9"/>
        <v>303.75</v>
      </c>
      <c r="N7" s="13">
        <f t="shared" si="10"/>
        <v>1822.5</v>
      </c>
      <c r="O7" s="13">
        <v>450</v>
      </c>
      <c r="P7" s="13">
        <v>225</v>
      </c>
      <c r="Q7" s="13">
        <v>1400</v>
      </c>
      <c r="R7" s="37"/>
      <c r="S7" s="15" t="s">
        <v>749</v>
      </c>
      <c r="T7" s="13">
        <v>25</v>
      </c>
      <c r="U7" s="13">
        <v>50</v>
      </c>
      <c r="V7" s="13">
        <v>75</v>
      </c>
      <c r="W7" s="13">
        <v>150</v>
      </c>
      <c r="X7" s="13">
        <v>225</v>
      </c>
      <c r="Y7" s="13">
        <v>375</v>
      </c>
      <c r="Z7" s="37"/>
      <c r="AA7" s="13">
        <v>3</v>
      </c>
      <c r="AB7" s="13" t="s">
        <v>562</v>
      </c>
      <c r="AC7" s="13"/>
      <c r="AD7" s="28">
        <v>0.15</v>
      </c>
      <c r="AE7" s="28">
        <v>0.15</v>
      </c>
      <c r="AF7" s="13">
        <v>2</v>
      </c>
      <c r="AG7" s="13">
        <v>3</v>
      </c>
      <c r="AH7" s="37"/>
      <c r="AI7" s="37"/>
      <c r="AJ7" s="13">
        <v>3</v>
      </c>
      <c r="AK7" s="13" t="s">
        <v>576</v>
      </c>
      <c r="AL7" s="28">
        <v>0.8</v>
      </c>
      <c r="AM7" s="37"/>
      <c r="AN7" s="13" t="s">
        <v>866</v>
      </c>
      <c r="AO7" s="13">
        <v>10</v>
      </c>
      <c r="AP7" s="14">
        <f>INT(INDEX(新属性投放!$J$14:$J$35,装备!AO7)*AP$3)</f>
        <v>1576</v>
      </c>
      <c r="AQ7" s="14">
        <f>INT(INDEX(新属性投放!$L$14:$L$35,装备!AO7)*AQ$3)</f>
        <v>4778</v>
      </c>
      <c r="AR7" s="37"/>
      <c r="AS7" s="37"/>
      <c r="AT7" s="13">
        <v>13</v>
      </c>
      <c r="AU7" s="13" t="s">
        <v>828</v>
      </c>
      <c r="AV7" s="13">
        <v>4</v>
      </c>
      <c r="AW7" s="13">
        <v>3</v>
      </c>
      <c r="AX7" s="40">
        <v>0.35</v>
      </c>
      <c r="AY7" s="13">
        <f t="shared" si="11"/>
        <v>142</v>
      </c>
      <c r="AZ7" s="13">
        <f t="shared" si="12"/>
        <v>53</v>
      </c>
      <c r="BA7" s="13">
        <f t="shared" si="13"/>
        <v>319</v>
      </c>
      <c r="BB7" s="28">
        <v>0.04</v>
      </c>
      <c r="BC7" s="28">
        <v>0.04</v>
      </c>
      <c r="BD7" s="28">
        <v>0.04</v>
      </c>
      <c r="BE7" s="28">
        <v>0.03</v>
      </c>
      <c r="BF7" s="28">
        <v>0.08</v>
      </c>
      <c r="BG7" s="28">
        <v>0.03</v>
      </c>
      <c r="BH7" s="28">
        <v>0.03</v>
      </c>
      <c r="BI7" s="28">
        <v>0.05</v>
      </c>
      <c r="BJ7" s="28">
        <v>0.05</v>
      </c>
      <c r="BK7" s="28"/>
      <c r="BL7" s="37"/>
      <c r="BM7" s="13">
        <v>0</v>
      </c>
      <c r="BN7" s="13">
        <v>0</v>
      </c>
      <c r="BO7" s="13">
        <v>2</v>
      </c>
      <c r="BP7" s="13">
        <v>3</v>
      </c>
      <c r="BQ7" s="37"/>
      <c r="BR7" s="13">
        <v>2</v>
      </c>
      <c r="BS7" s="13">
        <v>1</v>
      </c>
      <c r="BT7" s="13">
        <v>20</v>
      </c>
      <c r="BU7" s="13">
        <v>1</v>
      </c>
      <c r="BV7" s="13">
        <v>2</v>
      </c>
      <c r="BW7" s="13">
        <v>2</v>
      </c>
      <c r="BX7" s="13">
        <f t="shared" ref="BX7:BX70" si="49">BW7*10+BU7*1000+BS7*10000+2000000</f>
        <v>2011020</v>
      </c>
      <c r="BY7" s="13" t="s">
        <v>762</v>
      </c>
      <c r="BZ7" s="13"/>
      <c r="CA7" s="13">
        <v>8</v>
      </c>
      <c r="CB7" s="13">
        <f>SUM(CA$6:CA7)</f>
        <v>16</v>
      </c>
      <c r="CC7" s="13">
        <v>1</v>
      </c>
      <c r="CD7" s="13">
        <v>2</v>
      </c>
      <c r="CE7" s="13">
        <v>3</v>
      </c>
      <c r="CF7" s="13">
        <v>4</v>
      </c>
      <c r="CG7" s="13">
        <v>5</v>
      </c>
      <c r="CH7" s="13">
        <v>6</v>
      </c>
      <c r="CI7" s="13">
        <v>7</v>
      </c>
      <c r="CJ7" s="13">
        <v>8</v>
      </c>
      <c r="CK7" s="37"/>
      <c r="CM7" s="13">
        <v>3</v>
      </c>
      <c r="CN7" s="14">
        <f t="shared" si="14"/>
        <v>1</v>
      </c>
      <c r="CO7" s="14">
        <f t="shared" si="15"/>
        <v>1</v>
      </c>
      <c r="CP7" s="14">
        <f t="shared" si="16"/>
        <v>3</v>
      </c>
      <c r="CQ7" s="14">
        <f t="shared" si="1"/>
        <v>1</v>
      </c>
      <c r="CR7" s="14">
        <f t="shared" si="2"/>
        <v>2011013</v>
      </c>
      <c r="CS7" s="13" t="str">
        <f t="shared" si="3"/>
        <v>30级寄灵人绿色-肩甲</v>
      </c>
      <c r="CT7" s="14">
        <f t="shared" si="4"/>
        <v>1</v>
      </c>
      <c r="CU7" s="14">
        <f t="shared" si="5"/>
        <v>1</v>
      </c>
      <c r="CV7" s="14">
        <f t="shared" si="17"/>
        <v>30</v>
      </c>
      <c r="CW7" s="14">
        <f t="shared" si="18"/>
        <v>30</v>
      </c>
      <c r="CX7" s="14">
        <f t="shared" si="19"/>
        <v>3</v>
      </c>
      <c r="CY7" s="14" t="str">
        <f t="shared" si="20"/>
        <v/>
      </c>
      <c r="CZ7" s="14">
        <f t="shared" si="21"/>
        <v>5</v>
      </c>
      <c r="DA7" s="14">
        <f t="shared" si="22"/>
        <v>0</v>
      </c>
      <c r="DB7" s="14">
        <f t="shared" si="23"/>
        <v>3</v>
      </c>
      <c r="DC7" s="14">
        <f t="shared" si="24"/>
        <v>23</v>
      </c>
      <c r="DD7" s="14">
        <f t="shared" si="25"/>
        <v>0</v>
      </c>
      <c r="DE7" s="14">
        <f t="shared" si="26"/>
        <v>0.3</v>
      </c>
      <c r="DF7" s="14">
        <f t="shared" si="27"/>
        <v>2.25</v>
      </c>
      <c r="DG7" s="14">
        <f t="shared" si="28"/>
        <v>1</v>
      </c>
      <c r="DH7" s="14">
        <f t="shared" si="29"/>
        <v>0</v>
      </c>
      <c r="DI7" s="14">
        <f t="shared" si="30"/>
        <v>11</v>
      </c>
      <c r="DL7" s="14">
        <f t="shared" si="6"/>
        <v>2</v>
      </c>
      <c r="DM7" s="14">
        <f t="shared" si="7"/>
        <v>3</v>
      </c>
      <c r="DN7" s="14" t="str">
        <f t="shared" si="31"/>
        <v>DefExt</v>
      </c>
      <c r="DO7" s="14">
        <f t="shared" si="32"/>
        <v>3</v>
      </c>
      <c r="DP7" s="14">
        <f t="shared" si="33"/>
        <v>0.3</v>
      </c>
      <c r="DQ7" s="14" t="str">
        <f t="shared" si="34"/>
        <v>HPExt</v>
      </c>
      <c r="DR7" s="14">
        <f t="shared" si="35"/>
        <v>23</v>
      </c>
      <c r="DS7" s="14">
        <f t="shared" si="36"/>
        <v>2.25</v>
      </c>
      <c r="DT7" s="14">
        <f t="shared" si="37"/>
        <v>1</v>
      </c>
      <c r="DU7" s="14">
        <f t="shared" si="38"/>
        <v>0</v>
      </c>
      <c r="DV7" s="14">
        <f t="shared" si="39"/>
        <v>11</v>
      </c>
      <c r="DW7" s="29" t="s">
        <v>758</v>
      </c>
      <c r="DX7" s="14">
        <f t="shared" si="40"/>
        <v>5</v>
      </c>
      <c r="EA7" s="13">
        <v>1022</v>
      </c>
      <c r="EB7" s="13" t="s">
        <v>677</v>
      </c>
      <c r="EC7" s="37"/>
      <c r="ED7" s="37"/>
      <c r="EE7" s="13">
        <v>1</v>
      </c>
      <c r="EF7" s="13" t="s">
        <v>689</v>
      </c>
      <c r="EG7" s="13">
        <v>3</v>
      </c>
      <c r="EH7" s="13">
        <v>6</v>
      </c>
      <c r="EI7" s="13" t="s">
        <v>652</v>
      </c>
      <c r="EJ7" s="13">
        <v>0.7</v>
      </c>
      <c r="EL7" s="13">
        <v>1</v>
      </c>
      <c r="EM7" s="13" t="s">
        <v>675</v>
      </c>
      <c r="EN7" s="13">
        <v>3</v>
      </c>
      <c r="EO7" s="13">
        <v>6</v>
      </c>
      <c r="EP7" s="13" t="s">
        <v>652</v>
      </c>
      <c r="EQ7" s="13">
        <v>0.7</v>
      </c>
      <c r="ET7" s="13">
        <v>3</v>
      </c>
      <c r="EU7" s="13">
        <f t="shared" si="41"/>
        <v>1</v>
      </c>
      <c r="EV7" s="13" t="str">
        <f t="shared" si="42"/>
        <v>30级寄灵人洗练-3</v>
      </c>
      <c r="EW7" s="13">
        <f t="shared" si="43"/>
        <v>11</v>
      </c>
      <c r="EX7" s="13">
        <f t="shared" si="44"/>
        <v>3</v>
      </c>
      <c r="EY7" s="13">
        <f t="shared" si="45"/>
        <v>2000</v>
      </c>
      <c r="EZ7" s="13" t="str">
        <f t="shared" si="46"/>
        <v>HPExt</v>
      </c>
      <c r="FA7" s="13">
        <f t="shared" si="47"/>
        <v>14</v>
      </c>
      <c r="FB7" s="13">
        <f t="shared" si="48"/>
        <v>41</v>
      </c>
    </row>
    <row r="8" spans="1:158" s="20" customFormat="1" ht="16.5" x14ac:dyDescent="0.2">
      <c r="A8" s="13">
        <v>4</v>
      </c>
      <c r="B8" s="13">
        <v>1</v>
      </c>
      <c r="C8" s="13">
        <v>12</v>
      </c>
      <c r="D8" s="13">
        <v>120</v>
      </c>
      <c r="E8" s="13">
        <f>ROUND(INDEX(新属性投放!J$14:J$35,装备!$C8)*装备!$B$3/$D8,0)</f>
        <v>45</v>
      </c>
      <c r="F8" s="13">
        <f t="shared" si="0"/>
        <v>22.5</v>
      </c>
      <c r="G8" s="13">
        <f>ROUND(INDEX(新属性投放!L$14:L$35,装备!$C8)*装备!$B$3/$D8,0)</f>
        <v>136</v>
      </c>
      <c r="H8" s="13">
        <v>35</v>
      </c>
      <c r="I8" s="13">
        <v>17.5</v>
      </c>
      <c r="J8" s="13">
        <v>100</v>
      </c>
      <c r="K8" s="13">
        <v>0.25</v>
      </c>
      <c r="L8" s="13">
        <f t="shared" si="8"/>
        <v>1350</v>
      </c>
      <c r="M8" s="13">
        <f t="shared" si="9"/>
        <v>675</v>
      </c>
      <c r="N8" s="13">
        <f t="shared" si="10"/>
        <v>4080</v>
      </c>
      <c r="O8" s="13">
        <v>1000</v>
      </c>
      <c r="P8" s="13">
        <v>500</v>
      </c>
      <c r="Q8" s="13">
        <v>3000</v>
      </c>
      <c r="R8" s="37"/>
      <c r="S8" s="15" t="s">
        <v>750</v>
      </c>
      <c r="T8" s="13">
        <v>50</v>
      </c>
      <c r="U8" s="13">
        <v>100</v>
      </c>
      <c r="V8" s="13">
        <v>150</v>
      </c>
      <c r="W8" s="13">
        <v>300</v>
      </c>
      <c r="X8" s="13">
        <v>450</v>
      </c>
      <c r="Y8" s="13">
        <v>750</v>
      </c>
      <c r="Z8" s="37"/>
      <c r="AA8" s="13">
        <v>4</v>
      </c>
      <c r="AB8" s="13" t="s">
        <v>604</v>
      </c>
      <c r="AC8" s="13"/>
      <c r="AD8" s="28">
        <v>0.3</v>
      </c>
      <c r="AE8" s="13"/>
      <c r="AF8" s="13">
        <v>2</v>
      </c>
      <c r="AG8" s="13"/>
      <c r="AH8" s="37"/>
      <c r="AI8" s="37"/>
      <c r="AJ8" s="13">
        <v>4</v>
      </c>
      <c r="AK8" s="13" t="s">
        <v>622</v>
      </c>
      <c r="AL8" s="28">
        <v>1</v>
      </c>
      <c r="AM8" s="37"/>
      <c r="AN8" s="13" t="s">
        <v>643</v>
      </c>
      <c r="AO8" s="13">
        <v>13</v>
      </c>
      <c r="AP8" s="14">
        <f>INT(INDEX(新属性投放!$J$14:$J$35,装备!AO8)*AP$3)</f>
        <v>3560</v>
      </c>
      <c r="AQ8" s="14">
        <f>INT(INDEX(新属性投放!$L$14:$L$35,装备!AO8)*AQ$3)</f>
        <v>10730</v>
      </c>
      <c r="AR8" s="37"/>
      <c r="AS8" s="37"/>
      <c r="AT8" s="13">
        <v>14</v>
      </c>
      <c r="AU8" s="13" t="s">
        <v>727</v>
      </c>
      <c r="AV8" s="13">
        <v>4</v>
      </c>
      <c r="AW8" s="13">
        <v>4</v>
      </c>
      <c r="AX8" s="40">
        <v>0.35</v>
      </c>
      <c r="AY8" s="13">
        <f t="shared" si="11"/>
        <v>236</v>
      </c>
      <c r="AZ8" s="13">
        <f t="shared" si="12"/>
        <v>118</v>
      </c>
      <c r="BA8" s="13">
        <f t="shared" si="13"/>
        <v>714</v>
      </c>
      <c r="BB8" s="28">
        <v>0.04</v>
      </c>
      <c r="BC8" s="28">
        <v>0.04</v>
      </c>
      <c r="BD8" s="28">
        <v>0.04</v>
      </c>
      <c r="BE8" s="28">
        <v>0.03</v>
      </c>
      <c r="BF8" s="28">
        <v>0.08</v>
      </c>
      <c r="BG8" s="28">
        <v>0.03</v>
      </c>
      <c r="BH8" s="28">
        <v>0.03</v>
      </c>
      <c r="BI8" s="28">
        <v>0.05</v>
      </c>
      <c r="BJ8" s="28">
        <v>0.05</v>
      </c>
      <c r="BK8" s="28"/>
      <c r="BL8" s="37"/>
      <c r="BM8" s="13">
        <v>0</v>
      </c>
      <c r="BN8" s="13">
        <v>0</v>
      </c>
      <c r="BO8" s="13">
        <v>3</v>
      </c>
      <c r="BP8" s="13">
        <v>4</v>
      </c>
      <c r="BQ8" s="37"/>
      <c r="BR8" s="13">
        <v>3</v>
      </c>
      <c r="BS8" s="13">
        <v>1</v>
      </c>
      <c r="BT8" s="13">
        <v>20</v>
      </c>
      <c r="BU8" s="13">
        <v>2</v>
      </c>
      <c r="BV8" s="13">
        <v>1</v>
      </c>
      <c r="BW8" s="13">
        <v>1</v>
      </c>
      <c r="BX8" s="13">
        <f t="shared" si="49"/>
        <v>2012010</v>
      </c>
      <c r="BY8" s="13" t="s">
        <v>763</v>
      </c>
      <c r="BZ8" s="13"/>
      <c r="CA8" s="13">
        <v>8</v>
      </c>
      <c r="CB8" s="13">
        <f>SUM(CA$6:CA8)</f>
        <v>24</v>
      </c>
      <c r="CC8" s="13">
        <v>1</v>
      </c>
      <c r="CD8" s="13">
        <v>2</v>
      </c>
      <c r="CE8" s="13">
        <v>3</v>
      </c>
      <c r="CF8" s="13">
        <v>4</v>
      </c>
      <c r="CG8" s="13">
        <v>5</v>
      </c>
      <c r="CH8" s="13">
        <v>6</v>
      </c>
      <c r="CI8" s="13">
        <v>7</v>
      </c>
      <c r="CJ8" s="13">
        <v>8</v>
      </c>
      <c r="CK8" s="37"/>
      <c r="CM8" s="13">
        <v>4</v>
      </c>
      <c r="CN8" s="14">
        <f t="shared" si="14"/>
        <v>1</v>
      </c>
      <c r="CO8" s="14">
        <f t="shared" si="15"/>
        <v>1</v>
      </c>
      <c r="CP8" s="14">
        <f t="shared" si="16"/>
        <v>4</v>
      </c>
      <c r="CQ8" s="14">
        <f t="shared" si="1"/>
        <v>1</v>
      </c>
      <c r="CR8" s="14">
        <f t="shared" si="2"/>
        <v>2011014</v>
      </c>
      <c r="CS8" s="13" t="str">
        <f t="shared" si="3"/>
        <v>30级寄灵人绿色-衣服</v>
      </c>
      <c r="CT8" s="14">
        <f t="shared" si="4"/>
        <v>1</v>
      </c>
      <c r="CU8" s="14">
        <f t="shared" si="5"/>
        <v>1</v>
      </c>
      <c r="CV8" s="14">
        <f t="shared" si="17"/>
        <v>30</v>
      </c>
      <c r="CW8" s="14">
        <f t="shared" si="18"/>
        <v>30</v>
      </c>
      <c r="CX8" s="14">
        <f t="shared" si="19"/>
        <v>4</v>
      </c>
      <c r="CY8" s="14" t="str">
        <f t="shared" si="20"/>
        <v/>
      </c>
      <c r="CZ8" s="14">
        <f t="shared" si="21"/>
        <v>6</v>
      </c>
      <c r="DA8" s="14">
        <f t="shared" si="22"/>
        <v>0</v>
      </c>
      <c r="DB8" s="14">
        <f t="shared" si="23"/>
        <v>7</v>
      </c>
      <c r="DC8" s="14">
        <f t="shared" si="24"/>
        <v>0</v>
      </c>
      <c r="DD8" s="14">
        <f t="shared" si="25"/>
        <v>0</v>
      </c>
      <c r="DE8" s="14">
        <f t="shared" si="26"/>
        <v>0.6</v>
      </c>
      <c r="DF8" s="14">
        <f t="shared" si="27"/>
        <v>0</v>
      </c>
      <c r="DG8" s="14">
        <f t="shared" si="28"/>
        <v>1</v>
      </c>
      <c r="DH8" s="14">
        <f t="shared" si="29"/>
        <v>0</v>
      </c>
      <c r="DI8" s="14">
        <f t="shared" si="30"/>
        <v>11</v>
      </c>
      <c r="DL8" s="14">
        <f t="shared" si="6"/>
        <v>2</v>
      </c>
      <c r="DM8" s="14">
        <f t="shared" si="7"/>
        <v>0</v>
      </c>
      <c r="DN8" s="14" t="str">
        <f t="shared" si="31"/>
        <v>DefExt</v>
      </c>
      <c r="DO8" s="14">
        <f t="shared" si="32"/>
        <v>7</v>
      </c>
      <c r="DP8" s="14">
        <f t="shared" si="33"/>
        <v>0.6</v>
      </c>
      <c r="DQ8" s="14" t="str">
        <f t="shared" si="34"/>
        <v/>
      </c>
      <c r="DR8" s="14" t="str">
        <f t="shared" si="35"/>
        <v/>
      </c>
      <c r="DS8" s="14" t="str">
        <f t="shared" si="36"/>
        <v/>
      </c>
      <c r="DT8" s="14">
        <f t="shared" si="37"/>
        <v>1</v>
      </c>
      <c r="DU8" s="14">
        <f t="shared" si="38"/>
        <v>0</v>
      </c>
      <c r="DV8" s="14">
        <f t="shared" si="39"/>
        <v>11</v>
      </c>
      <c r="DW8" s="29" t="s">
        <v>758</v>
      </c>
      <c r="DX8" s="14">
        <f t="shared" si="40"/>
        <v>5</v>
      </c>
      <c r="EA8" s="13">
        <v>1031</v>
      </c>
      <c r="EB8" s="13" t="s">
        <v>678</v>
      </c>
      <c r="EC8" s="37"/>
      <c r="ED8" s="37"/>
      <c r="EE8" s="13">
        <v>1</v>
      </c>
      <c r="EF8" s="13" t="s">
        <v>689</v>
      </c>
      <c r="EG8" s="13">
        <v>4</v>
      </c>
      <c r="EH8" s="13">
        <v>8</v>
      </c>
      <c r="EI8" s="13" t="s">
        <v>651</v>
      </c>
      <c r="EJ8" s="13">
        <v>0.7</v>
      </c>
      <c r="EL8" s="13">
        <v>1</v>
      </c>
      <c r="EM8" s="13" t="s">
        <v>675</v>
      </c>
      <c r="EN8" s="13">
        <v>4</v>
      </c>
      <c r="EO8" s="13">
        <v>8</v>
      </c>
      <c r="EP8" s="13" t="s">
        <v>651</v>
      </c>
      <c r="EQ8" s="13">
        <v>0.7</v>
      </c>
      <c r="ET8" s="13">
        <v>4</v>
      </c>
      <c r="EU8" s="13">
        <f t="shared" si="41"/>
        <v>1</v>
      </c>
      <c r="EV8" s="13" t="str">
        <f t="shared" si="42"/>
        <v>30级寄灵人洗练-4</v>
      </c>
      <c r="EW8" s="13">
        <f t="shared" si="43"/>
        <v>11</v>
      </c>
      <c r="EX8" s="13">
        <f t="shared" si="44"/>
        <v>4</v>
      </c>
      <c r="EY8" s="13">
        <f t="shared" si="45"/>
        <v>500</v>
      </c>
      <c r="EZ8" s="13" t="str">
        <f t="shared" si="46"/>
        <v>AtkRate</v>
      </c>
      <c r="FA8" s="13">
        <f t="shared" si="47"/>
        <v>1.4E-2</v>
      </c>
      <c r="FB8" s="13">
        <f t="shared" si="48"/>
        <v>0.04</v>
      </c>
    </row>
    <row r="9" spans="1:158" s="20" customFormat="1" ht="16.5" x14ac:dyDescent="0.2">
      <c r="A9" s="13">
        <v>5</v>
      </c>
      <c r="B9" s="13">
        <v>1</v>
      </c>
      <c r="C9" s="13">
        <v>15</v>
      </c>
      <c r="D9" s="13">
        <v>150</v>
      </c>
      <c r="E9" s="13">
        <f>ROUND(INDEX(新属性投放!J$14:J$35,装备!$C9)*装备!$B$3/$D9,0)</f>
        <v>82</v>
      </c>
      <c r="F9" s="13">
        <f t="shared" si="0"/>
        <v>41</v>
      </c>
      <c r="G9" s="13">
        <f>ROUND(INDEX(新属性投放!L$14:L$35,装备!$C9)*装备!$B$3/$D9,0)</f>
        <v>246</v>
      </c>
      <c r="H9" s="13">
        <v>65</v>
      </c>
      <c r="I9" s="13">
        <v>32</v>
      </c>
      <c r="J9" s="13">
        <v>200</v>
      </c>
      <c r="K9" s="13">
        <v>0.2</v>
      </c>
      <c r="L9" s="13">
        <f t="shared" si="8"/>
        <v>2460.0000000000005</v>
      </c>
      <c r="M9" s="13">
        <f t="shared" si="9"/>
        <v>1230.0000000000002</v>
      </c>
      <c r="N9" s="13">
        <f t="shared" si="10"/>
        <v>7380</v>
      </c>
      <c r="O9" s="13">
        <v>2000</v>
      </c>
      <c r="P9" s="13">
        <v>1000</v>
      </c>
      <c r="Q9" s="13">
        <v>6000</v>
      </c>
      <c r="R9" s="37"/>
      <c r="S9" s="15" t="s">
        <v>751</v>
      </c>
      <c r="T9" s="13">
        <v>175</v>
      </c>
      <c r="U9" s="13">
        <v>350</v>
      </c>
      <c r="V9" s="13">
        <v>525</v>
      </c>
      <c r="W9" s="13">
        <v>1000</v>
      </c>
      <c r="X9" s="13">
        <v>1500</v>
      </c>
      <c r="Y9" s="13">
        <v>2500</v>
      </c>
      <c r="Z9" s="37"/>
      <c r="AA9" s="13">
        <v>5</v>
      </c>
      <c r="AB9" s="13" t="s">
        <v>605</v>
      </c>
      <c r="AC9" s="13"/>
      <c r="AD9" s="13"/>
      <c r="AE9" s="28">
        <v>0.3</v>
      </c>
      <c r="AF9" s="13">
        <v>3</v>
      </c>
      <c r="AG9" s="13"/>
      <c r="AH9" s="37"/>
      <c r="AI9" s="37"/>
      <c r="AJ9" s="37"/>
      <c r="AK9" s="37"/>
      <c r="AL9" s="37"/>
      <c r="AM9" s="37"/>
      <c r="AN9" s="13" t="s">
        <v>869</v>
      </c>
      <c r="AO9" s="13">
        <v>16</v>
      </c>
      <c r="AP9" s="14">
        <f>INT(INDEX(新属性投放!$J$14:$J$35,装备!AO9)*AP$3)</f>
        <v>8049</v>
      </c>
      <c r="AQ9" s="14">
        <f>INT(INDEX(新属性投放!$L$14:$L$35,装备!AO9)*AQ$3)</f>
        <v>24198</v>
      </c>
      <c r="AR9" s="37"/>
      <c r="AS9" s="37"/>
      <c r="AT9" s="13">
        <v>15</v>
      </c>
      <c r="AU9" s="13" t="s">
        <v>829</v>
      </c>
      <c r="AV9" s="13">
        <v>6</v>
      </c>
      <c r="AW9" s="13">
        <v>5</v>
      </c>
      <c r="AX9" s="40">
        <v>0.35</v>
      </c>
      <c r="AY9" s="13">
        <f t="shared" si="11"/>
        <v>646</v>
      </c>
      <c r="AZ9" s="13">
        <f t="shared" si="12"/>
        <v>269</v>
      </c>
      <c r="BA9" s="13">
        <f t="shared" si="13"/>
        <v>1614</v>
      </c>
      <c r="BB9" s="28">
        <v>0.04</v>
      </c>
      <c r="BC9" s="28">
        <v>0.04</v>
      </c>
      <c r="BD9" s="28">
        <v>0.04</v>
      </c>
      <c r="BE9" s="28">
        <v>0.03</v>
      </c>
      <c r="BF9" s="28">
        <v>0.08</v>
      </c>
      <c r="BG9" s="28">
        <v>0.03</v>
      </c>
      <c r="BH9" s="28">
        <v>0.03</v>
      </c>
      <c r="BI9" s="28">
        <v>0.05</v>
      </c>
      <c r="BJ9" s="28">
        <v>0.05</v>
      </c>
      <c r="BK9" s="28"/>
      <c r="BL9" s="37"/>
      <c r="BM9" s="13">
        <v>0</v>
      </c>
      <c r="BN9" s="13">
        <v>0</v>
      </c>
      <c r="BO9" s="13">
        <v>4</v>
      </c>
      <c r="BP9" s="13">
        <v>5</v>
      </c>
      <c r="BQ9" s="37"/>
      <c r="BR9" s="13">
        <v>4</v>
      </c>
      <c r="BS9" s="13">
        <v>1</v>
      </c>
      <c r="BT9" s="13">
        <v>20</v>
      </c>
      <c r="BU9" s="13">
        <v>2</v>
      </c>
      <c r="BV9" s="13">
        <v>2</v>
      </c>
      <c r="BW9" s="13">
        <v>2</v>
      </c>
      <c r="BX9" s="13">
        <f t="shared" si="49"/>
        <v>2012020</v>
      </c>
      <c r="BY9" s="13" t="s">
        <v>764</v>
      </c>
      <c r="BZ9" s="13"/>
      <c r="CA9" s="13">
        <v>8</v>
      </c>
      <c r="CB9" s="13">
        <f>SUM(CA$6:CA9)</f>
        <v>32</v>
      </c>
      <c r="CC9" s="13">
        <v>1</v>
      </c>
      <c r="CD9" s="13">
        <v>2</v>
      </c>
      <c r="CE9" s="13">
        <v>3</v>
      </c>
      <c r="CF9" s="13">
        <v>4</v>
      </c>
      <c r="CG9" s="13">
        <v>5</v>
      </c>
      <c r="CH9" s="13">
        <v>6</v>
      </c>
      <c r="CI9" s="13">
        <v>7</v>
      </c>
      <c r="CJ9" s="13">
        <v>8</v>
      </c>
      <c r="CK9" s="37"/>
      <c r="CM9" s="13">
        <v>5</v>
      </c>
      <c r="CN9" s="14">
        <f t="shared" si="14"/>
        <v>1</v>
      </c>
      <c r="CO9" s="14">
        <f t="shared" si="15"/>
        <v>1</v>
      </c>
      <c r="CP9" s="14">
        <f t="shared" si="16"/>
        <v>5</v>
      </c>
      <c r="CQ9" s="14">
        <f t="shared" si="1"/>
        <v>1</v>
      </c>
      <c r="CR9" s="14">
        <f t="shared" si="2"/>
        <v>2011015</v>
      </c>
      <c r="CS9" s="13" t="str">
        <f t="shared" si="3"/>
        <v>30级寄灵人绿色-鞋子</v>
      </c>
      <c r="CT9" s="14">
        <f t="shared" si="4"/>
        <v>1</v>
      </c>
      <c r="CU9" s="14">
        <f t="shared" si="5"/>
        <v>1</v>
      </c>
      <c r="CV9" s="14">
        <f t="shared" si="17"/>
        <v>30</v>
      </c>
      <c r="CW9" s="14">
        <f t="shared" si="18"/>
        <v>30</v>
      </c>
      <c r="CX9" s="14">
        <f t="shared" si="19"/>
        <v>5</v>
      </c>
      <c r="CY9" s="14" t="str">
        <f t="shared" si="20"/>
        <v/>
      </c>
      <c r="CZ9" s="14">
        <f t="shared" si="21"/>
        <v>4</v>
      </c>
      <c r="DA9" s="14">
        <f t="shared" si="22"/>
        <v>0</v>
      </c>
      <c r="DB9" s="14">
        <f t="shared" si="23"/>
        <v>0</v>
      </c>
      <c r="DC9" s="14">
        <f t="shared" si="24"/>
        <v>45</v>
      </c>
      <c r="DD9" s="14">
        <f t="shared" si="25"/>
        <v>0</v>
      </c>
      <c r="DE9" s="14">
        <f t="shared" si="26"/>
        <v>0</v>
      </c>
      <c r="DF9" s="14">
        <f t="shared" si="27"/>
        <v>4.5</v>
      </c>
      <c r="DG9" s="14">
        <f t="shared" si="28"/>
        <v>1</v>
      </c>
      <c r="DH9" s="14">
        <f t="shared" si="29"/>
        <v>0</v>
      </c>
      <c r="DI9" s="14">
        <f t="shared" si="30"/>
        <v>11</v>
      </c>
      <c r="DL9" s="14">
        <f t="shared" si="6"/>
        <v>3</v>
      </c>
      <c r="DM9" s="14">
        <f t="shared" si="7"/>
        <v>0</v>
      </c>
      <c r="DN9" s="14" t="str">
        <f t="shared" si="31"/>
        <v>HPExt</v>
      </c>
      <c r="DO9" s="14">
        <f t="shared" si="32"/>
        <v>45</v>
      </c>
      <c r="DP9" s="14">
        <f t="shared" si="33"/>
        <v>4.5</v>
      </c>
      <c r="DQ9" s="14" t="str">
        <f t="shared" si="34"/>
        <v/>
      </c>
      <c r="DR9" s="14" t="str">
        <f t="shared" si="35"/>
        <v/>
      </c>
      <c r="DS9" s="14" t="str">
        <f t="shared" si="36"/>
        <v/>
      </c>
      <c r="DT9" s="14">
        <f t="shared" si="37"/>
        <v>1</v>
      </c>
      <c r="DU9" s="14">
        <f t="shared" si="38"/>
        <v>0</v>
      </c>
      <c r="DV9" s="14">
        <f t="shared" si="39"/>
        <v>11</v>
      </c>
      <c r="DW9" s="29" t="s">
        <v>758</v>
      </c>
      <c r="DX9" s="14">
        <f t="shared" si="40"/>
        <v>5</v>
      </c>
      <c r="EA9" s="13">
        <v>1032</v>
      </c>
      <c r="EB9" s="13" t="s">
        <v>679</v>
      </c>
      <c r="EC9" s="37"/>
      <c r="ED9" s="37"/>
      <c r="EE9" s="13">
        <v>2</v>
      </c>
      <c r="EF9" s="13" t="s">
        <v>690</v>
      </c>
      <c r="EG9" s="13">
        <v>1</v>
      </c>
      <c r="EH9" s="13">
        <v>2</v>
      </c>
      <c r="EI9" s="13" t="s">
        <v>648</v>
      </c>
      <c r="EJ9" s="13">
        <f>AP6</f>
        <v>700</v>
      </c>
      <c r="EL9" s="13">
        <v>2</v>
      </c>
      <c r="EM9" s="13" t="s">
        <v>676</v>
      </c>
      <c r="EN9" s="13">
        <v>1</v>
      </c>
      <c r="EO9" s="13">
        <v>2</v>
      </c>
      <c r="EP9" s="13" t="s">
        <v>648</v>
      </c>
      <c r="EQ9" s="13">
        <f>AP12</f>
        <v>783</v>
      </c>
      <c r="ET9" s="13">
        <v>5</v>
      </c>
      <c r="EU9" s="13">
        <f t="shared" si="41"/>
        <v>1</v>
      </c>
      <c r="EV9" s="13" t="str">
        <f t="shared" si="42"/>
        <v>30级寄灵人洗练-5</v>
      </c>
      <c r="EW9" s="13">
        <f t="shared" si="43"/>
        <v>11</v>
      </c>
      <c r="EX9" s="13">
        <f t="shared" si="44"/>
        <v>5</v>
      </c>
      <c r="EY9" s="13">
        <f t="shared" si="45"/>
        <v>400</v>
      </c>
      <c r="EZ9" s="13" t="str">
        <f t="shared" si="46"/>
        <v>DefRate</v>
      </c>
      <c r="FA9" s="13">
        <f t="shared" si="47"/>
        <v>1.4E-2</v>
      </c>
      <c r="FB9" s="13">
        <f t="shared" si="48"/>
        <v>0.04</v>
      </c>
    </row>
    <row r="10" spans="1:158" s="20" customFormat="1" ht="16.5" x14ac:dyDescent="0.2">
      <c r="A10" s="13">
        <v>6</v>
      </c>
      <c r="B10" s="13">
        <v>1</v>
      </c>
      <c r="C10" s="13">
        <v>18</v>
      </c>
      <c r="D10" s="13">
        <v>180</v>
      </c>
      <c r="E10" s="13">
        <f>ROUND(INDEX(新属性投放!J$14:J$35,装备!$C10)*装备!$B$3/$D10,0)</f>
        <v>154</v>
      </c>
      <c r="F10" s="13">
        <f t="shared" si="0"/>
        <v>77</v>
      </c>
      <c r="G10" s="13">
        <f>ROUND(INDEX(新属性投放!L$14:L$35,装备!$C10)*装备!$B$3/$D10,0)</f>
        <v>463</v>
      </c>
      <c r="H10" s="13">
        <v>120</v>
      </c>
      <c r="I10" s="13">
        <v>60</v>
      </c>
      <c r="J10" s="13">
        <v>360</v>
      </c>
      <c r="K10" s="13">
        <v>0.2</v>
      </c>
      <c r="L10" s="13">
        <f t="shared" si="8"/>
        <v>5544</v>
      </c>
      <c r="M10" s="13">
        <f t="shared" si="9"/>
        <v>2772</v>
      </c>
      <c r="N10" s="13">
        <f t="shared" si="10"/>
        <v>16668</v>
      </c>
      <c r="O10" s="13">
        <v>4500</v>
      </c>
      <c r="P10" s="13">
        <v>2250</v>
      </c>
      <c r="Q10" s="13">
        <v>13500</v>
      </c>
      <c r="R10" s="37"/>
      <c r="S10" s="37"/>
      <c r="T10" s="37"/>
      <c r="U10" s="37"/>
      <c r="V10" s="37"/>
      <c r="W10" s="37"/>
      <c r="X10" s="37"/>
      <c r="Y10" s="37"/>
      <c r="Z10" s="37"/>
      <c r="AA10" s="13">
        <v>6</v>
      </c>
      <c r="AB10" s="13" t="s">
        <v>606</v>
      </c>
      <c r="AC10" s="13"/>
      <c r="AD10" s="13"/>
      <c r="AE10" s="28">
        <v>0.3</v>
      </c>
      <c r="AF10" s="13">
        <v>3</v>
      </c>
      <c r="AG10" s="13"/>
      <c r="AH10" s="37"/>
      <c r="AI10" s="37"/>
      <c r="AJ10" s="37"/>
      <c r="AK10" s="37"/>
      <c r="AL10" s="37"/>
      <c r="AM10" s="37"/>
      <c r="AN10" s="13" t="s">
        <v>871</v>
      </c>
      <c r="AO10" s="13">
        <v>19</v>
      </c>
      <c r="AP10" s="14">
        <f>INT(INDEX(新属性投放!$J$14:$J$35,装备!AO10)*AP$3)</f>
        <v>18199</v>
      </c>
      <c r="AQ10" s="14">
        <f>INT(INDEX(新属性投放!$L$14:$L$35,装备!AO10)*AQ$3)</f>
        <v>54648</v>
      </c>
      <c r="AR10" s="37"/>
      <c r="AS10" s="37"/>
      <c r="AT10" s="13">
        <v>16</v>
      </c>
      <c r="AU10" s="13" t="s">
        <v>830</v>
      </c>
      <c r="AV10" s="13">
        <v>6</v>
      </c>
      <c r="AW10" s="13">
        <v>6</v>
      </c>
      <c r="AX10" s="40">
        <v>0.35</v>
      </c>
      <c r="AY10" s="13">
        <f t="shared" si="11"/>
        <v>1213</v>
      </c>
      <c r="AZ10" s="13">
        <f t="shared" si="12"/>
        <v>606</v>
      </c>
      <c r="BA10" s="13">
        <f t="shared" si="13"/>
        <v>3646</v>
      </c>
      <c r="BB10" s="28">
        <v>0.04</v>
      </c>
      <c r="BC10" s="28">
        <v>0.04</v>
      </c>
      <c r="BD10" s="28">
        <v>0.04</v>
      </c>
      <c r="BE10" s="28">
        <v>0.03</v>
      </c>
      <c r="BF10" s="28">
        <v>0.08</v>
      </c>
      <c r="BG10" s="28">
        <v>0.03</v>
      </c>
      <c r="BH10" s="28">
        <v>0.03</v>
      </c>
      <c r="BI10" s="28">
        <v>0.05</v>
      </c>
      <c r="BJ10" s="28">
        <v>0.05</v>
      </c>
      <c r="BK10" s="28"/>
      <c r="BL10" s="37"/>
      <c r="BM10" s="13">
        <v>0</v>
      </c>
      <c r="BN10" s="13">
        <v>0</v>
      </c>
      <c r="BO10" s="13">
        <v>5</v>
      </c>
      <c r="BP10" s="13">
        <v>6</v>
      </c>
      <c r="BQ10" s="37"/>
      <c r="BR10" s="13">
        <v>5</v>
      </c>
      <c r="BS10" s="13">
        <v>1</v>
      </c>
      <c r="BT10" s="13">
        <v>20</v>
      </c>
      <c r="BU10" s="13">
        <v>3</v>
      </c>
      <c r="BV10" s="13">
        <v>1</v>
      </c>
      <c r="BW10" s="13">
        <v>1</v>
      </c>
      <c r="BX10" s="13">
        <f t="shared" si="49"/>
        <v>2013010</v>
      </c>
      <c r="BY10" s="13" t="s">
        <v>765</v>
      </c>
      <c r="BZ10" s="13"/>
      <c r="CA10" s="13">
        <v>8</v>
      </c>
      <c r="CB10" s="13">
        <f>SUM(CA$6:CA10)</f>
        <v>40</v>
      </c>
      <c r="CC10" s="13">
        <v>1</v>
      </c>
      <c r="CD10" s="13">
        <v>2</v>
      </c>
      <c r="CE10" s="13">
        <v>3</v>
      </c>
      <c r="CF10" s="13">
        <v>4</v>
      </c>
      <c r="CG10" s="13">
        <v>5</v>
      </c>
      <c r="CH10" s="13">
        <v>6</v>
      </c>
      <c r="CI10" s="13">
        <v>7</v>
      </c>
      <c r="CJ10" s="13">
        <v>8</v>
      </c>
      <c r="CK10" s="37"/>
      <c r="CM10" s="13">
        <v>6</v>
      </c>
      <c r="CN10" s="14">
        <f t="shared" si="14"/>
        <v>1</v>
      </c>
      <c r="CO10" s="14">
        <f t="shared" si="15"/>
        <v>1</v>
      </c>
      <c r="CP10" s="14">
        <f t="shared" si="16"/>
        <v>6</v>
      </c>
      <c r="CQ10" s="14">
        <f t="shared" si="1"/>
        <v>1</v>
      </c>
      <c r="CR10" s="14">
        <f t="shared" si="2"/>
        <v>2011016</v>
      </c>
      <c r="CS10" s="13" t="str">
        <f t="shared" si="3"/>
        <v>30级寄灵人绿色-护手</v>
      </c>
      <c r="CT10" s="14">
        <f t="shared" si="4"/>
        <v>1</v>
      </c>
      <c r="CU10" s="14">
        <f t="shared" si="5"/>
        <v>1</v>
      </c>
      <c r="CV10" s="14">
        <f t="shared" si="17"/>
        <v>30</v>
      </c>
      <c r="CW10" s="14">
        <f t="shared" si="18"/>
        <v>30</v>
      </c>
      <c r="CX10" s="14">
        <f t="shared" si="19"/>
        <v>6</v>
      </c>
      <c r="CY10" s="14" t="str">
        <f t="shared" si="20"/>
        <v/>
      </c>
      <c r="CZ10" s="14">
        <f t="shared" si="21"/>
        <v>4</v>
      </c>
      <c r="DA10" s="14">
        <f t="shared" si="22"/>
        <v>0</v>
      </c>
      <c r="DB10" s="14">
        <f t="shared" si="23"/>
        <v>0</v>
      </c>
      <c r="DC10" s="14">
        <f t="shared" si="24"/>
        <v>45</v>
      </c>
      <c r="DD10" s="14">
        <f t="shared" si="25"/>
        <v>0</v>
      </c>
      <c r="DE10" s="14">
        <f t="shared" si="26"/>
        <v>0</v>
      </c>
      <c r="DF10" s="14">
        <f t="shared" si="27"/>
        <v>4.5</v>
      </c>
      <c r="DG10" s="14">
        <f t="shared" si="28"/>
        <v>1</v>
      </c>
      <c r="DH10" s="14">
        <f t="shared" si="29"/>
        <v>0</v>
      </c>
      <c r="DI10" s="14">
        <f t="shared" si="30"/>
        <v>11</v>
      </c>
      <c r="DL10" s="14">
        <f t="shared" si="6"/>
        <v>3</v>
      </c>
      <c r="DM10" s="14">
        <f t="shared" si="7"/>
        <v>0</v>
      </c>
      <c r="DN10" s="14" t="str">
        <f t="shared" si="31"/>
        <v>HPExt</v>
      </c>
      <c r="DO10" s="14">
        <f t="shared" si="32"/>
        <v>45</v>
      </c>
      <c r="DP10" s="14">
        <f t="shared" si="33"/>
        <v>4.5</v>
      </c>
      <c r="DQ10" s="14" t="str">
        <f t="shared" si="34"/>
        <v/>
      </c>
      <c r="DR10" s="14" t="str">
        <f t="shared" si="35"/>
        <v/>
      </c>
      <c r="DS10" s="14" t="str">
        <f t="shared" si="36"/>
        <v/>
      </c>
      <c r="DT10" s="14">
        <f t="shared" si="37"/>
        <v>1</v>
      </c>
      <c r="DU10" s="14">
        <f t="shared" si="38"/>
        <v>0</v>
      </c>
      <c r="DV10" s="14">
        <f t="shared" si="39"/>
        <v>11</v>
      </c>
      <c r="DW10" s="29" t="s">
        <v>758</v>
      </c>
      <c r="DX10" s="14">
        <f t="shared" si="40"/>
        <v>5</v>
      </c>
      <c r="EA10" s="13">
        <v>1041</v>
      </c>
      <c r="EB10" s="13" t="s">
        <v>680</v>
      </c>
      <c r="EC10" s="37"/>
      <c r="ED10" s="37"/>
      <c r="EE10" s="13">
        <v>2</v>
      </c>
      <c r="EF10" s="13" t="s">
        <v>690</v>
      </c>
      <c r="EG10" s="13">
        <v>2</v>
      </c>
      <c r="EH10" s="13">
        <v>4</v>
      </c>
      <c r="EI10" s="13" t="s">
        <v>650</v>
      </c>
      <c r="EJ10" s="13">
        <v>0.8</v>
      </c>
      <c r="EL10" s="13">
        <v>2</v>
      </c>
      <c r="EM10" s="13" t="s">
        <v>676</v>
      </c>
      <c r="EN10" s="13">
        <v>2</v>
      </c>
      <c r="EO10" s="13">
        <v>4</v>
      </c>
      <c r="EP10" s="13" t="s">
        <v>650</v>
      </c>
      <c r="EQ10" s="13">
        <v>0.8</v>
      </c>
      <c r="ET10" s="13">
        <v>6</v>
      </c>
      <c r="EU10" s="13">
        <f t="shared" si="41"/>
        <v>1</v>
      </c>
      <c r="EV10" s="13" t="str">
        <f t="shared" si="42"/>
        <v>30级寄灵人洗练-6</v>
      </c>
      <c r="EW10" s="13">
        <f t="shared" si="43"/>
        <v>11</v>
      </c>
      <c r="EX10" s="13">
        <f t="shared" si="44"/>
        <v>6</v>
      </c>
      <c r="EY10" s="13">
        <f t="shared" si="45"/>
        <v>500</v>
      </c>
      <c r="EZ10" s="13" t="str">
        <f t="shared" si="46"/>
        <v>HPRate</v>
      </c>
      <c r="FA10" s="13">
        <f t="shared" si="47"/>
        <v>1.4E-2</v>
      </c>
      <c r="FB10" s="13">
        <f t="shared" si="48"/>
        <v>0.04</v>
      </c>
    </row>
    <row r="11" spans="1:158" s="20" customFormat="1" ht="16.5" x14ac:dyDescent="0.2">
      <c r="A11" s="13">
        <v>1</v>
      </c>
      <c r="B11" s="13">
        <v>2</v>
      </c>
      <c r="C11" s="13">
        <v>3</v>
      </c>
      <c r="D11" s="13">
        <v>30</v>
      </c>
      <c r="E11" s="13">
        <f>ROUND((INDEX(新属性投放!J$42:J$63,装备!$C11)-40)*装备!$B$3/$D11,0)</f>
        <v>13</v>
      </c>
      <c r="F11" s="13">
        <f t="shared" si="0"/>
        <v>6.5</v>
      </c>
      <c r="G11" s="13">
        <f>ROUND(INDEX(新属性投放!L$42:L$63,装备!$C11)*装备!$B$3/$D11,0)</f>
        <v>59</v>
      </c>
      <c r="H11" s="13">
        <v>10</v>
      </c>
      <c r="I11" s="13">
        <v>5</v>
      </c>
      <c r="J11" s="13">
        <v>50</v>
      </c>
      <c r="K11" s="13">
        <v>0.35</v>
      </c>
      <c r="L11" s="13">
        <f t="shared" si="8"/>
        <v>136.5</v>
      </c>
      <c r="M11" s="13">
        <f t="shared" si="9"/>
        <v>68.25</v>
      </c>
      <c r="N11" s="13">
        <f t="shared" si="10"/>
        <v>619.5</v>
      </c>
      <c r="O11" s="13">
        <v>100</v>
      </c>
      <c r="P11" s="13">
        <v>50</v>
      </c>
      <c r="Q11" s="13">
        <v>1000</v>
      </c>
      <c r="R11" s="37"/>
      <c r="S11" s="37"/>
      <c r="T11" s="37"/>
      <c r="U11" s="37"/>
      <c r="V11" s="37"/>
      <c r="W11" s="37"/>
      <c r="X11" s="37"/>
      <c r="Y11" s="37"/>
      <c r="Z11" s="37"/>
      <c r="AA11" s="13">
        <v>7</v>
      </c>
      <c r="AB11" s="13" t="s">
        <v>607</v>
      </c>
      <c r="AC11" s="28">
        <v>0.2</v>
      </c>
      <c r="AD11" s="28">
        <v>0.25</v>
      </c>
      <c r="AE11" s="13"/>
      <c r="AF11" s="13">
        <v>1</v>
      </c>
      <c r="AG11" s="13">
        <v>2</v>
      </c>
      <c r="AH11" s="37"/>
      <c r="AI11" s="37"/>
      <c r="AJ11" s="37"/>
      <c r="AK11" s="37"/>
      <c r="AL11" s="37"/>
      <c r="AM11" s="37"/>
      <c r="AN11" s="13" t="s">
        <v>861</v>
      </c>
      <c r="AO11" s="13">
        <v>4</v>
      </c>
      <c r="AP11" s="14">
        <f>INT(INDEX(新属性投放!$J$42:$J$63,装备!AO5)*AP$3)</f>
        <v>314</v>
      </c>
      <c r="AQ11" s="14">
        <f>INT(INDEX(新属性投放!$L$42:$L$63,装备!AO5)*AQ$3)</f>
        <v>1383</v>
      </c>
      <c r="AR11" s="37"/>
      <c r="AS11" s="37"/>
      <c r="AT11" s="13">
        <v>21</v>
      </c>
      <c r="AU11" s="13" t="s">
        <v>728</v>
      </c>
      <c r="AV11" s="13">
        <v>8</v>
      </c>
      <c r="AW11" s="13">
        <v>2</v>
      </c>
      <c r="AX11" s="40">
        <v>0.35</v>
      </c>
      <c r="AY11" s="13">
        <f t="shared" si="11"/>
        <v>34</v>
      </c>
      <c r="AZ11" s="13">
        <f t="shared" si="12"/>
        <v>17</v>
      </c>
      <c r="BA11" s="13">
        <f t="shared" si="13"/>
        <v>77</v>
      </c>
      <c r="BB11" s="28">
        <v>0.04</v>
      </c>
      <c r="BC11" s="28">
        <v>0.04</v>
      </c>
      <c r="BD11" s="28">
        <v>0.04</v>
      </c>
      <c r="BE11" s="28">
        <v>0.03</v>
      </c>
      <c r="BF11" s="28">
        <v>0.08</v>
      </c>
      <c r="BG11" s="28">
        <v>0.03</v>
      </c>
      <c r="BH11" s="28">
        <v>0.03</v>
      </c>
      <c r="BI11" s="28">
        <v>0.05</v>
      </c>
      <c r="BJ11" s="28">
        <v>0.05</v>
      </c>
      <c r="BK11" s="28"/>
      <c r="BL11" s="37"/>
      <c r="BM11" s="13">
        <v>0</v>
      </c>
      <c r="BN11" s="13">
        <v>0</v>
      </c>
      <c r="BO11" s="13">
        <v>1</v>
      </c>
      <c r="BP11" s="13">
        <v>2</v>
      </c>
      <c r="BQ11" s="37"/>
      <c r="BR11" s="13">
        <v>6</v>
      </c>
      <c r="BS11" s="13">
        <v>1</v>
      </c>
      <c r="BT11" s="13">
        <v>20</v>
      </c>
      <c r="BU11" s="13">
        <v>3</v>
      </c>
      <c r="BV11" s="13">
        <v>2</v>
      </c>
      <c r="BW11" s="13">
        <v>2</v>
      </c>
      <c r="BX11" s="13">
        <f t="shared" si="49"/>
        <v>2013020</v>
      </c>
      <c r="BY11" s="13" t="s">
        <v>766</v>
      </c>
      <c r="BZ11" s="13"/>
      <c r="CA11" s="13">
        <v>8</v>
      </c>
      <c r="CB11" s="13">
        <f>SUM(CA$6:CA11)</f>
        <v>48</v>
      </c>
      <c r="CC11" s="13">
        <v>1</v>
      </c>
      <c r="CD11" s="13">
        <v>2</v>
      </c>
      <c r="CE11" s="13">
        <v>3</v>
      </c>
      <c r="CF11" s="13">
        <v>4</v>
      </c>
      <c r="CG11" s="13">
        <v>5</v>
      </c>
      <c r="CH11" s="13">
        <v>6</v>
      </c>
      <c r="CI11" s="13">
        <v>7</v>
      </c>
      <c r="CJ11" s="13">
        <v>8</v>
      </c>
      <c r="CK11" s="37"/>
      <c r="CM11" s="13">
        <v>7</v>
      </c>
      <c r="CN11" s="14">
        <f t="shared" si="14"/>
        <v>1</v>
      </c>
      <c r="CO11" s="14">
        <f t="shared" si="15"/>
        <v>1</v>
      </c>
      <c r="CP11" s="14">
        <f t="shared" si="16"/>
        <v>7</v>
      </c>
      <c r="CQ11" s="14">
        <f t="shared" si="1"/>
        <v>1</v>
      </c>
      <c r="CR11" s="14">
        <f t="shared" si="2"/>
        <v>2011017</v>
      </c>
      <c r="CS11" s="13" t="str">
        <f t="shared" si="3"/>
        <v>30级寄灵人绿色-项链</v>
      </c>
      <c r="CT11" s="14">
        <f t="shared" si="4"/>
        <v>1</v>
      </c>
      <c r="CU11" s="14">
        <f t="shared" si="5"/>
        <v>1</v>
      </c>
      <c r="CV11" s="14">
        <f t="shared" si="17"/>
        <v>30</v>
      </c>
      <c r="CW11" s="14">
        <f t="shared" si="18"/>
        <v>30</v>
      </c>
      <c r="CX11" s="14">
        <f t="shared" si="19"/>
        <v>7</v>
      </c>
      <c r="CY11" s="14" t="str">
        <f t="shared" si="20"/>
        <v/>
      </c>
      <c r="CZ11" s="14">
        <f t="shared" si="21"/>
        <v>9</v>
      </c>
      <c r="DA11" s="14">
        <f t="shared" si="22"/>
        <v>9</v>
      </c>
      <c r="DB11" s="14">
        <f t="shared" si="23"/>
        <v>6</v>
      </c>
      <c r="DC11" s="14">
        <f t="shared" si="24"/>
        <v>0</v>
      </c>
      <c r="DD11" s="14">
        <f t="shared" si="25"/>
        <v>0.9</v>
      </c>
      <c r="DE11" s="14">
        <f t="shared" si="26"/>
        <v>0.5</v>
      </c>
      <c r="DF11" s="14">
        <f t="shared" si="27"/>
        <v>0</v>
      </c>
      <c r="DG11" s="14">
        <f t="shared" si="28"/>
        <v>1</v>
      </c>
      <c r="DH11" s="14">
        <f t="shared" si="29"/>
        <v>0</v>
      </c>
      <c r="DI11" s="14">
        <f t="shared" si="30"/>
        <v>11</v>
      </c>
      <c r="DL11" s="14">
        <f t="shared" si="6"/>
        <v>1</v>
      </c>
      <c r="DM11" s="14">
        <f t="shared" si="7"/>
        <v>2</v>
      </c>
      <c r="DN11" s="14" t="str">
        <f t="shared" si="31"/>
        <v>AtkExt</v>
      </c>
      <c r="DO11" s="14">
        <f t="shared" si="32"/>
        <v>9</v>
      </c>
      <c r="DP11" s="14">
        <f t="shared" si="33"/>
        <v>0.9</v>
      </c>
      <c r="DQ11" s="14" t="str">
        <f t="shared" si="34"/>
        <v>DefExt</v>
      </c>
      <c r="DR11" s="14">
        <f t="shared" si="35"/>
        <v>6</v>
      </c>
      <c r="DS11" s="14">
        <f t="shared" si="36"/>
        <v>0.5</v>
      </c>
      <c r="DT11" s="14">
        <f t="shared" si="37"/>
        <v>1</v>
      </c>
      <c r="DU11" s="14">
        <f t="shared" si="38"/>
        <v>0</v>
      </c>
      <c r="DV11" s="14">
        <f t="shared" si="39"/>
        <v>11</v>
      </c>
      <c r="DW11" s="29" t="s">
        <v>758</v>
      </c>
      <c r="DX11" s="14">
        <f t="shared" si="40"/>
        <v>5</v>
      </c>
      <c r="EA11" s="13">
        <v>1042</v>
      </c>
      <c r="EB11" s="13" t="s">
        <v>681</v>
      </c>
      <c r="EC11" s="37"/>
      <c r="ED11" s="37"/>
      <c r="EE11" s="13">
        <v>3</v>
      </c>
      <c r="EF11" s="13" t="s">
        <v>691</v>
      </c>
      <c r="EG11" s="13">
        <v>1</v>
      </c>
      <c r="EH11" s="13">
        <v>2</v>
      </c>
      <c r="EI11" s="13" t="s">
        <v>649</v>
      </c>
      <c r="EJ11" s="13">
        <f>AQ6</f>
        <v>2151</v>
      </c>
      <c r="EL11" s="13">
        <v>3</v>
      </c>
      <c r="EM11" s="13" t="s">
        <v>677</v>
      </c>
      <c r="EN11" s="13">
        <v>1</v>
      </c>
      <c r="EO11" s="13">
        <v>2</v>
      </c>
      <c r="EP11" s="13" t="s">
        <v>649</v>
      </c>
      <c r="EQ11" s="13">
        <f>AQ12</f>
        <v>3914</v>
      </c>
      <c r="ET11" s="13">
        <v>7</v>
      </c>
      <c r="EU11" s="13">
        <f t="shared" si="41"/>
        <v>1</v>
      </c>
      <c r="EV11" s="13" t="str">
        <f t="shared" si="42"/>
        <v>30级寄灵人洗练-7</v>
      </c>
      <c r="EW11" s="13">
        <f t="shared" si="43"/>
        <v>11</v>
      </c>
      <c r="EX11" s="13">
        <f t="shared" si="44"/>
        <v>7</v>
      </c>
      <c r="EY11" s="13">
        <f t="shared" si="45"/>
        <v>500</v>
      </c>
      <c r="EZ11" s="13" t="str">
        <f t="shared" si="46"/>
        <v>Crit</v>
      </c>
      <c r="FA11" s="13">
        <f t="shared" si="47"/>
        <v>1.0999999999999999E-2</v>
      </c>
      <c r="FB11" s="13">
        <f t="shared" si="48"/>
        <v>0.03</v>
      </c>
    </row>
    <row r="12" spans="1:158" s="20" customFormat="1" ht="16.5" x14ac:dyDescent="0.2">
      <c r="A12" s="13">
        <v>2</v>
      </c>
      <c r="B12" s="13">
        <v>2</v>
      </c>
      <c r="C12" s="13">
        <v>6</v>
      </c>
      <c r="D12" s="13">
        <v>60</v>
      </c>
      <c r="E12" s="13">
        <f>ROUND((INDEX(新属性投放!J$42:J$63,装备!$C12)-40)*装备!$B$3/$D12,0)</f>
        <v>19</v>
      </c>
      <c r="F12" s="13">
        <f t="shared" si="0"/>
        <v>9.5</v>
      </c>
      <c r="G12" s="13">
        <f>ROUND(INDEX(新属性投放!L$42:L$63,装备!$C12)*装备!$B$3/$D12,0)</f>
        <v>97</v>
      </c>
      <c r="H12" s="13">
        <v>12</v>
      </c>
      <c r="I12" s="13">
        <v>6</v>
      </c>
      <c r="J12" s="13">
        <v>85</v>
      </c>
      <c r="K12" s="13">
        <v>0.3</v>
      </c>
      <c r="L12" s="13">
        <f t="shared" si="8"/>
        <v>342</v>
      </c>
      <c r="M12" s="13">
        <f t="shared" si="9"/>
        <v>171</v>
      </c>
      <c r="N12" s="13">
        <f t="shared" si="10"/>
        <v>1745.9999999999998</v>
      </c>
      <c r="O12" s="13">
        <v>200</v>
      </c>
      <c r="P12" s="13">
        <v>100</v>
      </c>
      <c r="Q12" s="13">
        <v>1500</v>
      </c>
      <c r="R12" s="37"/>
      <c r="S12" s="37"/>
      <c r="T12" s="37"/>
      <c r="U12" s="37"/>
      <c r="V12" s="37"/>
      <c r="W12" s="37"/>
      <c r="X12" s="37"/>
      <c r="Y12" s="37"/>
      <c r="Z12" s="37"/>
      <c r="AA12" s="13">
        <v>8</v>
      </c>
      <c r="AB12" s="13" t="s">
        <v>608</v>
      </c>
      <c r="AC12" s="28">
        <v>0.2</v>
      </c>
      <c r="AD12" s="13"/>
      <c r="AE12" s="28">
        <v>0.25</v>
      </c>
      <c r="AF12" s="13">
        <v>1</v>
      </c>
      <c r="AG12" s="13">
        <v>3</v>
      </c>
      <c r="AH12" s="37"/>
      <c r="AI12" s="37"/>
      <c r="AJ12" s="37"/>
      <c r="AK12" s="37"/>
      <c r="AL12" s="37"/>
      <c r="AM12" s="37"/>
      <c r="AN12" s="13" t="s">
        <v>863</v>
      </c>
      <c r="AO12" s="13">
        <v>7</v>
      </c>
      <c r="AP12" s="14">
        <f>INT(INDEX(新属性投放!$J$42:$J$63,装备!AO6)*AP$3)</f>
        <v>783</v>
      </c>
      <c r="AQ12" s="14">
        <f>INT(INDEX(新属性投放!$L$42:$L$63,装备!AO6)*AQ$3)</f>
        <v>3914</v>
      </c>
      <c r="AR12" s="37"/>
      <c r="AS12" s="37"/>
      <c r="AT12" s="13">
        <v>22</v>
      </c>
      <c r="AU12" s="13" t="s">
        <v>729</v>
      </c>
      <c r="AV12" s="13">
        <v>8</v>
      </c>
      <c r="AW12" s="13">
        <v>3</v>
      </c>
      <c r="AX12" s="40">
        <v>0.35</v>
      </c>
      <c r="AY12" s="13">
        <f t="shared" si="11"/>
        <v>50</v>
      </c>
      <c r="AZ12" s="13">
        <f t="shared" si="12"/>
        <v>37</v>
      </c>
      <c r="BA12" s="13">
        <f t="shared" si="13"/>
        <v>255</v>
      </c>
      <c r="BB12" s="28">
        <v>0.04</v>
      </c>
      <c r="BC12" s="28">
        <v>0.04</v>
      </c>
      <c r="BD12" s="28">
        <v>0.04</v>
      </c>
      <c r="BE12" s="28">
        <v>0.03</v>
      </c>
      <c r="BF12" s="28">
        <v>0.08</v>
      </c>
      <c r="BG12" s="28">
        <v>0.03</v>
      </c>
      <c r="BH12" s="28">
        <v>0.03</v>
      </c>
      <c r="BI12" s="28">
        <v>0.05</v>
      </c>
      <c r="BJ12" s="28">
        <v>0.05</v>
      </c>
      <c r="BK12" s="28"/>
      <c r="BL12" s="37"/>
      <c r="BM12" s="13">
        <v>0</v>
      </c>
      <c r="BN12" s="13">
        <v>0</v>
      </c>
      <c r="BO12" s="13">
        <v>2</v>
      </c>
      <c r="BP12" s="13">
        <v>3</v>
      </c>
      <c r="BQ12" s="37"/>
      <c r="BR12" s="13">
        <v>7</v>
      </c>
      <c r="BS12" s="13">
        <v>1</v>
      </c>
      <c r="BT12" s="13">
        <v>20</v>
      </c>
      <c r="BU12" s="13">
        <v>4</v>
      </c>
      <c r="BV12" s="13">
        <v>1</v>
      </c>
      <c r="BW12" s="13">
        <v>1</v>
      </c>
      <c r="BX12" s="13">
        <f t="shared" si="49"/>
        <v>2014010</v>
      </c>
      <c r="BY12" s="13" t="s">
        <v>767</v>
      </c>
      <c r="BZ12" s="13"/>
      <c r="CA12" s="13">
        <v>8</v>
      </c>
      <c r="CB12" s="13">
        <f>SUM(CA$6:CA12)</f>
        <v>56</v>
      </c>
      <c r="CC12" s="13">
        <v>1</v>
      </c>
      <c r="CD12" s="13">
        <v>2</v>
      </c>
      <c r="CE12" s="13">
        <v>3</v>
      </c>
      <c r="CF12" s="13">
        <v>4</v>
      </c>
      <c r="CG12" s="13">
        <v>5</v>
      </c>
      <c r="CH12" s="13">
        <v>6</v>
      </c>
      <c r="CI12" s="13">
        <v>7</v>
      </c>
      <c r="CJ12" s="13">
        <v>8</v>
      </c>
      <c r="CK12" s="37"/>
      <c r="CM12" s="13">
        <v>8</v>
      </c>
      <c r="CN12" s="14">
        <f t="shared" si="14"/>
        <v>1</v>
      </c>
      <c r="CO12" s="14">
        <f t="shared" si="15"/>
        <v>1</v>
      </c>
      <c r="CP12" s="14">
        <f t="shared" si="16"/>
        <v>8</v>
      </c>
      <c r="CQ12" s="14">
        <f t="shared" si="1"/>
        <v>1</v>
      </c>
      <c r="CR12" s="14">
        <f t="shared" si="2"/>
        <v>2011018</v>
      </c>
      <c r="CS12" s="13" t="str">
        <f t="shared" si="3"/>
        <v>30级寄灵人绿色-戒指</v>
      </c>
      <c r="CT12" s="14">
        <f t="shared" si="4"/>
        <v>1</v>
      </c>
      <c r="CU12" s="14">
        <f t="shared" si="5"/>
        <v>1</v>
      </c>
      <c r="CV12" s="14">
        <f t="shared" si="17"/>
        <v>30</v>
      </c>
      <c r="CW12" s="14">
        <f t="shared" si="18"/>
        <v>30</v>
      </c>
      <c r="CX12" s="14">
        <f t="shared" si="19"/>
        <v>8</v>
      </c>
      <c r="CY12" s="14" t="str">
        <f t="shared" si="20"/>
        <v/>
      </c>
      <c r="CZ12" s="14">
        <f t="shared" si="21"/>
        <v>8</v>
      </c>
      <c r="DA12" s="14">
        <f t="shared" si="22"/>
        <v>9</v>
      </c>
      <c r="DB12" s="14">
        <f t="shared" si="23"/>
        <v>0</v>
      </c>
      <c r="DC12" s="14">
        <f t="shared" si="24"/>
        <v>38</v>
      </c>
      <c r="DD12" s="14">
        <f t="shared" si="25"/>
        <v>0.9</v>
      </c>
      <c r="DE12" s="14">
        <f t="shared" si="26"/>
        <v>0</v>
      </c>
      <c r="DF12" s="14">
        <f t="shared" si="27"/>
        <v>3.75</v>
      </c>
      <c r="DG12" s="14">
        <f t="shared" si="28"/>
        <v>1</v>
      </c>
      <c r="DH12" s="14">
        <f t="shared" si="29"/>
        <v>0</v>
      </c>
      <c r="DI12" s="14">
        <f t="shared" si="30"/>
        <v>11</v>
      </c>
      <c r="DL12" s="14">
        <f t="shared" si="6"/>
        <v>1</v>
      </c>
      <c r="DM12" s="14">
        <f t="shared" si="7"/>
        <v>3</v>
      </c>
      <c r="DN12" s="14" t="str">
        <f t="shared" si="31"/>
        <v>AtkExt</v>
      </c>
      <c r="DO12" s="14">
        <f t="shared" si="32"/>
        <v>9</v>
      </c>
      <c r="DP12" s="14">
        <f t="shared" si="33"/>
        <v>0.9</v>
      </c>
      <c r="DQ12" s="14" t="str">
        <f t="shared" si="34"/>
        <v>HPExt</v>
      </c>
      <c r="DR12" s="14">
        <f t="shared" si="35"/>
        <v>38</v>
      </c>
      <c r="DS12" s="14">
        <f t="shared" si="36"/>
        <v>3.75</v>
      </c>
      <c r="DT12" s="14">
        <f t="shared" si="37"/>
        <v>1</v>
      </c>
      <c r="DU12" s="14">
        <f t="shared" si="38"/>
        <v>0</v>
      </c>
      <c r="DV12" s="14">
        <f t="shared" si="39"/>
        <v>11</v>
      </c>
      <c r="DW12" s="29" t="s">
        <v>758</v>
      </c>
      <c r="DX12" s="14">
        <f t="shared" si="40"/>
        <v>5</v>
      </c>
      <c r="EA12" s="13">
        <v>1043</v>
      </c>
      <c r="EB12" s="13" t="s">
        <v>682</v>
      </c>
      <c r="EC12" s="37"/>
      <c r="ED12" s="37"/>
      <c r="EE12" s="13">
        <v>3</v>
      </c>
      <c r="EF12" s="13" t="s">
        <v>691</v>
      </c>
      <c r="EG12" s="13">
        <v>2</v>
      </c>
      <c r="EH12" s="13">
        <v>4</v>
      </c>
      <c r="EI12" s="13" t="s">
        <v>652</v>
      </c>
      <c r="EJ12" s="13">
        <v>0.8</v>
      </c>
      <c r="EK12" s="16"/>
      <c r="EL12" s="13">
        <v>3</v>
      </c>
      <c r="EM12" s="13" t="s">
        <v>677</v>
      </c>
      <c r="EN12" s="13">
        <v>2</v>
      </c>
      <c r="EO12" s="13">
        <v>4</v>
      </c>
      <c r="EP12" s="13" t="s">
        <v>652</v>
      </c>
      <c r="EQ12" s="13">
        <v>0.8</v>
      </c>
      <c r="ET12" s="13">
        <v>8</v>
      </c>
      <c r="EU12" s="13">
        <f t="shared" si="41"/>
        <v>1</v>
      </c>
      <c r="EV12" s="13" t="str">
        <f t="shared" si="42"/>
        <v>30级寄灵人洗练-8</v>
      </c>
      <c r="EW12" s="13">
        <f t="shared" si="43"/>
        <v>11</v>
      </c>
      <c r="EX12" s="13">
        <f t="shared" si="44"/>
        <v>8</v>
      </c>
      <c r="EY12" s="13">
        <f t="shared" si="45"/>
        <v>500</v>
      </c>
      <c r="EZ12" s="13" t="str">
        <f t="shared" si="46"/>
        <v>CritRate</v>
      </c>
      <c r="FA12" s="13">
        <f t="shared" si="47"/>
        <v>2.8000000000000001E-2</v>
      </c>
      <c r="FB12" s="13">
        <f t="shared" si="48"/>
        <v>0.08</v>
      </c>
    </row>
    <row r="13" spans="1:158" s="20" customFormat="1" ht="16.5" x14ac:dyDescent="0.2">
      <c r="A13" s="13">
        <v>3</v>
      </c>
      <c r="B13" s="13">
        <v>2</v>
      </c>
      <c r="C13" s="13">
        <v>9</v>
      </c>
      <c r="D13" s="13">
        <v>90</v>
      </c>
      <c r="E13" s="13">
        <f>ROUND((INDEX(新属性投放!J$42:J$63,装备!$C13)-40)*装备!$B$3/$D13,0)</f>
        <v>28</v>
      </c>
      <c r="F13" s="13">
        <f t="shared" si="0"/>
        <v>14</v>
      </c>
      <c r="G13" s="13">
        <f>ROUND(INDEX(新属性投放!L$42:L$63,装备!$C13)*装备!$B$3/$D13,0)</f>
        <v>147</v>
      </c>
      <c r="H13" s="13">
        <v>20</v>
      </c>
      <c r="I13" s="13">
        <v>10</v>
      </c>
      <c r="J13" s="13">
        <v>125</v>
      </c>
      <c r="K13" s="13">
        <v>0.25</v>
      </c>
      <c r="L13" s="13">
        <f t="shared" si="8"/>
        <v>630</v>
      </c>
      <c r="M13" s="13">
        <f t="shared" si="9"/>
        <v>315</v>
      </c>
      <c r="N13" s="13">
        <f t="shared" si="10"/>
        <v>3307.5</v>
      </c>
      <c r="O13" s="13">
        <v>500</v>
      </c>
      <c r="P13" s="13">
        <v>250</v>
      </c>
      <c r="Q13" s="13">
        <v>2500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13" t="s">
        <v>865</v>
      </c>
      <c r="AO13" s="13">
        <v>10</v>
      </c>
      <c r="AP13" s="14">
        <f>INT(INDEX(新属性投放!$J$42:$J$63,装备!AO7)*AP$3)</f>
        <v>1658</v>
      </c>
      <c r="AQ13" s="14">
        <f>INT(INDEX(新属性投放!$L$42:$L$63,装备!AO7)*AQ$3)</f>
        <v>8639</v>
      </c>
      <c r="AR13" s="37"/>
      <c r="AS13" s="37"/>
      <c r="AT13" s="13">
        <v>23</v>
      </c>
      <c r="AU13" s="13" t="s">
        <v>730</v>
      </c>
      <c r="AV13" s="13">
        <v>10</v>
      </c>
      <c r="AW13" s="13">
        <v>3</v>
      </c>
      <c r="AX13" s="40">
        <v>0.35</v>
      </c>
      <c r="AY13" s="13">
        <f t="shared" si="11"/>
        <v>147</v>
      </c>
      <c r="AZ13" s="13">
        <f t="shared" si="12"/>
        <v>55</v>
      </c>
      <c r="BA13" s="13">
        <f t="shared" si="13"/>
        <v>579</v>
      </c>
      <c r="BB13" s="28">
        <v>0.04</v>
      </c>
      <c r="BC13" s="28">
        <v>0.04</v>
      </c>
      <c r="BD13" s="28">
        <v>0.04</v>
      </c>
      <c r="BE13" s="28">
        <v>0.03</v>
      </c>
      <c r="BF13" s="28">
        <v>0.08</v>
      </c>
      <c r="BG13" s="28">
        <v>0.03</v>
      </c>
      <c r="BH13" s="28">
        <v>0.03</v>
      </c>
      <c r="BI13" s="28">
        <v>0.05</v>
      </c>
      <c r="BJ13" s="28">
        <v>0.05</v>
      </c>
      <c r="BK13" s="28"/>
      <c r="BL13" s="37"/>
      <c r="BM13" s="13">
        <v>0</v>
      </c>
      <c r="BN13" s="13">
        <v>0</v>
      </c>
      <c r="BO13" s="13">
        <v>2</v>
      </c>
      <c r="BP13" s="13">
        <v>3</v>
      </c>
      <c r="BQ13" s="37"/>
      <c r="BR13" s="13">
        <v>8</v>
      </c>
      <c r="BS13" s="13">
        <v>1</v>
      </c>
      <c r="BT13" s="13">
        <v>20</v>
      </c>
      <c r="BU13" s="13">
        <v>4</v>
      </c>
      <c r="BV13" s="13">
        <v>2</v>
      </c>
      <c r="BW13" s="13">
        <v>2</v>
      </c>
      <c r="BX13" s="13">
        <f t="shared" si="49"/>
        <v>2014020</v>
      </c>
      <c r="BY13" s="13" t="s">
        <v>768</v>
      </c>
      <c r="BZ13" s="13"/>
      <c r="CA13" s="13">
        <v>8</v>
      </c>
      <c r="CB13" s="13">
        <f>SUM(CA$6:CA13)</f>
        <v>64</v>
      </c>
      <c r="CC13" s="13">
        <v>1</v>
      </c>
      <c r="CD13" s="13">
        <v>2</v>
      </c>
      <c r="CE13" s="13">
        <v>3</v>
      </c>
      <c r="CF13" s="13">
        <v>4</v>
      </c>
      <c r="CG13" s="13">
        <v>5</v>
      </c>
      <c r="CH13" s="13">
        <v>6</v>
      </c>
      <c r="CI13" s="13">
        <v>7</v>
      </c>
      <c r="CJ13" s="13">
        <v>8</v>
      </c>
      <c r="CK13" s="37"/>
      <c r="CM13" s="13">
        <v>9</v>
      </c>
      <c r="CN13" s="14">
        <f t="shared" si="14"/>
        <v>2</v>
      </c>
      <c r="CO13" s="14">
        <f t="shared" si="15"/>
        <v>2</v>
      </c>
      <c r="CP13" s="14">
        <f t="shared" si="16"/>
        <v>1</v>
      </c>
      <c r="CQ13" s="14">
        <f t="shared" si="1"/>
        <v>1</v>
      </c>
      <c r="CR13" s="14">
        <f t="shared" si="2"/>
        <v>2011021</v>
      </c>
      <c r="CS13" s="13" t="str">
        <f t="shared" si="3"/>
        <v>30级守护灵绿色-武器</v>
      </c>
      <c r="CT13" s="14">
        <f t="shared" si="4"/>
        <v>2</v>
      </c>
      <c r="CU13" s="14">
        <f t="shared" si="5"/>
        <v>1</v>
      </c>
      <c r="CV13" s="14">
        <f t="shared" si="17"/>
        <v>30</v>
      </c>
      <c r="CW13" s="14">
        <f t="shared" si="18"/>
        <v>30</v>
      </c>
      <c r="CX13" s="14">
        <f t="shared" si="19"/>
        <v>1</v>
      </c>
      <c r="CY13" s="14" t="str">
        <f t="shared" si="20"/>
        <v/>
      </c>
      <c r="CZ13" s="14">
        <f t="shared" si="21"/>
        <v>15</v>
      </c>
      <c r="DA13" s="14">
        <f t="shared" si="22"/>
        <v>30</v>
      </c>
      <c r="DB13" s="14">
        <f t="shared" si="23"/>
        <v>0</v>
      </c>
      <c r="DC13" s="14">
        <f t="shared" si="24"/>
        <v>0</v>
      </c>
      <c r="DD13" s="14">
        <f t="shared" si="25"/>
        <v>3</v>
      </c>
      <c r="DE13" s="14">
        <f t="shared" si="26"/>
        <v>0</v>
      </c>
      <c r="DF13" s="14">
        <f t="shared" si="27"/>
        <v>0</v>
      </c>
      <c r="DG13" s="14">
        <f t="shared" si="28"/>
        <v>1</v>
      </c>
      <c r="DH13" s="14">
        <f t="shared" si="29"/>
        <v>0</v>
      </c>
      <c r="DI13" s="14">
        <f t="shared" si="30"/>
        <v>21</v>
      </c>
      <c r="DL13" s="14">
        <f t="shared" si="6"/>
        <v>1</v>
      </c>
      <c r="DM13" s="14">
        <f t="shared" si="7"/>
        <v>0</v>
      </c>
      <c r="DN13" s="14" t="str">
        <f t="shared" si="31"/>
        <v>AtkExt</v>
      </c>
      <c r="DO13" s="14">
        <f t="shared" si="32"/>
        <v>30</v>
      </c>
      <c r="DP13" s="14">
        <f t="shared" si="33"/>
        <v>3</v>
      </c>
      <c r="DQ13" s="14" t="str">
        <f t="shared" si="34"/>
        <v/>
      </c>
      <c r="DR13" s="14" t="str">
        <f t="shared" si="35"/>
        <v/>
      </c>
      <c r="DS13" s="14" t="str">
        <f t="shared" si="36"/>
        <v/>
      </c>
      <c r="DT13" s="14">
        <f t="shared" si="37"/>
        <v>1</v>
      </c>
      <c r="DU13" s="14">
        <f t="shared" si="38"/>
        <v>0</v>
      </c>
      <c r="DV13" s="14">
        <f t="shared" si="39"/>
        <v>21</v>
      </c>
      <c r="DW13" s="29" t="s">
        <v>758</v>
      </c>
      <c r="DX13" s="14">
        <f t="shared" si="40"/>
        <v>5</v>
      </c>
      <c r="EA13" s="13">
        <v>1051</v>
      </c>
      <c r="EB13" s="13" t="s">
        <v>683</v>
      </c>
      <c r="EC13" s="37"/>
      <c r="ED13" s="37"/>
      <c r="EE13" s="13">
        <v>4</v>
      </c>
      <c r="EF13" s="13" t="s">
        <v>692</v>
      </c>
      <c r="EG13" s="13">
        <v>1</v>
      </c>
      <c r="EH13" s="13">
        <v>2</v>
      </c>
      <c r="EI13" s="13" t="s">
        <v>648</v>
      </c>
      <c r="EJ13" s="13">
        <f>AP7</f>
        <v>1576</v>
      </c>
      <c r="EL13" s="13">
        <v>4</v>
      </c>
      <c r="EM13" s="13" t="s">
        <v>678</v>
      </c>
      <c r="EN13" s="13">
        <v>1</v>
      </c>
      <c r="EO13" s="13">
        <v>2</v>
      </c>
      <c r="EP13" s="13" t="s">
        <v>648</v>
      </c>
      <c r="EQ13" s="13">
        <f>AP13</f>
        <v>1658</v>
      </c>
      <c r="ET13" s="13">
        <v>9</v>
      </c>
      <c r="EU13" s="13">
        <f t="shared" si="41"/>
        <v>1</v>
      </c>
      <c r="EV13" s="13" t="str">
        <f t="shared" si="42"/>
        <v>30级寄灵人洗练-9</v>
      </c>
      <c r="EW13" s="13">
        <f t="shared" si="43"/>
        <v>11</v>
      </c>
      <c r="EX13" s="13">
        <f t="shared" si="44"/>
        <v>9</v>
      </c>
      <c r="EY13" s="13">
        <f t="shared" si="45"/>
        <v>500</v>
      </c>
      <c r="EZ13" s="13" t="str">
        <f t="shared" si="46"/>
        <v>DefIgnor</v>
      </c>
      <c r="FA13" s="13">
        <f t="shared" si="47"/>
        <v>1.0999999999999999E-2</v>
      </c>
      <c r="FB13" s="13">
        <f t="shared" si="48"/>
        <v>0.03</v>
      </c>
    </row>
    <row r="14" spans="1:158" s="20" customFormat="1" ht="16.5" x14ac:dyDescent="0.2">
      <c r="A14" s="13">
        <v>4</v>
      </c>
      <c r="B14" s="13">
        <v>2</v>
      </c>
      <c r="C14" s="13">
        <v>12</v>
      </c>
      <c r="D14" s="13">
        <v>120</v>
      </c>
      <c r="E14" s="13">
        <f>ROUND((INDEX(新属性投放!J$42:J$63,装备!$C14)-40)*装备!$B$3/$D14,0)</f>
        <v>46</v>
      </c>
      <c r="F14" s="13">
        <f t="shared" si="0"/>
        <v>23</v>
      </c>
      <c r="G14" s="13">
        <f>ROUND(INDEX(新属性投放!L$42:L$63,装备!$C14)*装备!$B$3/$D14,0)</f>
        <v>246</v>
      </c>
      <c r="H14" s="13">
        <v>35</v>
      </c>
      <c r="I14" s="13">
        <v>18</v>
      </c>
      <c r="J14" s="13">
        <v>200</v>
      </c>
      <c r="K14" s="13">
        <v>0.25</v>
      </c>
      <c r="L14" s="13">
        <f t="shared" si="8"/>
        <v>1380</v>
      </c>
      <c r="M14" s="13">
        <f t="shared" si="9"/>
        <v>690</v>
      </c>
      <c r="N14" s="13">
        <f t="shared" si="10"/>
        <v>7380</v>
      </c>
      <c r="O14" s="13">
        <v>1000</v>
      </c>
      <c r="P14" s="13">
        <v>500</v>
      </c>
      <c r="Q14" s="13">
        <v>5000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13" t="s">
        <v>867</v>
      </c>
      <c r="AO14" s="13">
        <v>13</v>
      </c>
      <c r="AP14" s="14">
        <f>INT(INDEX(新属性投放!$J$42:$J$63,装备!AO8)*AP$3)</f>
        <v>3642</v>
      </c>
      <c r="AQ14" s="14">
        <f>INT(INDEX(新属性投放!$L$42:$L$63,装备!AO8)*AQ$3)</f>
        <v>19347</v>
      </c>
      <c r="AR14" s="37"/>
      <c r="AS14" s="37"/>
      <c r="AT14" s="13">
        <v>24</v>
      </c>
      <c r="AU14" s="13" t="s">
        <v>731</v>
      </c>
      <c r="AV14" s="13">
        <v>10</v>
      </c>
      <c r="AW14" s="13">
        <v>4</v>
      </c>
      <c r="AX14" s="40">
        <v>0.35</v>
      </c>
      <c r="AY14" s="13">
        <f t="shared" si="11"/>
        <v>242</v>
      </c>
      <c r="AZ14" s="13">
        <f t="shared" si="12"/>
        <v>121</v>
      </c>
      <c r="BA14" s="13">
        <f t="shared" si="13"/>
        <v>1292</v>
      </c>
      <c r="BB14" s="28">
        <v>0.04</v>
      </c>
      <c r="BC14" s="28">
        <v>0.04</v>
      </c>
      <c r="BD14" s="28">
        <v>0.04</v>
      </c>
      <c r="BE14" s="28">
        <v>0.03</v>
      </c>
      <c r="BF14" s="28">
        <v>0.08</v>
      </c>
      <c r="BG14" s="28">
        <v>0.03</v>
      </c>
      <c r="BH14" s="28">
        <v>0.03</v>
      </c>
      <c r="BI14" s="28">
        <v>0.05</v>
      </c>
      <c r="BJ14" s="28">
        <v>0.05</v>
      </c>
      <c r="BK14" s="28"/>
      <c r="BL14" s="37"/>
      <c r="BM14" s="13">
        <v>0</v>
      </c>
      <c r="BN14" s="13">
        <v>0</v>
      </c>
      <c r="BO14" s="13">
        <v>3</v>
      </c>
      <c r="BP14" s="13">
        <v>4</v>
      </c>
      <c r="BQ14" s="37"/>
      <c r="BR14" s="13">
        <v>9</v>
      </c>
      <c r="BS14" s="13">
        <v>1</v>
      </c>
      <c r="BT14" s="13">
        <v>20</v>
      </c>
      <c r="BU14" s="13">
        <v>4</v>
      </c>
      <c r="BV14" s="13">
        <v>1</v>
      </c>
      <c r="BW14" s="13">
        <v>3</v>
      </c>
      <c r="BX14" s="13">
        <f t="shared" si="49"/>
        <v>2014030</v>
      </c>
      <c r="BY14" s="13" t="s">
        <v>769</v>
      </c>
      <c r="BZ14" s="13">
        <v>1011</v>
      </c>
      <c r="CA14" s="13">
        <v>8</v>
      </c>
      <c r="CB14" s="13">
        <f>SUM(CA$6:CA14)</f>
        <v>72</v>
      </c>
      <c r="CC14" s="13">
        <v>1</v>
      </c>
      <c r="CD14" s="13">
        <v>2</v>
      </c>
      <c r="CE14" s="13">
        <v>3</v>
      </c>
      <c r="CF14" s="13">
        <v>4</v>
      </c>
      <c r="CG14" s="13">
        <v>5</v>
      </c>
      <c r="CH14" s="13">
        <v>6</v>
      </c>
      <c r="CI14" s="13">
        <v>7</v>
      </c>
      <c r="CJ14" s="13">
        <v>8</v>
      </c>
      <c r="CK14" s="37"/>
      <c r="CM14" s="13">
        <v>10</v>
      </c>
      <c r="CN14" s="14">
        <f t="shared" si="14"/>
        <v>2</v>
      </c>
      <c r="CO14" s="14">
        <f t="shared" si="15"/>
        <v>2</v>
      </c>
      <c r="CP14" s="14">
        <f t="shared" si="16"/>
        <v>2</v>
      </c>
      <c r="CQ14" s="14">
        <f t="shared" si="1"/>
        <v>1</v>
      </c>
      <c r="CR14" s="14">
        <f t="shared" si="2"/>
        <v>2011022</v>
      </c>
      <c r="CS14" s="13" t="str">
        <f t="shared" si="3"/>
        <v>30级守护灵绿色-头盔</v>
      </c>
      <c r="CT14" s="14">
        <f t="shared" si="4"/>
        <v>2</v>
      </c>
      <c r="CU14" s="14">
        <f t="shared" si="5"/>
        <v>1</v>
      </c>
      <c r="CV14" s="14">
        <f t="shared" si="17"/>
        <v>30</v>
      </c>
      <c r="CW14" s="14">
        <f t="shared" si="18"/>
        <v>30</v>
      </c>
      <c r="CX14" s="14">
        <f t="shared" si="19"/>
        <v>2</v>
      </c>
      <c r="CY14" s="14" t="str">
        <f t="shared" si="20"/>
        <v/>
      </c>
      <c r="CZ14" s="14">
        <f t="shared" si="21"/>
        <v>7</v>
      </c>
      <c r="DA14" s="14">
        <f t="shared" si="22"/>
        <v>0</v>
      </c>
      <c r="DB14" s="14">
        <f t="shared" si="23"/>
        <v>8</v>
      </c>
      <c r="DC14" s="14">
        <f t="shared" si="24"/>
        <v>0</v>
      </c>
      <c r="DD14" s="14">
        <f t="shared" si="25"/>
        <v>0</v>
      </c>
      <c r="DE14" s="14">
        <f t="shared" si="26"/>
        <v>0.75</v>
      </c>
      <c r="DF14" s="14">
        <f t="shared" si="27"/>
        <v>0</v>
      </c>
      <c r="DG14" s="14">
        <f t="shared" si="28"/>
        <v>1</v>
      </c>
      <c r="DH14" s="14">
        <f t="shared" si="29"/>
        <v>0</v>
      </c>
      <c r="DI14" s="14">
        <f t="shared" si="30"/>
        <v>21</v>
      </c>
      <c r="DL14" s="14">
        <f t="shared" si="6"/>
        <v>2</v>
      </c>
      <c r="DM14" s="14">
        <f t="shared" si="7"/>
        <v>0</v>
      </c>
      <c r="DN14" s="14" t="str">
        <f t="shared" si="31"/>
        <v>DefExt</v>
      </c>
      <c r="DO14" s="14">
        <f t="shared" si="32"/>
        <v>8</v>
      </c>
      <c r="DP14" s="14">
        <f t="shared" si="33"/>
        <v>0.75</v>
      </c>
      <c r="DQ14" s="14" t="str">
        <f t="shared" si="34"/>
        <v/>
      </c>
      <c r="DR14" s="14" t="str">
        <f t="shared" si="35"/>
        <v/>
      </c>
      <c r="DS14" s="14" t="str">
        <f t="shared" si="36"/>
        <v/>
      </c>
      <c r="DT14" s="14">
        <f t="shared" si="37"/>
        <v>1</v>
      </c>
      <c r="DU14" s="14">
        <f t="shared" si="38"/>
        <v>0</v>
      </c>
      <c r="DV14" s="14">
        <f t="shared" si="39"/>
        <v>21</v>
      </c>
      <c r="DW14" s="29" t="s">
        <v>758</v>
      </c>
      <c r="DX14" s="14">
        <f t="shared" si="40"/>
        <v>5</v>
      </c>
      <c r="EA14" s="13">
        <v>1052</v>
      </c>
      <c r="EB14" s="13" t="s">
        <v>684</v>
      </c>
      <c r="EC14" s="37"/>
      <c r="ED14" s="37"/>
      <c r="EE14" s="13">
        <v>4</v>
      </c>
      <c r="EF14" s="13" t="s">
        <v>692</v>
      </c>
      <c r="EG14" s="13">
        <v>2</v>
      </c>
      <c r="EH14" s="13">
        <v>3</v>
      </c>
      <c r="EI14" s="13" t="s">
        <v>654</v>
      </c>
      <c r="EJ14" s="13">
        <f>AQ7</f>
        <v>4778</v>
      </c>
      <c r="EL14" s="13">
        <v>4</v>
      </c>
      <c r="EM14" s="13" t="s">
        <v>678</v>
      </c>
      <c r="EN14" s="13">
        <v>2</v>
      </c>
      <c r="EO14" s="13">
        <v>3</v>
      </c>
      <c r="EP14" s="13" t="s">
        <v>654</v>
      </c>
      <c r="EQ14" s="13">
        <f>AQ13</f>
        <v>8639</v>
      </c>
      <c r="ET14" s="13">
        <v>10</v>
      </c>
      <c r="EU14" s="13">
        <f t="shared" si="41"/>
        <v>1</v>
      </c>
      <c r="EV14" s="13" t="str">
        <f t="shared" si="42"/>
        <v>30级寄灵人洗练-10</v>
      </c>
      <c r="EW14" s="13">
        <f t="shared" si="43"/>
        <v>11</v>
      </c>
      <c r="EX14" s="13">
        <f t="shared" si="44"/>
        <v>10</v>
      </c>
      <c r="EY14" s="13">
        <f t="shared" si="45"/>
        <v>500</v>
      </c>
      <c r="EZ14" s="13" t="str">
        <f t="shared" si="46"/>
        <v>Block</v>
      </c>
      <c r="FA14" s="13">
        <f t="shared" si="47"/>
        <v>1.0999999999999999E-2</v>
      </c>
      <c r="FB14" s="13">
        <f t="shared" si="48"/>
        <v>0.03</v>
      </c>
    </row>
    <row r="15" spans="1:158" s="20" customFormat="1" ht="16.5" x14ac:dyDescent="0.2">
      <c r="A15" s="13">
        <v>5</v>
      </c>
      <c r="B15" s="13">
        <v>2</v>
      </c>
      <c r="C15" s="13">
        <v>15</v>
      </c>
      <c r="D15" s="13">
        <v>150</v>
      </c>
      <c r="E15" s="13">
        <f>ROUND((INDEX(新属性投放!J$42:J$63,装备!$C15)-40)*装备!$B$3/$D15,0)</f>
        <v>83</v>
      </c>
      <c r="F15" s="13">
        <f t="shared" si="0"/>
        <v>41.5</v>
      </c>
      <c r="G15" s="13">
        <f>ROUND(INDEX(新属性投放!L$42:L$63,装备!$C15)*装备!$B$3/$D15,0)</f>
        <v>443</v>
      </c>
      <c r="H15" s="13">
        <v>65</v>
      </c>
      <c r="I15" s="13">
        <v>32</v>
      </c>
      <c r="J15" s="13">
        <v>350</v>
      </c>
      <c r="K15" s="13">
        <v>0.25</v>
      </c>
      <c r="L15" s="13">
        <f t="shared" si="8"/>
        <v>3112.5</v>
      </c>
      <c r="M15" s="13">
        <f t="shared" si="9"/>
        <v>1556.25</v>
      </c>
      <c r="N15" s="13">
        <f t="shared" si="10"/>
        <v>16612.5</v>
      </c>
      <c r="O15" s="13">
        <v>2500</v>
      </c>
      <c r="P15" s="13">
        <v>1125</v>
      </c>
      <c r="Q15" s="13">
        <v>12000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13" t="s">
        <v>868</v>
      </c>
      <c r="AO15" s="13">
        <v>16</v>
      </c>
      <c r="AP15" s="14">
        <f>INT(INDEX(新属性投放!$J$42:$J$63,装备!AO9)*AP$3)</f>
        <v>8131</v>
      </c>
      <c r="AQ15" s="14">
        <f>INT(INDEX(新属性投放!$L$42:$L$63,装备!AO9)*AQ$3)</f>
        <v>43584</v>
      </c>
      <c r="AR15" s="37"/>
      <c r="AS15" s="37"/>
      <c r="AT15" s="13">
        <v>25</v>
      </c>
      <c r="AU15" s="13" t="s">
        <v>732</v>
      </c>
      <c r="AV15" s="13">
        <v>12</v>
      </c>
      <c r="AW15" s="13">
        <v>5</v>
      </c>
      <c r="AX15" s="40">
        <v>0.35</v>
      </c>
      <c r="AY15" s="13">
        <f t="shared" si="11"/>
        <v>654</v>
      </c>
      <c r="AZ15" s="13">
        <f t="shared" si="12"/>
        <v>272</v>
      </c>
      <c r="BA15" s="13">
        <f t="shared" si="13"/>
        <v>2907</v>
      </c>
      <c r="BB15" s="28">
        <v>0.04</v>
      </c>
      <c r="BC15" s="28">
        <v>0.04</v>
      </c>
      <c r="BD15" s="28">
        <v>0.04</v>
      </c>
      <c r="BE15" s="28">
        <v>0.03</v>
      </c>
      <c r="BF15" s="28">
        <v>0.08</v>
      </c>
      <c r="BG15" s="28">
        <v>0.03</v>
      </c>
      <c r="BH15" s="28">
        <v>0.03</v>
      </c>
      <c r="BI15" s="28">
        <v>0.05</v>
      </c>
      <c r="BJ15" s="28">
        <v>0.05</v>
      </c>
      <c r="BK15" s="28"/>
      <c r="BL15" s="37"/>
      <c r="BM15" s="13">
        <v>0</v>
      </c>
      <c r="BN15" s="13">
        <v>0</v>
      </c>
      <c r="BO15" s="13">
        <v>4</v>
      </c>
      <c r="BP15" s="13">
        <v>5</v>
      </c>
      <c r="BQ15" s="37"/>
      <c r="BR15" s="13">
        <v>10</v>
      </c>
      <c r="BS15" s="13">
        <v>1</v>
      </c>
      <c r="BT15" s="13">
        <v>20</v>
      </c>
      <c r="BU15" s="13">
        <v>4</v>
      </c>
      <c r="BV15" s="13">
        <v>2</v>
      </c>
      <c r="BW15" s="13">
        <v>4</v>
      </c>
      <c r="BX15" s="13">
        <f t="shared" si="49"/>
        <v>2014040</v>
      </c>
      <c r="BY15" s="13" t="s">
        <v>770</v>
      </c>
      <c r="BZ15" s="13">
        <v>2011</v>
      </c>
      <c r="CA15" s="13">
        <v>8</v>
      </c>
      <c r="CB15" s="13">
        <f>SUM(CA$6:CA15)</f>
        <v>80</v>
      </c>
      <c r="CC15" s="13">
        <v>1</v>
      </c>
      <c r="CD15" s="13">
        <v>2</v>
      </c>
      <c r="CE15" s="13">
        <v>3</v>
      </c>
      <c r="CF15" s="13">
        <v>4</v>
      </c>
      <c r="CG15" s="13">
        <v>5</v>
      </c>
      <c r="CH15" s="13">
        <v>6</v>
      </c>
      <c r="CI15" s="13">
        <v>7</v>
      </c>
      <c r="CJ15" s="13">
        <v>8</v>
      </c>
      <c r="CK15" s="37"/>
      <c r="CM15" s="13">
        <v>11</v>
      </c>
      <c r="CN15" s="14">
        <f t="shared" si="14"/>
        <v>2</v>
      </c>
      <c r="CO15" s="14">
        <f t="shared" si="15"/>
        <v>2</v>
      </c>
      <c r="CP15" s="14">
        <f t="shared" si="16"/>
        <v>3</v>
      </c>
      <c r="CQ15" s="14">
        <f t="shared" si="1"/>
        <v>1</v>
      </c>
      <c r="CR15" s="14">
        <f t="shared" si="2"/>
        <v>2011023</v>
      </c>
      <c r="CS15" s="13" t="str">
        <f t="shared" si="3"/>
        <v>30级守护灵绿色-肩甲</v>
      </c>
      <c r="CT15" s="14">
        <f t="shared" si="4"/>
        <v>2</v>
      </c>
      <c r="CU15" s="14">
        <f t="shared" si="5"/>
        <v>1</v>
      </c>
      <c r="CV15" s="14">
        <f t="shared" si="17"/>
        <v>30</v>
      </c>
      <c r="CW15" s="14">
        <f t="shared" si="18"/>
        <v>30</v>
      </c>
      <c r="CX15" s="14">
        <f t="shared" si="19"/>
        <v>3</v>
      </c>
      <c r="CY15" s="14" t="str">
        <f t="shared" si="20"/>
        <v/>
      </c>
      <c r="CZ15" s="14">
        <f t="shared" si="21"/>
        <v>7</v>
      </c>
      <c r="DA15" s="14">
        <f t="shared" si="22"/>
        <v>0</v>
      </c>
      <c r="DB15" s="14">
        <f t="shared" si="23"/>
        <v>4</v>
      </c>
      <c r="DC15" s="14">
        <f t="shared" si="24"/>
        <v>75</v>
      </c>
      <c r="DD15" s="14">
        <f t="shared" si="25"/>
        <v>0</v>
      </c>
      <c r="DE15" s="14">
        <f t="shared" si="26"/>
        <v>0.38</v>
      </c>
      <c r="DF15" s="14">
        <f t="shared" si="27"/>
        <v>3.75</v>
      </c>
      <c r="DG15" s="14">
        <f t="shared" si="28"/>
        <v>1</v>
      </c>
      <c r="DH15" s="14">
        <f t="shared" si="29"/>
        <v>0</v>
      </c>
      <c r="DI15" s="14">
        <f t="shared" si="30"/>
        <v>21</v>
      </c>
      <c r="DL15" s="14">
        <f t="shared" si="6"/>
        <v>2</v>
      </c>
      <c r="DM15" s="14">
        <f t="shared" si="7"/>
        <v>3</v>
      </c>
      <c r="DN15" s="14" t="str">
        <f t="shared" si="31"/>
        <v>DefExt</v>
      </c>
      <c r="DO15" s="14">
        <f t="shared" si="32"/>
        <v>4</v>
      </c>
      <c r="DP15" s="14">
        <f t="shared" si="33"/>
        <v>0.38</v>
      </c>
      <c r="DQ15" s="14" t="str">
        <f t="shared" si="34"/>
        <v>HPExt</v>
      </c>
      <c r="DR15" s="14">
        <f t="shared" si="35"/>
        <v>75</v>
      </c>
      <c r="DS15" s="14">
        <f t="shared" si="36"/>
        <v>3.75</v>
      </c>
      <c r="DT15" s="14">
        <f t="shared" si="37"/>
        <v>1</v>
      </c>
      <c r="DU15" s="14">
        <f t="shared" si="38"/>
        <v>0</v>
      </c>
      <c r="DV15" s="14">
        <f t="shared" si="39"/>
        <v>21</v>
      </c>
      <c r="DW15" s="29" t="s">
        <v>758</v>
      </c>
      <c r="DX15" s="14">
        <f t="shared" si="40"/>
        <v>5</v>
      </c>
      <c r="EA15" s="13">
        <v>1053</v>
      </c>
      <c r="EB15" s="13" t="s">
        <v>685</v>
      </c>
      <c r="EC15" s="37"/>
      <c r="ED15" s="37"/>
      <c r="EE15" s="13">
        <v>4</v>
      </c>
      <c r="EF15" s="13" t="s">
        <v>692</v>
      </c>
      <c r="EG15" s="13">
        <v>3</v>
      </c>
      <c r="EH15" s="13">
        <v>5</v>
      </c>
      <c r="EI15" s="13" t="s">
        <v>652</v>
      </c>
      <c r="EJ15" s="13">
        <v>0.15</v>
      </c>
      <c r="EL15" s="13">
        <v>4</v>
      </c>
      <c r="EM15" s="13" t="s">
        <v>678</v>
      </c>
      <c r="EN15" s="13">
        <v>3</v>
      </c>
      <c r="EO15" s="13">
        <v>5</v>
      </c>
      <c r="EP15" s="13" t="s">
        <v>652</v>
      </c>
      <c r="EQ15" s="13">
        <v>0.15</v>
      </c>
      <c r="ET15" s="13">
        <v>11</v>
      </c>
      <c r="EU15" s="13">
        <f t="shared" si="41"/>
        <v>1</v>
      </c>
      <c r="EV15" s="13" t="str">
        <f t="shared" si="42"/>
        <v>30级寄灵人洗练-11</v>
      </c>
      <c r="EW15" s="13">
        <f t="shared" si="43"/>
        <v>11</v>
      </c>
      <c r="EX15" s="13">
        <f t="shared" si="44"/>
        <v>11</v>
      </c>
      <c r="EY15" s="13">
        <f t="shared" si="45"/>
        <v>500</v>
      </c>
      <c r="EZ15" s="13" t="str">
        <f t="shared" si="46"/>
        <v>EffectHit</v>
      </c>
      <c r="FA15" s="13">
        <f t="shared" si="47"/>
        <v>1.7999999999999999E-2</v>
      </c>
      <c r="FB15" s="13">
        <f t="shared" si="48"/>
        <v>0.05</v>
      </c>
    </row>
    <row r="16" spans="1:158" s="20" customFormat="1" ht="16.5" x14ac:dyDescent="0.2">
      <c r="A16" s="13">
        <v>6</v>
      </c>
      <c r="B16" s="13">
        <v>2</v>
      </c>
      <c r="C16" s="13">
        <v>18</v>
      </c>
      <c r="D16" s="13">
        <v>180</v>
      </c>
      <c r="E16" s="13">
        <f>ROUND((INDEX(新属性投放!J$42:J$63,装备!$C16)-40)*装备!$B$3/$D16,0)</f>
        <v>155</v>
      </c>
      <c r="F16" s="13">
        <f t="shared" si="0"/>
        <v>77.5</v>
      </c>
      <c r="G16" s="13">
        <f>ROUND(INDEX(新属性投放!L$42:L$63,装备!$C16)*装备!$B$3/$D16,0)</f>
        <v>833</v>
      </c>
      <c r="H16" s="13">
        <v>120</v>
      </c>
      <c r="I16" s="13">
        <v>60</v>
      </c>
      <c r="J16" s="13">
        <v>650</v>
      </c>
      <c r="K16" s="13">
        <v>0.2</v>
      </c>
      <c r="L16" s="13">
        <f t="shared" si="8"/>
        <v>5580</v>
      </c>
      <c r="M16" s="13">
        <f t="shared" si="9"/>
        <v>2790</v>
      </c>
      <c r="N16" s="13">
        <f t="shared" si="10"/>
        <v>29988.000000000004</v>
      </c>
      <c r="O16" s="13">
        <v>4250</v>
      </c>
      <c r="P16" s="13">
        <v>2125</v>
      </c>
      <c r="Q16" s="13">
        <v>20000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13" t="s">
        <v>870</v>
      </c>
      <c r="AO16" s="13">
        <v>19</v>
      </c>
      <c r="AP16" s="14">
        <f>INT(INDEX(新属性投放!$J$42:$J$63,装备!AO10)*AP$3)</f>
        <v>18282</v>
      </c>
      <c r="AQ16" s="14">
        <f>INT(INDEX(新属性投放!$L$42:$L$63,装备!AO10)*AQ$3)</f>
        <v>98389</v>
      </c>
      <c r="AR16" s="37"/>
      <c r="AS16" s="37"/>
      <c r="AT16" s="13">
        <v>26</v>
      </c>
      <c r="AU16" s="13" t="s">
        <v>733</v>
      </c>
      <c r="AV16" s="13">
        <v>12</v>
      </c>
      <c r="AW16" s="13">
        <v>6</v>
      </c>
      <c r="AX16" s="40">
        <v>0.35</v>
      </c>
      <c r="AY16" s="13">
        <f t="shared" si="11"/>
        <v>1221</v>
      </c>
      <c r="AZ16" s="13">
        <f t="shared" si="12"/>
        <v>610</v>
      </c>
      <c r="BA16" s="13">
        <f t="shared" si="13"/>
        <v>6560</v>
      </c>
      <c r="BB16" s="28">
        <v>0.04</v>
      </c>
      <c r="BC16" s="28">
        <v>0.04</v>
      </c>
      <c r="BD16" s="28">
        <v>0.04</v>
      </c>
      <c r="BE16" s="28">
        <v>0.03</v>
      </c>
      <c r="BF16" s="28">
        <v>0.08</v>
      </c>
      <c r="BG16" s="28">
        <v>0.03</v>
      </c>
      <c r="BH16" s="28">
        <v>0.03</v>
      </c>
      <c r="BI16" s="28">
        <v>0.05</v>
      </c>
      <c r="BJ16" s="28">
        <v>0.05</v>
      </c>
      <c r="BK16" s="28"/>
      <c r="BL16" s="37"/>
      <c r="BM16" s="13">
        <v>0</v>
      </c>
      <c r="BN16" s="13">
        <v>0</v>
      </c>
      <c r="BO16" s="13">
        <v>5</v>
      </c>
      <c r="BP16" s="13">
        <v>6</v>
      </c>
      <c r="BQ16" s="37"/>
      <c r="BR16" s="13">
        <v>11</v>
      </c>
      <c r="BS16" s="13">
        <v>2</v>
      </c>
      <c r="BT16" s="13">
        <v>40</v>
      </c>
      <c r="BU16" s="13">
        <v>1</v>
      </c>
      <c r="BV16" s="13">
        <v>1</v>
      </c>
      <c r="BW16" s="13">
        <v>1</v>
      </c>
      <c r="BX16" s="13">
        <f t="shared" si="49"/>
        <v>2021010</v>
      </c>
      <c r="BY16" s="13" t="s">
        <v>771</v>
      </c>
      <c r="BZ16" s="13"/>
      <c r="CA16" s="13">
        <v>8</v>
      </c>
      <c r="CB16" s="13">
        <f>SUM(CA$6:CA16)</f>
        <v>88</v>
      </c>
      <c r="CC16" s="13">
        <v>1</v>
      </c>
      <c r="CD16" s="13">
        <v>2</v>
      </c>
      <c r="CE16" s="13">
        <v>3</v>
      </c>
      <c r="CF16" s="13">
        <v>4</v>
      </c>
      <c r="CG16" s="13">
        <v>5</v>
      </c>
      <c r="CH16" s="13">
        <v>6</v>
      </c>
      <c r="CI16" s="13">
        <v>7</v>
      </c>
      <c r="CJ16" s="13">
        <v>8</v>
      </c>
      <c r="CK16" s="37"/>
      <c r="CM16" s="13">
        <v>12</v>
      </c>
      <c r="CN16" s="14">
        <f t="shared" si="14"/>
        <v>2</v>
      </c>
      <c r="CO16" s="14">
        <f t="shared" si="15"/>
        <v>2</v>
      </c>
      <c r="CP16" s="14">
        <f t="shared" si="16"/>
        <v>4</v>
      </c>
      <c r="CQ16" s="14">
        <f t="shared" si="1"/>
        <v>1</v>
      </c>
      <c r="CR16" s="14">
        <f t="shared" si="2"/>
        <v>2011024</v>
      </c>
      <c r="CS16" s="13" t="str">
        <f t="shared" si="3"/>
        <v>30级守护灵绿色-衣服</v>
      </c>
      <c r="CT16" s="14">
        <f t="shared" si="4"/>
        <v>2</v>
      </c>
      <c r="CU16" s="14">
        <f t="shared" si="5"/>
        <v>1</v>
      </c>
      <c r="CV16" s="14">
        <f t="shared" si="17"/>
        <v>30</v>
      </c>
      <c r="CW16" s="14">
        <f t="shared" si="18"/>
        <v>30</v>
      </c>
      <c r="CX16" s="14">
        <f t="shared" si="19"/>
        <v>4</v>
      </c>
      <c r="CY16" s="14" t="str">
        <f t="shared" si="20"/>
        <v/>
      </c>
      <c r="CZ16" s="14">
        <f t="shared" si="21"/>
        <v>7</v>
      </c>
      <c r="DA16" s="14">
        <f t="shared" si="22"/>
        <v>0</v>
      </c>
      <c r="DB16" s="14">
        <f t="shared" si="23"/>
        <v>8</v>
      </c>
      <c r="DC16" s="14">
        <f t="shared" si="24"/>
        <v>0</v>
      </c>
      <c r="DD16" s="14">
        <f t="shared" si="25"/>
        <v>0</v>
      </c>
      <c r="DE16" s="14">
        <f t="shared" si="26"/>
        <v>0.75</v>
      </c>
      <c r="DF16" s="14">
        <f t="shared" si="27"/>
        <v>0</v>
      </c>
      <c r="DG16" s="14">
        <f t="shared" si="28"/>
        <v>1</v>
      </c>
      <c r="DH16" s="14">
        <f t="shared" si="29"/>
        <v>0</v>
      </c>
      <c r="DI16" s="14">
        <f t="shared" si="30"/>
        <v>21</v>
      </c>
      <c r="DL16" s="14">
        <f t="shared" si="6"/>
        <v>2</v>
      </c>
      <c r="DM16" s="14">
        <f t="shared" si="7"/>
        <v>0</v>
      </c>
      <c r="DN16" s="14" t="str">
        <f t="shared" si="31"/>
        <v>DefExt</v>
      </c>
      <c r="DO16" s="14">
        <f t="shared" si="32"/>
        <v>8</v>
      </c>
      <c r="DP16" s="14">
        <f t="shared" si="33"/>
        <v>0.75</v>
      </c>
      <c r="DQ16" s="14" t="str">
        <f t="shared" si="34"/>
        <v/>
      </c>
      <c r="DR16" s="14" t="str">
        <f t="shared" si="35"/>
        <v/>
      </c>
      <c r="DS16" s="14" t="str">
        <f t="shared" si="36"/>
        <v/>
      </c>
      <c r="DT16" s="14">
        <f t="shared" si="37"/>
        <v>1</v>
      </c>
      <c r="DU16" s="14">
        <f t="shared" si="38"/>
        <v>0</v>
      </c>
      <c r="DV16" s="14">
        <f t="shared" si="39"/>
        <v>21</v>
      </c>
      <c r="DW16" s="29" t="s">
        <v>758</v>
      </c>
      <c r="DX16" s="14">
        <f t="shared" si="40"/>
        <v>5</v>
      </c>
      <c r="EA16" s="13">
        <v>1061</v>
      </c>
      <c r="EB16" s="13" t="s">
        <v>686</v>
      </c>
      <c r="EC16" s="37"/>
      <c r="ED16" s="37"/>
      <c r="EE16" s="13">
        <v>5</v>
      </c>
      <c r="EF16" s="13" t="s">
        <v>693</v>
      </c>
      <c r="EG16" s="13">
        <v>1</v>
      </c>
      <c r="EH16" s="13">
        <v>2</v>
      </c>
      <c r="EI16" s="13" t="s">
        <v>656</v>
      </c>
      <c r="EJ16" s="13">
        <f>AP7</f>
        <v>1576</v>
      </c>
      <c r="EL16" s="13">
        <v>5</v>
      </c>
      <c r="EM16" s="13" t="s">
        <v>679</v>
      </c>
      <c r="EN16" s="13">
        <v>1</v>
      </c>
      <c r="EO16" s="13">
        <v>2</v>
      </c>
      <c r="EP16" s="13" t="s">
        <v>656</v>
      </c>
      <c r="EQ16" s="13">
        <f>AP13</f>
        <v>1658</v>
      </c>
      <c r="ET16" s="13">
        <v>12</v>
      </c>
      <c r="EU16" s="13">
        <f t="shared" si="41"/>
        <v>1</v>
      </c>
      <c r="EV16" s="13" t="str">
        <f t="shared" si="42"/>
        <v>30级寄灵人洗练-12</v>
      </c>
      <c r="EW16" s="13">
        <f t="shared" si="43"/>
        <v>11</v>
      </c>
      <c r="EX16" s="13">
        <f t="shared" si="44"/>
        <v>12</v>
      </c>
      <c r="EY16" s="13">
        <f t="shared" si="45"/>
        <v>500</v>
      </c>
      <c r="EZ16" s="13" t="str">
        <f t="shared" si="46"/>
        <v>EffectResist</v>
      </c>
      <c r="FA16" s="13">
        <f t="shared" si="47"/>
        <v>1.7999999999999999E-2</v>
      </c>
      <c r="FB16" s="13">
        <f t="shared" si="48"/>
        <v>0.05</v>
      </c>
    </row>
    <row r="17" spans="1:158" s="20" customFormat="1" ht="16.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13">
        <v>12</v>
      </c>
      <c r="BS17" s="13">
        <v>2</v>
      </c>
      <c r="BT17" s="13">
        <v>40</v>
      </c>
      <c r="BU17" s="13">
        <v>1</v>
      </c>
      <c r="BV17" s="13">
        <v>2</v>
      </c>
      <c r="BW17" s="13">
        <v>2</v>
      </c>
      <c r="BX17" s="13">
        <f t="shared" si="49"/>
        <v>2021020</v>
      </c>
      <c r="BY17" s="13" t="s">
        <v>772</v>
      </c>
      <c r="BZ17" s="13"/>
      <c r="CA17" s="13">
        <v>8</v>
      </c>
      <c r="CB17" s="13">
        <f>SUM(CA$6:CA17)</f>
        <v>96</v>
      </c>
      <c r="CC17" s="13">
        <v>1</v>
      </c>
      <c r="CD17" s="13">
        <v>2</v>
      </c>
      <c r="CE17" s="13">
        <v>3</v>
      </c>
      <c r="CF17" s="13">
        <v>4</v>
      </c>
      <c r="CG17" s="13">
        <v>5</v>
      </c>
      <c r="CH17" s="13">
        <v>6</v>
      </c>
      <c r="CI17" s="13">
        <v>7</v>
      </c>
      <c r="CJ17" s="13">
        <v>8</v>
      </c>
      <c r="CK17" s="37"/>
      <c r="CM17" s="13">
        <v>13</v>
      </c>
      <c r="CN17" s="14">
        <f t="shared" si="14"/>
        <v>2</v>
      </c>
      <c r="CO17" s="14">
        <f t="shared" si="15"/>
        <v>2</v>
      </c>
      <c r="CP17" s="14">
        <f t="shared" si="16"/>
        <v>5</v>
      </c>
      <c r="CQ17" s="14">
        <f t="shared" si="1"/>
        <v>1</v>
      </c>
      <c r="CR17" s="14">
        <f t="shared" si="2"/>
        <v>2011025</v>
      </c>
      <c r="CS17" s="13" t="str">
        <f t="shared" si="3"/>
        <v>30级守护灵绿色-鞋子</v>
      </c>
      <c r="CT17" s="14">
        <f t="shared" si="4"/>
        <v>2</v>
      </c>
      <c r="CU17" s="14">
        <f t="shared" si="5"/>
        <v>1</v>
      </c>
      <c r="CV17" s="14">
        <f t="shared" si="17"/>
        <v>30</v>
      </c>
      <c r="CW17" s="14">
        <f t="shared" si="18"/>
        <v>30</v>
      </c>
      <c r="CX17" s="14">
        <f t="shared" si="19"/>
        <v>5</v>
      </c>
      <c r="CY17" s="14" t="str">
        <f t="shared" si="20"/>
        <v/>
      </c>
      <c r="CZ17" s="14">
        <f t="shared" si="21"/>
        <v>7</v>
      </c>
      <c r="DA17" s="14">
        <f t="shared" si="22"/>
        <v>0</v>
      </c>
      <c r="DB17" s="14">
        <f t="shared" si="23"/>
        <v>0</v>
      </c>
      <c r="DC17" s="14">
        <f t="shared" si="24"/>
        <v>150</v>
      </c>
      <c r="DD17" s="14">
        <f t="shared" si="25"/>
        <v>0</v>
      </c>
      <c r="DE17" s="14">
        <f t="shared" si="26"/>
        <v>0</v>
      </c>
      <c r="DF17" s="14">
        <f t="shared" si="27"/>
        <v>7.5</v>
      </c>
      <c r="DG17" s="14">
        <f t="shared" si="28"/>
        <v>1</v>
      </c>
      <c r="DH17" s="14">
        <f t="shared" si="29"/>
        <v>0</v>
      </c>
      <c r="DI17" s="14">
        <f t="shared" si="30"/>
        <v>21</v>
      </c>
      <c r="DL17" s="14">
        <f t="shared" si="6"/>
        <v>3</v>
      </c>
      <c r="DM17" s="14">
        <f t="shared" si="7"/>
        <v>0</v>
      </c>
      <c r="DN17" s="14" t="str">
        <f t="shared" si="31"/>
        <v>HPExt</v>
      </c>
      <c r="DO17" s="14">
        <f t="shared" si="32"/>
        <v>150</v>
      </c>
      <c r="DP17" s="14">
        <f t="shared" si="33"/>
        <v>7.5</v>
      </c>
      <c r="DQ17" s="14" t="str">
        <f t="shared" si="34"/>
        <v/>
      </c>
      <c r="DR17" s="14" t="str">
        <f t="shared" si="35"/>
        <v/>
      </c>
      <c r="DS17" s="14" t="str">
        <f t="shared" si="36"/>
        <v/>
      </c>
      <c r="DT17" s="14">
        <f t="shared" si="37"/>
        <v>1</v>
      </c>
      <c r="DU17" s="14">
        <f t="shared" si="38"/>
        <v>0</v>
      </c>
      <c r="DV17" s="14">
        <f t="shared" si="39"/>
        <v>21</v>
      </c>
      <c r="DW17" s="29" t="s">
        <v>758</v>
      </c>
      <c r="DX17" s="14">
        <f t="shared" si="40"/>
        <v>5</v>
      </c>
      <c r="EA17" s="13">
        <v>1062</v>
      </c>
      <c r="EB17" s="13" t="s">
        <v>687</v>
      </c>
      <c r="EC17" s="37"/>
      <c r="ED17" s="37"/>
      <c r="EE17" s="13">
        <v>5</v>
      </c>
      <c r="EF17" s="13" t="s">
        <v>693</v>
      </c>
      <c r="EG17" s="13">
        <v>2</v>
      </c>
      <c r="EH17" s="13">
        <v>3</v>
      </c>
      <c r="EI17" s="13" t="s">
        <v>655</v>
      </c>
      <c r="EJ17" s="13">
        <f>AQ7</f>
        <v>4778</v>
      </c>
      <c r="EL17" s="13">
        <v>5</v>
      </c>
      <c r="EM17" s="13" t="s">
        <v>679</v>
      </c>
      <c r="EN17" s="13">
        <v>2</v>
      </c>
      <c r="EO17" s="13">
        <v>3</v>
      </c>
      <c r="EP17" s="13" t="s">
        <v>655</v>
      </c>
      <c r="EQ17" s="13">
        <f>AQ13</f>
        <v>8639</v>
      </c>
      <c r="ET17" s="13">
        <v>13</v>
      </c>
      <c r="EU17" s="13">
        <f t="shared" si="41"/>
        <v>2</v>
      </c>
      <c r="EV17" s="13" t="str">
        <f t="shared" si="42"/>
        <v>60级寄灵人洗练-1</v>
      </c>
      <c r="EW17" s="13">
        <f t="shared" si="43"/>
        <v>12</v>
      </c>
      <c r="EX17" s="13">
        <f t="shared" si="44"/>
        <v>1</v>
      </c>
      <c r="EY17" s="13">
        <f t="shared" si="45"/>
        <v>1800</v>
      </c>
      <c r="EZ17" s="13" t="str">
        <f t="shared" si="46"/>
        <v>AtkExt</v>
      </c>
      <c r="FA17" s="13">
        <f t="shared" si="47"/>
        <v>15</v>
      </c>
      <c r="FB17" s="13">
        <f t="shared" si="48"/>
        <v>45</v>
      </c>
    </row>
    <row r="18" spans="1:158" s="20" customFormat="1" ht="16.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13">
        <v>13</v>
      </c>
      <c r="BS18" s="13">
        <v>2</v>
      </c>
      <c r="BT18" s="13">
        <v>40</v>
      </c>
      <c r="BU18" s="13">
        <v>2</v>
      </c>
      <c r="BV18" s="13">
        <v>1</v>
      </c>
      <c r="BW18" s="13">
        <v>1</v>
      </c>
      <c r="BX18" s="13">
        <f t="shared" si="49"/>
        <v>2022010</v>
      </c>
      <c r="BY18" s="13" t="s">
        <v>773</v>
      </c>
      <c r="BZ18" s="13"/>
      <c r="CA18" s="13">
        <v>8</v>
      </c>
      <c r="CB18" s="13">
        <f>SUM(CA$6:CA18)</f>
        <v>104</v>
      </c>
      <c r="CC18" s="13">
        <v>1</v>
      </c>
      <c r="CD18" s="13">
        <v>2</v>
      </c>
      <c r="CE18" s="13">
        <v>3</v>
      </c>
      <c r="CF18" s="13">
        <v>4</v>
      </c>
      <c r="CG18" s="13">
        <v>5</v>
      </c>
      <c r="CH18" s="13">
        <v>6</v>
      </c>
      <c r="CI18" s="13">
        <v>7</v>
      </c>
      <c r="CJ18" s="13">
        <v>8</v>
      </c>
      <c r="CK18" s="37"/>
      <c r="CM18" s="13">
        <v>14</v>
      </c>
      <c r="CN18" s="14">
        <f t="shared" si="14"/>
        <v>2</v>
      </c>
      <c r="CO18" s="14">
        <f t="shared" si="15"/>
        <v>2</v>
      </c>
      <c r="CP18" s="14">
        <f t="shared" si="16"/>
        <v>6</v>
      </c>
      <c r="CQ18" s="14">
        <f t="shared" si="1"/>
        <v>1</v>
      </c>
      <c r="CR18" s="14">
        <f t="shared" si="2"/>
        <v>2011026</v>
      </c>
      <c r="CS18" s="13" t="str">
        <f t="shared" si="3"/>
        <v>30级守护灵绿色-护手</v>
      </c>
      <c r="CT18" s="14">
        <f t="shared" si="4"/>
        <v>2</v>
      </c>
      <c r="CU18" s="14">
        <f t="shared" si="5"/>
        <v>1</v>
      </c>
      <c r="CV18" s="14">
        <f t="shared" si="17"/>
        <v>30</v>
      </c>
      <c r="CW18" s="14">
        <f t="shared" si="18"/>
        <v>30</v>
      </c>
      <c r="CX18" s="14">
        <f t="shared" si="19"/>
        <v>6</v>
      </c>
      <c r="CY18" s="14" t="str">
        <f t="shared" si="20"/>
        <v/>
      </c>
      <c r="CZ18" s="14">
        <f t="shared" si="21"/>
        <v>7</v>
      </c>
      <c r="DA18" s="14">
        <f t="shared" si="22"/>
        <v>0</v>
      </c>
      <c r="DB18" s="14">
        <f t="shared" si="23"/>
        <v>0</v>
      </c>
      <c r="DC18" s="14">
        <f t="shared" si="24"/>
        <v>150</v>
      </c>
      <c r="DD18" s="14">
        <f t="shared" si="25"/>
        <v>0</v>
      </c>
      <c r="DE18" s="14">
        <f t="shared" si="26"/>
        <v>0</v>
      </c>
      <c r="DF18" s="14">
        <f t="shared" si="27"/>
        <v>7.5</v>
      </c>
      <c r="DG18" s="14">
        <f t="shared" si="28"/>
        <v>1</v>
      </c>
      <c r="DH18" s="14">
        <f t="shared" si="29"/>
        <v>0</v>
      </c>
      <c r="DI18" s="14">
        <f t="shared" si="30"/>
        <v>21</v>
      </c>
      <c r="DL18" s="14">
        <f t="shared" si="6"/>
        <v>3</v>
      </c>
      <c r="DM18" s="14">
        <f t="shared" si="7"/>
        <v>0</v>
      </c>
      <c r="DN18" s="14" t="str">
        <f t="shared" si="31"/>
        <v>HPExt</v>
      </c>
      <c r="DO18" s="14">
        <f t="shared" si="32"/>
        <v>150</v>
      </c>
      <c r="DP18" s="14">
        <f t="shared" si="33"/>
        <v>7.5</v>
      </c>
      <c r="DQ18" s="14" t="str">
        <f t="shared" si="34"/>
        <v/>
      </c>
      <c r="DR18" s="14" t="str">
        <f t="shared" si="35"/>
        <v/>
      </c>
      <c r="DS18" s="14" t="str">
        <f t="shared" si="36"/>
        <v/>
      </c>
      <c r="DT18" s="14">
        <f t="shared" si="37"/>
        <v>1</v>
      </c>
      <c r="DU18" s="14">
        <f t="shared" si="38"/>
        <v>0</v>
      </c>
      <c r="DV18" s="14">
        <f t="shared" si="39"/>
        <v>21</v>
      </c>
      <c r="DW18" s="29" t="s">
        <v>758</v>
      </c>
      <c r="DX18" s="14">
        <f t="shared" si="40"/>
        <v>5</v>
      </c>
      <c r="EA18" s="13">
        <v>1063</v>
      </c>
      <c r="EB18" s="13" t="s">
        <v>688</v>
      </c>
      <c r="EC18" s="37"/>
      <c r="ED18" s="37"/>
      <c r="EE18" s="13">
        <v>5</v>
      </c>
      <c r="EF18" s="13" t="s">
        <v>693</v>
      </c>
      <c r="EG18" s="13">
        <v>3</v>
      </c>
      <c r="EH18" s="13">
        <v>5</v>
      </c>
      <c r="EI18" s="13" t="s">
        <v>650</v>
      </c>
      <c r="EJ18" s="13">
        <v>0.15</v>
      </c>
      <c r="EL18" s="13">
        <v>5</v>
      </c>
      <c r="EM18" s="13" t="s">
        <v>679</v>
      </c>
      <c r="EN18" s="13">
        <v>3</v>
      </c>
      <c r="EO18" s="13">
        <v>5</v>
      </c>
      <c r="EP18" s="13" t="s">
        <v>650</v>
      </c>
      <c r="EQ18" s="13">
        <v>0.15</v>
      </c>
      <c r="ET18" s="13">
        <v>14</v>
      </c>
      <c r="EU18" s="13">
        <f t="shared" si="41"/>
        <v>2</v>
      </c>
      <c r="EV18" s="13" t="str">
        <f t="shared" si="42"/>
        <v>60级寄灵人洗练-2</v>
      </c>
      <c r="EW18" s="13">
        <f t="shared" si="43"/>
        <v>12</v>
      </c>
      <c r="EX18" s="13">
        <f t="shared" si="44"/>
        <v>2</v>
      </c>
      <c r="EY18" s="13">
        <f t="shared" si="45"/>
        <v>1800</v>
      </c>
      <c r="EZ18" s="13" t="str">
        <f t="shared" si="46"/>
        <v>DefExt</v>
      </c>
      <c r="FA18" s="13">
        <f t="shared" si="47"/>
        <v>11</v>
      </c>
      <c r="FB18" s="13">
        <f t="shared" si="48"/>
        <v>33</v>
      </c>
    </row>
    <row r="19" spans="1:158" s="20" customFormat="1" ht="16.5" x14ac:dyDescent="0.2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13">
        <v>14</v>
      </c>
      <c r="BS19" s="13">
        <v>2</v>
      </c>
      <c r="BT19" s="13">
        <v>40</v>
      </c>
      <c r="BU19" s="13">
        <v>2</v>
      </c>
      <c r="BV19" s="13">
        <v>2</v>
      </c>
      <c r="BW19" s="13">
        <v>2</v>
      </c>
      <c r="BX19" s="13">
        <f t="shared" si="49"/>
        <v>2022020</v>
      </c>
      <c r="BY19" s="13" t="s">
        <v>774</v>
      </c>
      <c r="BZ19" s="13"/>
      <c r="CA19" s="13">
        <v>8</v>
      </c>
      <c r="CB19" s="13">
        <f>SUM(CA$6:CA19)</f>
        <v>112</v>
      </c>
      <c r="CC19" s="13">
        <v>1</v>
      </c>
      <c r="CD19" s="13">
        <v>2</v>
      </c>
      <c r="CE19" s="13">
        <v>3</v>
      </c>
      <c r="CF19" s="13">
        <v>4</v>
      </c>
      <c r="CG19" s="13">
        <v>5</v>
      </c>
      <c r="CH19" s="13">
        <v>6</v>
      </c>
      <c r="CI19" s="13">
        <v>7</v>
      </c>
      <c r="CJ19" s="13">
        <v>8</v>
      </c>
      <c r="CK19" s="37"/>
      <c r="CM19" s="13">
        <v>15</v>
      </c>
      <c r="CN19" s="14">
        <f t="shared" si="14"/>
        <v>2</v>
      </c>
      <c r="CO19" s="14">
        <f t="shared" si="15"/>
        <v>2</v>
      </c>
      <c r="CP19" s="14">
        <f t="shared" si="16"/>
        <v>7</v>
      </c>
      <c r="CQ19" s="14">
        <f t="shared" si="1"/>
        <v>1</v>
      </c>
      <c r="CR19" s="14">
        <f t="shared" si="2"/>
        <v>2011027</v>
      </c>
      <c r="CS19" s="13" t="str">
        <f t="shared" si="3"/>
        <v>30级守护灵绿色-项链</v>
      </c>
      <c r="CT19" s="14">
        <f t="shared" si="4"/>
        <v>2</v>
      </c>
      <c r="CU19" s="14">
        <f t="shared" si="5"/>
        <v>1</v>
      </c>
      <c r="CV19" s="14">
        <f t="shared" si="17"/>
        <v>30</v>
      </c>
      <c r="CW19" s="14">
        <f t="shared" si="18"/>
        <v>30</v>
      </c>
      <c r="CX19" s="14">
        <f t="shared" si="19"/>
        <v>7</v>
      </c>
      <c r="CY19" s="14" t="str">
        <f t="shared" si="20"/>
        <v/>
      </c>
      <c r="CZ19" s="14">
        <f t="shared" si="21"/>
        <v>11</v>
      </c>
      <c r="DA19" s="14">
        <f t="shared" si="22"/>
        <v>10</v>
      </c>
      <c r="DB19" s="14">
        <f t="shared" si="23"/>
        <v>6</v>
      </c>
      <c r="DC19" s="14">
        <f t="shared" si="24"/>
        <v>0</v>
      </c>
      <c r="DD19" s="14">
        <f t="shared" si="25"/>
        <v>1</v>
      </c>
      <c r="DE19" s="14">
        <f t="shared" si="26"/>
        <v>0.63</v>
      </c>
      <c r="DF19" s="14">
        <f t="shared" si="27"/>
        <v>0</v>
      </c>
      <c r="DG19" s="14">
        <f t="shared" si="28"/>
        <v>1</v>
      </c>
      <c r="DH19" s="14">
        <f t="shared" si="29"/>
        <v>0</v>
      </c>
      <c r="DI19" s="14">
        <f t="shared" si="30"/>
        <v>21</v>
      </c>
      <c r="DL19" s="14">
        <f t="shared" si="6"/>
        <v>1</v>
      </c>
      <c r="DM19" s="14">
        <f t="shared" si="7"/>
        <v>2</v>
      </c>
      <c r="DN19" s="14" t="str">
        <f t="shared" si="31"/>
        <v>AtkExt</v>
      </c>
      <c r="DO19" s="14">
        <f t="shared" si="32"/>
        <v>10</v>
      </c>
      <c r="DP19" s="14">
        <f t="shared" si="33"/>
        <v>1</v>
      </c>
      <c r="DQ19" s="14" t="str">
        <f t="shared" si="34"/>
        <v>DefExt</v>
      </c>
      <c r="DR19" s="14">
        <f t="shared" si="35"/>
        <v>6</v>
      </c>
      <c r="DS19" s="14">
        <f t="shared" si="36"/>
        <v>0.63</v>
      </c>
      <c r="DT19" s="14">
        <f t="shared" si="37"/>
        <v>1</v>
      </c>
      <c r="DU19" s="14">
        <f t="shared" si="38"/>
        <v>0</v>
      </c>
      <c r="DV19" s="14">
        <f t="shared" si="39"/>
        <v>21</v>
      </c>
      <c r="DW19" s="29" t="s">
        <v>758</v>
      </c>
      <c r="DX19" s="14">
        <f t="shared" si="40"/>
        <v>5</v>
      </c>
      <c r="EA19" s="13">
        <f>EA5+1000</f>
        <v>2011</v>
      </c>
      <c r="EB19" s="13" t="s">
        <v>689</v>
      </c>
      <c r="EC19" s="37"/>
      <c r="ED19" s="37"/>
      <c r="EE19" s="13">
        <v>6</v>
      </c>
      <c r="EF19" s="13" t="s">
        <v>694</v>
      </c>
      <c r="EG19" s="13">
        <v>1</v>
      </c>
      <c r="EH19" s="13">
        <v>2</v>
      </c>
      <c r="EI19" s="13" t="s">
        <v>648</v>
      </c>
      <c r="EJ19" s="13">
        <f>AP8</f>
        <v>3560</v>
      </c>
      <c r="EL19" s="13">
        <v>6</v>
      </c>
      <c r="EM19" s="13" t="s">
        <v>680</v>
      </c>
      <c r="EN19" s="13">
        <v>1</v>
      </c>
      <c r="EO19" s="13">
        <v>2</v>
      </c>
      <c r="EP19" s="13" t="s">
        <v>648</v>
      </c>
      <c r="EQ19" s="13">
        <f>AP14</f>
        <v>3642</v>
      </c>
      <c r="ET19" s="13">
        <v>15</v>
      </c>
      <c r="EU19" s="13">
        <f t="shared" si="41"/>
        <v>2</v>
      </c>
      <c r="EV19" s="13" t="str">
        <f t="shared" si="42"/>
        <v>60级寄灵人洗练-3</v>
      </c>
      <c r="EW19" s="13">
        <f t="shared" si="43"/>
        <v>12</v>
      </c>
      <c r="EX19" s="13">
        <f t="shared" si="44"/>
        <v>3</v>
      </c>
      <c r="EY19" s="13">
        <f t="shared" si="45"/>
        <v>2000</v>
      </c>
      <c r="EZ19" s="13" t="str">
        <f t="shared" si="46"/>
        <v>HPExt</v>
      </c>
      <c r="FA19" s="13">
        <f t="shared" si="47"/>
        <v>48</v>
      </c>
      <c r="FB19" s="13">
        <f t="shared" si="48"/>
        <v>139</v>
      </c>
    </row>
    <row r="20" spans="1:158" s="20" customFormat="1" ht="16.5" x14ac:dyDescent="0.2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13">
        <v>15</v>
      </c>
      <c r="BS20" s="13">
        <v>2</v>
      </c>
      <c r="BT20" s="13">
        <v>40</v>
      </c>
      <c r="BU20" s="13">
        <v>3</v>
      </c>
      <c r="BV20" s="13">
        <v>1</v>
      </c>
      <c r="BW20" s="13">
        <v>1</v>
      </c>
      <c r="BX20" s="13">
        <f t="shared" si="49"/>
        <v>2023010</v>
      </c>
      <c r="BY20" s="13" t="s">
        <v>775</v>
      </c>
      <c r="BZ20" s="13"/>
      <c r="CA20" s="13">
        <v>8</v>
      </c>
      <c r="CB20" s="13">
        <f>SUM(CA$6:CA20)</f>
        <v>120</v>
      </c>
      <c r="CC20" s="13">
        <v>1</v>
      </c>
      <c r="CD20" s="13">
        <v>2</v>
      </c>
      <c r="CE20" s="13">
        <v>3</v>
      </c>
      <c r="CF20" s="13">
        <v>4</v>
      </c>
      <c r="CG20" s="13">
        <v>5</v>
      </c>
      <c r="CH20" s="13">
        <v>6</v>
      </c>
      <c r="CI20" s="13">
        <v>7</v>
      </c>
      <c r="CJ20" s="13">
        <v>8</v>
      </c>
      <c r="CK20" s="37"/>
      <c r="CM20" s="13">
        <v>16</v>
      </c>
      <c r="CN20" s="14">
        <f t="shared" si="14"/>
        <v>2</v>
      </c>
      <c r="CO20" s="14">
        <f t="shared" si="15"/>
        <v>2</v>
      </c>
      <c r="CP20" s="14">
        <f t="shared" si="16"/>
        <v>8</v>
      </c>
      <c r="CQ20" s="14">
        <f t="shared" si="1"/>
        <v>1</v>
      </c>
      <c r="CR20" s="14">
        <f t="shared" si="2"/>
        <v>2011028</v>
      </c>
      <c r="CS20" s="13" t="str">
        <f t="shared" si="3"/>
        <v>30级守护灵绿色-戒指</v>
      </c>
      <c r="CT20" s="14">
        <f t="shared" si="4"/>
        <v>2</v>
      </c>
      <c r="CU20" s="14">
        <f t="shared" si="5"/>
        <v>1</v>
      </c>
      <c r="CV20" s="14">
        <f t="shared" si="17"/>
        <v>30</v>
      </c>
      <c r="CW20" s="14">
        <f t="shared" si="18"/>
        <v>30</v>
      </c>
      <c r="CX20" s="14">
        <f t="shared" si="19"/>
        <v>8</v>
      </c>
      <c r="CY20" s="14" t="str">
        <f t="shared" si="20"/>
        <v/>
      </c>
      <c r="CZ20" s="14">
        <f t="shared" si="21"/>
        <v>11</v>
      </c>
      <c r="DA20" s="14">
        <f t="shared" si="22"/>
        <v>10</v>
      </c>
      <c r="DB20" s="14">
        <f t="shared" si="23"/>
        <v>0</v>
      </c>
      <c r="DC20" s="14">
        <f t="shared" si="24"/>
        <v>125</v>
      </c>
      <c r="DD20" s="14">
        <f t="shared" si="25"/>
        <v>1</v>
      </c>
      <c r="DE20" s="14">
        <f t="shared" si="26"/>
        <v>0</v>
      </c>
      <c r="DF20" s="14">
        <f t="shared" si="27"/>
        <v>6.25</v>
      </c>
      <c r="DG20" s="14">
        <f t="shared" si="28"/>
        <v>1</v>
      </c>
      <c r="DH20" s="14">
        <f t="shared" si="29"/>
        <v>0</v>
      </c>
      <c r="DI20" s="14">
        <f t="shared" si="30"/>
        <v>21</v>
      </c>
      <c r="DL20" s="14">
        <f t="shared" si="6"/>
        <v>1</v>
      </c>
      <c r="DM20" s="14">
        <f t="shared" si="7"/>
        <v>3</v>
      </c>
      <c r="DN20" s="14" t="str">
        <f t="shared" si="31"/>
        <v>AtkExt</v>
      </c>
      <c r="DO20" s="14">
        <f t="shared" si="32"/>
        <v>10</v>
      </c>
      <c r="DP20" s="14">
        <f t="shared" si="33"/>
        <v>1</v>
      </c>
      <c r="DQ20" s="14" t="str">
        <f t="shared" si="34"/>
        <v>HPExt</v>
      </c>
      <c r="DR20" s="14">
        <f t="shared" si="35"/>
        <v>125</v>
      </c>
      <c r="DS20" s="14">
        <f t="shared" si="36"/>
        <v>6.25</v>
      </c>
      <c r="DT20" s="14">
        <f t="shared" si="37"/>
        <v>1</v>
      </c>
      <c r="DU20" s="14">
        <f t="shared" si="38"/>
        <v>0</v>
      </c>
      <c r="DV20" s="14">
        <f t="shared" si="39"/>
        <v>21</v>
      </c>
      <c r="DW20" s="29" t="s">
        <v>758</v>
      </c>
      <c r="DX20" s="14">
        <f t="shared" si="40"/>
        <v>5</v>
      </c>
      <c r="EA20" s="13">
        <f t="shared" ref="EA20:EA32" si="50">EA6+1000</f>
        <v>2021</v>
      </c>
      <c r="EB20" s="13" t="s">
        <v>690</v>
      </c>
      <c r="EC20" s="37"/>
      <c r="ED20" s="37"/>
      <c r="EE20" s="13">
        <v>6</v>
      </c>
      <c r="EF20" s="13" t="s">
        <v>694</v>
      </c>
      <c r="EG20" s="13">
        <v>2</v>
      </c>
      <c r="EH20" s="13">
        <v>3</v>
      </c>
      <c r="EI20" s="13" t="s">
        <v>661</v>
      </c>
      <c r="EJ20" s="13">
        <f>AQ8</f>
        <v>10730</v>
      </c>
      <c r="EL20" s="13">
        <v>6</v>
      </c>
      <c r="EM20" s="13" t="s">
        <v>680</v>
      </c>
      <c r="EN20" s="13">
        <v>2</v>
      </c>
      <c r="EO20" s="13">
        <v>3</v>
      </c>
      <c r="EP20" s="13" t="s">
        <v>661</v>
      </c>
      <c r="EQ20" s="13">
        <f>AQ14</f>
        <v>19347</v>
      </c>
      <c r="ET20" s="13">
        <v>16</v>
      </c>
      <c r="EU20" s="13">
        <f t="shared" si="41"/>
        <v>2</v>
      </c>
      <c r="EV20" s="13" t="str">
        <f t="shared" si="42"/>
        <v>60级寄灵人洗练-4</v>
      </c>
      <c r="EW20" s="13">
        <f t="shared" si="43"/>
        <v>12</v>
      </c>
      <c r="EX20" s="13">
        <f t="shared" si="44"/>
        <v>4</v>
      </c>
      <c r="EY20" s="13">
        <f t="shared" si="45"/>
        <v>500</v>
      </c>
      <c r="EZ20" s="13" t="str">
        <f t="shared" si="46"/>
        <v>AtkRate</v>
      </c>
      <c r="FA20" s="13">
        <f t="shared" si="47"/>
        <v>1.4E-2</v>
      </c>
      <c r="FB20" s="13">
        <f t="shared" si="48"/>
        <v>0.04</v>
      </c>
    </row>
    <row r="21" spans="1:158" s="20" customFormat="1" ht="16.5" x14ac:dyDescent="0.2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13">
        <v>16</v>
      </c>
      <c r="BS21" s="13">
        <v>2</v>
      </c>
      <c r="BT21" s="13">
        <v>40</v>
      </c>
      <c r="BU21" s="13">
        <v>3</v>
      </c>
      <c r="BV21" s="13">
        <v>2</v>
      </c>
      <c r="BW21" s="13">
        <v>2</v>
      </c>
      <c r="BX21" s="13">
        <f t="shared" si="49"/>
        <v>2023020</v>
      </c>
      <c r="BY21" s="13" t="s">
        <v>776</v>
      </c>
      <c r="BZ21" s="13"/>
      <c r="CA21" s="13">
        <v>8</v>
      </c>
      <c r="CB21" s="13">
        <f>SUM(CA$6:CA21)</f>
        <v>128</v>
      </c>
      <c r="CC21" s="13">
        <v>1</v>
      </c>
      <c r="CD21" s="13">
        <v>2</v>
      </c>
      <c r="CE21" s="13">
        <v>3</v>
      </c>
      <c r="CF21" s="13">
        <v>4</v>
      </c>
      <c r="CG21" s="13">
        <v>5</v>
      </c>
      <c r="CH21" s="13">
        <v>6</v>
      </c>
      <c r="CI21" s="13">
        <v>7</v>
      </c>
      <c r="CJ21" s="13">
        <v>8</v>
      </c>
      <c r="CK21" s="37"/>
      <c r="CM21" s="13">
        <v>17</v>
      </c>
      <c r="CN21" s="14">
        <f t="shared" si="14"/>
        <v>3</v>
      </c>
      <c r="CO21" s="14">
        <f t="shared" si="15"/>
        <v>1</v>
      </c>
      <c r="CP21" s="14">
        <f t="shared" si="16"/>
        <v>1</v>
      </c>
      <c r="CQ21" s="14">
        <f t="shared" si="1"/>
        <v>1</v>
      </c>
      <c r="CR21" s="14">
        <f t="shared" si="2"/>
        <v>2012011</v>
      </c>
      <c r="CS21" s="13" t="str">
        <f t="shared" si="3"/>
        <v>30级寄灵人蓝色-武器</v>
      </c>
      <c r="CT21" s="14">
        <f t="shared" si="4"/>
        <v>1</v>
      </c>
      <c r="CU21" s="14">
        <f t="shared" si="5"/>
        <v>2</v>
      </c>
      <c r="CV21" s="14">
        <f t="shared" si="17"/>
        <v>30</v>
      </c>
      <c r="CW21" s="14">
        <f t="shared" si="18"/>
        <v>30</v>
      </c>
      <c r="CX21" s="14">
        <f t="shared" si="19"/>
        <v>1</v>
      </c>
      <c r="CY21" s="14" t="str">
        <f t="shared" si="20"/>
        <v/>
      </c>
      <c r="CZ21" s="14">
        <f t="shared" si="21"/>
        <v>20</v>
      </c>
      <c r="DA21" s="14">
        <f t="shared" si="22"/>
        <v>41</v>
      </c>
      <c r="DB21" s="14">
        <f t="shared" si="23"/>
        <v>0</v>
      </c>
      <c r="DC21" s="14">
        <f t="shared" si="24"/>
        <v>0</v>
      </c>
      <c r="DD21" s="14">
        <f t="shared" si="25"/>
        <v>4.05</v>
      </c>
      <c r="DE21" s="14">
        <f t="shared" si="26"/>
        <v>0</v>
      </c>
      <c r="DF21" s="14">
        <f t="shared" si="27"/>
        <v>0</v>
      </c>
      <c r="DG21" s="14">
        <f t="shared" si="28"/>
        <v>2</v>
      </c>
      <c r="DH21" s="14">
        <f t="shared" si="29"/>
        <v>0</v>
      </c>
      <c r="DI21" s="14">
        <f t="shared" si="30"/>
        <v>11</v>
      </c>
      <c r="DL21" s="14">
        <f t="shared" si="6"/>
        <v>1</v>
      </c>
      <c r="DM21" s="14">
        <f t="shared" si="7"/>
        <v>0</v>
      </c>
      <c r="DN21" s="14" t="str">
        <f t="shared" si="31"/>
        <v>AtkExt</v>
      </c>
      <c r="DO21" s="14">
        <f t="shared" si="32"/>
        <v>41</v>
      </c>
      <c r="DP21" s="14">
        <f t="shared" si="33"/>
        <v>4.05</v>
      </c>
      <c r="DQ21" s="14" t="str">
        <f t="shared" si="34"/>
        <v/>
      </c>
      <c r="DR21" s="14" t="str">
        <f t="shared" si="35"/>
        <v/>
      </c>
      <c r="DS21" s="14" t="str">
        <f t="shared" si="36"/>
        <v/>
      </c>
      <c r="DT21" s="14">
        <f t="shared" si="37"/>
        <v>2</v>
      </c>
      <c r="DU21" s="14">
        <f t="shared" si="38"/>
        <v>0</v>
      </c>
      <c r="DV21" s="14">
        <f t="shared" si="39"/>
        <v>11</v>
      </c>
      <c r="DW21" s="29" t="s">
        <v>758</v>
      </c>
      <c r="DX21" s="14">
        <f t="shared" si="40"/>
        <v>15</v>
      </c>
      <c r="EA21" s="13">
        <f t="shared" si="50"/>
        <v>2022</v>
      </c>
      <c r="EB21" s="13" t="s">
        <v>691</v>
      </c>
      <c r="EC21" s="37"/>
      <c r="ED21" s="37"/>
      <c r="EE21" s="13">
        <v>6</v>
      </c>
      <c r="EF21" s="13" t="s">
        <v>694</v>
      </c>
      <c r="EG21" s="13">
        <v>3</v>
      </c>
      <c r="EH21" s="13">
        <v>4</v>
      </c>
      <c r="EI21" s="13" t="s">
        <v>658</v>
      </c>
      <c r="EJ21" s="13">
        <v>0.1</v>
      </c>
      <c r="EL21" s="13">
        <v>6</v>
      </c>
      <c r="EM21" s="13" t="s">
        <v>680</v>
      </c>
      <c r="EN21" s="13">
        <v>3</v>
      </c>
      <c r="EO21" s="13">
        <v>4</v>
      </c>
      <c r="EP21" s="13" t="s">
        <v>658</v>
      </c>
      <c r="EQ21" s="13">
        <v>0.1</v>
      </c>
      <c r="ET21" s="13">
        <v>17</v>
      </c>
      <c r="EU21" s="13">
        <f t="shared" si="41"/>
        <v>2</v>
      </c>
      <c r="EV21" s="13" t="str">
        <f t="shared" si="42"/>
        <v>60级寄灵人洗练-5</v>
      </c>
      <c r="EW21" s="13">
        <f t="shared" si="43"/>
        <v>12</v>
      </c>
      <c r="EX21" s="13">
        <f t="shared" si="44"/>
        <v>5</v>
      </c>
      <c r="EY21" s="13">
        <f t="shared" si="45"/>
        <v>400</v>
      </c>
      <c r="EZ21" s="13" t="str">
        <f t="shared" si="46"/>
        <v>DefRate</v>
      </c>
      <c r="FA21" s="13">
        <f t="shared" si="47"/>
        <v>1.4E-2</v>
      </c>
      <c r="FB21" s="13">
        <f t="shared" si="48"/>
        <v>0.04</v>
      </c>
    </row>
    <row r="22" spans="1:158" s="20" customFormat="1" ht="16.5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13">
        <v>17</v>
      </c>
      <c r="BS22" s="13">
        <v>2</v>
      </c>
      <c r="BT22" s="13">
        <v>40</v>
      </c>
      <c r="BU22" s="13">
        <v>4</v>
      </c>
      <c r="BV22" s="13">
        <v>1</v>
      </c>
      <c r="BW22" s="13">
        <v>1</v>
      </c>
      <c r="BX22" s="13">
        <f t="shared" si="49"/>
        <v>2024010</v>
      </c>
      <c r="BY22" s="13" t="s">
        <v>777</v>
      </c>
      <c r="BZ22" s="13"/>
      <c r="CA22" s="13">
        <v>8</v>
      </c>
      <c r="CB22" s="13">
        <f>SUM(CA$6:CA22)</f>
        <v>136</v>
      </c>
      <c r="CC22" s="13">
        <v>1</v>
      </c>
      <c r="CD22" s="13">
        <v>2</v>
      </c>
      <c r="CE22" s="13">
        <v>3</v>
      </c>
      <c r="CF22" s="13">
        <v>4</v>
      </c>
      <c r="CG22" s="13">
        <v>5</v>
      </c>
      <c r="CH22" s="13">
        <v>6</v>
      </c>
      <c r="CI22" s="13">
        <v>7</v>
      </c>
      <c r="CJ22" s="13">
        <v>8</v>
      </c>
      <c r="CK22" s="37"/>
      <c r="CM22" s="13">
        <v>18</v>
      </c>
      <c r="CN22" s="14">
        <f t="shared" si="14"/>
        <v>3</v>
      </c>
      <c r="CO22" s="14">
        <f t="shared" si="15"/>
        <v>1</v>
      </c>
      <c r="CP22" s="14">
        <f t="shared" si="16"/>
        <v>2</v>
      </c>
      <c r="CQ22" s="14">
        <f t="shared" si="1"/>
        <v>1</v>
      </c>
      <c r="CR22" s="14">
        <f t="shared" si="2"/>
        <v>2012012</v>
      </c>
      <c r="CS22" s="13" t="str">
        <f t="shared" si="3"/>
        <v>30级寄灵人蓝色-头盔</v>
      </c>
      <c r="CT22" s="14">
        <f t="shared" si="4"/>
        <v>1</v>
      </c>
      <c r="CU22" s="14">
        <f t="shared" si="5"/>
        <v>2</v>
      </c>
      <c r="CV22" s="14">
        <f t="shared" si="17"/>
        <v>30</v>
      </c>
      <c r="CW22" s="14">
        <f t="shared" si="18"/>
        <v>30</v>
      </c>
      <c r="CX22" s="14">
        <f t="shared" si="19"/>
        <v>2</v>
      </c>
      <c r="CY22" s="14" t="str">
        <f t="shared" si="20"/>
        <v/>
      </c>
      <c r="CZ22" s="14">
        <f t="shared" si="21"/>
        <v>9</v>
      </c>
      <c r="DA22" s="14">
        <f t="shared" si="22"/>
        <v>0</v>
      </c>
      <c r="DB22" s="14">
        <f t="shared" si="23"/>
        <v>10</v>
      </c>
      <c r="DC22" s="14">
        <f t="shared" si="24"/>
        <v>0</v>
      </c>
      <c r="DD22" s="14">
        <f t="shared" si="25"/>
        <v>0</v>
      </c>
      <c r="DE22" s="14">
        <f t="shared" si="26"/>
        <v>0.9</v>
      </c>
      <c r="DF22" s="14">
        <f t="shared" si="27"/>
        <v>0</v>
      </c>
      <c r="DG22" s="14">
        <f t="shared" si="28"/>
        <v>2</v>
      </c>
      <c r="DH22" s="14">
        <f t="shared" si="29"/>
        <v>0</v>
      </c>
      <c r="DI22" s="14">
        <f t="shared" si="30"/>
        <v>11</v>
      </c>
      <c r="DL22" s="14">
        <f t="shared" si="6"/>
        <v>2</v>
      </c>
      <c r="DM22" s="14">
        <f t="shared" si="7"/>
        <v>0</v>
      </c>
      <c r="DN22" s="14" t="str">
        <f t="shared" si="31"/>
        <v>DefExt</v>
      </c>
      <c r="DO22" s="14">
        <f t="shared" si="32"/>
        <v>10</v>
      </c>
      <c r="DP22" s="14">
        <f t="shared" si="33"/>
        <v>0.9</v>
      </c>
      <c r="DQ22" s="14" t="str">
        <f t="shared" si="34"/>
        <v/>
      </c>
      <c r="DR22" s="14" t="str">
        <f t="shared" si="35"/>
        <v/>
      </c>
      <c r="DS22" s="14" t="str">
        <f t="shared" si="36"/>
        <v/>
      </c>
      <c r="DT22" s="14">
        <f t="shared" si="37"/>
        <v>2</v>
      </c>
      <c r="DU22" s="14">
        <f t="shared" si="38"/>
        <v>0</v>
      </c>
      <c r="DV22" s="14">
        <f t="shared" si="39"/>
        <v>11</v>
      </c>
      <c r="DW22" s="29" t="s">
        <v>758</v>
      </c>
      <c r="DX22" s="14">
        <f t="shared" si="40"/>
        <v>15</v>
      </c>
      <c r="EA22" s="13">
        <f t="shared" si="50"/>
        <v>2031</v>
      </c>
      <c r="EB22" s="13" t="s">
        <v>692</v>
      </c>
      <c r="EC22" s="37"/>
      <c r="ED22" s="37"/>
      <c r="EE22" s="13">
        <v>6</v>
      </c>
      <c r="EF22" s="13" t="s">
        <v>694</v>
      </c>
      <c r="EG22" s="13">
        <v>4</v>
      </c>
      <c r="EH22" s="13">
        <v>5</v>
      </c>
      <c r="EI22" s="13" t="s">
        <v>660</v>
      </c>
      <c r="EJ22" s="13">
        <v>0.1</v>
      </c>
      <c r="EL22" s="13">
        <v>6</v>
      </c>
      <c r="EM22" s="13" t="s">
        <v>680</v>
      </c>
      <c r="EN22" s="13">
        <v>4</v>
      </c>
      <c r="EO22" s="13">
        <v>5</v>
      </c>
      <c r="EP22" s="13" t="s">
        <v>660</v>
      </c>
      <c r="EQ22" s="13">
        <v>0.1</v>
      </c>
      <c r="ET22" s="13">
        <v>18</v>
      </c>
      <c r="EU22" s="13">
        <f t="shared" si="41"/>
        <v>2</v>
      </c>
      <c r="EV22" s="13" t="str">
        <f t="shared" si="42"/>
        <v>60级寄灵人洗练-6</v>
      </c>
      <c r="EW22" s="13">
        <f t="shared" si="43"/>
        <v>12</v>
      </c>
      <c r="EX22" s="13">
        <f t="shared" si="44"/>
        <v>6</v>
      </c>
      <c r="EY22" s="13">
        <f t="shared" si="45"/>
        <v>500</v>
      </c>
      <c r="EZ22" s="13" t="str">
        <f t="shared" si="46"/>
        <v>HPRate</v>
      </c>
      <c r="FA22" s="13">
        <f t="shared" si="47"/>
        <v>1.4E-2</v>
      </c>
      <c r="FB22" s="13">
        <f t="shared" si="48"/>
        <v>0.04</v>
      </c>
    </row>
    <row r="23" spans="1:158" s="20" customFormat="1" ht="16.5" x14ac:dyDescent="0.2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13">
        <v>18</v>
      </c>
      <c r="BS23" s="13">
        <v>2</v>
      </c>
      <c r="BT23" s="13">
        <v>40</v>
      </c>
      <c r="BU23" s="13">
        <v>4</v>
      </c>
      <c r="BV23" s="13">
        <v>2</v>
      </c>
      <c r="BW23" s="13">
        <v>2</v>
      </c>
      <c r="BX23" s="13">
        <f t="shared" si="49"/>
        <v>2024020</v>
      </c>
      <c r="BY23" s="13" t="s">
        <v>778</v>
      </c>
      <c r="BZ23" s="13"/>
      <c r="CA23" s="13">
        <v>8</v>
      </c>
      <c r="CB23" s="13">
        <f>SUM(CA$6:CA23)</f>
        <v>144</v>
      </c>
      <c r="CC23" s="13">
        <v>1</v>
      </c>
      <c r="CD23" s="13">
        <v>2</v>
      </c>
      <c r="CE23" s="13">
        <v>3</v>
      </c>
      <c r="CF23" s="13">
        <v>4</v>
      </c>
      <c r="CG23" s="13">
        <v>5</v>
      </c>
      <c r="CH23" s="13">
        <v>6</v>
      </c>
      <c r="CI23" s="13">
        <v>7</v>
      </c>
      <c r="CJ23" s="13">
        <v>8</v>
      </c>
      <c r="CK23" s="37"/>
      <c r="CM23" s="13">
        <v>19</v>
      </c>
      <c r="CN23" s="14">
        <f t="shared" si="14"/>
        <v>3</v>
      </c>
      <c r="CO23" s="14">
        <f t="shared" si="15"/>
        <v>1</v>
      </c>
      <c r="CP23" s="14">
        <f t="shared" si="16"/>
        <v>3</v>
      </c>
      <c r="CQ23" s="14">
        <f t="shared" si="1"/>
        <v>1</v>
      </c>
      <c r="CR23" s="14">
        <f t="shared" si="2"/>
        <v>2012013</v>
      </c>
      <c r="CS23" s="13" t="str">
        <f t="shared" si="3"/>
        <v>30级寄灵人蓝色-肩甲</v>
      </c>
      <c r="CT23" s="14">
        <f t="shared" si="4"/>
        <v>1</v>
      </c>
      <c r="CU23" s="14">
        <f t="shared" si="5"/>
        <v>2</v>
      </c>
      <c r="CV23" s="14">
        <f t="shared" si="17"/>
        <v>30</v>
      </c>
      <c r="CW23" s="14">
        <f t="shared" si="18"/>
        <v>30</v>
      </c>
      <c r="CX23" s="14">
        <f t="shared" si="19"/>
        <v>3</v>
      </c>
      <c r="CY23" s="14" t="str">
        <f t="shared" si="20"/>
        <v/>
      </c>
      <c r="CZ23" s="14">
        <f t="shared" si="21"/>
        <v>7</v>
      </c>
      <c r="DA23" s="14">
        <f t="shared" si="22"/>
        <v>0</v>
      </c>
      <c r="DB23" s="14">
        <f t="shared" si="23"/>
        <v>5</v>
      </c>
      <c r="DC23" s="14">
        <f t="shared" si="24"/>
        <v>34</v>
      </c>
      <c r="DD23" s="14">
        <f t="shared" si="25"/>
        <v>0</v>
      </c>
      <c r="DE23" s="14">
        <f t="shared" si="26"/>
        <v>0.45</v>
      </c>
      <c r="DF23" s="14">
        <f t="shared" si="27"/>
        <v>3.38</v>
      </c>
      <c r="DG23" s="14">
        <f t="shared" si="28"/>
        <v>2</v>
      </c>
      <c r="DH23" s="14">
        <f t="shared" si="29"/>
        <v>0</v>
      </c>
      <c r="DI23" s="14">
        <f t="shared" si="30"/>
        <v>11</v>
      </c>
      <c r="DL23" s="14">
        <f t="shared" si="6"/>
        <v>2</v>
      </c>
      <c r="DM23" s="14">
        <f t="shared" si="7"/>
        <v>3</v>
      </c>
      <c r="DN23" s="14" t="str">
        <f t="shared" si="31"/>
        <v>DefExt</v>
      </c>
      <c r="DO23" s="14">
        <f t="shared" si="32"/>
        <v>5</v>
      </c>
      <c r="DP23" s="14">
        <f t="shared" si="33"/>
        <v>0.45</v>
      </c>
      <c r="DQ23" s="14" t="str">
        <f t="shared" si="34"/>
        <v>HPExt</v>
      </c>
      <c r="DR23" s="14">
        <f t="shared" si="35"/>
        <v>34</v>
      </c>
      <c r="DS23" s="14">
        <f t="shared" si="36"/>
        <v>3.38</v>
      </c>
      <c r="DT23" s="14">
        <f t="shared" si="37"/>
        <v>2</v>
      </c>
      <c r="DU23" s="14">
        <f t="shared" si="38"/>
        <v>0</v>
      </c>
      <c r="DV23" s="14">
        <f t="shared" si="39"/>
        <v>11</v>
      </c>
      <c r="DW23" s="29" t="s">
        <v>758</v>
      </c>
      <c r="DX23" s="14">
        <f t="shared" si="40"/>
        <v>15</v>
      </c>
      <c r="EA23" s="13">
        <f t="shared" si="50"/>
        <v>2032</v>
      </c>
      <c r="EB23" s="13" t="s">
        <v>693</v>
      </c>
      <c r="EC23" s="37"/>
      <c r="ED23" s="37"/>
      <c r="EE23" s="13">
        <v>7</v>
      </c>
      <c r="EF23" s="13" t="s">
        <v>695</v>
      </c>
      <c r="EG23" s="13">
        <v>1</v>
      </c>
      <c r="EH23" s="13">
        <v>2</v>
      </c>
      <c r="EI23" s="13" t="s">
        <v>654</v>
      </c>
      <c r="EJ23" s="13">
        <f>AQ8</f>
        <v>10730</v>
      </c>
      <c r="EL23" s="13">
        <v>7</v>
      </c>
      <c r="EM23" s="13" t="s">
        <v>681</v>
      </c>
      <c r="EN23" s="13">
        <v>1</v>
      </c>
      <c r="EO23" s="13">
        <v>2</v>
      </c>
      <c r="EP23" s="13" t="s">
        <v>654</v>
      </c>
      <c r="EQ23" s="13">
        <f>AQ14</f>
        <v>19347</v>
      </c>
      <c r="ET23" s="13">
        <v>19</v>
      </c>
      <c r="EU23" s="13">
        <f t="shared" si="41"/>
        <v>2</v>
      </c>
      <c r="EV23" s="13" t="str">
        <f t="shared" si="42"/>
        <v>60级寄灵人洗练-7</v>
      </c>
      <c r="EW23" s="13">
        <f t="shared" si="43"/>
        <v>12</v>
      </c>
      <c r="EX23" s="13">
        <f t="shared" si="44"/>
        <v>7</v>
      </c>
      <c r="EY23" s="13">
        <f t="shared" si="45"/>
        <v>500</v>
      </c>
      <c r="EZ23" s="13" t="str">
        <f t="shared" si="46"/>
        <v>Crit</v>
      </c>
      <c r="FA23" s="13">
        <f t="shared" si="47"/>
        <v>1.0999999999999999E-2</v>
      </c>
      <c r="FB23" s="13">
        <f t="shared" si="48"/>
        <v>0.03</v>
      </c>
    </row>
    <row r="24" spans="1:158" s="20" customFormat="1" ht="16.5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13">
        <v>19</v>
      </c>
      <c r="BS24" s="13">
        <v>2</v>
      </c>
      <c r="BT24" s="13">
        <v>40</v>
      </c>
      <c r="BU24" s="13">
        <v>4</v>
      </c>
      <c r="BV24" s="13">
        <v>1</v>
      </c>
      <c r="BW24" s="13">
        <v>3</v>
      </c>
      <c r="BX24" s="13">
        <f t="shared" si="49"/>
        <v>2024030</v>
      </c>
      <c r="BY24" s="13" t="s">
        <v>779</v>
      </c>
      <c r="BZ24" s="13">
        <v>1021</v>
      </c>
      <c r="CA24" s="13">
        <v>4</v>
      </c>
      <c r="CB24" s="13">
        <f>SUM(CA$6:CA24)</f>
        <v>148</v>
      </c>
      <c r="CC24" s="13">
        <v>1</v>
      </c>
      <c r="CD24" s="13">
        <v>2</v>
      </c>
      <c r="CE24" s="13">
        <v>3</v>
      </c>
      <c r="CF24" s="13">
        <v>4</v>
      </c>
      <c r="CG24" s="13"/>
      <c r="CH24" s="13"/>
      <c r="CI24" s="13"/>
      <c r="CJ24" s="13"/>
      <c r="CK24" s="37"/>
      <c r="CM24" s="13">
        <v>20</v>
      </c>
      <c r="CN24" s="14">
        <f t="shared" si="14"/>
        <v>3</v>
      </c>
      <c r="CO24" s="14">
        <f t="shared" si="15"/>
        <v>1</v>
      </c>
      <c r="CP24" s="14">
        <f t="shared" si="16"/>
        <v>4</v>
      </c>
      <c r="CQ24" s="14">
        <f t="shared" si="1"/>
        <v>1</v>
      </c>
      <c r="CR24" s="14">
        <f t="shared" si="2"/>
        <v>2012014</v>
      </c>
      <c r="CS24" s="13" t="str">
        <f t="shared" si="3"/>
        <v>30级寄灵人蓝色-衣服</v>
      </c>
      <c r="CT24" s="14">
        <f t="shared" si="4"/>
        <v>1</v>
      </c>
      <c r="CU24" s="14">
        <f t="shared" si="5"/>
        <v>2</v>
      </c>
      <c r="CV24" s="14">
        <f t="shared" si="17"/>
        <v>30</v>
      </c>
      <c r="CW24" s="14">
        <f t="shared" si="18"/>
        <v>30</v>
      </c>
      <c r="CX24" s="14">
        <f t="shared" si="19"/>
        <v>4</v>
      </c>
      <c r="CY24" s="14" t="str">
        <f t="shared" si="20"/>
        <v/>
      </c>
      <c r="CZ24" s="14">
        <f t="shared" si="21"/>
        <v>9</v>
      </c>
      <c r="DA24" s="14">
        <f t="shared" si="22"/>
        <v>0</v>
      </c>
      <c r="DB24" s="14">
        <f t="shared" si="23"/>
        <v>10</v>
      </c>
      <c r="DC24" s="14">
        <f t="shared" si="24"/>
        <v>0</v>
      </c>
      <c r="DD24" s="14">
        <f t="shared" si="25"/>
        <v>0</v>
      </c>
      <c r="DE24" s="14">
        <f t="shared" si="26"/>
        <v>0.9</v>
      </c>
      <c r="DF24" s="14">
        <f t="shared" si="27"/>
        <v>0</v>
      </c>
      <c r="DG24" s="14">
        <f t="shared" si="28"/>
        <v>2</v>
      </c>
      <c r="DH24" s="14">
        <f t="shared" si="29"/>
        <v>0</v>
      </c>
      <c r="DI24" s="14">
        <f t="shared" si="30"/>
        <v>11</v>
      </c>
      <c r="DL24" s="14">
        <f t="shared" si="6"/>
        <v>2</v>
      </c>
      <c r="DM24" s="14">
        <f t="shared" si="7"/>
        <v>0</v>
      </c>
      <c r="DN24" s="14" t="str">
        <f t="shared" si="31"/>
        <v>DefExt</v>
      </c>
      <c r="DO24" s="14">
        <f t="shared" si="32"/>
        <v>10</v>
      </c>
      <c r="DP24" s="14">
        <f t="shared" si="33"/>
        <v>0.9</v>
      </c>
      <c r="DQ24" s="14" t="str">
        <f t="shared" si="34"/>
        <v/>
      </c>
      <c r="DR24" s="14" t="str">
        <f t="shared" si="35"/>
        <v/>
      </c>
      <c r="DS24" s="14" t="str">
        <f t="shared" si="36"/>
        <v/>
      </c>
      <c r="DT24" s="14">
        <f t="shared" si="37"/>
        <v>2</v>
      </c>
      <c r="DU24" s="14">
        <f t="shared" si="38"/>
        <v>0</v>
      </c>
      <c r="DV24" s="14">
        <f t="shared" si="39"/>
        <v>11</v>
      </c>
      <c r="DW24" s="29" t="s">
        <v>758</v>
      </c>
      <c r="DX24" s="14">
        <f t="shared" si="40"/>
        <v>15</v>
      </c>
      <c r="EA24" s="13">
        <f t="shared" si="50"/>
        <v>2041</v>
      </c>
      <c r="EB24" s="13" t="s">
        <v>694</v>
      </c>
      <c r="EC24" s="37"/>
      <c r="ED24" s="37"/>
      <c r="EE24" s="13">
        <v>7</v>
      </c>
      <c r="EF24" s="13" t="s">
        <v>695</v>
      </c>
      <c r="EG24" s="13">
        <v>2</v>
      </c>
      <c r="EH24" s="13">
        <v>3</v>
      </c>
      <c r="EI24" s="13" t="s">
        <v>663</v>
      </c>
      <c r="EJ24" s="13">
        <f>AP8</f>
        <v>3560</v>
      </c>
      <c r="EL24" s="13">
        <v>7</v>
      </c>
      <c r="EM24" s="13" t="s">
        <v>681</v>
      </c>
      <c r="EN24" s="13">
        <v>2</v>
      </c>
      <c r="EO24" s="13">
        <v>3</v>
      </c>
      <c r="EP24" s="13" t="s">
        <v>663</v>
      </c>
      <c r="EQ24" s="13">
        <f>AP14</f>
        <v>3642</v>
      </c>
      <c r="ET24" s="13">
        <v>20</v>
      </c>
      <c r="EU24" s="13">
        <f t="shared" si="41"/>
        <v>2</v>
      </c>
      <c r="EV24" s="13" t="str">
        <f t="shared" si="42"/>
        <v>60级寄灵人洗练-8</v>
      </c>
      <c r="EW24" s="13">
        <f t="shared" si="43"/>
        <v>12</v>
      </c>
      <c r="EX24" s="13">
        <f t="shared" si="44"/>
        <v>8</v>
      </c>
      <c r="EY24" s="13">
        <f t="shared" si="45"/>
        <v>500</v>
      </c>
      <c r="EZ24" s="13" t="str">
        <f t="shared" si="46"/>
        <v>CritRate</v>
      </c>
      <c r="FA24" s="13">
        <f t="shared" si="47"/>
        <v>2.8000000000000001E-2</v>
      </c>
      <c r="FB24" s="13">
        <f t="shared" si="48"/>
        <v>0.08</v>
      </c>
    </row>
    <row r="25" spans="1:158" s="20" customFormat="1" ht="16.5" x14ac:dyDescent="0.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13">
        <v>20</v>
      </c>
      <c r="BS25" s="13">
        <v>2</v>
      </c>
      <c r="BT25" s="13">
        <v>40</v>
      </c>
      <c r="BU25" s="13">
        <v>4</v>
      </c>
      <c r="BV25" s="13">
        <v>2</v>
      </c>
      <c r="BW25" s="13">
        <v>4</v>
      </c>
      <c r="BX25" s="13">
        <f t="shared" si="49"/>
        <v>2024040</v>
      </c>
      <c r="BY25" s="13" t="s">
        <v>780</v>
      </c>
      <c r="BZ25" s="13">
        <v>2021</v>
      </c>
      <c r="CA25" s="13">
        <v>4</v>
      </c>
      <c r="CB25" s="13">
        <f>SUM(CA$6:CA25)</f>
        <v>152</v>
      </c>
      <c r="CC25" s="13">
        <v>1</v>
      </c>
      <c r="CD25" s="13">
        <v>2</v>
      </c>
      <c r="CE25" s="13">
        <v>3</v>
      </c>
      <c r="CF25" s="13">
        <v>4</v>
      </c>
      <c r="CG25" s="13"/>
      <c r="CH25" s="13"/>
      <c r="CI25" s="13"/>
      <c r="CJ25" s="13"/>
      <c r="CK25" s="37"/>
      <c r="CM25" s="13">
        <v>21</v>
      </c>
      <c r="CN25" s="14">
        <f t="shared" si="14"/>
        <v>3</v>
      </c>
      <c r="CO25" s="14">
        <f t="shared" si="15"/>
        <v>1</v>
      </c>
      <c r="CP25" s="14">
        <f t="shared" si="16"/>
        <v>5</v>
      </c>
      <c r="CQ25" s="14">
        <f t="shared" si="1"/>
        <v>1</v>
      </c>
      <c r="CR25" s="14">
        <f t="shared" si="2"/>
        <v>2012015</v>
      </c>
      <c r="CS25" s="13" t="str">
        <f t="shared" si="3"/>
        <v>30级寄灵人蓝色-鞋子</v>
      </c>
      <c r="CT25" s="14">
        <f t="shared" si="4"/>
        <v>1</v>
      </c>
      <c r="CU25" s="14">
        <f t="shared" si="5"/>
        <v>2</v>
      </c>
      <c r="CV25" s="14">
        <f t="shared" si="17"/>
        <v>30</v>
      </c>
      <c r="CW25" s="14">
        <f t="shared" si="18"/>
        <v>30</v>
      </c>
      <c r="CX25" s="14">
        <f t="shared" si="19"/>
        <v>5</v>
      </c>
      <c r="CY25" s="14" t="str">
        <f t="shared" si="20"/>
        <v/>
      </c>
      <c r="CZ25" s="14">
        <f t="shared" si="21"/>
        <v>6</v>
      </c>
      <c r="DA25" s="14">
        <f t="shared" si="22"/>
        <v>0</v>
      </c>
      <c r="DB25" s="14">
        <f t="shared" si="23"/>
        <v>0</v>
      </c>
      <c r="DC25" s="14">
        <f t="shared" si="24"/>
        <v>68</v>
      </c>
      <c r="DD25" s="14">
        <f t="shared" si="25"/>
        <v>0</v>
      </c>
      <c r="DE25" s="14">
        <f t="shared" si="26"/>
        <v>0</v>
      </c>
      <c r="DF25" s="14">
        <f t="shared" si="27"/>
        <v>6.75</v>
      </c>
      <c r="DG25" s="14">
        <f t="shared" si="28"/>
        <v>2</v>
      </c>
      <c r="DH25" s="14">
        <f t="shared" si="29"/>
        <v>0</v>
      </c>
      <c r="DI25" s="14">
        <f t="shared" si="30"/>
        <v>11</v>
      </c>
      <c r="DL25" s="14">
        <f t="shared" si="6"/>
        <v>3</v>
      </c>
      <c r="DM25" s="14">
        <f t="shared" si="7"/>
        <v>0</v>
      </c>
      <c r="DN25" s="14" t="str">
        <f t="shared" si="31"/>
        <v>HPExt</v>
      </c>
      <c r="DO25" s="14">
        <f t="shared" si="32"/>
        <v>68</v>
      </c>
      <c r="DP25" s="14">
        <f t="shared" si="33"/>
        <v>6.75</v>
      </c>
      <c r="DQ25" s="14" t="str">
        <f t="shared" si="34"/>
        <v/>
      </c>
      <c r="DR25" s="14" t="str">
        <f t="shared" si="35"/>
        <v/>
      </c>
      <c r="DS25" s="14" t="str">
        <f t="shared" si="36"/>
        <v/>
      </c>
      <c r="DT25" s="14">
        <f t="shared" si="37"/>
        <v>2</v>
      </c>
      <c r="DU25" s="14">
        <f t="shared" si="38"/>
        <v>0</v>
      </c>
      <c r="DV25" s="14">
        <f t="shared" si="39"/>
        <v>11</v>
      </c>
      <c r="DW25" s="29" t="s">
        <v>758</v>
      </c>
      <c r="DX25" s="14">
        <f t="shared" si="40"/>
        <v>15</v>
      </c>
      <c r="EA25" s="13">
        <f t="shared" si="50"/>
        <v>2042</v>
      </c>
      <c r="EB25" s="13" t="s">
        <v>695</v>
      </c>
      <c r="EC25" s="37"/>
      <c r="ED25" s="37"/>
      <c r="EE25" s="13">
        <v>7</v>
      </c>
      <c r="EF25" s="13" t="s">
        <v>695</v>
      </c>
      <c r="EG25" s="13">
        <v>3</v>
      </c>
      <c r="EH25" s="13">
        <v>5</v>
      </c>
      <c r="EI25" s="13" t="s">
        <v>662</v>
      </c>
      <c r="EJ25" s="13">
        <v>0.15</v>
      </c>
      <c r="EL25" s="13">
        <v>7</v>
      </c>
      <c r="EM25" s="13" t="s">
        <v>681</v>
      </c>
      <c r="EN25" s="13">
        <v>3</v>
      </c>
      <c r="EO25" s="13">
        <v>5</v>
      </c>
      <c r="EP25" s="13" t="s">
        <v>662</v>
      </c>
      <c r="EQ25" s="13">
        <v>0.15</v>
      </c>
      <c r="ET25" s="13">
        <v>21</v>
      </c>
      <c r="EU25" s="13">
        <f t="shared" si="41"/>
        <v>2</v>
      </c>
      <c r="EV25" s="13" t="str">
        <f t="shared" si="42"/>
        <v>60级寄灵人洗练-9</v>
      </c>
      <c r="EW25" s="13">
        <f t="shared" si="43"/>
        <v>12</v>
      </c>
      <c r="EX25" s="13">
        <f t="shared" si="44"/>
        <v>9</v>
      </c>
      <c r="EY25" s="13">
        <f t="shared" si="45"/>
        <v>500</v>
      </c>
      <c r="EZ25" s="13" t="str">
        <f t="shared" si="46"/>
        <v>DefIgnor</v>
      </c>
      <c r="FA25" s="13">
        <f t="shared" si="47"/>
        <v>1.0999999999999999E-2</v>
      </c>
      <c r="FB25" s="13">
        <f t="shared" si="48"/>
        <v>0.03</v>
      </c>
    </row>
    <row r="26" spans="1:158" s="20" customFormat="1" ht="16.5" x14ac:dyDescent="0.2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13">
        <v>21</v>
      </c>
      <c r="BS26" s="13">
        <v>2</v>
      </c>
      <c r="BT26" s="13">
        <v>40</v>
      </c>
      <c r="BU26" s="13">
        <v>4</v>
      </c>
      <c r="BV26" s="13">
        <v>1</v>
      </c>
      <c r="BW26" s="13">
        <v>5</v>
      </c>
      <c r="BX26" s="13">
        <f t="shared" si="49"/>
        <v>2024050</v>
      </c>
      <c r="BY26" s="13" t="s">
        <v>781</v>
      </c>
      <c r="BZ26" s="13">
        <v>1022</v>
      </c>
      <c r="CA26" s="13">
        <v>4</v>
      </c>
      <c r="CB26" s="13">
        <f>SUM(CA$6:CA26)</f>
        <v>156</v>
      </c>
      <c r="CC26" s="13">
        <v>5</v>
      </c>
      <c r="CD26" s="13">
        <v>6</v>
      </c>
      <c r="CE26" s="13">
        <v>7</v>
      </c>
      <c r="CF26" s="13">
        <v>8</v>
      </c>
      <c r="CG26" s="13"/>
      <c r="CH26" s="13"/>
      <c r="CI26" s="13"/>
      <c r="CJ26" s="13"/>
      <c r="CK26" s="37"/>
      <c r="CM26" s="13">
        <v>22</v>
      </c>
      <c r="CN26" s="14">
        <f t="shared" si="14"/>
        <v>3</v>
      </c>
      <c r="CO26" s="14">
        <f t="shared" si="15"/>
        <v>1</v>
      </c>
      <c r="CP26" s="14">
        <f t="shared" si="16"/>
        <v>6</v>
      </c>
      <c r="CQ26" s="14">
        <f t="shared" si="1"/>
        <v>1</v>
      </c>
      <c r="CR26" s="14">
        <f t="shared" si="2"/>
        <v>2012016</v>
      </c>
      <c r="CS26" s="13" t="str">
        <f t="shared" si="3"/>
        <v>30级寄灵人蓝色-护手</v>
      </c>
      <c r="CT26" s="14">
        <f t="shared" si="4"/>
        <v>1</v>
      </c>
      <c r="CU26" s="14">
        <f t="shared" si="5"/>
        <v>2</v>
      </c>
      <c r="CV26" s="14">
        <f t="shared" si="17"/>
        <v>30</v>
      </c>
      <c r="CW26" s="14">
        <f t="shared" si="18"/>
        <v>30</v>
      </c>
      <c r="CX26" s="14">
        <f t="shared" si="19"/>
        <v>6</v>
      </c>
      <c r="CY26" s="14" t="str">
        <f t="shared" si="20"/>
        <v/>
      </c>
      <c r="CZ26" s="14">
        <f t="shared" si="21"/>
        <v>6</v>
      </c>
      <c r="DA26" s="14">
        <f t="shared" si="22"/>
        <v>0</v>
      </c>
      <c r="DB26" s="14">
        <f t="shared" si="23"/>
        <v>0</v>
      </c>
      <c r="DC26" s="14">
        <f t="shared" si="24"/>
        <v>68</v>
      </c>
      <c r="DD26" s="14">
        <f t="shared" si="25"/>
        <v>0</v>
      </c>
      <c r="DE26" s="14">
        <f t="shared" si="26"/>
        <v>0</v>
      </c>
      <c r="DF26" s="14">
        <f t="shared" si="27"/>
        <v>6.75</v>
      </c>
      <c r="DG26" s="14">
        <f t="shared" si="28"/>
        <v>2</v>
      </c>
      <c r="DH26" s="14">
        <f t="shared" si="29"/>
        <v>0</v>
      </c>
      <c r="DI26" s="14">
        <f t="shared" si="30"/>
        <v>11</v>
      </c>
      <c r="DL26" s="14">
        <f t="shared" si="6"/>
        <v>3</v>
      </c>
      <c r="DM26" s="14">
        <f t="shared" si="7"/>
        <v>0</v>
      </c>
      <c r="DN26" s="14" t="str">
        <f t="shared" si="31"/>
        <v>HPExt</v>
      </c>
      <c r="DO26" s="14">
        <f t="shared" si="32"/>
        <v>68</v>
      </c>
      <c r="DP26" s="14">
        <f t="shared" si="33"/>
        <v>6.75</v>
      </c>
      <c r="DQ26" s="14" t="str">
        <f t="shared" si="34"/>
        <v/>
      </c>
      <c r="DR26" s="14" t="str">
        <f t="shared" si="35"/>
        <v/>
      </c>
      <c r="DS26" s="14" t="str">
        <f t="shared" si="36"/>
        <v/>
      </c>
      <c r="DT26" s="14">
        <f t="shared" si="37"/>
        <v>2</v>
      </c>
      <c r="DU26" s="14">
        <f t="shared" si="38"/>
        <v>0</v>
      </c>
      <c r="DV26" s="14">
        <f t="shared" si="39"/>
        <v>11</v>
      </c>
      <c r="DW26" s="29" t="s">
        <v>758</v>
      </c>
      <c r="DX26" s="14">
        <f t="shared" si="40"/>
        <v>15</v>
      </c>
      <c r="EA26" s="13">
        <f t="shared" si="50"/>
        <v>2043</v>
      </c>
      <c r="EB26" s="13" t="s">
        <v>696</v>
      </c>
      <c r="EC26" s="37"/>
      <c r="ED26" s="37"/>
      <c r="EE26" s="13">
        <v>8</v>
      </c>
      <c r="EF26" s="13" t="s">
        <v>696</v>
      </c>
      <c r="EG26" s="13">
        <v>1</v>
      </c>
      <c r="EH26" s="13">
        <v>2</v>
      </c>
      <c r="EI26" s="13" t="s">
        <v>665</v>
      </c>
      <c r="EJ26" s="13">
        <f>AP8</f>
        <v>3560</v>
      </c>
      <c r="EL26" s="13">
        <v>8</v>
      </c>
      <c r="EM26" s="13" t="s">
        <v>682</v>
      </c>
      <c r="EN26" s="13">
        <v>1</v>
      </c>
      <c r="EO26" s="13">
        <v>2</v>
      </c>
      <c r="EP26" s="13" t="s">
        <v>665</v>
      </c>
      <c r="EQ26" s="13">
        <f>AP14</f>
        <v>3642</v>
      </c>
      <c r="ET26" s="13">
        <v>22</v>
      </c>
      <c r="EU26" s="13">
        <f t="shared" si="41"/>
        <v>2</v>
      </c>
      <c r="EV26" s="13" t="str">
        <f t="shared" si="42"/>
        <v>60级寄灵人洗练-10</v>
      </c>
      <c r="EW26" s="13">
        <f t="shared" si="43"/>
        <v>12</v>
      </c>
      <c r="EX26" s="13">
        <f t="shared" si="44"/>
        <v>10</v>
      </c>
      <c r="EY26" s="13">
        <f t="shared" si="45"/>
        <v>500</v>
      </c>
      <c r="EZ26" s="13" t="str">
        <f t="shared" si="46"/>
        <v>Block</v>
      </c>
      <c r="FA26" s="13">
        <f t="shared" si="47"/>
        <v>1.0999999999999999E-2</v>
      </c>
      <c r="FB26" s="13">
        <f t="shared" si="48"/>
        <v>0.03</v>
      </c>
    </row>
    <row r="27" spans="1:158" s="20" customFormat="1" ht="16.5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13">
        <v>22</v>
      </c>
      <c r="BS27" s="13">
        <v>2</v>
      </c>
      <c r="BT27" s="13">
        <v>40</v>
      </c>
      <c r="BU27" s="13">
        <v>4</v>
      </c>
      <c r="BV27" s="13">
        <v>2</v>
      </c>
      <c r="BW27" s="13">
        <v>6</v>
      </c>
      <c r="BX27" s="13">
        <f t="shared" si="49"/>
        <v>2024060</v>
      </c>
      <c r="BY27" s="13" t="s">
        <v>782</v>
      </c>
      <c r="BZ27" s="13">
        <v>2022</v>
      </c>
      <c r="CA27" s="13">
        <v>4</v>
      </c>
      <c r="CB27" s="13">
        <f>SUM(CA$6:CA27)</f>
        <v>160</v>
      </c>
      <c r="CC27" s="13">
        <v>5</v>
      </c>
      <c r="CD27" s="13">
        <v>6</v>
      </c>
      <c r="CE27" s="13">
        <v>7</v>
      </c>
      <c r="CF27" s="13">
        <v>8</v>
      </c>
      <c r="CG27" s="13"/>
      <c r="CH27" s="13"/>
      <c r="CI27" s="13"/>
      <c r="CJ27" s="13"/>
      <c r="CK27" s="37"/>
      <c r="CM27" s="13">
        <v>23</v>
      </c>
      <c r="CN27" s="14">
        <f t="shared" si="14"/>
        <v>3</v>
      </c>
      <c r="CO27" s="14">
        <f t="shared" si="15"/>
        <v>1</v>
      </c>
      <c r="CP27" s="14">
        <f t="shared" si="16"/>
        <v>7</v>
      </c>
      <c r="CQ27" s="14">
        <f t="shared" si="1"/>
        <v>1</v>
      </c>
      <c r="CR27" s="14">
        <f t="shared" si="2"/>
        <v>2012017</v>
      </c>
      <c r="CS27" s="13" t="str">
        <f t="shared" si="3"/>
        <v>30级寄灵人蓝色-项链</v>
      </c>
      <c r="CT27" s="14">
        <f t="shared" si="4"/>
        <v>1</v>
      </c>
      <c r="CU27" s="14">
        <f t="shared" si="5"/>
        <v>2</v>
      </c>
      <c r="CV27" s="14">
        <f t="shared" si="17"/>
        <v>30</v>
      </c>
      <c r="CW27" s="14">
        <f t="shared" si="18"/>
        <v>30</v>
      </c>
      <c r="CX27" s="14">
        <f t="shared" si="19"/>
        <v>7</v>
      </c>
      <c r="CY27" s="14" t="str">
        <f t="shared" si="20"/>
        <v/>
      </c>
      <c r="CZ27" s="14">
        <f t="shared" si="21"/>
        <v>14</v>
      </c>
      <c r="DA27" s="14">
        <f t="shared" si="22"/>
        <v>14</v>
      </c>
      <c r="DB27" s="14">
        <f t="shared" si="23"/>
        <v>8</v>
      </c>
      <c r="DC27" s="14">
        <f t="shared" si="24"/>
        <v>0</v>
      </c>
      <c r="DD27" s="14">
        <f t="shared" si="25"/>
        <v>1.35</v>
      </c>
      <c r="DE27" s="14">
        <f t="shared" si="26"/>
        <v>0.75</v>
      </c>
      <c r="DF27" s="14">
        <f t="shared" si="27"/>
        <v>0</v>
      </c>
      <c r="DG27" s="14">
        <f t="shared" si="28"/>
        <v>2</v>
      </c>
      <c r="DH27" s="14">
        <f t="shared" si="29"/>
        <v>0</v>
      </c>
      <c r="DI27" s="14">
        <f t="shared" si="30"/>
        <v>11</v>
      </c>
      <c r="DL27" s="14">
        <f t="shared" si="6"/>
        <v>1</v>
      </c>
      <c r="DM27" s="14">
        <f t="shared" si="7"/>
        <v>2</v>
      </c>
      <c r="DN27" s="14" t="str">
        <f t="shared" si="31"/>
        <v>AtkExt</v>
      </c>
      <c r="DO27" s="14">
        <f t="shared" si="32"/>
        <v>14</v>
      </c>
      <c r="DP27" s="14">
        <f t="shared" si="33"/>
        <v>1.35</v>
      </c>
      <c r="DQ27" s="14" t="str">
        <f t="shared" si="34"/>
        <v>DefExt</v>
      </c>
      <c r="DR27" s="14">
        <f t="shared" si="35"/>
        <v>8</v>
      </c>
      <c r="DS27" s="14">
        <f t="shared" si="36"/>
        <v>0.75</v>
      </c>
      <c r="DT27" s="14">
        <f t="shared" si="37"/>
        <v>2</v>
      </c>
      <c r="DU27" s="14">
        <f t="shared" si="38"/>
        <v>0</v>
      </c>
      <c r="DV27" s="14">
        <f t="shared" si="39"/>
        <v>11</v>
      </c>
      <c r="DW27" s="29" t="s">
        <v>758</v>
      </c>
      <c r="DX27" s="14">
        <f t="shared" si="40"/>
        <v>15</v>
      </c>
      <c r="EA27" s="13">
        <f t="shared" si="50"/>
        <v>2051</v>
      </c>
      <c r="EB27" s="13" t="s">
        <v>697</v>
      </c>
      <c r="EC27" s="37"/>
      <c r="ED27" s="37"/>
      <c r="EE27" s="13">
        <v>8</v>
      </c>
      <c r="EF27" s="13" t="s">
        <v>696</v>
      </c>
      <c r="EG27" s="13">
        <v>2</v>
      </c>
      <c r="EH27" s="13">
        <v>3</v>
      </c>
      <c r="EI27" s="13" t="s">
        <v>664</v>
      </c>
      <c r="EJ27" s="13">
        <f>AQ8</f>
        <v>10730</v>
      </c>
      <c r="EL27" s="13">
        <v>8</v>
      </c>
      <c r="EM27" s="13" t="s">
        <v>682</v>
      </c>
      <c r="EN27" s="13">
        <v>2</v>
      </c>
      <c r="EO27" s="13">
        <v>3</v>
      </c>
      <c r="EP27" s="13" t="s">
        <v>664</v>
      </c>
      <c r="EQ27" s="13">
        <f>AQ14</f>
        <v>19347</v>
      </c>
      <c r="ET27" s="13">
        <v>23</v>
      </c>
      <c r="EU27" s="13">
        <f t="shared" si="41"/>
        <v>2</v>
      </c>
      <c r="EV27" s="13" t="str">
        <f t="shared" si="42"/>
        <v>60级寄灵人洗练-11</v>
      </c>
      <c r="EW27" s="13">
        <f t="shared" si="43"/>
        <v>12</v>
      </c>
      <c r="EX27" s="13">
        <f t="shared" si="44"/>
        <v>11</v>
      </c>
      <c r="EY27" s="13">
        <f t="shared" si="45"/>
        <v>500</v>
      </c>
      <c r="EZ27" s="13" t="str">
        <f t="shared" si="46"/>
        <v>EffectHit</v>
      </c>
      <c r="FA27" s="13">
        <f t="shared" si="47"/>
        <v>1.7999999999999999E-2</v>
      </c>
      <c r="FB27" s="13">
        <f t="shared" si="48"/>
        <v>0.05</v>
      </c>
    </row>
    <row r="28" spans="1:158" s="20" customFormat="1" ht="16.5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13">
        <v>23</v>
      </c>
      <c r="BS28" s="13">
        <v>3</v>
      </c>
      <c r="BT28" s="13">
        <v>60</v>
      </c>
      <c r="BU28" s="13">
        <v>1</v>
      </c>
      <c r="BV28" s="13">
        <v>1</v>
      </c>
      <c r="BW28" s="13">
        <v>1</v>
      </c>
      <c r="BX28" s="13">
        <f t="shared" si="49"/>
        <v>2031010</v>
      </c>
      <c r="BY28" s="13" t="s">
        <v>783</v>
      </c>
      <c r="BZ28" s="13"/>
      <c r="CA28" s="13">
        <v>8</v>
      </c>
      <c r="CB28" s="13">
        <f>SUM(CA$6:CA28)</f>
        <v>168</v>
      </c>
      <c r="CC28" s="13">
        <v>1</v>
      </c>
      <c r="CD28" s="13">
        <v>2</v>
      </c>
      <c r="CE28" s="13">
        <v>3</v>
      </c>
      <c r="CF28" s="13">
        <v>4</v>
      </c>
      <c r="CG28" s="13">
        <v>5</v>
      </c>
      <c r="CH28" s="13">
        <v>6</v>
      </c>
      <c r="CI28" s="13">
        <v>7</v>
      </c>
      <c r="CJ28" s="13">
        <v>8</v>
      </c>
      <c r="CK28" s="37"/>
      <c r="CM28" s="13">
        <v>24</v>
      </c>
      <c r="CN28" s="14">
        <f t="shared" si="14"/>
        <v>3</v>
      </c>
      <c r="CO28" s="14">
        <f t="shared" si="15"/>
        <v>1</v>
      </c>
      <c r="CP28" s="14">
        <f t="shared" si="16"/>
        <v>8</v>
      </c>
      <c r="CQ28" s="14">
        <f t="shared" si="1"/>
        <v>1</v>
      </c>
      <c r="CR28" s="14">
        <f t="shared" si="2"/>
        <v>2012018</v>
      </c>
      <c r="CS28" s="13" t="str">
        <f t="shared" si="3"/>
        <v>30级寄灵人蓝色-戒指</v>
      </c>
      <c r="CT28" s="14">
        <f t="shared" si="4"/>
        <v>1</v>
      </c>
      <c r="CU28" s="14">
        <f t="shared" si="5"/>
        <v>2</v>
      </c>
      <c r="CV28" s="14">
        <f t="shared" si="17"/>
        <v>30</v>
      </c>
      <c r="CW28" s="14">
        <f t="shared" si="18"/>
        <v>30</v>
      </c>
      <c r="CX28" s="14">
        <f t="shared" si="19"/>
        <v>8</v>
      </c>
      <c r="CY28" s="14" t="str">
        <f t="shared" si="20"/>
        <v/>
      </c>
      <c r="CZ28" s="14">
        <f t="shared" si="21"/>
        <v>12</v>
      </c>
      <c r="DA28" s="14">
        <f t="shared" si="22"/>
        <v>14</v>
      </c>
      <c r="DB28" s="14">
        <f t="shared" si="23"/>
        <v>0</v>
      </c>
      <c r="DC28" s="14">
        <f t="shared" si="24"/>
        <v>56</v>
      </c>
      <c r="DD28" s="14">
        <f t="shared" si="25"/>
        <v>1.35</v>
      </c>
      <c r="DE28" s="14">
        <f t="shared" si="26"/>
        <v>0</v>
      </c>
      <c r="DF28" s="14">
        <f t="shared" si="27"/>
        <v>5.63</v>
      </c>
      <c r="DG28" s="14">
        <f t="shared" si="28"/>
        <v>2</v>
      </c>
      <c r="DH28" s="14">
        <f t="shared" si="29"/>
        <v>0</v>
      </c>
      <c r="DI28" s="14">
        <f t="shared" si="30"/>
        <v>11</v>
      </c>
      <c r="DL28" s="14">
        <f t="shared" si="6"/>
        <v>1</v>
      </c>
      <c r="DM28" s="14">
        <f t="shared" si="7"/>
        <v>3</v>
      </c>
      <c r="DN28" s="14" t="str">
        <f t="shared" si="31"/>
        <v>AtkExt</v>
      </c>
      <c r="DO28" s="14">
        <f t="shared" si="32"/>
        <v>14</v>
      </c>
      <c r="DP28" s="14">
        <f t="shared" si="33"/>
        <v>1.35</v>
      </c>
      <c r="DQ28" s="14" t="str">
        <f t="shared" si="34"/>
        <v>HPExt</v>
      </c>
      <c r="DR28" s="14">
        <f t="shared" si="35"/>
        <v>56</v>
      </c>
      <c r="DS28" s="14">
        <f t="shared" si="36"/>
        <v>5.63</v>
      </c>
      <c r="DT28" s="14">
        <f t="shared" si="37"/>
        <v>2</v>
      </c>
      <c r="DU28" s="14">
        <f t="shared" si="38"/>
        <v>0</v>
      </c>
      <c r="DV28" s="14">
        <f t="shared" si="39"/>
        <v>11</v>
      </c>
      <c r="DW28" s="29" t="s">
        <v>758</v>
      </c>
      <c r="DX28" s="14">
        <f t="shared" si="40"/>
        <v>15</v>
      </c>
      <c r="EA28" s="13">
        <f t="shared" si="50"/>
        <v>2052</v>
      </c>
      <c r="EB28" s="13" t="s">
        <v>698</v>
      </c>
      <c r="EC28" s="37"/>
      <c r="ED28" s="37"/>
      <c r="EE28" s="13">
        <v>8</v>
      </c>
      <c r="EF28" s="13" t="s">
        <v>696</v>
      </c>
      <c r="EG28" s="13">
        <v>3</v>
      </c>
      <c r="EH28" s="13">
        <v>5</v>
      </c>
      <c r="EI28" s="13" t="s">
        <v>666</v>
      </c>
      <c r="EJ28" s="13">
        <v>0.15</v>
      </c>
      <c r="EL28" s="13">
        <v>8</v>
      </c>
      <c r="EM28" s="13" t="s">
        <v>682</v>
      </c>
      <c r="EN28" s="13">
        <v>3</v>
      </c>
      <c r="EO28" s="13">
        <v>5</v>
      </c>
      <c r="EP28" s="13" t="s">
        <v>666</v>
      </c>
      <c r="EQ28" s="13">
        <v>0.15</v>
      </c>
      <c r="ET28" s="13">
        <v>24</v>
      </c>
      <c r="EU28" s="13">
        <f t="shared" si="41"/>
        <v>2</v>
      </c>
      <c r="EV28" s="13" t="str">
        <f t="shared" si="42"/>
        <v>60级寄灵人洗练-12</v>
      </c>
      <c r="EW28" s="13">
        <f t="shared" si="43"/>
        <v>12</v>
      </c>
      <c r="EX28" s="13">
        <f t="shared" si="44"/>
        <v>12</v>
      </c>
      <c r="EY28" s="13">
        <f t="shared" si="45"/>
        <v>500</v>
      </c>
      <c r="EZ28" s="13" t="str">
        <f t="shared" si="46"/>
        <v>EffectResist</v>
      </c>
      <c r="FA28" s="13">
        <f t="shared" si="47"/>
        <v>1.7999999999999999E-2</v>
      </c>
      <c r="FB28" s="13">
        <f t="shared" si="48"/>
        <v>0.05</v>
      </c>
    </row>
    <row r="29" spans="1:158" s="20" customFormat="1" ht="16.5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13">
        <v>24</v>
      </c>
      <c r="BS29" s="13">
        <v>3</v>
      </c>
      <c r="BT29" s="13">
        <v>60</v>
      </c>
      <c r="BU29" s="13">
        <v>1</v>
      </c>
      <c r="BV29" s="13">
        <v>2</v>
      </c>
      <c r="BW29" s="13">
        <v>2</v>
      </c>
      <c r="BX29" s="13">
        <f t="shared" si="49"/>
        <v>2031020</v>
      </c>
      <c r="BY29" s="13" t="s">
        <v>784</v>
      </c>
      <c r="BZ29" s="13"/>
      <c r="CA29" s="13">
        <v>8</v>
      </c>
      <c r="CB29" s="13">
        <f>SUM(CA$6:CA29)</f>
        <v>176</v>
      </c>
      <c r="CC29" s="13">
        <v>1</v>
      </c>
      <c r="CD29" s="13">
        <v>2</v>
      </c>
      <c r="CE29" s="13">
        <v>3</v>
      </c>
      <c r="CF29" s="13">
        <v>4</v>
      </c>
      <c r="CG29" s="13">
        <v>5</v>
      </c>
      <c r="CH29" s="13">
        <v>6</v>
      </c>
      <c r="CI29" s="13">
        <v>7</v>
      </c>
      <c r="CJ29" s="13">
        <v>8</v>
      </c>
      <c r="CK29" s="37"/>
      <c r="CM29" s="13">
        <v>25</v>
      </c>
      <c r="CN29" s="14">
        <f t="shared" si="14"/>
        <v>4</v>
      </c>
      <c r="CO29" s="14">
        <f t="shared" si="15"/>
        <v>2</v>
      </c>
      <c r="CP29" s="14">
        <f t="shared" si="16"/>
        <v>1</v>
      </c>
      <c r="CQ29" s="14">
        <f t="shared" si="1"/>
        <v>1</v>
      </c>
      <c r="CR29" s="14">
        <f t="shared" si="2"/>
        <v>2012021</v>
      </c>
      <c r="CS29" s="13" t="str">
        <f t="shared" si="3"/>
        <v>30级守护灵蓝色-武器</v>
      </c>
      <c r="CT29" s="14">
        <f t="shared" si="4"/>
        <v>2</v>
      </c>
      <c r="CU29" s="14">
        <f t="shared" si="5"/>
        <v>2</v>
      </c>
      <c r="CV29" s="14">
        <f t="shared" si="17"/>
        <v>30</v>
      </c>
      <c r="CW29" s="14">
        <f t="shared" si="18"/>
        <v>30</v>
      </c>
      <c r="CX29" s="14">
        <f t="shared" si="19"/>
        <v>1</v>
      </c>
      <c r="CY29" s="14" t="str">
        <f t="shared" si="20"/>
        <v/>
      </c>
      <c r="CZ29" s="14">
        <f t="shared" si="21"/>
        <v>22</v>
      </c>
      <c r="DA29" s="14">
        <f t="shared" si="22"/>
        <v>45</v>
      </c>
      <c r="DB29" s="14">
        <f t="shared" si="23"/>
        <v>0</v>
      </c>
      <c r="DC29" s="14">
        <f t="shared" si="24"/>
        <v>0</v>
      </c>
      <c r="DD29" s="14">
        <f t="shared" si="25"/>
        <v>4.5</v>
      </c>
      <c r="DE29" s="14">
        <f t="shared" si="26"/>
        <v>0</v>
      </c>
      <c r="DF29" s="14">
        <f t="shared" si="27"/>
        <v>0</v>
      </c>
      <c r="DG29" s="14">
        <f t="shared" si="28"/>
        <v>2</v>
      </c>
      <c r="DH29" s="14">
        <f t="shared" si="29"/>
        <v>0</v>
      </c>
      <c r="DI29" s="14">
        <f t="shared" si="30"/>
        <v>21</v>
      </c>
      <c r="DL29" s="14">
        <f t="shared" si="6"/>
        <v>1</v>
      </c>
      <c r="DM29" s="14">
        <f t="shared" si="7"/>
        <v>0</v>
      </c>
      <c r="DN29" s="14" t="str">
        <f t="shared" si="31"/>
        <v>AtkExt</v>
      </c>
      <c r="DO29" s="14">
        <f t="shared" si="32"/>
        <v>45</v>
      </c>
      <c r="DP29" s="14">
        <f t="shared" si="33"/>
        <v>4.5</v>
      </c>
      <c r="DQ29" s="14" t="str">
        <f t="shared" si="34"/>
        <v/>
      </c>
      <c r="DR29" s="14" t="str">
        <f t="shared" si="35"/>
        <v/>
      </c>
      <c r="DS29" s="14" t="str">
        <f t="shared" si="36"/>
        <v/>
      </c>
      <c r="DT29" s="14">
        <f t="shared" si="37"/>
        <v>2</v>
      </c>
      <c r="DU29" s="14">
        <f t="shared" si="38"/>
        <v>0</v>
      </c>
      <c r="DV29" s="14">
        <f t="shared" si="39"/>
        <v>21</v>
      </c>
      <c r="DW29" s="29" t="s">
        <v>758</v>
      </c>
      <c r="DX29" s="14">
        <f t="shared" si="40"/>
        <v>15</v>
      </c>
      <c r="EA29" s="13">
        <f t="shared" si="50"/>
        <v>2053</v>
      </c>
      <c r="EB29" s="13" t="s">
        <v>699</v>
      </c>
      <c r="EC29" s="37"/>
      <c r="ED29" s="37"/>
      <c r="EE29" s="13">
        <v>9</v>
      </c>
      <c r="EF29" s="13" t="s">
        <v>697</v>
      </c>
      <c r="EG29" s="13">
        <v>1</v>
      </c>
      <c r="EH29" s="13">
        <v>2</v>
      </c>
      <c r="EI29" s="13" t="s">
        <v>308</v>
      </c>
      <c r="EJ29" s="13">
        <f>AP9</f>
        <v>8049</v>
      </c>
      <c r="EL29" s="13">
        <v>9</v>
      </c>
      <c r="EM29" s="13" t="s">
        <v>683</v>
      </c>
      <c r="EN29" s="13">
        <v>1</v>
      </c>
      <c r="EO29" s="13">
        <v>2</v>
      </c>
      <c r="EP29" s="13" t="s">
        <v>308</v>
      </c>
      <c r="EQ29" s="13">
        <f>AP15</f>
        <v>8131</v>
      </c>
      <c r="ET29" s="13">
        <v>25</v>
      </c>
      <c r="EU29" s="13">
        <f t="shared" si="41"/>
        <v>3</v>
      </c>
      <c r="EV29" s="13" t="str">
        <f t="shared" si="42"/>
        <v>90级寄灵人洗练-1</v>
      </c>
      <c r="EW29" s="13">
        <f t="shared" si="43"/>
        <v>13</v>
      </c>
      <c r="EX29" s="13">
        <f t="shared" si="44"/>
        <v>1</v>
      </c>
      <c r="EY29" s="13">
        <f t="shared" si="45"/>
        <v>1800</v>
      </c>
      <c r="EZ29" s="13" t="str">
        <f t="shared" si="46"/>
        <v>AtkExt</v>
      </c>
      <c r="FA29" s="13">
        <f t="shared" si="47"/>
        <v>49</v>
      </c>
      <c r="FB29" s="13">
        <f t="shared" si="48"/>
        <v>142</v>
      </c>
    </row>
    <row r="30" spans="1:158" s="20" customFormat="1" ht="16.5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13">
        <v>25</v>
      </c>
      <c r="BS30" s="13">
        <v>3</v>
      </c>
      <c r="BT30" s="13">
        <v>60</v>
      </c>
      <c r="BU30" s="13">
        <v>2</v>
      </c>
      <c r="BV30" s="13">
        <v>1</v>
      </c>
      <c r="BW30" s="13">
        <v>1</v>
      </c>
      <c r="BX30" s="13">
        <f t="shared" si="49"/>
        <v>2032010</v>
      </c>
      <c r="BY30" s="13" t="s">
        <v>785</v>
      </c>
      <c r="BZ30" s="13"/>
      <c r="CA30" s="13">
        <v>8</v>
      </c>
      <c r="CB30" s="13">
        <f>SUM(CA$6:CA30)</f>
        <v>184</v>
      </c>
      <c r="CC30" s="13">
        <v>1</v>
      </c>
      <c r="CD30" s="13">
        <v>2</v>
      </c>
      <c r="CE30" s="13">
        <v>3</v>
      </c>
      <c r="CF30" s="13">
        <v>4</v>
      </c>
      <c r="CG30" s="13">
        <v>5</v>
      </c>
      <c r="CH30" s="13">
        <v>6</v>
      </c>
      <c r="CI30" s="13">
        <v>7</v>
      </c>
      <c r="CJ30" s="13">
        <v>8</v>
      </c>
      <c r="CK30" s="37"/>
      <c r="CM30" s="13">
        <v>26</v>
      </c>
      <c r="CN30" s="14">
        <f t="shared" si="14"/>
        <v>4</v>
      </c>
      <c r="CO30" s="14">
        <f t="shared" si="15"/>
        <v>2</v>
      </c>
      <c r="CP30" s="14">
        <f t="shared" si="16"/>
        <v>2</v>
      </c>
      <c r="CQ30" s="14">
        <f t="shared" si="1"/>
        <v>1</v>
      </c>
      <c r="CR30" s="14">
        <f t="shared" si="2"/>
        <v>2012022</v>
      </c>
      <c r="CS30" s="13" t="str">
        <f t="shared" si="3"/>
        <v>30级守护灵蓝色-头盔</v>
      </c>
      <c r="CT30" s="14">
        <f t="shared" si="4"/>
        <v>2</v>
      </c>
      <c r="CU30" s="14">
        <f t="shared" si="5"/>
        <v>2</v>
      </c>
      <c r="CV30" s="14">
        <f t="shared" si="17"/>
        <v>30</v>
      </c>
      <c r="CW30" s="14">
        <f t="shared" si="18"/>
        <v>30</v>
      </c>
      <c r="CX30" s="14">
        <f t="shared" si="19"/>
        <v>2</v>
      </c>
      <c r="CY30" s="14" t="str">
        <f t="shared" si="20"/>
        <v/>
      </c>
      <c r="CZ30" s="14">
        <f t="shared" si="21"/>
        <v>11</v>
      </c>
      <c r="DA30" s="14">
        <f t="shared" si="22"/>
        <v>0</v>
      </c>
      <c r="DB30" s="14">
        <f t="shared" si="23"/>
        <v>11</v>
      </c>
      <c r="DC30" s="14">
        <f t="shared" si="24"/>
        <v>0</v>
      </c>
      <c r="DD30" s="14">
        <f t="shared" si="25"/>
        <v>0</v>
      </c>
      <c r="DE30" s="14">
        <f t="shared" si="26"/>
        <v>1.1299999999999999</v>
      </c>
      <c r="DF30" s="14">
        <f t="shared" si="27"/>
        <v>0</v>
      </c>
      <c r="DG30" s="14">
        <f t="shared" si="28"/>
        <v>2</v>
      </c>
      <c r="DH30" s="14">
        <f t="shared" si="29"/>
        <v>0</v>
      </c>
      <c r="DI30" s="14">
        <f t="shared" si="30"/>
        <v>21</v>
      </c>
      <c r="DL30" s="14">
        <f t="shared" si="6"/>
        <v>2</v>
      </c>
      <c r="DM30" s="14">
        <f t="shared" si="7"/>
        <v>0</v>
      </c>
      <c r="DN30" s="14" t="str">
        <f t="shared" si="31"/>
        <v>DefExt</v>
      </c>
      <c r="DO30" s="14">
        <f t="shared" si="32"/>
        <v>11</v>
      </c>
      <c r="DP30" s="14">
        <f t="shared" si="33"/>
        <v>1.1299999999999999</v>
      </c>
      <c r="DQ30" s="14" t="str">
        <f t="shared" si="34"/>
        <v/>
      </c>
      <c r="DR30" s="14" t="str">
        <f t="shared" si="35"/>
        <v/>
      </c>
      <c r="DS30" s="14" t="str">
        <f t="shared" si="36"/>
        <v/>
      </c>
      <c r="DT30" s="14">
        <f t="shared" si="37"/>
        <v>2</v>
      </c>
      <c r="DU30" s="14">
        <f t="shared" si="38"/>
        <v>0</v>
      </c>
      <c r="DV30" s="14">
        <f t="shared" si="39"/>
        <v>21</v>
      </c>
      <c r="DW30" s="29" t="s">
        <v>758</v>
      </c>
      <c r="DX30" s="14">
        <f t="shared" si="40"/>
        <v>15</v>
      </c>
      <c r="EA30" s="13">
        <f t="shared" si="50"/>
        <v>2061</v>
      </c>
      <c r="EB30" s="13" t="s">
        <v>700</v>
      </c>
      <c r="EC30" s="37"/>
      <c r="ED30" s="37"/>
      <c r="EE30" s="13">
        <v>9</v>
      </c>
      <c r="EF30" s="13" t="s">
        <v>697</v>
      </c>
      <c r="EG30" s="13">
        <v>2</v>
      </c>
      <c r="EH30" s="13">
        <v>3</v>
      </c>
      <c r="EI30" s="13" t="s">
        <v>310</v>
      </c>
      <c r="EJ30" s="13">
        <f>AQ9</f>
        <v>24198</v>
      </c>
      <c r="EL30" s="13">
        <v>9</v>
      </c>
      <c r="EM30" s="13" t="s">
        <v>683</v>
      </c>
      <c r="EN30" s="13">
        <v>2</v>
      </c>
      <c r="EO30" s="13">
        <v>3</v>
      </c>
      <c r="EP30" s="13" t="s">
        <v>310</v>
      </c>
      <c r="EQ30" s="13">
        <f>AQ15</f>
        <v>43584</v>
      </c>
      <c r="ET30" s="13">
        <v>26</v>
      </c>
      <c r="EU30" s="13">
        <f t="shared" si="41"/>
        <v>3</v>
      </c>
      <c r="EV30" s="13" t="str">
        <f t="shared" si="42"/>
        <v>90级寄灵人洗练-2</v>
      </c>
      <c r="EW30" s="13">
        <f t="shared" si="43"/>
        <v>13</v>
      </c>
      <c r="EX30" s="13">
        <f t="shared" si="44"/>
        <v>2</v>
      </c>
      <c r="EY30" s="13">
        <f t="shared" si="45"/>
        <v>1800</v>
      </c>
      <c r="EZ30" s="13" t="str">
        <f t="shared" si="46"/>
        <v>DefExt</v>
      </c>
      <c r="FA30" s="13">
        <f t="shared" si="47"/>
        <v>18</v>
      </c>
      <c r="FB30" s="13">
        <f t="shared" si="48"/>
        <v>53</v>
      </c>
    </row>
    <row r="31" spans="1:158" s="20" customFormat="1" ht="16.5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13">
        <v>26</v>
      </c>
      <c r="BS31" s="13">
        <v>3</v>
      </c>
      <c r="BT31" s="13">
        <v>60</v>
      </c>
      <c r="BU31" s="13">
        <v>2</v>
      </c>
      <c r="BV31" s="13">
        <v>2</v>
      </c>
      <c r="BW31" s="13">
        <v>2</v>
      </c>
      <c r="BX31" s="13">
        <f t="shared" si="49"/>
        <v>2032020</v>
      </c>
      <c r="BY31" s="13" t="s">
        <v>786</v>
      </c>
      <c r="BZ31" s="13"/>
      <c r="CA31" s="13">
        <v>8</v>
      </c>
      <c r="CB31" s="13">
        <f>SUM(CA$6:CA31)</f>
        <v>192</v>
      </c>
      <c r="CC31" s="13">
        <v>1</v>
      </c>
      <c r="CD31" s="13">
        <v>2</v>
      </c>
      <c r="CE31" s="13">
        <v>3</v>
      </c>
      <c r="CF31" s="13">
        <v>4</v>
      </c>
      <c r="CG31" s="13">
        <v>5</v>
      </c>
      <c r="CH31" s="13">
        <v>6</v>
      </c>
      <c r="CI31" s="13">
        <v>7</v>
      </c>
      <c r="CJ31" s="13">
        <v>8</v>
      </c>
      <c r="CK31" s="37"/>
      <c r="CM31" s="13">
        <v>27</v>
      </c>
      <c r="CN31" s="14">
        <f t="shared" si="14"/>
        <v>4</v>
      </c>
      <c r="CO31" s="14">
        <f t="shared" si="15"/>
        <v>2</v>
      </c>
      <c r="CP31" s="14">
        <f t="shared" si="16"/>
        <v>3</v>
      </c>
      <c r="CQ31" s="14">
        <f t="shared" si="1"/>
        <v>1</v>
      </c>
      <c r="CR31" s="14">
        <f t="shared" si="2"/>
        <v>2012023</v>
      </c>
      <c r="CS31" s="13" t="str">
        <f t="shared" si="3"/>
        <v>30级守护灵蓝色-肩甲</v>
      </c>
      <c r="CT31" s="14">
        <f t="shared" si="4"/>
        <v>2</v>
      </c>
      <c r="CU31" s="14">
        <f t="shared" si="5"/>
        <v>2</v>
      </c>
      <c r="CV31" s="14">
        <f t="shared" si="17"/>
        <v>30</v>
      </c>
      <c r="CW31" s="14">
        <f t="shared" si="18"/>
        <v>30</v>
      </c>
      <c r="CX31" s="14">
        <f t="shared" si="19"/>
        <v>3</v>
      </c>
      <c r="CY31" s="14" t="str">
        <f t="shared" si="20"/>
        <v/>
      </c>
      <c r="CZ31" s="14">
        <f t="shared" si="21"/>
        <v>11</v>
      </c>
      <c r="DA31" s="14">
        <f t="shared" si="22"/>
        <v>0</v>
      </c>
      <c r="DB31" s="14">
        <f t="shared" si="23"/>
        <v>6</v>
      </c>
      <c r="DC31" s="14">
        <f t="shared" si="24"/>
        <v>113</v>
      </c>
      <c r="DD31" s="14">
        <f t="shared" si="25"/>
        <v>0</v>
      </c>
      <c r="DE31" s="14">
        <f t="shared" si="26"/>
        <v>0.56000000000000005</v>
      </c>
      <c r="DF31" s="14">
        <f t="shared" si="27"/>
        <v>5.63</v>
      </c>
      <c r="DG31" s="14">
        <f t="shared" si="28"/>
        <v>2</v>
      </c>
      <c r="DH31" s="14">
        <f t="shared" si="29"/>
        <v>0</v>
      </c>
      <c r="DI31" s="14">
        <f t="shared" si="30"/>
        <v>21</v>
      </c>
      <c r="DL31" s="14">
        <f t="shared" si="6"/>
        <v>2</v>
      </c>
      <c r="DM31" s="14">
        <f t="shared" si="7"/>
        <v>3</v>
      </c>
      <c r="DN31" s="14" t="str">
        <f t="shared" si="31"/>
        <v>DefExt</v>
      </c>
      <c r="DO31" s="14">
        <f t="shared" si="32"/>
        <v>6</v>
      </c>
      <c r="DP31" s="14">
        <f t="shared" si="33"/>
        <v>0.56000000000000005</v>
      </c>
      <c r="DQ31" s="14" t="str">
        <f t="shared" si="34"/>
        <v>HPExt</v>
      </c>
      <c r="DR31" s="14">
        <f t="shared" si="35"/>
        <v>113</v>
      </c>
      <c r="DS31" s="14">
        <f t="shared" si="36"/>
        <v>5.63</v>
      </c>
      <c r="DT31" s="14">
        <f t="shared" si="37"/>
        <v>2</v>
      </c>
      <c r="DU31" s="14">
        <f t="shared" si="38"/>
        <v>0</v>
      </c>
      <c r="DV31" s="14">
        <f t="shared" si="39"/>
        <v>21</v>
      </c>
      <c r="DW31" s="29" t="s">
        <v>758</v>
      </c>
      <c r="DX31" s="14">
        <f t="shared" si="40"/>
        <v>15</v>
      </c>
      <c r="EA31" s="13">
        <f t="shared" si="50"/>
        <v>2062</v>
      </c>
      <c r="EB31" s="13" t="s">
        <v>701</v>
      </c>
      <c r="EC31" s="37"/>
      <c r="ED31" s="37"/>
      <c r="EE31" s="13">
        <v>9</v>
      </c>
      <c r="EF31" s="13" t="s">
        <v>697</v>
      </c>
      <c r="EG31" s="13">
        <v>3</v>
      </c>
      <c r="EH31" s="13">
        <v>4</v>
      </c>
      <c r="EI31" s="13" t="s">
        <v>657</v>
      </c>
      <c r="EJ31" s="13">
        <v>0.1</v>
      </c>
      <c r="EL31" s="13">
        <v>9</v>
      </c>
      <c r="EM31" s="13" t="s">
        <v>683</v>
      </c>
      <c r="EN31" s="13">
        <v>3</v>
      </c>
      <c r="EO31" s="13">
        <v>4</v>
      </c>
      <c r="EP31" s="13" t="s">
        <v>657</v>
      </c>
      <c r="EQ31" s="13">
        <v>0.1</v>
      </c>
      <c r="ET31" s="13">
        <v>27</v>
      </c>
      <c r="EU31" s="13">
        <f t="shared" si="41"/>
        <v>3</v>
      </c>
      <c r="EV31" s="13" t="str">
        <f t="shared" si="42"/>
        <v>90级寄灵人洗练-3</v>
      </c>
      <c r="EW31" s="13">
        <f t="shared" si="43"/>
        <v>13</v>
      </c>
      <c r="EX31" s="13">
        <f t="shared" si="44"/>
        <v>3</v>
      </c>
      <c r="EY31" s="13">
        <f t="shared" si="45"/>
        <v>2000</v>
      </c>
      <c r="EZ31" s="13" t="str">
        <f t="shared" si="46"/>
        <v>HPExt</v>
      </c>
      <c r="FA31" s="13">
        <f t="shared" si="47"/>
        <v>111</v>
      </c>
      <c r="FB31" s="13">
        <f t="shared" si="48"/>
        <v>319</v>
      </c>
    </row>
    <row r="32" spans="1:158" s="20" customFormat="1" ht="16.5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13">
        <v>27</v>
      </c>
      <c r="BS32" s="13">
        <v>3</v>
      </c>
      <c r="BT32" s="13">
        <v>60</v>
      </c>
      <c r="BU32" s="13">
        <v>3</v>
      </c>
      <c r="BV32" s="13">
        <v>1</v>
      </c>
      <c r="BW32" s="13">
        <v>1</v>
      </c>
      <c r="BX32" s="13">
        <f t="shared" si="49"/>
        <v>2033010</v>
      </c>
      <c r="BY32" s="13" t="s">
        <v>787</v>
      </c>
      <c r="BZ32" s="13"/>
      <c r="CA32" s="13">
        <v>8</v>
      </c>
      <c r="CB32" s="13">
        <f>SUM(CA$6:CA32)</f>
        <v>200</v>
      </c>
      <c r="CC32" s="13">
        <v>1</v>
      </c>
      <c r="CD32" s="13">
        <v>2</v>
      </c>
      <c r="CE32" s="13">
        <v>3</v>
      </c>
      <c r="CF32" s="13">
        <v>4</v>
      </c>
      <c r="CG32" s="13">
        <v>5</v>
      </c>
      <c r="CH32" s="13">
        <v>6</v>
      </c>
      <c r="CI32" s="13">
        <v>7</v>
      </c>
      <c r="CJ32" s="13">
        <v>8</v>
      </c>
      <c r="CK32" s="37"/>
      <c r="CM32" s="13">
        <v>28</v>
      </c>
      <c r="CN32" s="14">
        <f t="shared" si="14"/>
        <v>4</v>
      </c>
      <c r="CO32" s="14">
        <f t="shared" si="15"/>
        <v>2</v>
      </c>
      <c r="CP32" s="14">
        <f t="shared" si="16"/>
        <v>4</v>
      </c>
      <c r="CQ32" s="14">
        <f t="shared" si="1"/>
        <v>1</v>
      </c>
      <c r="CR32" s="14">
        <f t="shared" si="2"/>
        <v>2012024</v>
      </c>
      <c r="CS32" s="13" t="str">
        <f t="shared" si="3"/>
        <v>30级守护灵蓝色-衣服</v>
      </c>
      <c r="CT32" s="14">
        <f t="shared" si="4"/>
        <v>2</v>
      </c>
      <c r="CU32" s="14">
        <f t="shared" si="5"/>
        <v>2</v>
      </c>
      <c r="CV32" s="14">
        <f t="shared" si="17"/>
        <v>30</v>
      </c>
      <c r="CW32" s="14">
        <f t="shared" si="18"/>
        <v>30</v>
      </c>
      <c r="CX32" s="14">
        <f t="shared" si="19"/>
        <v>4</v>
      </c>
      <c r="CY32" s="14" t="str">
        <f t="shared" si="20"/>
        <v/>
      </c>
      <c r="CZ32" s="14">
        <f t="shared" si="21"/>
        <v>11</v>
      </c>
      <c r="DA32" s="14">
        <f t="shared" si="22"/>
        <v>0</v>
      </c>
      <c r="DB32" s="14">
        <f t="shared" si="23"/>
        <v>11</v>
      </c>
      <c r="DC32" s="14">
        <f t="shared" si="24"/>
        <v>0</v>
      </c>
      <c r="DD32" s="14">
        <f t="shared" si="25"/>
        <v>0</v>
      </c>
      <c r="DE32" s="14">
        <f t="shared" si="26"/>
        <v>1.1299999999999999</v>
      </c>
      <c r="DF32" s="14">
        <f t="shared" si="27"/>
        <v>0</v>
      </c>
      <c r="DG32" s="14">
        <f t="shared" si="28"/>
        <v>2</v>
      </c>
      <c r="DH32" s="14">
        <f t="shared" si="29"/>
        <v>0</v>
      </c>
      <c r="DI32" s="14">
        <f t="shared" si="30"/>
        <v>21</v>
      </c>
      <c r="DL32" s="14">
        <f t="shared" si="6"/>
        <v>2</v>
      </c>
      <c r="DM32" s="14">
        <f t="shared" si="7"/>
        <v>0</v>
      </c>
      <c r="DN32" s="14" t="str">
        <f t="shared" si="31"/>
        <v>DefExt</v>
      </c>
      <c r="DO32" s="14">
        <f t="shared" si="32"/>
        <v>11</v>
      </c>
      <c r="DP32" s="14">
        <f t="shared" si="33"/>
        <v>1.1299999999999999</v>
      </c>
      <c r="DQ32" s="14" t="str">
        <f t="shared" si="34"/>
        <v/>
      </c>
      <c r="DR32" s="14" t="str">
        <f t="shared" si="35"/>
        <v/>
      </c>
      <c r="DS32" s="14" t="str">
        <f t="shared" si="36"/>
        <v/>
      </c>
      <c r="DT32" s="14">
        <f t="shared" si="37"/>
        <v>2</v>
      </c>
      <c r="DU32" s="14">
        <f t="shared" si="38"/>
        <v>0</v>
      </c>
      <c r="DV32" s="14">
        <f t="shared" si="39"/>
        <v>21</v>
      </c>
      <c r="DW32" s="29" t="s">
        <v>758</v>
      </c>
      <c r="DX32" s="14">
        <f t="shared" si="40"/>
        <v>15</v>
      </c>
      <c r="EA32" s="13">
        <f t="shared" si="50"/>
        <v>2063</v>
      </c>
      <c r="EB32" s="13" t="s">
        <v>702</v>
      </c>
      <c r="EC32" s="37"/>
      <c r="ED32" s="37"/>
      <c r="EE32" s="13">
        <v>9</v>
      </c>
      <c r="EF32" s="13" t="s">
        <v>697</v>
      </c>
      <c r="EG32" s="13">
        <v>4</v>
      </c>
      <c r="EH32" s="13">
        <v>5</v>
      </c>
      <c r="EI32" s="13" t="s">
        <v>659</v>
      </c>
      <c r="EJ32" s="13">
        <v>0.1</v>
      </c>
      <c r="EL32" s="13">
        <v>9</v>
      </c>
      <c r="EM32" s="13" t="s">
        <v>683</v>
      </c>
      <c r="EN32" s="13">
        <v>4</v>
      </c>
      <c r="EO32" s="13">
        <v>5</v>
      </c>
      <c r="EP32" s="13" t="s">
        <v>659</v>
      </c>
      <c r="EQ32" s="13">
        <v>0.1</v>
      </c>
      <c r="ET32" s="13">
        <v>28</v>
      </c>
      <c r="EU32" s="13">
        <f t="shared" si="41"/>
        <v>3</v>
      </c>
      <c r="EV32" s="13" t="str">
        <f t="shared" si="42"/>
        <v>90级寄灵人洗练-4</v>
      </c>
      <c r="EW32" s="13">
        <f t="shared" si="43"/>
        <v>13</v>
      </c>
      <c r="EX32" s="13">
        <f t="shared" si="44"/>
        <v>4</v>
      </c>
      <c r="EY32" s="13">
        <f t="shared" si="45"/>
        <v>500</v>
      </c>
      <c r="EZ32" s="13" t="str">
        <f t="shared" si="46"/>
        <v>AtkRate</v>
      </c>
      <c r="FA32" s="13">
        <f t="shared" si="47"/>
        <v>1.4E-2</v>
      </c>
      <c r="FB32" s="13">
        <f t="shared" si="48"/>
        <v>0.04</v>
      </c>
    </row>
    <row r="33" spans="1:158" s="20" customFormat="1" ht="16.5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13">
        <v>28</v>
      </c>
      <c r="BS33" s="13">
        <v>3</v>
      </c>
      <c r="BT33" s="13">
        <v>60</v>
      </c>
      <c r="BU33" s="13">
        <v>3</v>
      </c>
      <c r="BV33" s="13">
        <v>2</v>
      </c>
      <c r="BW33" s="13">
        <v>2</v>
      </c>
      <c r="BX33" s="13">
        <f t="shared" si="49"/>
        <v>2033020</v>
      </c>
      <c r="BY33" s="13" t="s">
        <v>788</v>
      </c>
      <c r="BZ33" s="13"/>
      <c r="CA33" s="13">
        <v>8</v>
      </c>
      <c r="CB33" s="13">
        <f>SUM(CA$6:CA33)</f>
        <v>208</v>
      </c>
      <c r="CC33" s="13">
        <v>1</v>
      </c>
      <c r="CD33" s="13">
        <v>2</v>
      </c>
      <c r="CE33" s="13">
        <v>3</v>
      </c>
      <c r="CF33" s="13">
        <v>4</v>
      </c>
      <c r="CG33" s="13">
        <v>5</v>
      </c>
      <c r="CH33" s="13">
        <v>6</v>
      </c>
      <c r="CI33" s="13">
        <v>7</v>
      </c>
      <c r="CJ33" s="13">
        <v>8</v>
      </c>
      <c r="CK33" s="37"/>
      <c r="CM33" s="13">
        <v>29</v>
      </c>
      <c r="CN33" s="14">
        <f t="shared" si="14"/>
        <v>4</v>
      </c>
      <c r="CO33" s="14">
        <f t="shared" si="15"/>
        <v>2</v>
      </c>
      <c r="CP33" s="14">
        <f t="shared" si="16"/>
        <v>5</v>
      </c>
      <c r="CQ33" s="14">
        <f t="shared" si="1"/>
        <v>1</v>
      </c>
      <c r="CR33" s="14">
        <f t="shared" si="2"/>
        <v>2012025</v>
      </c>
      <c r="CS33" s="13" t="str">
        <f t="shared" si="3"/>
        <v>30级守护灵蓝色-鞋子</v>
      </c>
      <c r="CT33" s="14">
        <f t="shared" si="4"/>
        <v>2</v>
      </c>
      <c r="CU33" s="14">
        <f t="shared" si="5"/>
        <v>2</v>
      </c>
      <c r="CV33" s="14">
        <f t="shared" si="17"/>
        <v>30</v>
      </c>
      <c r="CW33" s="14">
        <f t="shared" si="18"/>
        <v>30</v>
      </c>
      <c r="CX33" s="14">
        <f t="shared" si="19"/>
        <v>5</v>
      </c>
      <c r="CY33" s="14" t="str">
        <f t="shared" si="20"/>
        <v/>
      </c>
      <c r="CZ33" s="14">
        <f t="shared" si="21"/>
        <v>11</v>
      </c>
      <c r="DA33" s="14">
        <f t="shared" si="22"/>
        <v>0</v>
      </c>
      <c r="DB33" s="14">
        <f t="shared" si="23"/>
        <v>0</v>
      </c>
      <c r="DC33" s="14">
        <f t="shared" si="24"/>
        <v>225</v>
      </c>
      <c r="DD33" s="14">
        <f t="shared" si="25"/>
        <v>0</v>
      </c>
      <c r="DE33" s="14">
        <f t="shared" si="26"/>
        <v>0</v>
      </c>
      <c r="DF33" s="14">
        <f t="shared" si="27"/>
        <v>11.25</v>
      </c>
      <c r="DG33" s="14">
        <f t="shared" si="28"/>
        <v>2</v>
      </c>
      <c r="DH33" s="14">
        <f t="shared" si="29"/>
        <v>0</v>
      </c>
      <c r="DI33" s="14">
        <f t="shared" si="30"/>
        <v>21</v>
      </c>
      <c r="DL33" s="14">
        <f t="shared" si="6"/>
        <v>3</v>
      </c>
      <c r="DM33" s="14">
        <f t="shared" si="7"/>
        <v>0</v>
      </c>
      <c r="DN33" s="14" t="str">
        <f t="shared" si="31"/>
        <v>HPExt</v>
      </c>
      <c r="DO33" s="14">
        <f t="shared" si="32"/>
        <v>225</v>
      </c>
      <c r="DP33" s="14">
        <f t="shared" si="33"/>
        <v>11.25</v>
      </c>
      <c r="DQ33" s="14" t="str">
        <f t="shared" si="34"/>
        <v/>
      </c>
      <c r="DR33" s="14" t="str">
        <f t="shared" si="35"/>
        <v/>
      </c>
      <c r="DS33" s="14" t="str">
        <f t="shared" si="36"/>
        <v/>
      </c>
      <c r="DT33" s="14">
        <f t="shared" si="37"/>
        <v>2</v>
      </c>
      <c r="DU33" s="14">
        <f t="shared" si="38"/>
        <v>0</v>
      </c>
      <c r="DV33" s="14">
        <f t="shared" si="39"/>
        <v>21</v>
      </c>
      <c r="DW33" s="29" t="s">
        <v>758</v>
      </c>
      <c r="DX33" s="14">
        <f t="shared" si="40"/>
        <v>15</v>
      </c>
      <c r="EA33" s="16"/>
      <c r="EB33" s="16"/>
      <c r="EC33" s="37"/>
      <c r="ED33" s="37"/>
      <c r="EE33" s="13">
        <v>10</v>
      </c>
      <c r="EF33" s="13" t="s">
        <v>698</v>
      </c>
      <c r="EG33" s="13">
        <v>1</v>
      </c>
      <c r="EH33" s="13">
        <v>2</v>
      </c>
      <c r="EI33" s="13" t="s">
        <v>310</v>
      </c>
      <c r="EJ33" s="13">
        <f>AQ9</f>
        <v>24198</v>
      </c>
      <c r="EL33" s="13">
        <v>10</v>
      </c>
      <c r="EM33" s="13" t="s">
        <v>684</v>
      </c>
      <c r="EN33" s="13">
        <v>1</v>
      </c>
      <c r="EO33" s="13">
        <v>2</v>
      </c>
      <c r="EP33" s="13" t="s">
        <v>310</v>
      </c>
      <c r="EQ33" s="13">
        <f>AQ15</f>
        <v>43584</v>
      </c>
      <c r="ET33" s="13">
        <v>29</v>
      </c>
      <c r="EU33" s="13">
        <f t="shared" si="41"/>
        <v>3</v>
      </c>
      <c r="EV33" s="13" t="str">
        <f t="shared" si="42"/>
        <v>90级寄灵人洗练-5</v>
      </c>
      <c r="EW33" s="13">
        <f t="shared" si="43"/>
        <v>13</v>
      </c>
      <c r="EX33" s="13">
        <f t="shared" si="44"/>
        <v>5</v>
      </c>
      <c r="EY33" s="13">
        <f t="shared" si="45"/>
        <v>400</v>
      </c>
      <c r="EZ33" s="13" t="str">
        <f t="shared" si="46"/>
        <v>DefRate</v>
      </c>
      <c r="FA33" s="13">
        <f t="shared" si="47"/>
        <v>1.4E-2</v>
      </c>
      <c r="FB33" s="13">
        <f t="shared" si="48"/>
        <v>0.04</v>
      </c>
    </row>
    <row r="34" spans="1:158" s="20" customFormat="1" ht="16.5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13">
        <v>29</v>
      </c>
      <c r="BS34" s="13">
        <v>3</v>
      </c>
      <c r="BT34" s="13">
        <v>60</v>
      </c>
      <c r="BU34" s="13">
        <v>4</v>
      </c>
      <c r="BV34" s="13">
        <v>1</v>
      </c>
      <c r="BW34" s="13">
        <v>1</v>
      </c>
      <c r="BX34" s="13">
        <f t="shared" si="49"/>
        <v>2034010</v>
      </c>
      <c r="BY34" s="13" t="s">
        <v>789</v>
      </c>
      <c r="BZ34" s="13"/>
      <c r="CA34" s="13">
        <v>8</v>
      </c>
      <c r="CB34" s="13">
        <f>SUM(CA$6:CA34)</f>
        <v>216</v>
      </c>
      <c r="CC34" s="13">
        <v>1</v>
      </c>
      <c r="CD34" s="13">
        <v>2</v>
      </c>
      <c r="CE34" s="13">
        <v>3</v>
      </c>
      <c r="CF34" s="13">
        <v>4</v>
      </c>
      <c r="CG34" s="13">
        <v>5</v>
      </c>
      <c r="CH34" s="13">
        <v>6</v>
      </c>
      <c r="CI34" s="13">
        <v>7</v>
      </c>
      <c r="CJ34" s="13">
        <v>8</v>
      </c>
      <c r="CK34" s="37"/>
      <c r="CM34" s="13">
        <v>30</v>
      </c>
      <c r="CN34" s="14">
        <f t="shared" si="14"/>
        <v>4</v>
      </c>
      <c r="CO34" s="14">
        <f t="shared" si="15"/>
        <v>2</v>
      </c>
      <c r="CP34" s="14">
        <f t="shared" si="16"/>
        <v>6</v>
      </c>
      <c r="CQ34" s="14">
        <f t="shared" si="1"/>
        <v>1</v>
      </c>
      <c r="CR34" s="14">
        <f t="shared" si="2"/>
        <v>2012026</v>
      </c>
      <c r="CS34" s="13" t="str">
        <f t="shared" si="3"/>
        <v>30级守护灵蓝色-护手</v>
      </c>
      <c r="CT34" s="14">
        <f t="shared" si="4"/>
        <v>2</v>
      </c>
      <c r="CU34" s="14">
        <f t="shared" si="5"/>
        <v>2</v>
      </c>
      <c r="CV34" s="14">
        <f t="shared" si="17"/>
        <v>30</v>
      </c>
      <c r="CW34" s="14">
        <f t="shared" si="18"/>
        <v>30</v>
      </c>
      <c r="CX34" s="14">
        <f t="shared" si="19"/>
        <v>6</v>
      </c>
      <c r="CY34" s="14" t="str">
        <f t="shared" si="20"/>
        <v/>
      </c>
      <c r="CZ34" s="14">
        <f t="shared" si="21"/>
        <v>11</v>
      </c>
      <c r="DA34" s="14">
        <f t="shared" si="22"/>
        <v>0</v>
      </c>
      <c r="DB34" s="14">
        <f t="shared" si="23"/>
        <v>0</v>
      </c>
      <c r="DC34" s="14">
        <f t="shared" si="24"/>
        <v>225</v>
      </c>
      <c r="DD34" s="14">
        <f t="shared" si="25"/>
        <v>0</v>
      </c>
      <c r="DE34" s="14">
        <f t="shared" si="26"/>
        <v>0</v>
      </c>
      <c r="DF34" s="14">
        <f t="shared" si="27"/>
        <v>11.25</v>
      </c>
      <c r="DG34" s="14">
        <f t="shared" si="28"/>
        <v>2</v>
      </c>
      <c r="DH34" s="14">
        <f t="shared" si="29"/>
        <v>0</v>
      </c>
      <c r="DI34" s="14">
        <f t="shared" si="30"/>
        <v>21</v>
      </c>
      <c r="DL34" s="14">
        <f t="shared" si="6"/>
        <v>3</v>
      </c>
      <c r="DM34" s="14">
        <f t="shared" si="7"/>
        <v>0</v>
      </c>
      <c r="DN34" s="14" t="str">
        <f t="shared" si="31"/>
        <v>HPExt</v>
      </c>
      <c r="DO34" s="14">
        <f t="shared" si="32"/>
        <v>225</v>
      </c>
      <c r="DP34" s="14">
        <f t="shared" si="33"/>
        <v>11.25</v>
      </c>
      <c r="DQ34" s="14" t="str">
        <f t="shared" si="34"/>
        <v/>
      </c>
      <c r="DR34" s="14" t="str">
        <f t="shared" si="35"/>
        <v/>
      </c>
      <c r="DS34" s="14" t="str">
        <f t="shared" si="36"/>
        <v/>
      </c>
      <c r="DT34" s="14">
        <f t="shared" si="37"/>
        <v>2</v>
      </c>
      <c r="DU34" s="14">
        <f t="shared" si="38"/>
        <v>0</v>
      </c>
      <c r="DV34" s="14">
        <f t="shared" si="39"/>
        <v>21</v>
      </c>
      <c r="DW34" s="29" t="s">
        <v>758</v>
      </c>
      <c r="DX34" s="14">
        <f t="shared" si="40"/>
        <v>15</v>
      </c>
      <c r="EA34" s="16"/>
      <c r="EB34" s="16"/>
      <c r="EC34" s="37"/>
      <c r="ED34" s="37"/>
      <c r="EE34" s="13">
        <v>10</v>
      </c>
      <c r="EF34" s="13" t="s">
        <v>698</v>
      </c>
      <c r="EG34" s="13">
        <v>2</v>
      </c>
      <c r="EH34" s="13">
        <v>3</v>
      </c>
      <c r="EI34" s="13" t="s">
        <v>308</v>
      </c>
      <c r="EJ34" s="13">
        <f>AP9</f>
        <v>8049</v>
      </c>
      <c r="EL34" s="13">
        <v>10</v>
      </c>
      <c r="EM34" s="13" t="s">
        <v>684</v>
      </c>
      <c r="EN34" s="13">
        <v>2</v>
      </c>
      <c r="EO34" s="13">
        <v>3</v>
      </c>
      <c r="EP34" s="13" t="s">
        <v>308</v>
      </c>
      <c r="EQ34" s="13">
        <f>AP15</f>
        <v>8131</v>
      </c>
      <c r="ET34" s="13">
        <v>30</v>
      </c>
      <c r="EU34" s="13">
        <f t="shared" si="41"/>
        <v>3</v>
      </c>
      <c r="EV34" s="13" t="str">
        <f t="shared" si="42"/>
        <v>90级寄灵人洗练-6</v>
      </c>
      <c r="EW34" s="13">
        <f t="shared" si="43"/>
        <v>13</v>
      </c>
      <c r="EX34" s="13">
        <f t="shared" si="44"/>
        <v>6</v>
      </c>
      <c r="EY34" s="13">
        <f t="shared" si="45"/>
        <v>500</v>
      </c>
      <c r="EZ34" s="13" t="str">
        <f t="shared" si="46"/>
        <v>HPRate</v>
      </c>
      <c r="FA34" s="13">
        <f t="shared" si="47"/>
        <v>1.4E-2</v>
      </c>
      <c r="FB34" s="13">
        <f t="shared" si="48"/>
        <v>0.04</v>
      </c>
    </row>
    <row r="35" spans="1:158" s="20" customFormat="1" ht="16.5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13">
        <v>30</v>
      </c>
      <c r="BS35" s="13">
        <v>3</v>
      </c>
      <c r="BT35" s="13">
        <v>60</v>
      </c>
      <c r="BU35" s="13">
        <v>4</v>
      </c>
      <c r="BV35" s="13">
        <v>2</v>
      </c>
      <c r="BW35" s="13">
        <v>2</v>
      </c>
      <c r="BX35" s="13">
        <f t="shared" si="49"/>
        <v>2034020</v>
      </c>
      <c r="BY35" s="13" t="s">
        <v>790</v>
      </c>
      <c r="BZ35" s="13"/>
      <c r="CA35" s="13">
        <v>8</v>
      </c>
      <c r="CB35" s="13">
        <f>SUM(CA$6:CA35)</f>
        <v>224</v>
      </c>
      <c r="CC35" s="13">
        <v>1</v>
      </c>
      <c r="CD35" s="13">
        <v>2</v>
      </c>
      <c r="CE35" s="13">
        <v>3</v>
      </c>
      <c r="CF35" s="13">
        <v>4</v>
      </c>
      <c r="CG35" s="13">
        <v>5</v>
      </c>
      <c r="CH35" s="13">
        <v>6</v>
      </c>
      <c r="CI35" s="13">
        <v>7</v>
      </c>
      <c r="CJ35" s="13">
        <v>8</v>
      </c>
      <c r="CK35" s="37"/>
      <c r="CM35" s="13">
        <v>31</v>
      </c>
      <c r="CN35" s="14">
        <f t="shared" si="14"/>
        <v>4</v>
      </c>
      <c r="CO35" s="14">
        <f t="shared" si="15"/>
        <v>2</v>
      </c>
      <c r="CP35" s="14">
        <f t="shared" si="16"/>
        <v>7</v>
      </c>
      <c r="CQ35" s="14">
        <f t="shared" si="1"/>
        <v>1</v>
      </c>
      <c r="CR35" s="14">
        <f t="shared" si="2"/>
        <v>2012027</v>
      </c>
      <c r="CS35" s="13" t="str">
        <f t="shared" si="3"/>
        <v>30级守护灵蓝色-项链</v>
      </c>
      <c r="CT35" s="14">
        <f t="shared" si="4"/>
        <v>2</v>
      </c>
      <c r="CU35" s="14">
        <f t="shared" si="5"/>
        <v>2</v>
      </c>
      <c r="CV35" s="14">
        <f t="shared" si="17"/>
        <v>30</v>
      </c>
      <c r="CW35" s="14">
        <f t="shared" si="18"/>
        <v>30</v>
      </c>
      <c r="CX35" s="14">
        <f t="shared" si="19"/>
        <v>7</v>
      </c>
      <c r="CY35" s="14" t="str">
        <f t="shared" si="20"/>
        <v/>
      </c>
      <c r="CZ35" s="14">
        <f t="shared" si="21"/>
        <v>16</v>
      </c>
      <c r="DA35" s="14">
        <f t="shared" si="22"/>
        <v>15</v>
      </c>
      <c r="DB35" s="14">
        <f t="shared" si="23"/>
        <v>9</v>
      </c>
      <c r="DC35" s="14">
        <f t="shared" si="24"/>
        <v>0</v>
      </c>
      <c r="DD35" s="14">
        <f t="shared" si="25"/>
        <v>1.5</v>
      </c>
      <c r="DE35" s="14">
        <f t="shared" si="26"/>
        <v>0.94</v>
      </c>
      <c r="DF35" s="14">
        <f t="shared" si="27"/>
        <v>0</v>
      </c>
      <c r="DG35" s="14">
        <f t="shared" si="28"/>
        <v>2</v>
      </c>
      <c r="DH35" s="14">
        <f t="shared" si="29"/>
        <v>0</v>
      </c>
      <c r="DI35" s="14">
        <f t="shared" si="30"/>
        <v>21</v>
      </c>
      <c r="DL35" s="14">
        <f t="shared" si="6"/>
        <v>1</v>
      </c>
      <c r="DM35" s="14">
        <f t="shared" si="7"/>
        <v>2</v>
      </c>
      <c r="DN35" s="14" t="str">
        <f t="shared" si="31"/>
        <v>AtkExt</v>
      </c>
      <c r="DO35" s="14">
        <f t="shared" si="32"/>
        <v>15</v>
      </c>
      <c r="DP35" s="14">
        <f t="shared" si="33"/>
        <v>1.5</v>
      </c>
      <c r="DQ35" s="14" t="str">
        <f t="shared" si="34"/>
        <v>DefExt</v>
      </c>
      <c r="DR35" s="14">
        <f t="shared" si="35"/>
        <v>9</v>
      </c>
      <c r="DS35" s="14">
        <f t="shared" si="36"/>
        <v>0.94</v>
      </c>
      <c r="DT35" s="14">
        <f t="shared" si="37"/>
        <v>2</v>
      </c>
      <c r="DU35" s="14">
        <f t="shared" si="38"/>
        <v>0</v>
      </c>
      <c r="DV35" s="14">
        <f t="shared" si="39"/>
        <v>21</v>
      </c>
      <c r="DW35" s="29" t="s">
        <v>758</v>
      </c>
      <c r="DX35" s="14">
        <f t="shared" si="40"/>
        <v>15</v>
      </c>
      <c r="EA35" s="37"/>
      <c r="EB35" s="37"/>
      <c r="EC35" s="37"/>
      <c r="ED35" s="37"/>
      <c r="EE35" s="13">
        <v>10</v>
      </c>
      <c r="EF35" s="13" t="s">
        <v>698</v>
      </c>
      <c r="EG35" s="13">
        <v>3</v>
      </c>
      <c r="EH35" s="13">
        <v>5</v>
      </c>
      <c r="EI35" s="13" t="s">
        <v>662</v>
      </c>
      <c r="EJ35" s="13">
        <v>0.15</v>
      </c>
      <c r="EL35" s="13">
        <v>10</v>
      </c>
      <c r="EM35" s="13" t="s">
        <v>684</v>
      </c>
      <c r="EN35" s="13">
        <v>3</v>
      </c>
      <c r="EO35" s="13">
        <v>5</v>
      </c>
      <c r="EP35" s="13" t="s">
        <v>662</v>
      </c>
      <c r="EQ35" s="13">
        <v>0.15</v>
      </c>
      <c r="ET35" s="13">
        <v>31</v>
      </c>
      <c r="EU35" s="13">
        <f t="shared" si="41"/>
        <v>3</v>
      </c>
      <c r="EV35" s="13" t="str">
        <f t="shared" si="42"/>
        <v>90级寄灵人洗练-7</v>
      </c>
      <c r="EW35" s="13">
        <f t="shared" si="43"/>
        <v>13</v>
      </c>
      <c r="EX35" s="13">
        <f t="shared" si="44"/>
        <v>7</v>
      </c>
      <c r="EY35" s="13">
        <f t="shared" si="45"/>
        <v>500</v>
      </c>
      <c r="EZ35" s="13" t="str">
        <f t="shared" si="46"/>
        <v>Crit</v>
      </c>
      <c r="FA35" s="13">
        <f t="shared" si="47"/>
        <v>1.0999999999999999E-2</v>
      </c>
      <c r="FB35" s="13">
        <f t="shared" si="48"/>
        <v>0.03</v>
      </c>
    </row>
    <row r="36" spans="1:158" s="20" customFormat="1" ht="16.5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13">
        <v>31</v>
      </c>
      <c r="BS36" s="13">
        <v>3</v>
      </c>
      <c r="BT36" s="13">
        <v>60</v>
      </c>
      <c r="BU36" s="13">
        <v>4</v>
      </c>
      <c r="BV36" s="13">
        <v>1</v>
      </c>
      <c r="BW36" s="13">
        <v>3</v>
      </c>
      <c r="BX36" s="13">
        <f t="shared" si="49"/>
        <v>2034030</v>
      </c>
      <c r="BY36" s="13" t="s">
        <v>791</v>
      </c>
      <c r="BZ36" s="13">
        <v>1031</v>
      </c>
      <c r="CA36" s="13">
        <v>6</v>
      </c>
      <c r="CB36" s="13">
        <f>SUM(CA$6:CA36)</f>
        <v>230</v>
      </c>
      <c r="CC36" s="13">
        <v>1</v>
      </c>
      <c r="CD36" s="13">
        <v>2</v>
      </c>
      <c r="CE36" s="13">
        <v>3</v>
      </c>
      <c r="CF36" s="13">
        <v>4</v>
      </c>
      <c r="CG36" s="13">
        <v>5</v>
      </c>
      <c r="CH36" s="13">
        <v>6</v>
      </c>
      <c r="CI36" s="13"/>
      <c r="CJ36" s="13"/>
      <c r="CK36" s="37"/>
      <c r="CM36" s="13">
        <v>32</v>
      </c>
      <c r="CN36" s="14">
        <f t="shared" si="14"/>
        <v>4</v>
      </c>
      <c r="CO36" s="14">
        <f t="shared" si="15"/>
        <v>2</v>
      </c>
      <c r="CP36" s="14">
        <f t="shared" si="16"/>
        <v>8</v>
      </c>
      <c r="CQ36" s="14">
        <f t="shared" si="1"/>
        <v>1</v>
      </c>
      <c r="CR36" s="14">
        <f t="shared" si="2"/>
        <v>2012028</v>
      </c>
      <c r="CS36" s="13" t="str">
        <f t="shared" si="3"/>
        <v>30级守护灵蓝色-戒指</v>
      </c>
      <c r="CT36" s="14">
        <f t="shared" si="4"/>
        <v>2</v>
      </c>
      <c r="CU36" s="14">
        <f t="shared" si="5"/>
        <v>2</v>
      </c>
      <c r="CV36" s="14">
        <f t="shared" si="17"/>
        <v>30</v>
      </c>
      <c r="CW36" s="14">
        <f t="shared" si="18"/>
        <v>30</v>
      </c>
      <c r="CX36" s="14">
        <f t="shared" si="19"/>
        <v>8</v>
      </c>
      <c r="CY36" s="14" t="str">
        <f t="shared" si="20"/>
        <v/>
      </c>
      <c r="CZ36" s="14">
        <f t="shared" si="21"/>
        <v>16</v>
      </c>
      <c r="DA36" s="14">
        <f t="shared" si="22"/>
        <v>15</v>
      </c>
      <c r="DB36" s="14">
        <f t="shared" si="23"/>
        <v>0</v>
      </c>
      <c r="DC36" s="14">
        <f t="shared" si="24"/>
        <v>188</v>
      </c>
      <c r="DD36" s="14">
        <f t="shared" si="25"/>
        <v>1.5</v>
      </c>
      <c r="DE36" s="14">
        <f t="shared" si="26"/>
        <v>0</v>
      </c>
      <c r="DF36" s="14">
        <f t="shared" si="27"/>
        <v>9.3800000000000008</v>
      </c>
      <c r="DG36" s="14">
        <f t="shared" si="28"/>
        <v>2</v>
      </c>
      <c r="DH36" s="14">
        <f t="shared" si="29"/>
        <v>0</v>
      </c>
      <c r="DI36" s="14">
        <f t="shared" si="30"/>
        <v>21</v>
      </c>
      <c r="DL36" s="14">
        <f t="shared" si="6"/>
        <v>1</v>
      </c>
      <c r="DM36" s="14">
        <f t="shared" si="7"/>
        <v>3</v>
      </c>
      <c r="DN36" s="14" t="str">
        <f t="shared" si="31"/>
        <v>AtkExt</v>
      </c>
      <c r="DO36" s="14">
        <f t="shared" si="32"/>
        <v>15</v>
      </c>
      <c r="DP36" s="14">
        <f t="shared" si="33"/>
        <v>1.5</v>
      </c>
      <c r="DQ36" s="14" t="str">
        <f t="shared" si="34"/>
        <v>HPExt</v>
      </c>
      <c r="DR36" s="14">
        <f t="shared" si="35"/>
        <v>188</v>
      </c>
      <c r="DS36" s="14">
        <f t="shared" si="36"/>
        <v>9.3800000000000008</v>
      </c>
      <c r="DT36" s="14">
        <f t="shared" si="37"/>
        <v>2</v>
      </c>
      <c r="DU36" s="14">
        <f t="shared" si="38"/>
        <v>0</v>
      </c>
      <c r="DV36" s="14">
        <f t="shared" si="39"/>
        <v>21</v>
      </c>
      <c r="DW36" s="29" t="s">
        <v>758</v>
      </c>
      <c r="DX36" s="14">
        <f t="shared" si="40"/>
        <v>15</v>
      </c>
      <c r="EA36" s="37"/>
      <c r="EB36" s="37"/>
      <c r="EC36" s="37"/>
      <c r="ED36" s="37"/>
      <c r="EE36" s="13">
        <v>11</v>
      </c>
      <c r="EF36" s="13" t="s">
        <v>699</v>
      </c>
      <c r="EG36" s="13">
        <v>1</v>
      </c>
      <c r="EH36" s="13">
        <v>2</v>
      </c>
      <c r="EI36" s="13" t="s">
        <v>310</v>
      </c>
      <c r="EJ36" s="13">
        <f>AQ9</f>
        <v>24198</v>
      </c>
      <c r="EL36" s="13">
        <v>11</v>
      </c>
      <c r="EM36" s="13" t="s">
        <v>685</v>
      </c>
      <c r="EN36" s="13">
        <v>1</v>
      </c>
      <c r="EO36" s="13">
        <v>2</v>
      </c>
      <c r="EP36" s="13" t="s">
        <v>310</v>
      </c>
      <c r="EQ36" s="13">
        <f>AQ15</f>
        <v>43584</v>
      </c>
      <c r="ET36" s="13">
        <v>32</v>
      </c>
      <c r="EU36" s="13">
        <f t="shared" si="41"/>
        <v>3</v>
      </c>
      <c r="EV36" s="13" t="str">
        <f t="shared" si="42"/>
        <v>90级寄灵人洗练-8</v>
      </c>
      <c r="EW36" s="13">
        <f t="shared" si="43"/>
        <v>13</v>
      </c>
      <c r="EX36" s="13">
        <f t="shared" si="44"/>
        <v>8</v>
      </c>
      <c r="EY36" s="13">
        <f t="shared" si="45"/>
        <v>500</v>
      </c>
      <c r="EZ36" s="13" t="str">
        <f t="shared" si="46"/>
        <v>CritRate</v>
      </c>
      <c r="FA36" s="13">
        <f t="shared" si="47"/>
        <v>2.8000000000000001E-2</v>
      </c>
      <c r="FB36" s="13">
        <f t="shared" si="48"/>
        <v>0.08</v>
      </c>
    </row>
    <row r="37" spans="1:158" s="20" customFormat="1" ht="16.5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13">
        <v>32</v>
      </c>
      <c r="BS37" s="13">
        <v>3</v>
      </c>
      <c r="BT37" s="13">
        <v>60</v>
      </c>
      <c r="BU37" s="13">
        <v>4</v>
      </c>
      <c r="BV37" s="13">
        <v>2</v>
      </c>
      <c r="BW37" s="13">
        <v>4</v>
      </c>
      <c r="BX37" s="13">
        <f t="shared" si="49"/>
        <v>2034040</v>
      </c>
      <c r="BY37" s="13" t="s">
        <v>792</v>
      </c>
      <c r="BZ37" s="13">
        <v>2031</v>
      </c>
      <c r="CA37" s="13">
        <v>6</v>
      </c>
      <c r="CB37" s="13">
        <f>SUM(CA$6:CA37)</f>
        <v>236</v>
      </c>
      <c r="CC37" s="13">
        <v>1</v>
      </c>
      <c r="CD37" s="13">
        <v>2</v>
      </c>
      <c r="CE37" s="13">
        <v>3</v>
      </c>
      <c r="CF37" s="13">
        <v>4</v>
      </c>
      <c r="CG37" s="13">
        <v>5</v>
      </c>
      <c r="CH37" s="13">
        <v>6</v>
      </c>
      <c r="CI37" s="13"/>
      <c r="CJ37" s="13"/>
      <c r="CK37" s="37"/>
      <c r="CM37" s="13">
        <v>33</v>
      </c>
      <c r="CN37" s="14">
        <f t="shared" si="14"/>
        <v>5</v>
      </c>
      <c r="CO37" s="14">
        <f t="shared" si="15"/>
        <v>1</v>
      </c>
      <c r="CP37" s="14">
        <f t="shared" si="16"/>
        <v>1</v>
      </c>
      <c r="CQ37" s="14">
        <f t="shared" si="1"/>
        <v>1</v>
      </c>
      <c r="CR37" s="14">
        <f t="shared" si="2"/>
        <v>2013011</v>
      </c>
      <c r="CS37" s="13" t="str">
        <f t="shared" si="3"/>
        <v>30级寄灵人紫色-武器</v>
      </c>
      <c r="CT37" s="14">
        <f t="shared" si="4"/>
        <v>1</v>
      </c>
      <c r="CU37" s="14">
        <f t="shared" si="5"/>
        <v>3</v>
      </c>
      <c r="CV37" s="14">
        <f t="shared" si="17"/>
        <v>30</v>
      </c>
      <c r="CW37" s="14">
        <f t="shared" si="18"/>
        <v>30</v>
      </c>
      <c r="CX37" s="14">
        <f t="shared" si="19"/>
        <v>1</v>
      </c>
      <c r="CY37" s="14" t="str">
        <f t="shared" si="20"/>
        <v/>
      </c>
      <c r="CZ37" s="14">
        <f t="shared" si="21"/>
        <v>21</v>
      </c>
      <c r="DA37" s="14">
        <f t="shared" si="22"/>
        <v>43</v>
      </c>
      <c r="DB37" s="14">
        <f t="shared" si="23"/>
        <v>0</v>
      </c>
      <c r="DC37" s="14">
        <f t="shared" si="24"/>
        <v>0</v>
      </c>
      <c r="DD37" s="14">
        <f t="shared" si="25"/>
        <v>4.32</v>
      </c>
      <c r="DE37" s="14">
        <f t="shared" si="26"/>
        <v>0</v>
      </c>
      <c r="DF37" s="14">
        <f t="shared" si="27"/>
        <v>0</v>
      </c>
      <c r="DG37" s="14">
        <f t="shared" si="28"/>
        <v>3</v>
      </c>
      <c r="DH37" s="14">
        <f t="shared" si="29"/>
        <v>1</v>
      </c>
      <c r="DI37" s="14">
        <f t="shared" si="30"/>
        <v>11</v>
      </c>
      <c r="DL37" s="14">
        <f t="shared" si="6"/>
        <v>1</v>
      </c>
      <c r="DM37" s="14">
        <f t="shared" si="7"/>
        <v>0</v>
      </c>
      <c r="DN37" s="14" t="str">
        <f t="shared" si="31"/>
        <v>AtkExt</v>
      </c>
      <c r="DO37" s="14">
        <f t="shared" si="32"/>
        <v>43</v>
      </c>
      <c r="DP37" s="14">
        <f t="shared" si="33"/>
        <v>4.32</v>
      </c>
      <c r="DQ37" s="14" t="str">
        <f t="shared" si="34"/>
        <v/>
      </c>
      <c r="DR37" s="14" t="str">
        <f t="shared" si="35"/>
        <v/>
      </c>
      <c r="DS37" s="14" t="str">
        <f t="shared" si="36"/>
        <v/>
      </c>
      <c r="DT37" s="14">
        <f t="shared" si="37"/>
        <v>3</v>
      </c>
      <c r="DU37" s="14">
        <f t="shared" si="38"/>
        <v>1</v>
      </c>
      <c r="DV37" s="14">
        <f t="shared" si="39"/>
        <v>11</v>
      </c>
      <c r="DW37" s="29" t="s">
        <v>758</v>
      </c>
      <c r="DX37" s="14">
        <f t="shared" si="40"/>
        <v>25</v>
      </c>
      <c r="EA37" s="37"/>
      <c r="EB37" s="37"/>
      <c r="EC37" s="37"/>
      <c r="ED37" s="37"/>
      <c r="EE37" s="13">
        <v>11</v>
      </c>
      <c r="EF37" s="13" t="s">
        <v>699</v>
      </c>
      <c r="EG37" s="13">
        <v>2</v>
      </c>
      <c r="EH37" s="13">
        <v>3</v>
      </c>
      <c r="EI37" s="13" t="s">
        <v>308</v>
      </c>
      <c r="EJ37" s="13">
        <f>AP9</f>
        <v>8049</v>
      </c>
      <c r="EL37" s="13">
        <v>11</v>
      </c>
      <c r="EM37" s="13" t="s">
        <v>685</v>
      </c>
      <c r="EN37" s="13">
        <v>2</v>
      </c>
      <c r="EO37" s="13">
        <v>3</v>
      </c>
      <c r="EP37" s="13" t="s">
        <v>308</v>
      </c>
      <c r="EQ37" s="13">
        <f>AP15</f>
        <v>8131</v>
      </c>
      <c r="ET37" s="13">
        <v>33</v>
      </c>
      <c r="EU37" s="13">
        <f t="shared" si="41"/>
        <v>3</v>
      </c>
      <c r="EV37" s="13" t="str">
        <f t="shared" si="42"/>
        <v>90级寄灵人洗练-9</v>
      </c>
      <c r="EW37" s="13">
        <f t="shared" si="43"/>
        <v>13</v>
      </c>
      <c r="EX37" s="13">
        <f t="shared" si="44"/>
        <v>9</v>
      </c>
      <c r="EY37" s="13">
        <f t="shared" si="45"/>
        <v>500</v>
      </c>
      <c r="EZ37" s="13" t="str">
        <f t="shared" si="46"/>
        <v>DefIgnor</v>
      </c>
      <c r="FA37" s="13">
        <f t="shared" si="47"/>
        <v>1.0999999999999999E-2</v>
      </c>
      <c r="FB37" s="13">
        <f t="shared" si="48"/>
        <v>0.03</v>
      </c>
    </row>
    <row r="38" spans="1:158" s="20" customFormat="1" ht="16.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13">
        <v>33</v>
      </c>
      <c r="BS38" s="13">
        <v>3</v>
      </c>
      <c r="BT38" s="13">
        <v>60</v>
      </c>
      <c r="BU38" s="13">
        <v>4</v>
      </c>
      <c r="BV38" s="13">
        <v>1</v>
      </c>
      <c r="BW38" s="13">
        <v>5</v>
      </c>
      <c r="BX38" s="13">
        <f t="shared" si="49"/>
        <v>2034050</v>
      </c>
      <c r="BY38" s="13" t="s">
        <v>793</v>
      </c>
      <c r="BZ38" s="13">
        <v>1032</v>
      </c>
      <c r="CA38" s="13">
        <v>6</v>
      </c>
      <c r="CB38" s="13">
        <f>SUM(CA$6:CA38)</f>
        <v>242</v>
      </c>
      <c r="CC38" s="13">
        <v>1</v>
      </c>
      <c r="CD38" s="13">
        <v>4</v>
      </c>
      <c r="CE38" s="13">
        <v>5</v>
      </c>
      <c r="CF38" s="13">
        <v>6</v>
      </c>
      <c r="CG38" s="13">
        <v>7</v>
      </c>
      <c r="CH38" s="13">
        <v>8</v>
      </c>
      <c r="CI38" s="13"/>
      <c r="CJ38" s="13"/>
      <c r="CK38" s="37"/>
      <c r="CM38" s="13">
        <v>34</v>
      </c>
      <c r="CN38" s="14">
        <f t="shared" si="14"/>
        <v>5</v>
      </c>
      <c r="CO38" s="14">
        <f t="shared" si="15"/>
        <v>1</v>
      </c>
      <c r="CP38" s="14">
        <f t="shared" si="16"/>
        <v>2</v>
      </c>
      <c r="CQ38" s="14">
        <f t="shared" si="1"/>
        <v>1</v>
      </c>
      <c r="CR38" s="14">
        <f t="shared" si="2"/>
        <v>2013012</v>
      </c>
      <c r="CS38" s="13" t="str">
        <f t="shared" si="3"/>
        <v>30级寄灵人紫色-头盔</v>
      </c>
      <c r="CT38" s="14">
        <f t="shared" si="4"/>
        <v>1</v>
      </c>
      <c r="CU38" s="14">
        <f t="shared" si="5"/>
        <v>3</v>
      </c>
      <c r="CV38" s="14">
        <f t="shared" si="17"/>
        <v>30</v>
      </c>
      <c r="CW38" s="14">
        <f t="shared" si="18"/>
        <v>30</v>
      </c>
      <c r="CX38" s="14">
        <f t="shared" si="19"/>
        <v>2</v>
      </c>
      <c r="CY38" s="14" t="str">
        <f t="shared" si="20"/>
        <v/>
      </c>
      <c r="CZ38" s="14">
        <f t="shared" si="21"/>
        <v>9</v>
      </c>
      <c r="DA38" s="14">
        <f t="shared" si="22"/>
        <v>0</v>
      </c>
      <c r="DB38" s="14">
        <f t="shared" si="23"/>
        <v>11</v>
      </c>
      <c r="DC38" s="14">
        <f t="shared" si="24"/>
        <v>0</v>
      </c>
      <c r="DD38" s="14">
        <f t="shared" si="25"/>
        <v>0</v>
      </c>
      <c r="DE38" s="14">
        <f t="shared" si="26"/>
        <v>0.96</v>
      </c>
      <c r="DF38" s="14">
        <f t="shared" si="27"/>
        <v>0</v>
      </c>
      <c r="DG38" s="14">
        <f t="shared" si="28"/>
        <v>3</v>
      </c>
      <c r="DH38" s="14">
        <f t="shared" si="29"/>
        <v>1</v>
      </c>
      <c r="DI38" s="14">
        <f t="shared" si="30"/>
        <v>11</v>
      </c>
      <c r="DL38" s="14">
        <f t="shared" si="6"/>
        <v>2</v>
      </c>
      <c r="DM38" s="14">
        <f t="shared" si="7"/>
        <v>0</v>
      </c>
      <c r="DN38" s="14" t="str">
        <f t="shared" si="31"/>
        <v>DefExt</v>
      </c>
      <c r="DO38" s="14">
        <f t="shared" si="32"/>
        <v>11</v>
      </c>
      <c r="DP38" s="14">
        <f t="shared" si="33"/>
        <v>0.96</v>
      </c>
      <c r="DQ38" s="14" t="str">
        <f t="shared" si="34"/>
        <v/>
      </c>
      <c r="DR38" s="14" t="str">
        <f t="shared" si="35"/>
        <v/>
      </c>
      <c r="DS38" s="14" t="str">
        <f t="shared" si="36"/>
        <v/>
      </c>
      <c r="DT38" s="14">
        <f t="shared" si="37"/>
        <v>3</v>
      </c>
      <c r="DU38" s="14">
        <f t="shared" si="38"/>
        <v>1</v>
      </c>
      <c r="DV38" s="14">
        <f t="shared" si="39"/>
        <v>11</v>
      </c>
      <c r="DW38" s="29" t="s">
        <v>758</v>
      </c>
      <c r="DX38" s="14">
        <f t="shared" si="40"/>
        <v>25</v>
      </c>
      <c r="EA38" s="37"/>
      <c r="EB38" s="37"/>
      <c r="EC38" s="37"/>
      <c r="ED38" s="37"/>
      <c r="EE38" s="13">
        <v>11</v>
      </c>
      <c r="EF38" s="13" t="s">
        <v>699</v>
      </c>
      <c r="EG38" s="13">
        <v>3</v>
      </c>
      <c r="EH38" s="13">
        <v>5</v>
      </c>
      <c r="EI38" s="13" t="s">
        <v>666</v>
      </c>
      <c r="EJ38" s="13">
        <v>0.15</v>
      </c>
      <c r="EL38" s="13">
        <v>11</v>
      </c>
      <c r="EM38" s="13" t="s">
        <v>685</v>
      </c>
      <c r="EN38" s="13">
        <v>3</v>
      </c>
      <c r="EO38" s="13">
        <v>5</v>
      </c>
      <c r="EP38" s="13" t="s">
        <v>666</v>
      </c>
      <c r="EQ38" s="13">
        <v>0.15</v>
      </c>
      <c r="ET38" s="13">
        <v>34</v>
      </c>
      <c r="EU38" s="13">
        <f t="shared" si="41"/>
        <v>3</v>
      </c>
      <c r="EV38" s="13" t="str">
        <f t="shared" si="42"/>
        <v>90级寄灵人洗练-10</v>
      </c>
      <c r="EW38" s="13">
        <f t="shared" si="43"/>
        <v>13</v>
      </c>
      <c r="EX38" s="13">
        <f t="shared" si="44"/>
        <v>10</v>
      </c>
      <c r="EY38" s="13">
        <f t="shared" si="45"/>
        <v>500</v>
      </c>
      <c r="EZ38" s="13" t="str">
        <f t="shared" si="46"/>
        <v>Block</v>
      </c>
      <c r="FA38" s="13">
        <f t="shared" si="47"/>
        <v>1.0999999999999999E-2</v>
      </c>
      <c r="FB38" s="13">
        <f t="shared" si="48"/>
        <v>0.03</v>
      </c>
    </row>
    <row r="39" spans="1:158" s="20" customFormat="1" ht="16.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13">
        <v>34</v>
      </c>
      <c r="BS39" s="13">
        <v>3</v>
      </c>
      <c r="BT39" s="13">
        <v>60</v>
      </c>
      <c r="BU39" s="13">
        <v>4</v>
      </c>
      <c r="BV39" s="13">
        <v>2</v>
      </c>
      <c r="BW39" s="13">
        <v>6</v>
      </c>
      <c r="BX39" s="13">
        <f t="shared" si="49"/>
        <v>2034060</v>
      </c>
      <c r="BY39" s="13" t="s">
        <v>794</v>
      </c>
      <c r="BZ39" s="13">
        <v>2032</v>
      </c>
      <c r="CA39" s="13">
        <v>6</v>
      </c>
      <c r="CB39" s="13">
        <f>SUM(CA$6:CA39)</f>
        <v>248</v>
      </c>
      <c r="CC39" s="13">
        <v>1</v>
      </c>
      <c r="CD39" s="13">
        <v>4</v>
      </c>
      <c r="CE39" s="13">
        <v>5</v>
      </c>
      <c r="CF39" s="13">
        <v>6</v>
      </c>
      <c r="CG39" s="13">
        <v>7</v>
      </c>
      <c r="CH39" s="13">
        <v>8</v>
      </c>
      <c r="CI39" s="13"/>
      <c r="CJ39" s="13"/>
      <c r="CK39" s="37"/>
      <c r="CM39" s="13">
        <v>35</v>
      </c>
      <c r="CN39" s="14">
        <f t="shared" si="14"/>
        <v>5</v>
      </c>
      <c r="CO39" s="14">
        <f t="shared" si="15"/>
        <v>1</v>
      </c>
      <c r="CP39" s="14">
        <f t="shared" si="16"/>
        <v>3</v>
      </c>
      <c r="CQ39" s="14">
        <f t="shared" si="1"/>
        <v>1</v>
      </c>
      <c r="CR39" s="14">
        <f t="shared" si="2"/>
        <v>2013013</v>
      </c>
      <c r="CS39" s="13" t="str">
        <f t="shared" si="3"/>
        <v>30级寄灵人紫色-肩甲</v>
      </c>
      <c r="CT39" s="14">
        <f t="shared" si="4"/>
        <v>1</v>
      </c>
      <c r="CU39" s="14">
        <f t="shared" si="5"/>
        <v>3</v>
      </c>
      <c r="CV39" s="14">
        <f t="shared" si="17"/>
        <v>30</v>
      </c>
      <c r="CW39" s="14">
        <f t="shared" si="18"/>
        <v>30</v>
      </c>
      <c r="CX39" s="14">
        <f t="shared" si="19"/>
        <v>3</v>
      </c>
      <c r="CY39" s="14" t="str">
        <f t="shared" si="20"/>
        <v/>
      </c>
      <c r="CZ39" s="14">
        <f t="shared" si="21"/>
        <v>8</v>
      </c>
      <c r="DA39" s="14">
        <f t="shared" si="22"/>
        <v>0</v>
      </c>
      <c r="DB39" s="14">
        <f t="shared" si="23"/>
        <v>5</v>
      </c>
      <c r="DC39" s="14">
        <f t="shared" si="24"/>
        <v>36</v>
      </c>
      <c r="DD39" s="14">
        <f t="shared" si="25"/>
        <v>0</v>
      </c>
      <c r="DE39" s="14">
        <f t="shared" si="26"/>
        <v>0.48</v>
      </c>
      <c r="DF39" s="14">
        <f t="shared" si="27"/>
        <v>3.6</v>
      </c>
      <c r="DG39" s="14">
        <f t="shared" si="28"/>
        <v>3</v>
      </c>
      <c r="DH39" s="14">
        <f t="shared" si="29"/>
        <v>1</v>
      </c>
      <c r="DI39" s="14">
        <f t="shared" si="30"/>
        <v>11</v>
      </c>
      <c r="DL39" s="14">
        <f t="shared" si="6"/>
        <v>2</v>
      </c>
      <c r="DM39" s="14">
        <f t="shared" si="7"/>
        <v>3</v>
      </c>
      <c r="DN39" s="14" t="str">
        <f t="shared" si="31"/>
        <v>DefExt</v>
      </c>
      <c r="DO39" s="14">
        <f t="shared" si="32"/>
        <v>5</v>
      </c>
      <c r="DP39" s="14">
        <f t="shared" si="33"/>
        <v>0.48</v>
      </c>
      <c r="DQ39" s="14" t="str">
        <f t="shared" si="34"/>
        <v>HPExt</v>
      </c>
      <c r="DR39" s="14">
        <f t="shared" si="35"/>
        <v>36</v>
      </c>
      <c r="DS39" s="14">
        <f t="shared" si="36"/>
        <v>3.6</v>
      </c>
      <c r="DT39" s="14">
        <f t="shared" si="37"/>
        <v>3</v>
      </c>
      <c r="DU39" s="14">
        <f t="shared" si="38"/>
        <v>1</v>
      </c>
      <c r="DV39" s="14">
        <f t="shared" si="39"/>
        <v>11</v>
      </c>
      <c r="DW39" s="29" t="s">
        <v>758</v>
      </c>
      <c r="DX39" s="14">
        <f t="shared" si="40"/>
        <v>25</v>
      </c>
      <c r="EA39" s="37"/>
      <c r="EB39" s="37"/>
      <c r="EC39" s="37"/>
      <c r="ED39" s="37"/>
      <c r="EE39" s="13">
        <v>12</v>
      </c>
      <c r="EF39" s="13" t="s">
        <v>700</v>
      </c>
      <c r="EG39" s="13">
        <v>1</v>
      </c>
      <c r="EH39" s="13">
        <v>2</v>
      </c>
      <c r="EI39" s="13" t="s">
        <v>308</v>
      </c>
      <c r="EJ39" s="13">
        <f>AP10</f>
        <v>18199</v>
      </c>
      <c r="EL39" s="13">
        <v>12</v>
      </c>
      <c r="EM39" s="13" t="s">
        <v>686</v>
      </c>
      <c r="EN39" s="13">
        <v>1</v>
      </c>
      <c r="EO39" s="13">
        <v>2</v>
      </c>
      <c r="EP39" s="13" t="s">
        <v>308</v>
      </c>
      <c r="EQ39" s="13">
        <f>AP16</f>
        <v>18282</v>
      </c>
      <c r="ET39" s="13">
        <v>35</v>
      </c>
      <c r="EU39" s="13">
        <f t="shared" si="41"/>
        <v>3</v>
      </c>
      <c r="EV39" s="13" t="str">
        <f t="shared" si="42"/>
        <v>90级寄灵人洗练-11</v>
      </c>
      <c r="EW39" s="13">
        <f t="shared" si="43"/>
        <v>13</v>
      </c>
      <c r="EX39" s="13">
        <f t="shared" si="44"/>
        <v>11</v>
      </c>
      <c r="EY39" s="13">
        <f t="shared" si="45"/>
        <v>500</v>
      </c>
      <c r="EZ39" s="13" t="str">
        <f t="shared" si="46"/>
        <v>EffectHit</v>
      </c>
      <c r="FA39" s="13">
        <f t="shared" si="47"/>
        <v>1.7999999999999999E-2</v>
      </c>
      <c r="FB39" s="13">
        <f t="shared" si="48"/>
        <v>0.05</v>
      </c>
    </row>
    <row r="40" spans="1:158" s="20" customFormat="1" ht="16.5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13">
        <v>35</v>
      </c>
      <c r="BS40" s="13">
        <v>4</v>
      </c>
      <c r="BT40" s="13">
        <v>80</v>
      </c>
      <c r="BU40" s="13">
        <v>1</v>
      </c>
      <c r="BV40" s="13">
        <v>1</v>
      </c>
      <c r="BW40" s="13">
        <v>1</v>
      </c>
      <c r="BX40" s="13">
        <f t="shared" si="49"/>
        <v>2041010</v>
      </c>
      <c r="BY40" s="13" t="s">
        <v>578</v>
      </c>
      <c r="BZ40" s="13"/>
      <c r="CA40" s="13">
        <v>8</v>
      </c>
      <c r="CB40" s="13">
        <f>SUM(CA$6:CA40)</f>
        <v>256</v>
      </c>
      <c r="CC40" s="13">
        <v>1</v>
      </c>
      <c r="CD40" s="13">
        <v>2</v>
      </c>
      <c r="CE40" s="13">
        <v>3</v>
      </c>
      <c r="CF40" s="13">
        <v>4</v>
      </c>
      <c r="CG40" s="13">
        <v>5</v>
      </c>
      <c r="CH40" s="13">
        <v>6</v>
      </c>
      <c r="CI40" s="13">
        <v>7</v>
      </c>
      <c r="CJ40" s="13">
        <v>8</v>
      </c>
      <c r="CK40" s="37"/>
      <c r="CM40" s="13">
        <v>36</v>
      </c>
      <c r="CN40" s="14">
        <f t="shared" si="14"/>
        <v>5</v>
      </c>
      <c r="CO40" s="14">
        <f t="shared" si="15"/>
        <v>1</v>
      </c>
      <c r="CP40" s="14">
        <f t="shared" si="16"/>
        <v>4</v>
      </c>
      <c r="CQ40" s="14">
        <f t="shared" si="1"/>
        <v>1</v>
      </c>
      <c r="CR40" s="14">
        <f t="shared" si="2"/>
        <v>2013014</v>
      </c>
      <c r="CS40" s="13" t="str">
        <f t="shared" si="3"/>
        <v>30级寄灵人紫色-衣服</v>
      </c>
      <c r="CT40" s="14">
        <f t="shared" si="4"/>
        <v>1</v>
      </c>
      <c r="CU40" s="14">
        <f t="shared" si="5"/>
        <v>3</v>
      </c>
      <c r="CV40" s="14">
        <f t="shared" si="17"/>
        <v>30</v>
      </c>
      <c r="CW40" s="14">
        <f t="shared" si="18"/>
        <v>30</v>
      </c>
      <c r="CX40" s="14">
        <f t="shared" si="19"/>
        <v>4</v>
      </c>
      <c r="CY40" s="14" t="str">
        <f t="shared" si="20"/>
        <v/>
      </c>
      <c r="CZ40" s="14">
        <f t="shared" si="21"/>
        <v>9</v>
      </c>
      <c r="DA40" s="14">
        <f t="shared" si="22"/>
        <v>0</v>
      </c>
      <c r="DB40" s="14">
        <f t="shared" si="23"/>
        <v>11</v>
      </c>
      <c r="DC40" s="14">
        <f t="shared" si="24"/>
        <v>0</v>
      </c>
      <c r="DD40" s="14">
        <f t="shared" si="25"/>
        <v>0</v>
      </c>
      <c r="DE40" s="14">
        <f t="shared" si="26"/>
        <v>0.96</v>
      </c>
      <c r="DF40" s="14">
        <f t="shared" si="27"/>
        <v>0</v>
      </c>
      <c r="DG40" s="14">
        <f t="shared" si="28"/>
        <v>3</v>
      </c>
      <c r="DH40" s="14">
        <f t="shared" si="29"/>
        <v>1</v>
      </c>
      <c r="DI40" s="14">
        <f t="shared" si="30"/>
        <v>11</v>
      </c>
      <c r="DL40" s="14">
        <f t="shared" si="6"/>
        <v>2</v>
      </c>
      <c r="DM40" s="14">
        <f t="shared" si="7"/>
        <v>0</v>
      </c>
      <c r="DN40" s="14" t="str">
        <f t="shared" si="31"/>
        <v>DefExt</v>
      </c>
      <c r="DO40" s="14">
        <f t="shared" si="32"/>
        <v>11</v>
      </c>
      <c r="DP40" s="14">
        <f t="shared" si="33"/>
        <v>0.96</v>
      </c>
      <c r="DQ40" s="14" t="str">
        <f t="shared" si="34"/>
        <v/>
      </c>
      <c r="DR40" s="14" t="str">
        <f t="shared" si="35"/>
        <v/>
      </c>
      <c r="DS40" s="14" t="str">
        <f t="shared" si="36"/>
        <v/>
      </c>
      <c r="DT40" s="14">
        <f t="shared" si="37"/>
        <v>3</v>
      </c>
      <c r="DU40" s="14">
        <f t="shared" si="38"/>
        <v>1</v>
      </c>
      <c r="DV40" s="14">
        <f t="shared" si="39"/>
        <v>11</v>
      </c>
      <c r="DW40" s="29" t="s">
        <v>758</v>
      </c>
      <c r="DX40" s="14">
        <f t="shared" si="40"/>
        <v>25</v>
      </c>
      <c r="EA40" s="37"/>
      <c r="EB40" s="37"/>
      <c r="EC40" s="37"/>
      <c r="ED40" s="37"/>
      <c r="EE40" s="13">
        <v>12</v>
      </c>
      <c r="EF40" s="13" t="s">
        <v>700</v>
      </c>
      <c r="EG40" s="13">
        <v>2</v>
      </c>
      <c r="EH40" s="13">
        <v>3</v>
      </c>
      <c r="EI40" s="13" t="s">
        <v>310</v>
      </c>
      <c r="EJ40" s="13">
        <f>AQ10</f>
        <v>54648</v>
      </c>
      <c r="EL40" s="13">
        <v>12</v>
      </c>
      <c r="EM40" s="13" t="s">
        <v>686</v>
      </c>
      <c r="EN40" s="13">
        <v>2</v>
      </c>
      <c r="EO40" s="13">
        <v>3</v>
      </c>
      <c r="EP40" s="13" t="s">
        <v>310</v>
      </c>
      <c r="EQ40" s="13">
        <f>AQ16</f>
        <v>98389</v>
      </c>
      <c r="ET40" s="13">
        <v>36</v>
      </c>
      <c r="EU40" s="13">
        <f t="shared" si="41"/>
        <v>3</v>
      </c>
      <c r="EV40" s="13" t="str">
        <f t="shared" si="42"/>
        <v>90级寄灵人洗练-12</v>
      </c>
      <c r="EW40" s="13">
        <f t="shared" si="43"/>
        <v>13</v>
      </c>
      <c r="EX40" s="13">
        <f t="shared" si="44"/>
        <v>12</v>
      </c>
      <c r="EY40" s="13">
        <f t="shared" si="45"/>
        <v>500</v>
      </c>
      <c r="EZ40" s="13" t="str">
        <f t="shared" si="46"/>
        <v>EffectResist</v>
      </c>
      <c r="FA40" s="13">
        <f t="shared" si="47"/>
        <v>1.7999999999999999E-2</v>
      </c>
      <c r="FB40" s="13">
        <f t="shared" si="48"/>
        <v>0.05</v>
      </c>
    </row>
    <row r="41" spans="1:158" s="20" customFormat="1" ht="16.5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13">
        <v>36</v>
      </c>
      <c r="BS41" s="13">
        <v>4</v>
      </c>
      <c r="BT41" s="13">
        <v>80</v>
      </c>
      <c r="BU41" s="13">
        <v>1</v>
      </c>
      <c r="BV41" s="13">
        <v>2</v>
      </c>
      <c r="BW41" s="13">
        <v>2</v>
      </c>
      <c r="BX41" s="13">
        <f t="shared" si="49"/>
        <v>2041020</v>
      </c>
      <c r="BY41" s="13" t="s">
        <v>579</v>
      </c>
      <c r="BZ41" s="13"/>
      <c r="CA41" s="13">
        <v>8</v>
      </c>
      <c r="CB41" s="13">
        <f>SUM(CA$6:CA41)</f>
        <v>264</v>
      </c>
      <c r="CC41" s="13">
        <v>1</v>
      </c>
      <c r="CD41" s="13">
        <v>2</v>
      </c>
      <c r="CE41" s="13">
        <v>3</v>
      </c>
      <c r="CF41" s="13">
        <v>4</v>
      </c>
      <c r="CG41" s="13">
        <v>5</v>
      </c>
      <c r="CH41" s="13">
        <v>6</v>
      </c>
      <c r="CI41" s="13">
        <v>7</v>
      </c>
      <c r="CJ41" s="13">
        <v>8</v>
      </c>
      <c r="CK41" s="37"/>
      <c r="CM41" s="13">
        <v>37</v>
      </c>
      <c r="CN41" s="14">
        <f t="shared" si="14"/>
        <v>5</v>
      </c>
      <c r="CO41" s="14">
        <f t="shared" si="15"/>
        <v>1</v>
      </c>
      <c r="CP41" s="14">
        <f t="shared" si="16"/>
        <v>5</v>
      </c>
      <c r="CQ41" s="14">
        <f t="shared" si="1"/>
        <v>1</v>
      </c>
      <c r="CR41" s="14">
        <f t="shared" si="2"/>
        <v>2013015</v>
      </c>
      <c r="CS41" s="13" t="str">
        <f t="shared" si="3"/>
        <v>30级寄灵人紫色-鞋子</v>
      </c>
      <c r="CT41" s="14">
        <f t="shared" si="4"/>
        <v>1</v>
      </c>
      <c r="CU41" s="14">
        <f t="shared" si="5"/>
        <v>3</v>
      </c>
      <c r="CV41" s="14">
        <f t="shared" si="17"/>
        <v>30</v>
      </c>
      <c r="CW41" s="14">
        <f t="shared" si="18"/>
        <v>30</v>
      </c>
      <c r="CX41" s="14">
        <f t="shared" si="19"/>
        <v>5</v>
      </c>
      <c r="CY41" s="14" t="str">
        <f t="shared" si="20"/>
        <v/>
      </c>
      <c r="CZ41" s="14">
        <f t="shared" si="21"/>
        <v>7</v>
      </c>
      <c r="DA41" s="14">
        <f t="shared" si="22"/>
        <v>0</v>
      </c>
      <c r="DB41" s="14">
        <f t="shared" si="23"/>
        <v>0</v>
      </c>
      <c r="DC41" s="14">
        <f t="shared" si="24"/>
        <v>72</v>
      </c>
      <c r="DD41" s="14">
        <f t="shared" si="25"/>
        <v>0</v>
      </c>
      <c r="DE41" s="14">
        <f t="shared" si="26"/>
        <v>0</v>
      </c>
      <c r="DF41" s="14">
        <f t="shared" si="27"/>
        <v>7.2</v>
      </c>
      <c r="DG41" s="14">
        <f t="shared" si="28"/>
        <v>3</v>
      </c>
      <c r="DH41" s="14">
        <f t="shared" si="29"/>
        <v>1</v>
      </c>
      <c r="DI41" s="14">
        <f t="shared" si="30"/>
        <v>11</v>
      </c>
      <c r="DL41" s="14">
        <f t="shared" si="6"/>
        <v>3</v>
      </c>
      <c r="DM41" s="14">
        <f t="shared" si="7"/>
        <v>0</v>
      </c>
      <c r="DN41" s="14" t="str">
        <f t="shared" si="31"/>
        <v>HPExt</v>
      </c>
      <c r="DO41" s="14">
        <f t="shared" si="32"/>
        <v>72</v>
      </c>
      <c r="DP41" s="14">
        <f t="shared" si="33"/>
        <v>7.2</v>
      </c>
      <c r="DQ41" s="14" t="str">
        <f t="shared" si="34"/>
        <v/>
      </c>
      <c r="DR41" s="14" t="str">
        <f t="shared" si="35"/>
        <v/>
      </c>
      <c r="DS41" s="14" t="str">
        <f t="shared" si="36"/>
        <v/>
      </c>
      <c r="DT41" s="14">
        <f t="shared" si="37"/>
        <v>3</v>
      </c>
      <c r="DU41" s="14">
        <f t="shared" si="38"/>
        <v>1</v>
      </c>
      <c r="DV41" s="14">
        <f t="shared" si="39"/>
        <v>11</v>
      </c>
      <c r="DW41" s="29" t="s">
        <v>758</v>
      </c>
      <c r="DX41" s="14">
        <f t="shared" si="40"/>
        <v>25</v>
      </c>
      <c r="EA41" s="37"/>
      <c r="EB41" s="37"/>
      <c r="EC41" s="37"/>
      <c r="ED41" s="37"/>
      <c r="EE41" s="13">
        <v>12</v>
      </c>
      <c r="EF41" s="13" t="s">
        <v>700</v>
      </c>
      <c r="EG41" s="13">
        <v>3</v>
      </c>
      <c r="EH41" s="13">
        <v>4</v>
      </c>
      <c r="EI41" s="13" t="s">
        <v>657</v>
      </c>
      <c r="EJ41" s="13">
        <v>0.1</v>
      </c>
      <c r="EL41" s="13">
        <v>12</v>
      </c>
      <c r="EM41" s="13" t="s">
        <v>686</v>
      </c>
      <c r="EN41" s="13">
        <v>3</v>
      </c>
      <c r="EO41" s="13">
        <v>4</v>
      </c>
      <c r="EP41" s="13" t="s">
        <v>657</v>
      </c>
      <c r="EQ41" s="13">
        <v>0.1</v>
      </c>
      <c r="ET41" s="13">
        <v>37</v>
      </c>
      <c r="EU41" s="13">
        <f t="shared" si="41"/>
        <v>4</v>
      </c>
      <c r="EV41" s="13" t="str">
        <f t="shared" si="42"/>
        <v>120级寄灵人洗练-1</v>
      </c>
      <c r="EW41" s="13">
        <f t="shared" si="43"/>
        <v>14</v>
      </c>
      <c r="EX41" s="13">
        <f t="shared" si="44"/>
        <v>1</v>
      </c>
      <c r="EY41" s="13">
        <f t="shared" si="45"/>
        <v>1800</v>
      </c>
      <c r="EZ41" s="13" t="str">
        <f t="shared" si="46"/>
        <v>AtkExt</v>
      </c>
      <c r="FA41" s="13">
        <f t="shared" si="47"/>
        <v>82</v>
      </c>
      <c r="FB41" s="13">
        <f t="shared" si="48"/>
        <v>236</v>
      </c>
    </row>
    <row r="42" spans="1:158" s="20" customFormat="1" ht="16.5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13">
        <v>37</v>
      </c>
      <c r="BS42" s="13">
        <v>4</v>
      </c>
      <c r="BT42" s="13">
        <v>80</v>
      </c>
      <c r="BU42" s="13">
        <v>2</v>
      </c>
      <c r="BV42" s="13">
        <v>1</v>
      </c>
      <c r="BW42" s="13">
        <v>1</v>
      </c>
      <c r="BX42" s="13">
        <f t="shared" si="49"/>
        <v>2042010</v>
      </c>
      <c r="BY42" s="13" t="s">
        <v>580</v>
      </c>
      <c r="BZ42" s="13"/>
      <c r="CA42" s="13">
        <v>8</v>
      </c>
      <c r="CB42" s="13">
        <f>SUM(CA$6:CA42)</f>
        <v>272</v>
      </c>
      <c r="CC42" s="13">
        <v>1</v>
      </c>
      <c r="CD42" s="13">
        <v>2</v>
      </c>
      <c r="CE42" s="13">
        <v>3</v>
      </c>
      <c r="CF42" s="13">
        <v>4</v>
      </c>
      <c r="CG42" s="13">
        <v>5</v>
      </c>
      <c r="CH42" s="13">
        <v>6</v>
      </c>
      <c r="CI42" s="13">
        <v>7</v>
      </c>
      <c r="CJ42" s="13">
        <v>8</v>
      </c>
      <c r="CK42" s="37"/>
      <c r="CM42" s="13">
        <v>38</v>
      </c>
      <c r="CN42" s="14">
        <f t="shared" si="14"/>
        <v>5</v>
      </c>
      <c r="CO42" s="14">
        <f t="shared" si="15"/>
        <v>1</v>
      </c>
      <c r="CP42" s="14">
        <f t="shared" si="16"/>
        <v>6</v>
      </c>
      <c r="CQ42" s="14">
        <f t="shared" si="1"/>
        <v>1</v>
      </c>
      <c r="CR42" s="14">
        <f t="shared" si="2"/>
        <v>2013016</v>
      </c>
      <c r="CS42" s="13" t="str">
        <f t="shared" si="3"/>
        <v>30级寄灵人紫色-护手</v>
      </c>
      <c r="CT42" s="14">
        <f t="shared" si="4"/>
        <v>1</v>
      </c>
      <c r="CU42" s="14">
        <f t="shared" si="5"/>
        <v>3</v>
      </c>
      <c r="CV42" s="14">
        <f t="shared" si="17"/>
        <v>30</v>
      </c>
      <c r="CW42" s="14">
        <f t="shared" si="18"/>
        <v>30</v>
      </c>
      <c r="CX42" s="14">
        <f t="shared" si="19"/>
        <v>6</v>
      </c>
      <c r="CY42" s="14" t="str">
        <f t="shared" si="20"/>
        <v/>
      </c>
      <c r="CZ42" s="14">
        <f t="shared" si="21"/>
        <v>7</v>
      </c>
      <c r="DA42" s="14">
        <f t="shared" si="22"/>
        <v>0</v>
      </c>
      <c r="DB42" s="14">
        <f t="shared" si="23"/>
        <v>0</v>
      </c>
      <c r="DC42" s="14">
        <f t="shared" si="24"/>
        <v>72</v>
      </c>
      <c r="DD42" s="14">
        <f t="shared" si="25"/>
        <v>0</v>
      </c>
      <c r="DE42" s="14">
        <f t="shared" si="26"/>
        <v>0</v>
      </c>
      <c r="DF42" s="14">
        <f t="shared" si="27"/>
        <v>7.2</v>
      </c>
      <c r="DG42" s="14">
        <f t="shared" si="28"/>
        <v>3</v>
      </c>
      <c r="DH42" s="14">
        <f t="shared" si="29"/>
        <v>1</v>
      </c>
      <c r="DI42" s="14">
        <f t="shared" si="30"/>
        <v>11</v>
      </c>
      <c r="DL42" s="14">
        <f t="shared" si="6"/>
        <v>3</v>
      </c>
      <c r="DM42" s="14">
        <f t="shared" si="7"/>
        <v>0</v>
      </c>
      <c r="DN42" s="14" t="str">
        <f t="shared" si="31"/>
        <v>HPExt</v>
      </c>
      <c r="DO42" s="14">
        <f t="shared" si="32"/>
        <v>72</v>
      </c>
      <c r="DP42" s="14">
        <f t="shared" si="33"/>
        <v>7.2</v>
      </c>
      <c r="DQ42" s="14" t="str">
        <f t="shared" si="34"/>
        <v/>
      </c>
      <c r="DR42" s="14" t="str">
        <f t="shared" si="35"/>
        <v/>
      </c>
      <c r="DS42" s="14" t="str">
        <f t="shared" si="36"/>
        <v/>
      </c>
      <c r="DT42" s="14">
        <f t="shared" si="37"/>
        <v>3</v>
      </c>
      <c r="DU42" s="14">
        <f t="shared" si="38"/>
        <v>1</v>
      </c>
      <c r="DV42" s="14">
        <f t="shared" si="39"/>
        <v>11</v>
      </c>
      <c r="DW42" s="29" t="s">
        <v>758</v>
      </c>
      <c r="DX42" s="14">
        <f t="shared" si="40"/>
        <v>25</v>
      </c>
      <c r="EA42" s="37"/>
      <c r="EB42" s="37"/>
      <c r="EC42" s="37"/>
      <c r="ED42" s="37"/>
      <c r="EE42" s="13">
        <v>12</v>
      </c>
      <c r="EF42" s="13" t="s">
        <v>700</v>
      </c>
      <c r="EG42" s="13">
        <v>4</v>
      </c>
      <c r="EH42" s="13">
        <v>5</v>
      </c>
      <c r="EI42" s="13" t="s">
        <v>659</v>
      </c>
      <c r="EJ42" s="13">
        <v>0.1</v>
      </c>
      <c r="EL42" s="13">
        <v>12</v>
      </c>
      <c r="EM42" s="13" t="s">
        <v>686</v>
      </c>
      <c r="EN42" s="13">
        <v>4</v>
      </c>
      <c r="EO42" s="13">
        <v>5</v>
      </c>
      <c r="EP42" s="13" t="s">
        <v>659</v>
      </c>
      <c r="EQ42" s="13">
        <v>0.1</v>
      </c>
      <c r="ET42" s="13">
        <v>38</v>
      </c>
      <c r="EU42" s="13">
        <f t="shared" si="41"/>
        <v>4</v>
      </c>
      <c r="EV42" s="13" t="str">
        <f t="shared" si="42"/>
        <v>120级寄灵人洗练-2</v>
      </c>
      <c r="EW42" s="13">
        <f t="shared" si="43"/>
        <v>14</v>
      </c>
      <c r="EX42" s="13">
        <f t="shared" si="44"/>
        <v>2</v>
      </c>
      <c r="EY42" s="13">
        <f t="shared" si="45"/>
        <v>1800</v>
      </c>
      <c r="EZ42" s="13" t="str">
        <f t="shared" si="46"/>
        <v>DefExt</v>
      </c>
      <c r="FA42" s="13">
        <f t="shared" si="47"/>
        <v>41</v>
      </c>
      <c r="FB42" s="13">
        <f t="shared" si="48"/>
        <v>118</v>
      </c>
    </row>
    <row r="43" spans="1:158" s="20" customFormat="1" ht="16.5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13">
        <v>38</v>
      </c>
      <c r="BS43" s="13">
        <v>4</v>
      </c>
      <c r="BT43" s="13">
        <v>80</v>
      </c>
      <c r="BU43" s="13">
        <v>2</v>
      </c>
      <c r="BV43" s="13">
        <v>2</v>
      </c>
      <c r="BW43" s="13">
        <v>2</v>
      </c>
      <c r="BX43" s="13">
        <f t="shared" si="49"/>
        <v>2042020</v>
      </c>
      <c r="BY43" s="13" t="s">
        <v>581</v>
      </c>
      <c r="BZ43" s="13"/>
      <c r="CA43" s="13">
        <v>8</v>
      </c>
      <c r="CB43" s="13">
        <f>SUM(CA$6:CA43)</f>
        <v>280</v>
      </c>
      <c r="CC43" s="13">
        <v>1</v>
      </c>
      <c r="CD43" s="13">
        <v>2</v>
      </c>
      <c r="CE43" s="13">
        <v>3</v>
      </c>
      <c r="CF43" s="13">
        <v>4</v>
      </c>
      <c r="CG43" s="13">
        <v>5</v>
      </c>
      <c r="CH43" s="13">
        <v>6</v>
      </c>
      <c r="CI43" s="13">
        <v>7</v>
      </c>
      <c r="CJ43" s="13">
        <v>8</v>
      </c>
      <c r="CK43" s="37"/>
      <c r="CM43" s="13">
        <v>39</v>
      </c>
      <c r="CN43" s="14">
        <f t="shared" si="14"/>
        <v>5</v>
      </c>
      <c r="CO43" s="14">
        <f t="shared" si="15"/>
        <v>1</v>
      </c>
      <c r="CP43" s="14">
        <f t="shared" si="16"/>
        <v>7</v>
      </c>
      <c r="CQ43" s="14">
        <f t="shared" si="1"/>
        <v>1</v>
      </c>
      <c r="CR43" s="14">
        <f t="shared" si="2"/>
        <v>2013017</v>
      </c>
      <c r="CS43" s="13" t="str">
        <f t="shared" si="3"/>
        <v>30级寄灵人紫色-项链</v>
      </c>
      <c r="CT43" s="14">
        <f t="shared" si="4"/>
        <v>1</v>
      </c>
      <c r="CU43" s="14">
        <f t="shared" si="5"/>
        <v>3</v>
      </c>
      <c r="CV43" s="14">
        <f t="shared" si="17"/>
        <v>30</v>
      </c>
      <c r="CW43" s="14">
        <f t="shared" si="18"/>
        <v>30</v>
      </c>
      <c r="CX43" s="14">
        <f t="shared" si="19"/>
        <v>7</v>
      </c>
      <c r="CY43" s="14" t="str">
        <f t="shared" si="20"/>
        <v/>
      </c>
      <c r="CZ43" s="14">
        <f t="shared" si="21"/>
        <v>15</v>
      </c>
      <c r="DA43" s="14">
        <f t="shared" si="22"/>
        <v>14</v>
      </c>
      <c r="DB43" s="14">
        <f t="shared" si="23"/>
        <v>9</v>
      </c>
      <c r="DC43" s="14">
        <f t="shared" si="24"/>
        <v>0</v>
      </c>
      <c r="DD43" s="14">
        <f t="shared" si="25"/>
        <v>1.44</v>
      </c>
      <c r="DE43" s="14">
        <f t="shared" si="26"/>
        <v>0.8</v>
      </c>
      <c r="DF43" s="14">
        <f t="shared" si="27"/>
        <v>0</v>
      </c>
      <c r="DG43" s="14">
        <f t="shared" si="28"/>
        <v>3</v>
      </c>
      <c r="DH43" s="14">
        <f t="shared" si="29"/>
        <v>1</v>
      </c>
      <c r="DI43" s="14">
        <f t="shared" si="30"/>
        <v>11</v>
      </c>
      <c r="DL43" s="14">
        <f t="shared" si="6"/>
        <v>1</v>
      </c>
      <c r="DM43" s="14">
        <f t="shared" si="7"/>
        <v>2</v>
      </c>
      <c r="DN43" s="14" t="str">
        <f t="shared" si="31"/>
        <v>AtkExt</v>
      </c>
      <c r="DO43" s="14">
        <f t="shared" si="32"/>
        <v>14</v>
      </c>
      <c r="DP43" s="14">
        <f t="shared" si="33"/>
        <v>1.44</v>
      </c>
      <c r="DQ43" s="14" t="str">
        <f t="shared" si="34"/>
        <v>DefExt</v>
      </c>
      <c r="DR43" s="14">
        <f t="shared" si="35"/>
        <v>9</v>
      </c>
      <c r="DS43" s="14">
        <f t="shared" si="36"/>
        <v>0.8</v>
      </c>
      <c r="DT43" s="14">
        <f t="shared" si="37"/>
        <v>3</v>
      </c>
      <c r="DU43" s="14">
        <f t="shared" si="38"/>
        <v>1</v>
      </c>
      <c r="DV43" s="14">
        <f t="shared" si="39"/>
        <v>11</v>
      </c>
      <c r="DW43" s="29" t="s">
        <v>758</v>
      </c>
      <c r="DX43" s="14">
        <f t="shared" si="40"/>
        <v>25</v>
      </c>
      <c r="EA43" s="37"/>
      <c r="EB43" s="37"/>
      <c r="EC43" s="37"/>
      <c r="ED43" s="37"/>
      <c r="EE43" s="13">
        <v>13</v>
      </c>
      <c r="EF43" s="13" t="s">
        <v>701</v>
      </c>
      <c r="EG43" s="13">
        <v>1</v>
      </c>
      <c r="EH43" s="13">
        <v>2</v>
      </c>
      <c r="EI43" s="13" t="s">
        <v>310</v>
      </c>
      <c r="EJ43" s="13">
        <f>AQ10</f>
        <v>54648</v>
      </c>
      <c r="EL43" s="13">
        <v>13</v>
      </c>
      <c r="EM43" s="13" t="s">
        <v>687</v>
      </c>
      <c r="EN43" s="13">
        <v>1</v>
      </c>
      <c r="EO43" s="13">
        <v>2</v>
      </c>
      <c r="EP43" s="13" t="s">
        <v>310</v>
      </c>
      <c r="EQ43" s="13">
        <f>AQ16</f>
        <v>98389</v>
      </c>
      <c r="ET43" s="13">
        <v>39</v>
      </c>
      <c r="EU43" s="13">
        <f t="shared" si="41"/>
        <v>4</v>
      </c>
      <c r="EV43" s="13" t="str">
        <f t="shared" si="42"/>
        <v>120级寄灵人洗练-3</v>
      </c>
      <c r="EW43" s="13">
        <f t="shared" si="43"/>
        <v>14</v>
      </c>
      <c r="EX43" s="13">
        <f t="shared" si="44"/>
        <v>3</v>
      </c>
      <c r="EY43" s="13">
        <f t="shared" si="45"/>
        <v>2000</v>
      </c>
      <c r="EZ43" s="13" t="str">
        <f t="shared" si="46"/>
        <v>HPExt</v>
      </c>
      <c r="FA43" s="13">
        <f t="shared" si="47"/>
        <v>249</v>
      </c>
      <c r="FB43" s="13">
        <f t="shared" si="48"/>
        <v>714</v>
      </c>
    </row>
    <row r="44" spans="1:158" s="20" customFormat="1" ht="16.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13">
        <v>39</v>
      </c>
      <c r="BS44" s="13">
        <v>4</v>
      </c>
      <c r="BT44" s="13">
        <v>80</v>
      </c>
      <c r="BU44" s="13">
        <v>3</v>
      </c>
      <c r="BV44" s="13">
        <v>1</v>
      </c>
      <c r="BW44" s="13">
        <v>1</v>
      </c>
      <c r="BX44" s="13">
        <f t="shared" si="49"/>
        <v>2043010</v>
      </c>
      <c r="BY44" s="13" t="s">
        <v>582</v>
      </c>
      <c r="BZ44" s="13"/>
      <c r="CA44" s="13">
        <v>8</v>
      </c>
      <c r="CB44" s="13">
        <f>SUM(CA$6:CA44)</f>
        <v>288</v>
      </c>
      <c r="CC44" s="13">
        <v>1</v>
      </c>
      <c r="CD44" s="13">
        <v>2</v>
      </c>
      <c r="CE44" s="13">
        <v>3</v>
      </c>
      <c r="CF44" s="13">
        <v>4</v>
      </c>
      <c r="CG44" s="13">
        <v>5</v>
      </c>
      <c r="CH44" s="13">
        <v>6</v>
      </c>
      <c r="CI44" s="13">
        <v>7</v>
      </c>
      <c r="CJ44" s="13">
        <v>8</v>
      </c>
      <c r="CK44" s="37"/>
      <c r="CM44" s="13">
        <v>40</v>
      </c>
      <c r="CN44" s="14">
        <f t="shared" si="14"/>
        <v>5</v>
      </c>
      <c r="CO44" s="14">
        <f t="shared" si="15"/>
        <v>1</v>
      </c>
      <c r="CP44" s="14">
        <f t="shared" si="16"/>
        <v>8</v>
      </c>
      <c r="CQ44" s="14">
        <f t="shared" si="1"/>
        <v>1</v>
      </c>
      <c r="CR44" s="14">
        <f t="shared" si="2"/>
        <v>2013018</v>
      </c>
      <c r="CS44" s="13" t="str">
        <f t="shared" si="3"/>
        <v>30级寄灵人紫色-戒指</v>
      </c>
      <c r="CT44" s="14">
        <f t="shared" si="4"/>
        <v>1</v>
      </c>
      <c r="CU44" s="14">
        <f t="shared" si="5"/>
        <v>3</v>
      </c>
      <c r="CV44" s="14">
        <f t="shared" si="17"/>
        <v>30</v>
      </c>
      <c r="CW44" s="14">
        <f t="shared" si="18"/>
        <v>30</v>
      </c>
      <c r="CX44" s="14">
        <f t="shared" si="19"/>
        <v>8</v>
      </c>
      <c r="CY44" s="14" t="str">
        <f t="shared" si="20"/>
        <v/>
      </c>
      <c r="CZ44" s="14">
        <f t="shared" si="21"/>
        <v>13</v>
      </c>
      <c r="DA44" s="14">
        <f t="shared" si="22"/>
        <v>14</v>
      </c>
      <c r="DB44" s="14">
        <f t="shared" si="23"/>
        <v>0</v>
      </c>
      <c r="DC44" s="14">
        <f t="shared" si="24"/>
        <v>60</v>
      </c>
      <c r="DD44" s="14">
        <f t="shared" si="25"/>
        <v>1.44</v>
      </c>
      <c r="DE44" s="14">
        <f t="shared" si="26"/>
        <v>0</v>
      </c>
      <c r="DF44" s="14">
        <f t="shared" si="27"/>
        <v>6</v>
      </c>
      <c r="DG44" s="14">
        <f t="shared" si="28"/>
        <v>3</v>
      </c>
      <c r="DH44" s="14">
        <f t="shared" si="29"/>
        <v>1</v>
      </c>
      <c r="DI44" s="14">
        <f t="shared" si="30"/>
        <v>11</v>
      </c>
      <c r="DL44" s="14">
        <f t="shared" si="6"/>
        <v>1</v>
      </c>
      <c r="DM44" s="14">
        <f t="shared" si="7"/>
        <v>3</v>
      </c>
      <c r="DN44" s="14" t="str">
        <f t="shared" si="31"/>
        <v>AtkExt</v>
      </c>
      <c r="DO44" s="14">
        <f t="shared" si="32"/>
        <v>14</v>
      </c>
      <c r="DP44" s="14">
        <f t="shared" si="33"/>
        <v>1.44</v>
      </c>
      <c r="DQ44" s="14" t="str">
        <f t="shared" si="34"/>
        <v>HPExt</v>
      </c>
      <c r="DR44" s="14">
        <f t="shared" si="35"/>
        <v>60</v>
      </c>
      <c r="DS44" s="14">
        <f t="shared" si="36"/>
        <v>6</v>
      </c>
      <c r="DT44" s="14">
        <f t="shared" si="37"/>
        <v>3</v>
      </c>
      <c r="DU44" s="14">
        <f t="shared" si="38"/>
        <v>1</v>
      </c>
      <c r="DV44" s="14">
        <f t="shared" si="39"/>
        <v>11</v>
      </c>
      <c r="DW44" s="29" t="s">
        <v>758</v>
      </c>
      <c r="DX44" s="14">
        <f t="shared" si="40"/>
        <v>25</v>
      </c>
      <c r="EA44" s="37"/>
      <c r="EB44" s="37"/>
      <c r="EC44" s="37"/>
      <c r="ED44" s="37"/>
      <c r="EE44" s="13">
        <v>13</v>
      </c>
      <c r="EF44" s="13" t="s">
        <v>701</v>
      </c>
      <c r="EG44" s="13">
        <v>2</v>
      </c>
      <c r="EH44" s="13">
        <v>3</v>
      </c>
      <c r="EI44" s="13" t="s">
        <v>308</v>
      </c>
      <c r="EJ44" s="13">
        <f>AP10</f>
        <v>18199</v>
      </c>
      <c r="EL44" s="13">
        <v>13</v>
      </c>
      <c r="EM44" s="13" t="s">
        <v>687</v>
      </c>
      <c r="EN44" s="13">
        <v>2</v>
      </c>
      <c r="EO44" s="13">
        <v>3</v>
      </c>
      <c r="EP44" s="13" t="s">
        <v>308</v>
      </c>
      <c r="EQ44" s="13">
        <f>AP16</f>
        <v>18282</v>
      </c>
      <c r="ET44" s="13">
        <v>40</v>
      </c>
      <c r="EU44" s="13">
        <f t="shared" si="41"/>
        <v>4</v>
      </c>
      <c r="EV44" s="13" t="str">
        <f t="shared" si="42"/>
        <v>120级寄灵人洗练-4</v>
      </c>
      <c r="EW44" s="13">
        <f t="shared" si="43"/>
        <v>14</v>
      </c>
      <c r="EX44" s="13">
        <f t="shared" si="44"/>
        <v>4</v>
      </c>
      <c r="EY44" s="13">
        <f t="shared" si="45"/>
        <v>500</v>
      </c>
      <c r="EZ44" s="13" t="str">
        <f t="shared" si="46"/>
        <v>AtkRate</v>
      </c>
      <c r="FA44" s="13">
        <f t="shared" si="47"/>
        <v>1.4E-2</v>
      </c>
      <c r="FB44" s="13">
        <f t="shared" si="48"/>
        <v>0.04</v>
      </c>
    </row>
    <row r="45" spans="1:158" s="20" customFormat="1" ht="16.5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13">
        <v>40</v>
      </c>
      <c r="BS45" s="13">
        <v>4</v>
      </c>
      <c r="BT45" s="13">
        <v>80</v>
      </c>
      <c r="BU45" s="13">
        <v>3</v>
      </c>
      <c r="BV45" s="13">
        <v>2</v>
      </c>
      <c r="BW45" s="13">
        <v>2</v>
      </c>
      <c r="BX45" s="13">
        <f t="shared" si="49"/>
        <v>2043020</v>
      </c>
      <c r="BY45" s="13" t="s">
        <v>583</v>
      </c>
      <c r="BZ45" s="13"/>
      <c r="CA45" s="13">
        <v>8</v>
      </c>
      <c r="CB45" s="13">
        <f>SUM(CA$6:CA45)</f>
        <v>296</v>
      </c>
      <c r="CC45" s="13">
        <v>1</v>
      </c>
      <c r="CD45" s="13">
        <v>2</v>
      </c>
      <c r="CE45" s="13">
        <v>3</v>
      </c>
      <c r="CF45" s="13">
        <v>4</v>
      </c>
      <c r="CG45" s="13">
        <v>5</v>
      </c>
      <c r="CH45" s="13">
        <v>6</v>
      </c>
      <c r="CI45" s="13">
        <v>7</v>
      </c>
      <c r="CJ45" s="13">
        <v>8</v>
      </c>
      <c r="CK45" s="37"/>
      <c r="CM45" s="13">
        <v>41</v>
      </c>
      <c r="CN45" s="14">
        <f t="shared" si="14"/>
        <v>6</v>
      </c>
      <c r="CO45" s="14">
        <f t="shared" si="15"/>
        <v>2</v>
      </c>
      <c r="CP45" s="14">
        <f t="shared" si="16"/>
        <v>1</v>
      </c>
      <c r="CQ45" s="14">
        <f t="shared" si="1"/>
        <v>1</v>
      </c>
      <c r="CR45" s="14">
        <f t="shared" si="2"/>
        <v>2013021</v>
      </c>
      <c r="CS45" s="13" t="str">
        <f t="shared" si="3"/>
        <v>30级守护灵紫色-武器</v>
      </c>
      <c r="CT45" s="14">
        <f t="shared" si="4"/>
        <v>2</v>
      </c>
      <c r="CU45" s="14">
        <f t="shared" si="5"/>
        <v>3</v>
      </c>
      <c r="CV45" s="14">
        <f t="shared" si="17"/>
        <v>30</v>
      </c>
      <c r="CW45" s="14">
        <f t="shared" si="18"/>
        <v>30</v>
      </c>
      <c r="CX45" s="14">
        <f t="shared" si="19"/>
        <v>1</v>
      </c>
      <c r="CY45" s="14" t="str">
        <f t="shared" si="20"/>
        <v/>
      </c>
      <c r="CZ45" s="14">
        <f t="shared" si="21"/>
        <v>24</v>
      </c>
      <c r="DA45" s="14">
        <f t="shared" si="22"/>
        <v>48</v>
      </c>
      <c r="DB45" s="14">
        <f t="shared" si="23"/>
        <v>0</v>
      </c>
      <c r="DC45" s="14">
        <f t="shared" si="24"/>
        <v>0</v>
      </c>
      <c r="DD45" s="14">
        <f t="shared" si="25"/>
        <v>4.8</v>
      </c>
      <c r="DE45" s="14">
        <f t="shared" si="26"/>
        <v>0</v>
      </c>
      <c r="DF45" s="14">
        <f t="shared" si="27"/>
        <v>0</v>
      </c>
      <c r="DG45" s="14">
        <f t="shared" si="28"/>
        <v>3</v>
      </c>
      <c r="DH45" s="14">
        <f t="shared" si="29"/>
        <v>1</v>
      </c>
      <c r="DI45" s="14">
        <f t="shared" si="30"/>
        <v>21</v>
      </c>
      <c r="DL45" s="14">
        <f t="shared" si="6"/>
        <v>1</v>
      </c>
      <c r="DM45" s="14">
        <f t="shared" si="7"/>
        <v>0</v>
      </c>
      <c r="DN45" s="14" t="str">
        <f t="shared" si="31"/>
        <v>AtkExt</v>
      </c>
      <c r="DO45" s="14">
        <f t="shared" si="32"/>
        <v>48</v>
      </c>
      <c r="DP45" s="14">
        <f t="shared" si="33"/>
        <v>4.8</v>
      </c>
      <c r="DQ45" s="14" t="str">
        <f t="shared" si="34"/>
        <v/>
      </c>
      <c r="DR45" s="14" t="str">
        <f t="shared" si="35"/>
        <v/>
      </c>
      <c r="DS45" s="14" t="str">
        <f t="shared" si="36"/>
        <v/>
      </c>
      <c r="DT45" s="14">
        <f t="shared" si="37"/>
        <v>3</v>
      </c>
      <c r="DU45" s="14">
        <f t="shared" si="38"/>
        <v>1</v>
      </c>
      <c r="DV45" s="14">
        <f t="shared" si="39"/>
        <v>21</v>
      </c>
      <c r="DW45" s="29" t="s">
        <v>758</v>
      </c>
      <c r="DX45" s="14">
        <f t="shared" si="40"/>
        <v>25</v>
      </c>
      <c r="EA45" s="37"/>
      <c r="EB45" s="37"/>
      <c r="EC45" s="37"/>
      <c r="ED45" s="37"/>
      <c r="EE45" s="13">
        <v>13</v>
      </c>
      <c r="EF45" s="13" t="s">
        <v>701</v>
      </c>
      <c r="EG45" s="13">
        <v>3</v>
      </c>
      <c r="EH45" s="13">
        <v>5</v>
      </c>
      <c r="EI45" s="13" t="s">
        <v>662</v>
      </c>
      <c r="EJ45" s="13">
        <v>0.15</v>
      </c>
      <c r="EL45" s="13">
        <v>13</v>
      </c>
      <c r="EM45" s="13" t="s">
        <v>687</v>
      </c>
      <c r="EN45" s="13">
        <v>3</v>
      </c>
      <c r="EO45" s="13">
        <v>5</v>
      </c>
      <c r="EP45" s="13" t="s">
        <v>662</v>
      </c>
      <c r="EQ45" s="13">
        <v>0.15</v>
      </c>
      <c r="ET45" s="13">
        <v>41</v>
      </c>
      <c r="EU45" s="13">
        <f t="shared" si="41"/>
        <v>4</v>
      </c>
      <c r="EV45" s="13" t="str">
        <f t="shared" si="42"/>
        <v>120级寄灵人洗练-5</v>
      </c>
      <c r="EW45" s="13">
        <f t="shared" si="43"/>
        <v>14</v>
      </c>
      <c r="EX45" s="13">
        <f t="shared" si="44"/>
        <v>5</v>
      </c>
      <c r="EY45" s="13">
        <f t="shared" si="45"/>
        <v>400</v>
      </c>
      <c r="EZ45" s="13" t="str">
        <f t="shared" si="46"/>
        <v>DefRate</v>
      </c>
      <c r="FA45" s="13">
        <f t="shared" si="47"/>
        <v>1.4E-2</v>
      </c>
      <c r="FB45" s="13">
        <f t="shared" si="48"/>
        <v>0.04</v>
      </c>
    </row>
    <row r="46" spans="1:158" s="20" customFormat="1" ht="16.5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13">
        <v>41</v>
      </c>
      <c r="BS46" s="13">
        <v>4</v>
      </c>
      <c r="BT46" s="13">
        <v>80</v>
      </c>
      <c r="BU46" s="13">
        <v>4</v>
      </c>
      <c r="BV46" s="13">
        <v>1</v>
      </c>
      <c r="BW46" s="13">
        <v>1</v>
      </c>
      <c r="BX46" s="13">
        <f t="shared" si="49"/>
        <v>2044010</v>
      </c>
      <c r="BY46" s="13" t="s">
        <v>584</v>
      </c>
      <c r="BZ46" s="13"/>
      <c r="CA46" s="13">
        <v>8</v>
      </c>
      <c r="CB46" s="13">
        <f>SUM(CA$6:CA46)</f>
        <v>304</v>
      </c>
      <c r="CC46" s="13">
        <v>1</v>
      </c>
      <c r="CD46" s="13">
        <v>2</v>
      </c>
      <c r="CE46" s="13">
        <v>3</v>
      </c>
      <c r="CF46" s="13">
        <v>4</v>
      </c>
      <c r="CG46" s="13">
        <v>5</v>
      </c>
      <c r="CH46" s="13">
        <v>6</v>
      </c>
      <c r="CI46" s="13">
        <v>7</v>
      </c>
      <c r="CJ46" s="13">
        <v>8</v>
      </c>
      <c r="CK46" s="37"/>
      <c r="CM46" s="13">
        <v>42</v>
      </c>
      <c r="CN46" s="14">
        <f t="shared" si="14"/>
        <v>6</v>
      </c>
      <c r="CO46" s="14">
        <f t="shared" si="15"/>
        <v>2</v>
      </c>
      <c r="CP46" s="14">
        <f t="shared" si="16"/>
        <v>2</v>
      </c>
      <c r="CQ46" s="14">
        <f t="shared" si="1"/>
        <v>1</v>
      </c>
      <c r="CR46" s="14">
        <f t="shared" si="2"/>
        <v>2013022</v>
      </c>
      <c r="CS46" s="13" t="str">
        <f t="shared" si="3"/>
        <v>30级守护灵紫色-头盔</v>
      </c>
      <c r="CT46" s="14">
        <f t="shared" si="4"/>
        <v>2</v>
      </c>
      <c r="CU46" s="14">
        <f t="shared" si="5"/>
        <v>3</v>
      </c>
      <c r="CV46" s="14">
        <f t="shared" si="17"/>
        <v>30</v>
      </c>
      <c r="CW46" s="14">
        <f t="shared" si="18"/>
        <v>30</v>
      </c>
      <c r="CX46" s="14">
        <f t="shared" si="19"/>
        <v>2</v>
      </c>
      <c r="CY46" s="14" t="str">
        <f t="shared" si="20"/>
        <v/>
      </c>
      <c r="CZ46" s="14">
        <f t="shared" si="21"/>
        <v>12</v>
      </c>
      <c r="DA46" s="14">
        <f t="shared" si="22"/>
        <v>0</v>
      </c>
      <c r="DB46" s="14">
        <f t="shared" si="23"/>
        <v>12</v>
      </c>
      <c r="DC46" s="14">
        <f t="shared" si="24"/>
        <v>0</v>
      </c>
      <c r="DD46" s="14">
        <f t="shared" si="25"/>
        <v>0</v>
      </c>
      <c r="DE46" s="14">
        <f t="shared" si="26"/>
        <v>1.2</v>
      </c>
      <c r="DF46" s="14">
        <f t="shared" si="27"/>
        <v>0</v>
      </c>
      <c r="DG46" s="14">
        <f t="shared" si="28"/>
        <v>3</v>
      </c>
      <c r="DH46" s="14">
        <f t="shared" si="29"/>
        <v>1</v>
      </c>
      <c r="DI46" s="14">
        <f t="shared" si="30"/>
        <v>21</v>
      </c>
      <c r="DL46" s="14">
        <f t="shared" si="6"/>
        <v>2</v>
      </c>
      <c r="DM46" s="14">
        <f t="shared" si="7"/>
        <v>0</v>
      </c>
      <c r="DN46" s="14" t="str">
        <f t="shared" si="31"/>
        <v>DefExt</v>
      </c>
      <c r="DO46" s="14">
        <f t="shared" si="32"/>
        <v>12</v>
      </c>
      <c r="DP46" s="14">
        <f t="shared" si="33"/>
        <v>1.2</v>
      </c>
      <c r="DQ46" s="14" t="str">
        <f t="shared" si="34"/>
        <v/>
      </c>
      <c r="DR46" s="14" t="str">
        <f t="shared" si="35"/>
        <v/>
      </c>
      <c r="DS46" s="14" t="str">
        <f t="shared" si="36"/>
        <v/>
      </c>
      <c r="DT46" s="14">
        <f t="shared" si="37"/>
        <v>3</v>
      </c>
      <c r="DU46" s="14">
        <f t="shared" si="38"/>
        <v>1</v>
      </c>
      <c r="DV46" s="14">
        <f t="shared" si="39"/>
        <v>21</v>
      </c>
      <c r="DW46" s="29" t="s">
        <v>758</v>
      </c>
      <c r="DX46" s="14">
        <f t="shared" si="40"/>
        <v>25</v>
      </c>
      <c r="EA46" s="37"/>
      <c r="EB46" s="37"/>
      <c r="EC46" s="37"/>
      <c r="ED46" s="37"/>
      <c r="EE46" s="13">
        <v>14</v>
      </c>
      <c r="EF46" s="13" t="s">
        <v>702</v>
      </c>
      <c r="EG46" s="13">
        <v>1</v>
      </c>
      <c r="EH46" s="13">
        <v>2</v>
      </c>
      <c r="EI46" s="13" t="s">
        <v>668</v>
      </c>
      <c r="EJ46" s="13">
        <f>AP10</f>
        <v>18199</v>
      </c>
      <c r="EL46" s="13">
        <v>14</v>
      </c>
      <c r="EM46" s="13" t="s">
        <v>688</v>
      </c>
      <c r="EN46" s="13">
        <v>1</v>
      </c>
      <c r="EO46" s="13">
        <v>2</v>
      </c>
      <c r="EP46" s="13" t="s">
        <v>668</v>
      </c>
      <c r="EQ46" s="13">
        <f>AP16</f>
        <v>18282</v>
      </c>
      <c r="ET46" s="13">
        <v>42</v>
      </c>
      <c r="EU46" s="13">
        <f t="shared" si="41"/>
        <v>4</v>
      </c>
      <c r="EV46" s="13" t="str">
        <f t="shared" si="42"/>
        <v>120级寄灵人洗练-6</v>
      </c>
      <c r="EW46" s="13">
        <f t="shared" si="43"/>
        <v>14</v>
      </c>
      <c r="EX46" s="13">
        <f t="shared" si="44"/>
        <v>6</v>
      </c>
      <c r="EY46" s="13">
        <f t="shared" si="45"/>
        <v>500</v>
      </c>
      <c r="EZ46" s="13" t="str">
        <f t="shared" si="46"/>
        <v>HPRate</v>
      </c>
      <c r="FA46" s="13">
        <f t="shared" si="47"/>
        <v>1.4E-2</v>
      </c>
      <c r="FB46" s="13">
        <f t="shared" si="48"/>
        <v>0.04</v>
      </c>
    </row>
    <row r="47" spans="1:158" s="20" customFormat="1" ht="16.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13">
        <v>42</v>
      </c>
      <c r="BS47" s="13">
        <v>4</v>
      </c>
      <c r="BT47" s="13">
        <v>80</v>
      </c>
      <c r="BU47" s="13">
        <v>4</v>
      </c>
      <c r="BV47" s="13">
        <v>2</v>
      </c>
      <c r="BW47" s="13">
        <v>2</v>
      </c>
      <c r="BX47" s="13">
        <f t="shared" si="49"/>
        <v>2044020</v>
      </c>
      <c r="BY47" s="13" t="s">
        <v>585</v>
      </c>
      <c r="BZ47" s="13"/>
      <c r="CA47" s="13">
        <v>8</v>
      </c>
      <c r="CB47" s="13">
        <f>SUM(CA$6:CA47)</f>
        <v>312</v>
      </c>
      <c r="CC47" s="13">
        <v>1</v>
      </c>
      <c r="CD47" s="13">
        <v>2</v>
      </c>
      <c r="CE47" s="13">
        <v>3</v>
      </c>
      <c r="CF47" s="13">
        <v>4</v>
      </c>
      <c r="CG47" s="13">
        <v>5</v>
      </c>
      <c r="CH47" s="13">
        <v>6</v>
      </c>
      <c r="CI47" s="13">
        <v>7</v>
      </c>
      <c r="CJ47" s="13">
        <v>8</v>
      </c>
      <c r="CK47" s="37"/>
      <c r="CM47" s="13">
        <v>43</v>
      </c>
      <c r="CN47" s="14">
        <f t="shared" si="14"/>
        <v>6</v>
      </c>
      <c r="CO47" s="14">
        <f t="shared" si="15"/>
        <v>2</v>
      </c>
      <c r="CP47" s="14">
        <f t="shared" si="16"/>
        <v>3</v>
      </c>
      <c r="CQ47" s="14">
        <f t="shared" si="1"/>
        <v>1</v>
      </c>
      <c r="CR47" s="14">
        <f t="shared" si="2"/>
        <v>2013023</v>
      </c>
      <c r="CS47" s="13" t="str">
        <f t="shared" si="3"/>
        <v>30级守护灵紫色-肩甲</v>
      </c>
      <c r="CT47" s="14">
        <f t="shared" si="4"/>
        <v>2</v>
      </c>
      <c r="CU47" s="14">
        <f t="shared" si="5"/>
        <v>3</v>
      </c>
      <c r="CV47" s="14">
        <f t="shared" si="17"/>
        <v>30</v>
      </c>
      <c r="CW47" s="14">
        <f t="shared" si="18"/>
        <v>30</v>
      </c>
      <c r="CX47" s="14">
        <f t="shared" si="19"/>
        <v>3</v>
      </c>
      <c r="CY47" s="14" t="str">
        <f t="shared" si="20"/>
        <v/>
      </c>
      <c r="CZ47" s="14">
        <f t="shared" si="21"/>
        <v>12</v>
      </c>
      <c r="DA47" s="14">
        <f t="shared" si="22"/>
        <v>0</v>
      </c>
      <c r="DB47" s="14">
        <f t="shared" si="23"/>
        <v>6</v>
      </c>
      <c r="DC47" s="14">
        <f t="shared" si="24"/>
        <v>120</v>
      </c>
      <c r="DD47" s="14">
        <f t="shared" si="25"/>
        <v>0</v>
      </c>
      <c r="DE47" s="14">
        <f t="shared" si="26"/>
        <v>0.6</v>
      </c>
      <c r="DF47" s="14">
        <f t="shared" si="27"/>
        <v>6</v>
      </c>
      <c r="DG47" s="14">
        <f t="shared" si="28"/>
        <v>3</v>
      </c>
      <c r="DH47" s="14">
        <f t="shared" si="29"/>
        <v>1</v>
      </c>
      <c r="DI47" s="14">
        <f t="shared" si="30"/>
        <v>21</v>
      </c>
      <c r="DL47" s="14">
        <f t="shared" si="6"/>
        <v>2</v>
      </c>
      <c r="DM47" s="14">
        <f t="shared" si="7"/>
        <v>3</v>
      </c>
      <c r="DN47" s="14" t="str">
        <f t="shared" si="31"/>
        <v>DefExt</v>
      </c>
      <c r="DO47" s="14">
        <f t="shared" si="32"/>
        <v>6</v>
      </c>
      <c r="DP47" s="14">
        <f t="shared" si="33"/>
        <v>0.6</v>
      </c>
      <c r="DQ47" s="14" t="str">
        <f t="shared" si="34"/>
        <v>HPExt</v>
      </c>
      <c r="DR47" s="14">
        <f t="shared" si="35"/>
        <v>120</v>
      </c>
      <c r="DS47" s="14">
        <f t="shared" si="36"/>
        <v>6</v>
      </c>
      <c r="DT47" s="14">
        <f t="shared" si="37"/>
        <v>3</v>
      </c>
      <c r="DU47" s="14">
        <f t="shared" si="38"/>
        <v>1</v>
      </c>
      <c r="DV47" s="14">
        <f t="shared" si="39"/>
        <v>21</v>
      </c>
      <c r="DW47" s="29" t="s">
        <v>758</v>
      </c>
      <c r="DX47" s="14">
        <f t="shared" si="40"/>
        <v>25</v>
      </c>
      <c r="EA47" s="37"/>
      <c r="EB47" s="37"/>
      <c r="EC47" s="37"/>
      <c r="ED47" s="37"/>
      <c r="EE47" s="13">
        <v>14</v>
      </c>
      <c r="EF47" s="13" t="s">
        <v>702</v>
      </c>
      <c r="EG47" s="13">
        <v>2</v>
      </c>
      <c r="EH47" s="13">
        <v>3</v>
      </c>
      <c r="EI47" s="13" t="s">
        <v>669</v>
      </c>
      <c r="EJ47" s="13">
        <f>AQ10</f>
        <v>54648</v>
      </c>
      <c r="EL47" s="13">
        <v>14</v>
      </c>
      <c r="EM47" s="13" t="s">
        <v>688</v>
      </c>
      <c r="EN47" s="13">
        <v>2</v>
      </c>
      <c r="EO47" s="13">
        <v>3</v>
      </c>
      <c r="EP47" s="13" t="s">
        <v>669</v>
      </c>
      <c r="EQ47" s="13">
        <f>AQ16</f>
        <v>98389</v>
      </c>
      <c r="ET47" s="13">
        <v>43</v>
      </c>
      <c r="EU47" s="13">
        <f t="shared" si="41"/>
        <v>4</v>
      </c>
      <c r="EV47" s="13" t="str">
        <f t="shared" si="42"/>
        <v>120级寄灵人洗练-7</v>
      </c>
      <c r="EW47" s="13">
        <f t="shared" si="43"/>
        <v>14</v>
      </c>
      <c r="EX47" s="13">
        <f t="shared" si="44"/>
        <v>7</v>
      </c>
      <c r="EY47" s="13">
        <f t="shared" si="45"/>
        <v>500</v>
      </c>
      <c r="EZ47" s="13" t="str">
        <f t="shared" si="46"/>
        <v>Crit</v>
      </c>
      <c r="FA47" s="13">
        <f t="shared" si="47"/>
        <v>1.0999999999999999E-2</v>
      </c>
      <c r="FB47" s="13">
        <f t="shared" si="48"/>
        <v>0.03</v>
      </c>
    </row>
    <row r="48" spans="1:158" s="20" customFormat="1" ht="16.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13">
        <v>43</v>
      </c>
      <c r="BS48" s="13">
        <v>4</v>
      </c>
      <c r="BT48" s="13">
        <v>80</v>
      </c>
      <c r="BU48" s="13">
        <v>4</v>
      </c>
      <c r="BV48" s="13">
        <v>1</v>
      </c>
      <c r="BW48" s="13">
        <v>3</v>
      </c>
      <c r="BX48" s="13">
        <f t="shared" si="49"/>
        <v>2044030</v>
      </c>
      <c r="BY48" s="13" t="s">
        <v>586</v>
      </c>
      <c r="BZ48" s="13">
        <v>1041</v>
      </c>
      <c r="CA48" s="13">
        <v>5</v>
      </c>
      <c r="CB48" s="13">
        <f>SUM(CA$6:CA48)</f>
        <v>317</v>
      </c>
      <c r="CC48" s="13">
        <v>1</v>
      </c>
      <c r="CD48" s="13">
        <v>2</v>
      </c>
      <c r="CE48" s="13">
        <v>3</v>
      </c>
      <c r="CF48" s="13">
        <v>7</v>
      </c>
      <c r="CG48" s="13">
        <v>8</v>
      </c>
      <c r="CH48" s="13"/>
      <c r="CI48" s="13"/>
      <c r="CJ48" s="13"/>
      <c r="CK48" s="37"/>
      <c r="CM48" s="13">
        <v>44</v>
      </c>
      <c r="CN48" s="14">
        <f t="shared" si="14"/>
        <v>6</v>
      </c>
      <c r="CO48" s="14">
        <f t="shared" si="15"/>
        <v>2</v>
      </c>
      <c r="CP48" s="14">
        <f t="shared" si="16"/>
        <v>4</v>
      </c>
      <c r="CQ48" s="14">
        <f t="shared" si="1"/>
        <v>1</v>
      </c>
      <c r="CR48" s="14">
        <f t="shared" si="2"/>
        <v>2013024</v>
      </c>
      <c r="CS48" s="13" t="str">
        <f t="shared" si="3"/>
        <v>30级守护灵紫色-衣服</v>
      </c>
      <c r="CT48" s="14">
        <f t="shared" si="4"/>
        <v>2</v>
      </c>
      <c r="CU48" s="14">
        <f t="shared" si="5"/>
        <v>3</v>
      </c>
      <c r="CV48" s="14">
        <f t="shared" si="17"/>
        <v>30</v>
      </c>
      <c r="CW48" s="14">
        <f t="shared" si="18"/>
        <v>30</v>
      </c>
      <c r="CX48" s="14">
        <f t="shared" si="19"/>
        <v>4</v>
      </c>
      <c r="CY48" s="14" t="str">
        <f t="shared" si="20"/>
        <v/>
      </c>
      <c r="CZ48" s="14">
        <f t="shared" si="21"/>
        <v>12</v>
      </c>
      <c r="DA48" s="14">
        <f t="shared" si="22"/>
        <v>0</v>
      </c>
      <c r="DB48" s="14">
        <f t="shared" si="23"/>
        <v>12</v>
      </c>
      <c r="DC48" s="14">
        <f t="shared" si="24"/>
        <v>0</v>
      </c>
      <c r="DD48" s="14">
        <f t="shared" si="25"/>
        <v>0</v>
      </c>
      <c r="DE48" s="14">
        <f t="shared" si="26"/>
        <v>1.2</v>
      </c>
      <c r="DF48" s="14">
        <f t="shared" si="27"/>
        <v>0</v>
      </c>
      <c r="DG48" s="14">
        <f t="shared" si="28"/>
        <v>3</v>
      </c>
      <c r="DH48" s="14">
        <f t="shared" si="29"/>
        <v>1</v>
      </c>
      <c r="DI48" s="14">
        <f t="shared" si="30"/>
        <v>21</v>
      </c>
      <c r="DL48" s="14">
        <f t="shared" si="6"/>
        <v>2</v>
      </c>
      <c r="DM48" s="14">
        <f t="shared" si="7"/>
        <v>0</v>
      </c>
      <c r="DN48" s="14" t="str">
        <f t="shared" si="31"/>
        <v>DefExt</v>
      </c>
      <c r="DO48" s="14">
        <f t="shared" si="32"/>
        <v>12</v>
      </c>
      <c r="DP48" s="14">
        <f t="shared" si="33"/>
        <v>1.2</v>
      </c>
      <c r="DQ48" s="14" t="str">
        <f t="shared" si="34"/>
        <v/>
      </c>
      <c r="DR48" s="14" t="str">
        <f t="shared" si="35"/>
        <v/>
      </c>
      <c r="DS48" s="14" t="str">
        <f t="shared" si="36"/>
        <v/>
      </c>
      <c r="DT48" s="14">
        <f t="shared" si="37"/>
        <v>3</v>
      </c>
      <c r="DU48" s="14">
        <f t="shared" si="38"/>
        <v>1</v>
      </c>
      <c r="DV48" s="14">
        <f t="shared" si="39"/>
        <v>21</v>
      </c>
      <c r="DW48" s="29" t="s">
        <v>758</v>
      </c>
      <c r="DX48" s="14">
        <f t="shared" si="40"/>
        <v>25</v>
      </c>
      <c r="EA48" s="37"/>
      <c r="EB48" s="37"/>
      <c r="EC48" s="37"/>
      <c r="ED48" s="37"/>
      <c r="EE48" s="13">
        <v>14</v>
      </c>
      <c r="EF48" s="13" t="s">
        <v>702</v>
      </c>
      <c r="EG48" s="13">
        <v>3</v>
      </c>
      <c r="EH48" s="13">
        <v>5</v>
      </c>
      <c r="EI48" s="13" t="s">
        <v>666</v>
      </c>
      <c r="EJ48" s="13">
        <v>0.15</v>
      </c>
      <c r="EL48" s="13">
        <v>14</v>
      </c>
      <c r="EM48" s="13" t="s">
        <v>688</v>
      </c>
      <c r="EN48" s="13">
        <v>3</v>
      </c>
      <c r="EO48" s="13">
        <v>5</v>
      </c>
      <c r="EP48" s="13" t="s">
        <v>666</v>
      </c>
      <c r="EQ48" s="13">
        <v>0.15</v>
      </c>
      <c r="ET48" s="13">
        <v>44</v>
      </c>
      <c r="EU48" s="13">
        <f t="shared" si="41"/>
        <v>4</v>
      </c>
      <c r="EV48" s="13" t="str">
        <f t="shared" si="42"/>
        <v>120级寄灵人洗练-8</v>
      </c>
      <c r="EW48" s="13">
        <f t="shared" si="43"/>
        <v>14</v>
      </c>
      <c r="EX48" s="13">
        <f t="shared" si="44"/>
        <v>8</v>
      </c>
      <c r="EY48" s="13">
        <f t="shared" si="45"/>
        <v>500</v>
      </c>
      <c r="EZ48" s="13" t="str">
        <f t="shared" si="46"/>
        <v>CritRate</v>
      </c>
      <c r="FA48" s="13">
        <f t="shared" si="47"/>
        <v>2.8000000000000001E-2</v>
      </c>
      <c r="FB48" s="13">
        <f t="shared" si="48"/>
        <v>0.08</v>
      </c>
    </row>
    <row r="49" spans="1:158" s="20" customFormat="1" ht="16.5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13">
        <v>44</v>
      </c>
      <c r="BS49" s="13">
        <v>4</v>
      </c>
      <c r="BT49" s="13">
        <v>80</v>
      </c>
      <c r="BU49" s="13">
        <v>4</v>
      </c>
      <c r="BV49" s="13">
        <v>2</v>
      </c>
      <c r="BW49" s="13">
        <v>4</v>
      </c>
      <c r="BX49" s="13">
        <f t="shared" si="49"/>
        <v>2044040</v>
      </c>
      <c r="BY49" s="13" t="s">
        <v>587</v>
      </c>
      <c r="BZ49" s="13">
        <v>2041</v>
      </c>
      <c r="CA49" s="13">
        <v>5</v>
      </c>
      <c r="CB49" s="13">
        <f>SUM(CA$6:CA49)</f>
        <v>322</v>
      </c>
      <c r="CC49" s="13">
        <v>1</v>
      </c>
      <c r="CD49" s="13">
        <v>2</v>
      </c>
      <c r="CE49" s="13">
        <v>3</v>
      </c>
      <c r="CF49" s="13">
        <v>7</v>
      </c>
      <c r="CG49" s="13">
        <v>8</v>
      </c>
      <c r="CH49" s="13"/>
      <c r="CI49" s="13"/>
      <c r="CJ49" s="13"/>
      <c r="CK49" s="37"/>
      <c r="CM49" s="13">
        <v>45</v>
      </c>
      <c r="CN49" s="14">
        <f t="shared" si="14"/>
        <v>6</v>
      </c>
      <c r="CO49" s="14">
        <f t="shared" si="15"/>
        <v>2</v>
      </c>
      <c r="CP49" s="14">
        <f t="shared" si="16"/>
        <v>5</v>
      </c>
      <c r="CQ49" s="14">
        <f t="shared" si="1"/>
        <v>1</v>
      </c>
      <c r="CR49" s="14">
        <f t="shared" si="2"/>
        <v>2013025</v>
      </c>
      <c r="CS49" s="13" t="str">
        <f t="shared" si="3"/>
        <v>30级守护灵紫色-鞋子</v>
      </c>
      <c r="CT49" s="14">
        <f t="shared" si="4"/>
        <v>2</v>
      </c>
      <c r="CU49" s="14">
        <f t="shared" si="5"/>
        <v>3</v>
      </c>
      <c r="CV49" s="14">
        <f t="shared" si="17"/>
        <v>30</v>
      </c>
      <c r="CW49" s="14">
        <f t="shared" si="18"/>
        <v>30</v>
      </c>
      <c r="CX49" s="14">
        <f t="shared" si="19"/>
        <v>5</v>
      </c>
      <c r="CY49" s="14" t="str">
        <f t="shared" si="20"/>
        <v/>
      </c>
      <c r="CZ49" s="14">
        <f t="shared" si="21"/>
        <v>12</v>
      </c>
      <c r="DA49" s="14">
        <f t="shared" si="22"/>
        <v>0</v>
      </c>
      <c r="DB49" s="14">
        <f t="shared" si="23"/>
        <v>0</v>
      </c>
      <c r="DC49" s="14">
        <f t="shared" si="24"/>
        <v>240</v>
      </c>
      <c r="DD49" s="14">
        <f t="shared" si="25"/>
        <v>0</v>
      </c>
      <c r="DE49" s="14">
        <f t="shared" si="26"/>
        <v>0</v>
      </c>
      <c r="DF49" s="14">
        <f t="shared" si="27"/>
        <v>12</v>
      </c>
      <c r="DG49" s="14">
        <f t="shared" si="28"/>
        <v>3</v>
      </c>
      <c r="DH49" s="14">
        <f t="shared" si="29"/>
        <v>1</v>
      </c>
      <c r="DI49" s="14">
        <f t="shared" si="30"/>
        <v>21</v>
      </c>
      <c r="DL49" s="14">
        <f t="shared" si="6"/>
        <v>3</v>
      </c>
      <c r="DM49" s="14">
        <f t="shared" si="7"/>
        <v>0</v>
      </c>
      <c r="DN49" s="14" t="str">
        <f t="shared" si="31"/>
        <v>HPExt</v>
      </c>
      <c r="DO49" s="14">
        <f t="shared" si="32"/>
        <v>240</v>
      </c>
      <c r="DP49" s="14">
        <f t="shared" si="33"/>
        <v>12</v>
      </c>
      <c r="DQ49" s="14" t="str">
        <f t="shared" si="34"/>
        <v/>
      </c>
      <c r="DR49" s="14" t="str">
        <f t="shared" si="35"/>
        <v/>
      </c>
      <c r="DS49" s="14" t="str">
        <f t="shared" si="36"/>
        <v/>
      </c>
      <c r="DT49" s="14">
        <f t="shared" si="37"/>
        <v>3</v>
      </c>
      <c r="DU49" s="14">
        <f t="shared" si="38"/>
        <v>1</v>
      </c>
      <c r="DV49" s="14">
        <f t="shared" si="39"/>
        <v>21</v>
      </c>
      <c r="DW49" s="29" t="s">
        <v>758</v>
      </c>
      <c r="DX49" s="14">
        <f t="shared" si="40"/>
        <v>25</v>
      </c>
      <c r="EA49" s="37"/>
      <c r="EB49" s="37"/>
      <c r="EC49" s="37"/>
      <c r="ED49" s="37"/>
      <c r="EF49" s="37"/>
      <c r="EG49" s="37"/>
      <c r="EM49" s="37"/>
      <c r="EN49" s="37"/>
      <c r="ET49" s="13">
        <v>45</v>
      </c>
      <c r="EU49" s="13">
        <f t="shared" si="41"/>
        <v>4</v>
      </c>
      <c r="EV49" s="13" t="str">
        <f t="shared" si="42"/>
        <v>120级寄灵人洗练-9</v>
      </c>
      <c r="EW49" s="13">
        <f t="shared" si="43"/>
        <v>14</v>
      </c>
      <c r="EX49" s="13">
        <f t="shared" si="44"/>
        <v>9</v>
      </c>
      <c r="EY49" s="13">
        <f t="shared" si="45"/>
        <v>500</v>
      </c>
      <c r="EZ49" s="13" t="str">
        <f t="shared" si="46"/>
        <v>DefIgnor</v>
      </c>
      <c r="FA49" s="13">
        <f t="shared" si="47"/>
        <v>1.0999999999999999E-2</v>
      </c>
      <c r="FB49" s="13">
        <f t="shared" si="48"/>
        <v>0.03</v>
      </c>
    </row>
    <row r="50" spans="1:158" s="20" customFormat="1" ht="16.5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13">
        <v>45</v>
      </c>
      <c r="BS50" s="13">
        <v>4</v>
      </c>
      <c r="BT50" s="13">
        <v>80</v>
      </c>
      <c r="BU50" s="13">
        <v>4</v>
      </c>
      <c r="BV50" s="13">
        <v>1</v>
      </c>
      <c r="BW50" s="13">
        <v>5</v>
      </c>
      <c r="BX50" s="13">
        <f t="shared" si="49"/>
        <v>2044050</v>
      </c>
      <c r="BY50" s="13" t="s">
        <v>588</v>
      </c>
      <c r="BZ50" s="13">
        <v>1042</v>
      </c>
      <c r="CA50" s="13">
        <v>6</v>
      </c>
      <c r="CB50" s="13">
        <f>SUM(CA$6:CA50)</f>
        <v>328</v>
      </c>
      <c r="CC50" s="13">
        <v>1</v>
      </c>
      <c r="CD50" s="13">
        <v>2</v>
      </c>
      <c r="CE50" s="13">
        <v>3</v>
      </c>
      <c r="CF50" s="13">
        <v>4</v>
      </c>
      <c r="CG50" s="13">
        <v>5</v>
      </c>
      <c r="CH50" s="13">
        <v>6</v>
      </c>
      <c r="CI50" s="13"/>
      <c r="CJ50" s="13"/>
      <c r="CK50" s="37"/>
      <c r="CM50" s="13">
        <v>46</v>
      </c>
      <c r="CN50" s="14">
        <f t="shared" si="14"/>
        <v>6</v>
      </c>
      <c r="CO50" s="14">
        <f t="shared" si="15"/>
        <v>2</v>
      </c>
      <c r="CP50" s="14">
        <f t="shared" si="16"/>
        <v>6</v>
      </c>
      <c r="CQ50" s="14">
        <f t="shared" si="1"/>
        <v>1</v>
      </c>
      <c r="CR50" s="14">
        <f t="shared" si="2"/>
        <v>2013026</v>
      </c>
      <c r="CS50" s="13" t="str">
        <f t="shared" si="3"/>
        <v>30级守护灵紫色-护手</v>
      </c>
      <c r="CT50" s="14">
        <f t="shared" si="4"/>
        <v>2</v>
      </c>
      <c r="CU50" s="14">
        <f t="shared" si="5"/>
        <v>3</v>
      </c>
      <c r="CV50" s="14">
        <f t="shared" si="17"/>
        <v>30</v>
      </c>
      <c r="CW50" s="14">
        <f t="shared" si="18"/>
        <v>30</v>
      </c>
      <c r="CX50" s="14">
        <f t="shared" si="19"/>
        <v>6</v>
      </c>
      <c r="CY50" s="14" t="str">
        <f t="shared" si="20"/>
        <v/>
      </c>
      <c r="CZ50" s="14">
        <f t="shared" si="21"/>
        <v>12</v>
      </c>
      <c r="DA50" s="14">
        <f t="shared" si="22"/>
        <v>0</v>
      </c>
      <c r="DB50" s="14">
        <f t="shared" si="23"/>
        <v>0</v>
      </c>
      <c r="DC50" s="14">
        <f t="shared" si="24"/>
        <v>240</v>
      </c>
      <c r="DD50" s="14">
        <f t="shared" si="25"/>
        <v>0</v>
      </c>
      <c r="DE50" s="14">
        <f t="shared" si="26"/>
        <v>0</v>
      </c>
      <c r="DF50" s="14">
        <f t="shared" si="27"/>
        <v>12</v>
      </c>
      <c r="DG50" s="14">
        <f t="shared" si="28"/>
        <v>3</v>
      </c>
      <c r="DH50" s="14">
        <f t="shared" si="29"/>
        <v>1</v>
      </c>
      <c r="DI50" s="14">
        <f t="shared" si="30"/>
        <v>21</v>
      </c>
      <c r="DL50" s="14">
        <f t="shared" si="6"/>
        <v>3</v>
      </c>
      <c r="DM50" s="14">
        <f t="shared" si="7"/>
        <v>0</v>
      </c>
      <c r="DN50" s="14" t="str">
        <f t="shared" si="31"/>
        <v>HPExt</v>
      </c>
      <c r="DO50" s="14">
        <f t="shared" si="32"/>
        <v>240</v>
      </c>
      <c r="DP50" s="14">
        <f t="shared" si="33"/>
        <v>12</v>
      </c>
      <c r="DQ50" s="14" t="str">
        <f t="shared" si="34"/>
        <v/>
      </c>
      <c r="DR50" s="14" t="str">
        <f t="shared" si="35"/>
        <v/>
      </c>
      <c r="DS50" s="14" t="str">
        <f t="shared" si="36"/>
        <v/>
      </c>
      <c r="DT50" s="14">
        <f t="shared" si="37"/>
        <v>3</v>
      </c>
      <c r="DU50" s="14">
        <f t="shared" si="38"/>
        <v>1</v>
      </c>
      <c r="DV50" s="14">
        <f t="shared" si="39"/>
        <v>21</v>
      </c>
      <c r="DW50" s="29" t="s">
        <v>758</v>
      </c>
      <c r="DX50" s="14">
        <f t="shared" si="40"/>
        <v>25</v>
      </c>
      <c r="EA50" s="37"/>
      <c r="EB50" s="37"/>
      <c r="EC50" s="37"/>
      <c r="ED50" s="37"/>
      <c r="EF50" s="37"/>
      <c r="EG50" s="37"/>
      <c r="EM50" s="37"/>
      <c r="EN50" s="37"/>
      <c r="ET50" s="13">
        <v>46</v>
      </c>
      <c r="EU50" s="13">
        <f t="shared" si="41"/>
        <v>4</v>
      </c>
      <c r="EV50" s="13" t="str">
        <f t="shared" si="42"/>
        <v>120级寄灵人洗练-10</v>
      </c>
      <c r="EW50" s="13">
        <f t="shared" si="43"/>
        <v>14</v>
      </c>
      <c r="EX50" s="13">
        <f t="shared" si="44"/>
        <v>10</v>
      </c>
      <c r="EY50" s="13">
        <f t="shared" si="45"/>
        <v>500</v>
      </c>
      <c r="EZ50" s="13" t="str">
        <f t="shared" si="46"/>
        <v>Block</v>
      </c>
      <c r="FA50" s="13">
        <f t="shared" si="47"/>
        <v>1.0999999999999999E-2</v>
      </c>
      <c r="FB50" s="13">
        <f t="shared" si="48"/>
        <v>0.03</v>
      </c>
    </row>
    <row r="51" spans="1:158" s="20" customFormat="1" ht="16.5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13">
        <v>46</v>
      </c>
      <c r="BS51" s="13">
        <v>4</v>
      </c>
      <c r="BT51" s="13">
        <v>80</v>
      </c>
      <c r="BU51" s="13">
        <v>4</v>
      </c>
      <c r="BV51" s="13">
        <v>2</v>
      </c>
      <c r="BW51" s="13">
        <v>6</v>
      </c>
      <c r="BX51" s="13">
        <f t="shared" si="49"/>
        <v>2044060</v>
      </c>
      <c r="BY51" s="13" t="s">
        <v>589</v>
      </c>
      <c r="BZ51" s="13">
        <v>2042</v>
      </c>
      <c r="CA51" s="13">
        <v>6</v>
      </c>
      <c r="CB51" s="13">
        <f>SUM(CA$6:CA51)</f>
        <v>334</v>
      </c>
      <c r="CC51" s="13">
        <v>1</v>
      </c>
      <c r="CD51" s="13">
        <v>2</v>
      </c>
      <c r="CE51" s="13">
        <v>3</v>
      </c>
      <c r="CF51" s="13">
        <v>4</v>
      </c>
      <c r="CG51" s="13">
        <v>5</v>
      </c>
      <c r="CH51" s="13">
        <v>6</v>
      </c>
      <c r="CI51" s="13"/>
      <c r="CJ51" s="13"/>
      <c r="CK51" s="37"/>
      <c r="CM51" s="13">
        <v>47</v>
      </c>
      <c r="CN51" s="14">
        <f t="shared" si="14"/>
        <v>6</v>
      </c>
      <c r="CO51" s="14">
        <f t="shared" si="15"/>
        <v>2</v>
      </c>
      <c r="CP51" s="14">
        <f t="shared" si="16"/>
        <v>7</v>
      </c>
      <c r="CQ51" s="14">
        <f t="shared" si="1"/>
        <v>1</v>
      </c>
      <c r="CR51" s="14">
        <f t="shared" si="2"/>
        <v>2013027</v>
      </c>
      <c r="CS51" s="13" t="str">
        <f t="shared" si="3"/>
        <v>30级守护灵紫色-项链</v>
      </c>
      <c r="CT51" s="14">
        <f t="shared" si="4"/>
        <v>2</v>
      </c>
      <c r="CU51" s="14">
        <f t="shared" si="5"/>
        <v>3</v>
      </c>
      <c r="CV51" s="14">
        <f t="shared" si="17"/>
        <v>30</v>
      </c>
      <c r="CW51" s="14">
        <f t="shared" si="18"/>
        <v>30</v>
      </c>
      <c r="CX51" s="14">
        <f t="shared" si="19"/>
        <v>7</v>
      </c>
      <c r="CY51" s="14" t="str">
        <f t="shared" si="20"/>
        <v/>
      </c>
      <c r="CZ51" s="14">
        <f t="shared" si="21"/>
        <v>18</v>
      </c>
      <c r="DA51" s="14">
        <f t="shared" si="22"/>
        <v>16</v>
      </c>
      <c r="DB51" s="14">
        <f t="shared" si="23"/>
        <v>10</v>
      </c>
      <c r="DC51" s="14">
        <f t="shared" si="24"/>
        <v>0</v>
      </c>
      <c r="DD51" s="14">
        <f t="shared" si="25"/>
        <v>1.6</v>
      </c>
      <c r="DE51" s="14">
        <f t="shared" si="26"/>
        <v>1</v>
      </c>
      <c r="DF51" s="14">
        <f t="shared" si="27"/>
        <v>0</v>
      </c>
      <c r="DG51" s="14">
        <f t="shared" si="28"/>
        <v>3</v>
      </c>
      <c r="DH51" s="14">
        <f t="shared" si="29"/>
        <v>1</v>
      </c>
      <c r="DI51" s="14">
        <f t="shared" si="30"/>
        <v>21</v>
      </c>
      <c r="DL51" s="14">
        <f t="shared" si="6"/>
        <v>1</v>
      </c>
      <c r="DM51" s="14">
        <f t="shared" si="7"/>
        <v>2</v>
      </c>
      <c r="DN51" s="14" t="str">
        <f t="shared" si="31"/>
        <v>AtkExt</v>
      </c>
      <c r="DO51" s="14">
        <f t="shared" si="32"/>
        <v>16</v>
      </c>
      <c r="DP51" s="14">
        <f t="shared" si="33"/>
        <v>1.6</v>
      </c>
      <c r="DQ51" s="14" t="str">
        <f t="shared" si="34"/>
        <v>DefExt</v>
      </c>
      <c r="DR51" s="14">
        <f t="shared" si="35"/>
        <v>10</v>
      </c>
      <c r="DS51" s="14">
        <f t="shared" si="36"/>
        <v>1</v>
      </c>
      <c r="DT51" s="14">
        <f t="shared" si="37"/>
        <v>3</v>
      </c>
      <c r="DU51" s="14">
        <f t="shared" si="38"/>
        <v>1</v>
      </c>
      <c r="DV51" s="14">
        <f t="shared" si="39"/>
        <v>21</v>
      </c>
      <c r="DW51" s="29" t="s">
        <v>758</v>
      </c>
      <c r="DX51" s="14">
        <f t="shared" si="40"/>
        <v>25</v>
      </c>
      <c r="EA51" s="37"/>
      <c r="EB51" s="37"/>
      <c r="EC51" s="37"/>
      <c r="ED51" s="37"/>
      <c r="EF51" s="37"/>
      <c r="EG51" s="37"/>
      <c r="EM51" s="37"/>
      <c r="EN51" s="37"/>
      <c r="ET51" s="13">
        <v>47</v>
      </c>
      <c r="EU51" s="13">
        <f t="shared" si="41"/>
        <v>4</v>
      </c>
      <c r="EV51" s="13" t="str">
        <f t="shared" si="42"/>
        <v>120级寄灵人洗练-11</v>
      </c>
      <c r="EW51" s="13">
        <f t="shared" si="43"/>
        <v>14</v>
      </c>
      <c r="EX51" s="13">
        <f t="shared" si="44"/>
        <v>11</v>
      </c>
      <c r="EY51" s="13">
        <f t="shared" si="45"/>
        <v>500</v>
      </c>
      <c r="EZ51" s="13" t="str">
        <f t="shared" si="46"/>
        <v>EffectHit</v>
      </c>
      <c r="FA51" s="13">
        <f t="shared" si="47"/>
        <v>1.7999999999999999E-2</v>
      </c>
      <c r="FB51" s="13">
        <f t="shared" si="48"/>
        <v>0.05</v>
      </c>
    </row>
    <row r="52" spans="1:158" s="20" customFormat="1" ht="16.5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13">
        <v>47</v>
      </c>
      <c r="BS52" s="13">
        <v>4</v>
      </c>
      <c r="BT52" s="13">
        <v>80</v>
      </c>
      <c r="BU52" s="13">
        <v>4</v>
      </c>
      <c r="BV52" s="13">
        <v>1</v>
      </c>
      <c r="BW52" s="13">
        <v>7</v>
      </c>
      <c r="BX52" s="13">
        <f t="shared" si="49"/>
        <v>2044070</v>
      </c>
      <c r="BY52" s="13" t="s">
        <v>590</v>
      </c>
      <c r="BZ52" s="13">
        <v>1043</v>
      </c>
      <c r="CA52" s="13">
        <v>6</v>
      </c>
      <c r="CB52" s="13">
        <f>SUM(CA$6:CA52)</f>
        <v>340</v>
      </c>
      <c r="CC52" s="13">
        <v>1</v>
      </c>
      <c r="CD52" s="13">
        <v>4</v>
      </c>
      <c r="CE52" s="13">
        <v>5</v>
      </c>
      <c r="CF52" s="13">
        <v>6</v>
      </c>
      <c r="CG52" s="13">
        <v>7</v>
      </c>
      <c r="CH52" s="13">
        <v>8</v>
      </c>
      <c r="CI52" s="13"/>
      <c r="CJ52" s="13"/>
      <c r="CK52" s="37"/>
      <c r="CM52" s="13">
        <v>48</v>
      </c>
      <c r="CN52" s="14">
        <f t="shared" si="14"/>
        <v>6</v>
      </c>
      <c r="CO52" s="14">
        <f t="shared" si="15"/>
        <v>2</v>
      </c>
      <c r="CP52" s="14">
        <f t="shared" si="16"/>
        <v>8</v>
      </c>
      <c r="CQ52" s="14">
        <f t="shared" si="1"/>
        <v>1</v>
      </c>
      <c r="CR52" s="14">
        <f t="shared" si="2"/>
        <v>2013028</v>
      </c>
      <c r="CS52" s="13" t="str">
        <f t="shared" si="3"/>
        <v>30级守护灵紫色-戒指</v>
      </c>
      <c r="CT52" s="14">
        <f t="shared" si="4"/>
        <v>2</v>
      </c>
      <c r="CU52" s="14">
        <f t="shared" si="5"/>
        <v>3</v>
      </c>
      <c r="CV52" s="14">
        <f t="shared" si="17"/>
        <v>30</v>
      </c>
      <c r="CW52" s="14">
        <f t="shared" si="18"/>
        <v>30</v>
      </c>
      <c r="CX52" s="14">
        <f t="shared" si="19"/>
        <v>8</v>
      </c>
      <c r="CY52" s="14" t="str">
        <f t="shared" si="20"/>
        <v/>
      </c>
      <c r="CZ52" s="14">
        <f t="shared" si="21"/>
        <v>18</v>
      </c>
      <c r="DA52" s="14">
        <f t="shared" si="22"/>
        <v>16</v>
      </c>
      <c r="DB52" s="14">
        <f t="shared" si="23"/>
        <v>0</v>
      </c>
      <c r="DC52" s="14">
        <f t="shared" si="24"/>
        <v>200</v>
      </c>
      <c r="DD52" s="14">
        <f t="shared" si="25"/>
        <v>1.6</v>
      </c>
      <c r="DE52" s="14">
        <f t="shared" si="26"/>
        <v>0</v>
      </c>
      <c r="DF52" s="14">
        <f t="shared" si="27"/>
        <v>10</v>
      </c>
      <c r="DG52" s="14">
        <f t="shared" si="28"/>
        <v>3</v>
      </c>
      <c r="DH52" s="14">
        <f t="shared" si="29"/>
        <v>1</v>
      </c>
      <c r="DI52" s="14">
        <f t="shared" si="30"/>
        <v>21</v>
      </c>
      <c r="DL52" s="14">
        <f t="shared" si="6"/>
        <v>1</v>
      </c>
      <c r="DM52" s="14">
        <f t="shared" si="7"/>
        <v>3</v>
      </c>
      <c r="DN52" s="14" t="str">
        <f t="shared" si="31"/>
        <v>AtkExt</v>
      </c>
      <c r="DO52" s="14">
        <f t="shared" si="32"/>
        <v>16</v>
      </c>
      <c r="DP52" s="14">
        <f t="shared" si="33"/>
        <v>1.6</v>
      </c>
      <c r="DQ52" s="14" t="str">
        <f t="shared" si="34"/>
        <v>HPExt</v>
      </c>
      <c r="DR52" s="14">
        <f t="shared" si="35"/>
        <v>200</v>
      </c>
      <c r="DS52" s="14">
        <f t="shared" si="36"/>
        <v>10</v>
      </c>
      <c r="DT52" s="14">
        <f t="shared" si="37"/>
        <v>3</v>
      </c>
      <c r="DU52" s="14">
        <f t="shared" si="38"/>
        <v>1</v>
      </c>
      <c r="DV52" s="14">
        <f t="shared" si="39"/>
        <v>21</v>
      </c>
      <c r="DW52" s="29" t="s">
        <v>758</v>
      </c>
      <c r="DX52" s="14">
        <f t="shared" si="40"/>
        <v>25</v>
      </c>
      <c r="EA52" s="37"/>
      <c r="EB52" s="37"/>
      <c r="EC52" s="37"/>
      <c r="ED52" s="37"/>
      <c r="EF52" s="37"/>
      <c r="EG52" s="37"/>
      <c r="EM52" s="37"/>
      <c r="EN52" s="37"/>
      <c r="ET52" s="13">
        <v>48</v>
      </c>
      <c r="EU52" s="13">
        <f t="shared" si="41"/>
        <v>4</v>
      </c>
      <c r="EV52" s="13" t="str">
        <f t="shared" si="42"/>
        <v>120级寄灵人洗练-12</v>
      </c>
      <c r="EW52" s="13">
        <f t="shared" si="43"/>
        <v>14</v>
      </c>
      <c r="EX52" s="13">
        <f t="shared" si="44"/>
        <v>12</v>
      </c>
      <c r="EY52" s="13">
        <f t="shared" si="45"/>
        <v>500</v>
      </c>
      <c r="EZ52" s="13" t="str">
        <f t="shared" si="46"/>
        <v>EffectResist</v>
      </c>
      <c r="FA52" s="13">
        <f t="shared" si="47"/>
        <v>1.7999999999999999E-2</v>
      </c>
      <c r="FB52" s="13">
        <f t="shared" si="48"/>
        <v>0.05</v>
      </c>
    </row>
    <row r="53" spans="1:158" s="20" customFormat="1" ht="16.5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13">
        <v>48</v>
      </c>
      <c r="BS53" s="13">
        <v>4</v>
      </c>
      <c r="BT53" s="13">
        <v>80</v>
      </c>
      <c r="BU53" s="13">
        <v>4</v>
      </c>
      <c r="BV53" s="13">
        <v>2</v>
      </c>
      <c r="BW53" s="13">
        <v>8</v>
      </c>
      <c r="BX53" s="13">
        <f t="shared" si="49"/>
        <v>2044080</v>
      </c>
      <c r="BY53" s="13" t="s">
        <v>591</v>
      </c>
      <c r="BZ53" s="13">
        <v>2043</v>
      </c>
      <c r="CA53" s="13">
        <v>6</v>
      </c>
      <c r="CB53" s="13">
        <f>SUM(CA$6:CA53)</f>
        <v>346</v>
      </c>
      <c r="CC53" s="13">
        <v>1</v>
      </c>
      <c r="CD53" s="13">
        <v>4</v>
      </c>
      <c r="CE53" s="13">
        <v>5</v>
      </c>
      <c r="CF53" s="13">
        <v>6</v>
      </c>
      <c r="CG53" s="13">
        <v>7</v>
      </c>
      <c r="CH53" s="13">
        <v>8</v>
      </c>
      <c r="CI53" s="13"/>
      <c r="CJ53" s="13"/>
      <c r="CK53" s="37"/>
      <c r="CM53" s="13">
        <v>49</v>
      </c>
      <c r="CN53" s="14">
        <f t="shared" si="14"/>
        <v>7</v>
      </c>
      <c r="CO53" s="14">
        <f t="shared" si="15"/>
        <v>1</v>
      </c>
      <c r="CP53" s="14">
        <f t="shared" si="16"/>
        <v>1</v>
      </c>
      <c r="CQ53" s="14">
        <f t="shared" si="1"/>
        <v>1</v>
      </c>
      <c r="CR53" s="14">
        <f t="shared" si="2"/>
        <v>2014011</v>
      </c>
      <c r="CS53" s="13" t="str">
        <f t="shared" si="3"/>
        <v>30级寄灵人橙色-武器</v>
      </c>
      <c r="CT53" s="14">
        <f t="shared" si="4"/>
        <v>1</v>
      </c>
      <c r="CU53" s="14">
        <f t="shared" si="5"/>
        <v>4</v>
      </c>
      <c r="CV53" s="14">
        <f t="shared" si="17"/>
        <v>30</v>
      </c>
      <c r="CW53" s="14">
        <f t="shared" si="18"/>
        <v>30</v>
      </c>
      <c r="CX53" s="14">
        <f t="shared" si="19"/>
        <v>1</v>
      </c>
      <c r="CY53" s="14" t="str">
        <f t="shared" si="20"/>
        <v/>
      </c>
      <c r="CZ53" s="14">
        <f t="shared" si="21"/>
        <v>27</v>
      </c>
      <c r="DA53" s="14">
        <f t="shared" si="22"/>
        <v>54</v>
      </c>
      <c r="DB53" s="14">
        <f t="shared" si="23"/>
        <v>0</v>
      </c>
      <c r="DC53" s="14">
        <f t="shared" si="24"/>
        <v>0</v>
      </c>
      <c r="DD53" s="14">
        <f t="shared" si="25"/>
        <v>5.4</v>
      </c>
      <c r="DE53" s="14">
        <f t="shared" si="26"/>
        <v>0</v>
      </c>
      <c r="DF53" s="14">
        <f t="shared" si="27"/>
        <v>0</v>
      </c>
      <c r="DG53" s="14">
        <f t="shared" si="28"/>
        <v>4</v>
      </c>
      <c r="DH53" s="14">
        <f t="shared" si="29"/>
        <v>2</v>
      </c>
      <c r="DI53" s="14">
        <f t="shared" si="30"/>
        <v>11</v>
      </c>
      <c r="DL53" s="14">
        <f t="shared" si="6"/>
        <v>1</v>
      </c>
      <c r="DM53" s="14">
        <f t="shared" si="7"/>
        <v>0</v>
      </c>
      <c r="DN53" s="14" t="str">
        <f t="shared" si="31"/>
        <v>AtkExt</v>
      </c>
      <c r="DO53" s="14">
        <f t="shared" si="32"/>
        <v>54</v>
      </c>
      <c r="DP53" s="14">
        <f t="shared" si="33"/>
        <v>5.4</v>
      </c>
      <c r="DQ53" s="14" t="str">
        <f t="shared" si="34"/>
        <v/>
      </c>
      <c r="DR53" s="14" t="str">
        <f t="shared" si="35"/>
        <v/>
      </c>
      <c r="DS53" s="14" t="str">
        <f t="shared" si="36"/>
        <v/>
      </c>
      <c r="DT53" s="14">
        <f t="shared" si="37"/>
        <v>4</v>
      </c>
      <c r="DU53" s="14">
        <f t="shared" si="38"/>
        <v>2</v>
      </c>
      <c r="DV53" s="14">
        <f t="shared" si="39"/>
        <v>11</v>
      </c>
      <c r="DW53" s="29" t="s">
        <v>758</v>
      </c>
      <c r="DX53" s="14">
        <f t="shared" si="40"/>
        <v>50</v>
      </c>
      <c r="EA53" s="37"/>
      <c r="EB53" s="37"/>
      <c r="EC53" s="37"/>
      <c r="ED53" s="37"/>
      <c r="EF53" s="37"/>
      <c r="EG53" s="37"/>
      <c r="EM53" s="37"/>
      <c r="EN53" s="37"/>
      <c r="ET53" s="13">
        <v>49</v>
      </c>
      <c r="EU53" s="13">
        <f t="shared" si="41"/>
        <v>5</v>
      </c>
      <c r="EV53" s="13" t="str">
        <f t="shared" si="42"/>
        <v>150级寄灵人洗练-1</v>
      </c>
      <c r="EW53" s="13">
        <f t="shared" si="43"/>
        <v>15</v>
      </c>
      <c r="EX53" s="13">
        <f t="shared" si="44"/>
        <v>1</v>
      </c>
      <c r="EY53" s="13">
        <f t="shared" si="45"/>
        <v>1800</v>
      </c>
      <c r="EZ53" s="13" t="str">
        <f t="shared" si="46"/>
        <v>AtkExt</v>
      </c>
      <c r="FA53" s="13">
        <f t="shared" si="47"/>
        <v>226</v>
      </c>
      <c r="FB53" s="13">
        <f t="shared" si="48"/>
        <v>646</v>
      </c>
    </row>
    <row r="54" spans="1:158" s="20" customFormat="1" ht="16.5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13">
        <v>49</v>
      </c>
      <c r="BS54" s="13">
        <v>5</v>
      </c>
      <c r="BT54" s="13">
        <v>100</v>
      </c>
      <c r="BU54" s="13">
        <v>1</v>
      </c>
      <c r="BV54" s="13">
        <v>1</v>
      </c>
      <c r="BW54" s="13">
        <v>1</v>
      </c>
      <c r="BX54" s="13">
        <f t="shared" si="49"/>
        <v>2051010</v>
      </c>
      <c r="BY54" s="13" t="s">
        <v>795</v>
      </c>
      <c r="BZ54" s="13"/>
      <c r="CA54" s="13">
        <v>8</v>
      </c>
      <c r="CB54" s="13">
        <f>SUM(CA$6:CA54)</f>
        <v>354</v>
      </c>
      <c r="CC54" s="13">
        <v>1</v>
      </c>
      <c r="CD54" s="13">
        <v>2</v>
      </c>
      <c r="CE54" s="13">
        <v>3</v>
      </c>
      <c r="CF54" s="13">
        <v>4</v>
      </c>
      <c r="CG54" s="13">
        <v>5</v>
      </c>
      <c r="CH54" s="13">
        <v>6</v>
      </c>
      <c r="CI54" s="13">
        <v>7</v>
      </c>
      <c r="CJ54" s="13">
        <v>8</v>
      </c>
      <c r="CK54" s="37"/>
      <c r="CM54" s="13">
        <v>50</v>
      </c>
      <c r="CN54" s="14">
        <f t="shared" si="14"/>
        <v>7</v>
      </c>
      <c r="CO54" s="14">
        <f t="shared" si="15"/>
        <v>1</v>
      </c>
      <c r="CP54" s="14">
        <f t="shared" si="16"/>
        <v>2</v>
      </c>
      <c r="CQ54" s="14">
        <f t="shared" si="1"/>
        <v>1</v>
      </c>
      <c r="CR54" s="14">
        <f t="shared" si="2"/>
        <v>2014012</v>
      </c>
      <c r="CS54" s="13" t="str">
        <f t="shared" si="3"/>
        <v>30级寄灵人橙色-头盔</v>
      </c>
      <c r="CT54" s="14">
        <f t="shared" si="4"/>
        <v>1</v>
      </c>
      <c r="CU54" s="14">
        <f t="shared" si="5"/>
        <v>4</v>
      </c>
      <c r="CV54" s="14">
        <f t="shared" si="17"/>
        <v>30</v>
      </c>
      <c r="CW54" s="14">
        <f t="shared" si="18"/>
        <v>30</v>
      </c>
      <c r="CX54" s="14">
        <f t="shared" si="19"/>
        <v>2</v>
      </c>
      <c r="CY54" s="14" t="str">
        <f t="shared" si="20"/>
        <v/>
      </c>
      <c r="CZ54" s="14">
        <f t="shared" si="21"/>
        <v>12</v>
      </c>
      <c r="DA54" s="14">
        <f t="shared" si="22"/>
        <v>0</v>
      </c>
      <c r="DB54" s="14">
        <f t="shared" si="23"/>
        <v>14</v>
      </c>
      <c r="DC54" s="14">
        <f t="shared" si="24"/>
        <v>0</v>
      </c>
      <c r="DD54" s="14">
        <f t="shared" si="25"/>
        <v>0</v>
      </c>
      <c r="DE54" s="14">
        <f t="shared" si="26"/>
        <v>1.2</v>
      </c>
      <c r="DF54" s="14">
        <f t="shared" si="27"/>
        <v>0</v>
      </c>
      <c r="DG54" s="14">
        <f t="shared" si="28"/>
        <v>4</v>
      </c>
      <c r="DH54" s="14">
        <f t="shared" si="29"/>
        <v>2</v>
      </c>
      <c r="DI54" s="14">
        <f t="shared" si="30"/>
        <v>11</v>
      </c>
      <c r="DL54" s="14">
        <f t="shared" si="6"/>
        <v>2</v>
      </c>
      <c r="DM54" s="14">
        <f t="shared" si="7"/>
        <v>0</v>
      </c>
      <c r="DN54" s="14" t="str">
        <f t="shared" si="31"/>
        <v>DefExt</v>
      </c>
      <c r="DO54" s="14">
        <f t="shared" si="32"/>
        <v>14</v>
      </c>
      <c r="DP54" s="14">
        <f t="shared" si="33"/>
        <v>1.2</v>
      </c>
      <c r="DQ54" s="14" t="str">
        <f t="shared" si="34"/>
        <v/>
      </c>
      <c r="DR54" s="14" t="str">
        <f t="shared" si="35"/>
        <v/>
      </c>
      <c r="DS54" s="14" t="str">
        <f t="shared" si="36"/>
        <v/>
      </c>
      <c r="DT54" s="14">
        <f t="shared" si="37"/>
        <v>4</v>
      </c>
      <c r="DU54" s="14">
        <f t="shared" si="38"/>
        <v>2</v>
      </c>
      <c r="DV54" s="14">
        <f t="shared" si="39"/>
        <v>11</v>
      </c>
      <c r="DW54" s="29" t="s">
        <v>758</v>
      </c>
      <c r="DX54" s="14">
        <f t="shared" si="40"/>
        <v>50</v>
      </c>
      <c r="EA54" s="37"/>
      <c r="EB54" s="37"/>
      <c r="EC54" s="37"/>
      <c r="ED54" s="37"/>
      <c r="EF54" s="37"/>
      <c r="EG54" s="37"/>
      <c r="EM54" s="37"/>
      <c r="EN54" s="37"/>
      <c r="ET54" s="13">
        <v>50</v>
      </c>
      <c r="EU54" s="13">
        <f t="shared" si="41"/>
        <v>5</v>
      </c>
      <c r="EV54" s="13" t="str">
        <f t="shared" si="42"/>
        <v>150级寄灵人洗练-2</v>
      </c>
      <c r="EW54" s="13">
        <f t="shared" si="43"/>
        <v>15</v>
      </c>
      <c r="EX54" s="13">
        <f t="shared" si="44"/>
        <v>2</v>
      </c>
      <c r="EY54" s="13">
        <f t="shared" si="45"/>
        <v>1800</v>
      </c>
      <c r="EZ54" s="13" t="str">
        <f t="shared" si="46"/>
        <v>DefExt</v>
      </c>
      <c r="FA54" s="13">
        <f t="shared" si="47"/>
        <v>94</v>
      </c>
      <c r="FB54" s="13">
        <f t="shared" si="48"/>
        <v>269</v>
      </c>
    </row>
    <row r="55" spans="1:158" s="20" customFormat="1" ht="16.5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13">
        <v>50</v>
      </c>
      <c r="BS55" s="13">
        <v>5</v>
      </c>
      <c r="BT55" s="13">
        <v>100</v>
      </c>
      <c r="BU55" s="13">
        <v>1</v>
      </c>
      <c r="BV55" s="13">
        <v>2</v>
      </c>
      <c r="BW55" s="13">
        <v>2</v>
      </c>
      <c r="BX55" s="13">
        <f t="shared" si="49"/>
        <v>2051020</v>
      </c>
      <c r="BY55" s="13" t="s">
        <v>796</v>
      </c>
      <c r="BZ55" s="13"/>
      <c r="CA55" s="13">
        <v>8</v>
      </c>
      <c r="CB55" s="13">
        <f>SUM(CA$6:CA55)</f>
        <v>362</v>
      </c>
      <c r="CC55" s="13">
        <v>1</v>
      </c>
      <c r="CD55" s="13">
        <v>2</v>
      </c>
      <c r="CE55" s="13">
        <v>3</v>
      </c>
      <c r="CF55" s="13">
        <v>4</v>
      </c>
      <c r="CG55" s="13">
        <v>5</v>
      </c>
      <c r="CH55" s="13">
        <v>6</v>
      </c>
      <c r="CI55" s="13">
        <v>7</v>
      </c>
      <c r="CJ55" s="13">
        <v>8</v>
      </c>
      <c r="CK55" s="37"/>
      <c r="CM55" s="13">
        <v>51</v>
      </c>
      <c r="CN55" s="14">
        <f t="shared" si="14"/>
        <v>7</v>
      </c>
      <c r="CO55" s="14">
        <f t="shared" si="15"/>
        <v>1</v>
      </c>
      <c r="CP55" s="14">
        <f t="shared" si="16"/>
        <v>3</v>
      </c>
      <c r="CQ55" s="14">
        <f t="shared" si="1"/>
        <v>1</v>
      </c>
      <c r="CR55" s="14">
        <f t="shared" si="2"/>
        <v>2014013</v>
      </c>
      <c r="CS55" s="13" t="str">
        <f t="shared" si="3"/>
        <v>30级寄灵人橙色-肩甲</v>
      </c>
      <c r="CT55" s="14">
        <f t="shared" si="4"/>
        <v>1</v>
      </c>
      <c r="CU55" s="14">
        <f t="shared" si="5"/>
        <v>4</v>
      </c>
      <c r="CV55" s="14">
        <f t="shared" si="17"/>
        <v>30</v>
      </c>
      <c r="CW55" s="14">
        <f t="shared" si="18"/>
        <v>30</v>
      </c>
      <c r="CX55" s="14">
        <f t="shared" si="19"/>
        <v>3</v>
      </c>
      <c r="CY55" s="14" t="str">
        <f t="shared" si="20"/>
        <v/>
      </c>
      <c r="CZ55" s="14">
        <f t="shared" si="21"/>
        <v>10</v>
      </c>
      <c r="DA55" s="14">
        <f t="shared" si="22"/>
        <v>0</v>
      </c>
      <c r="DB55" s="14">
        <f t="shared" si="23"/>
        <v>7</v>
      </c>
      <c r="DC55" s="14">
        <f t="shared" si="24"/>
        <v>45</v>
      </c>
      <c r="DD55" s="14">
        <f t="shared" si="25"/>
        <v>0</v>
      </c>
      <c r="DE55" s="14">
        <f t="shared" si="26"/>
        <v>0.6</v>
      </c>
      <c r="DF55" s="14">
        <f t="shared" si="27"/>
        <v>4.5</v>
      </c>
      <c r="DG55" s="14">
        <f t="shared" si="28"/>
        <v>4</v>
      </c>
      <c r="DH55" s="14">
        <f t="shared" si="29"/>
        <v>2</v>
      </c>
      <c r="DI55" s="14">
        <f t="shared" si="30"/>
        <v>11</v>
      </c>
      <c r="DL55" s="14">
        <f t="shared" si="6"/>
        <v>2</v>
      </c>
      <c r="DM55" s="14">
        <f t="shared" si="7"/>
        <v>3</v>
      </c>
      <c r="DN55" s="14" t="str">
        <f t="shared" si="31"/>
        <v>DefExt</v>
      </c>
      <c r="DO55" s="14">
        <f t="shared" si="32"/>
        <v>7</v>
      </c>
      <c r="DP55" s="14">
        <f t="shared" si="33"/>
        <v>0.6</v>
      </c>
      <c r="DQ55" s="14" t="str">
        <f t="shared" si="34"/>
        <v>HPExt</v>
      </c>
      <c r="DR55" s="14">
        <f t="shared" si="35"/>
        <v>45</v>
      </c>
      <c r="DS55" s="14">
        <f t="shared" si="36"/>
        <v>4.5</v>
      </c>
      <c r="DT55" s="14">
        <f t="shared" si="37"/>
        <v>4</v>
      </c>
      <c r="DU55" s="14">
        <f t="shared" si="38"/>
        <v>2</v>
      </c>
      <c r="DV55" s="14">
        <f t="shared" si="39"/>
        <v>11</v>
      </c>
      <c r="DW55" s="29" t="s">
        <v>758</v>
      </c>
      <c r="DX55" s="14">
        <f t="shared" si="40"/>
        <v>50</v>
      </c>
      <c r="EA55" s="37"/>
      <c r="EB55" s="37"/>
      <c r="EC55" s="37"/>
      <c r="ED55" s="37"/>
      <c r="EF55" s="37"/>
      <c r="EG55" s="37"/>
      <c r="EM55" s="37"/>
      <c r="EN55" s="37"/>
      <c r="ET55" s="13">
        <v>51</v>
      </c>
      <c r="EU55" s="13">
        <f t="shared" si="41"/>
        <v>5</v>
      </c>
      <c r="EV55" s="13" t="str">
        <f t="shared" si="42"/>
        <v>150级寄灵人洗练-3</v>
      </c>
      <c r="EW55" s="13">
        <f t="shared" si="43"/>
        <v>15</v>
      </c>
      <c r="EX55" s="13">
        <f t="shared" si="44"/>
        <v>3</v>
      </c>
      <c r="EY55" s="13">
        <f t="shared" si="45"/>
        <v>2000</v>
      </c>
      <c r="EZ55" s="13" t="str">
        <f t="shared" si="46"/>
        <v>HPExt</v>
      </c>
      <c r="FA55" s="13">
        <f t="shared" si="47"/>
        <v>564</v>
      </c>
      <c r="FB55" s="13">
        <f t="shared" si="48"/>
        <v>1614</v>
      </c>
    </row>
    <row r="56" spans="1:158" s="20" customFormat="1" ht="16.5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13">
        <v>51</v>
      </c>
      <c r="BS56" s="13">
        <v>5</v>
      </c>
      <c r="BT56" s="13">
        <v>100</v>
      </c>
      <c r="BU56" s="13">
        <v>2</v>
      </c>
      <c r="BV56" s="13">
        <v>1</v>
      </c>
      <c r="BW56" s="13">
        <v>1</v>
      </c>
      <c r="BX56" s="13">
        <f t="shared" si="49"/>
        <v>2052010</v>
      </c>
      <c r="BY56" s="13" t="s">
        <v>797</v>
      </c>
      <c r="BZ56" s="13"/>
      <c r="CA56" s="13">
        <v>8</v>
      </c>
      <c r="CB56" s="13">
        <f>SUM(CA$6:CA56)</f>
        <v>370</v>
      </c>
      <c r="CC56" s="13">
        <v>1</v>
      </c>
      <c r="CD56" s="13">
        <v>2</v>
      </c>
      <c r="CE56" s="13">
        <v>3</v>
      </c>
      <c r="CF56" s="13">
        <v>4</v>
      </c>
      <c r="CG56" s="13">
        <v>5</v>
      </c>
      <c r="CH56" s="13">
        <v>6</v>
      </c>
      <c r="CI56" s="13">
        <v>7</v>
      </c>
      <c r="CJ56" s="13">
        <v>8</v>
      </c>
      <c r="CK56" s="37"/>
      <c r="CM56" s="13">
        <v>52</v>
      </c>
      <c r="CN56" s="14">
        <f t="shared" si="14"/>
        <v>7</v>
      </c>
      <c r="CO56" s="14">
        <f t="shared" si="15"/>
        <v>1</v>
      </c>
      <c r="CP56" s="14">
        <f t="shared" si="16"/>
        <v>4</v>
      </c>
      <c r="CQ56" s="14">
        <f t="shared" si="1"/>
        <v>1</v>
      </c>
      <c r="CR56" s="14">
        <f t="shared" si="2"/>
        <v>2014014</v>
      </c>
      <c r="CS56" s="13" t="str">
        <f t="shared" si="3"/>
        <v>30级寄灵人橙色-衣服</v>
      </c>
      <c r="CT56" s="14">
        <f t="shared" si="4"/>
        <v>1</v>
      </c>
      <c r="CU56" s="14">
        <f t="shared" si="5"/>
        <v>4</v>
      </c>
      <c r="CV56" s="14">
        <f t="shared" si="17"/>
        <v>30</v>
      </c>
      <c r="CW56" s="14">
        <f t="shared" si="18"/>
        <v>30</v>
      </c>
      <c r="CX56" s="14">
        <f t="shared" si="19"/>
        <v>4</v>
      </c>
      <c r="CY56" s="14" t="str">
        <f t="shared" si="20"/>
        <v/>
      </c>
      <c r="CZ56" s="14">
        <f t="shared" si="21"/>
        <v>12</v>
      </c>
      <c r="DA56" s="14">
        <f t="shared" si="22"/>
        <v>0</v>
      </c>
      <c r="DB56" s="14">
        <f t="shared" si="23"/>
        <v>14</v>
      </c>
      <c r="DC56" s="14">
        <f t="shared" si="24"/>
        <v>0</v>
      </c>
      <c r="DD56" s="14">
        <f t="shared" si="25"/>
        <v>0</v>
      </c>
      <c r="DE56" s="14">
        <f t="shared" si="26"/>
        <v>1.2</v>
      </c>
      <c r="DF56" s="14">
        <f t="shared" si="27"/>
        <v>0</v>
      </c>
      <c r="DG56" s="14">
        <f t="shared" si="28"/>
        <v>4</v>
      </c>
      <c r="DH56" s="14">
        <f t="shared" si="29"/>
        <v>2</v>
      </c>
      <c r="DI56" s="14">
        <f t="shared" si="30"/>
        <v>11</v>
      </c>
      <c r="DL56" s="14">
        <f t="shared" si="6"/>
        <v>2</v>
      </c>
      <c r="DM56" s="14">
        <f t="shared" si="7"/>
        <v>0</v>
      </c>
      <c r="DN56" s="14" t="str">
        <f t="shared" si="31"/>
        <v>DefExt</v>
      </c>
      <c r="DO56" s="14">
        <f t="shared" si="32"/>
        <v>14</v>
      </c>
      <c r="DP56" s="14">
        <f t="shared" si="33"/>
        <v>1.2</v>
      </c>
      <c r="DQ56" s="14" t="str">
        <f t="shared" si="34"/>
        <v/>
      </c>
      <c r="DR56" s="14" t="str">
        <f t="shared" si="35"/>
        <v/>
      </c>
      <c r="DS56" s="14" t="str">
        <f t="shared" si="36"/>
        <v/>
      </c>
      <c r="DT56" s="14">
        <f t="shared" si="37"/>
        <v>4</v>
      </c>
      <c r="DU56" s="14">
        <f t="shared" si="38"/>
        <v>2</v>
      </c>
      <c r="DV56" s="14">
        <f t="shared" si="39"/>
        <v>11</v>
      </c>
      <c r="DW56" s="29" t="s">
        <v>758</v>
      </c>
      <c r="DX56" s="14">
        <f t="shared" si="40"/>
        <v>50</v>
      </c>
      <c r="EA56" s="37"/>
      <c r="EB56" s="37"/>
      <c r="EC56" s="37"/>
      <c r="ED56" s="37"/>
      <c r="EF56" s="37"/>
      <c r="EG56" s="37"/>
      <c r="EM56" s="37"/>
      <c r="EN56" s="37"/>
      <c r="ET56" s="13">
        <v>52</v>
      </c>
      <c r="EU56" s="13">
        <f t="shared" si="41"/>
        <v>5</v>
      </c>
      <c r="EV56" s="13" t="str">
        <f t="shared" si="42"/>
        <v>150级寄灵人洗练-4</v>
      </c>
      <c r="EW56" s="13">
        <f t="shared" si="43"/>
        <v>15</v>
      </c>
      <c r="EX56" s="13">
        <f t="shared" si="44"/>
        <v>4</v>
      </c>
      <c r="EY56" s="13">
        <f t="shared" si="45"/>
        <v>500</v>
      </c>
      <c r="EZ56" s="13" t="str">
        <f t="shared" si="46"/>
        <v>AtkRate</v>
      </c>
      <c r="FA56" s="13">
        <f t="shared" si="47"/>
        <v>1.4E-2</v>
      </c>
      <c r="FB56" s="13">
        <f t="shared" si="48"/>
        <v>0.04</v>
      </c>
    </row>
    <row r="57" spans="1:158" s="20" customFormat="1" ht="16.5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13">
        <v>52</v>
      </c>
      <c r="BS57" s="13">
        <v>5</v>
      </c>
      <c r="BT57" s="13">
        <v>100</v>
      </c>
      <c r="BU57" s="13">
        <v>2</v>
      </c>
      <c r="BV57" s="13">
        <v>2</v>
      </c>
      <c r="BW57" s="13">
        <v>2</v>
      </c>
      <c r="BX57" s="13">
        <f t="shared" si="49"/>
        <v>2052020</v>
      </c>
      <c r="BY57" s="13" t="s">
        <v>798</v>
      </c>
      <c r="BZ57" s="13"/>
      <c r="CA57" s="13">
        <v>8</v>
      </c>
      <c r="CB57" s="13">
        <f>SUM(CA$6:CA57)</f>
        <v>378</v>
      </c>
      <c r="CC57" s="13">
        <v>1</v>
      </c>
      <c r="CD57" s="13">
        <v>2</v>
      </c>
      <c r="CE57" s="13">
        <v>3</v>
      </c>
      <c r="CF57" s="13">
        <v>4</v>
      </c>
      <c r="CG57" s="13">
        <v>5</v>
      </c>
      <c r="CH57" s="13">
        <v>6</v>
      </c>
      <c r="CI57" s="13">
        <v>7</v>
      </c>
      <c r="CJ57" s="13">
        <v>8</v>
      </c>
      <c r="CK57" s="37"/>
      <c r="CM57" s="13">
        <v>53</v>
      </c>
      <c r="CN57" s="14">
        <f t="shared" si="14"/>
        <v>7</v>
      </c>
      <c r="CO57" s="14">
        <f t="shared" si="15"/>
        <v>1</v>
      </c>
      <c r="CP57" s="14">
        <f t="shared" si="16"/>
        <v>5</v>
      </c>
      <c r="CQ57" s="14">
        <f t="shared" si="1"/>
        <v>1</v>
      </c>
      <c r="CR57" s="14">
        <f t="shared" si="2"/>
        <v>2014015</v>
      </c>
      <c r="CS57" s="13" t="str">
        <f t="shared" si="3"/>
        <v>30级寄灵人橙色-鞋子</v>
      </c>
      <c r="CT57" s="14">
        <f t="shared" si="4"/>
        <v>1</v>
      </c>
      <c r="CU57" s="14">
        <f t="shared" si="5"/>
        <v>4</v>
      </c>
      <c r="CV57" s="14">
        <f t="shared" si="17"/>
        <v>30</v>
      </c>
      <c r="CW57" s="14">
        <f t="shared" si="18"/>
        <v>30</v>
      </c>
      <c r="CX57" s="14">
        <f t="shared" si="19"/>
        <v>5</v>
      </c>
      <c r="CY57" s="14" t="str">
        <f t="shared" si="20"/>
        <v/>
      </c>
      <c r="CZ57" s="14">
        <f t="shared" si="21"/>
        <v>9</v>
      </c>
      <c r="DA57" s="14">
        <f t="shared" si="22"/>
        <v>0</v>
      </c>
      <c r="DB57" s="14">
        <f t="shared" si="23"/>
        <v>0</v>
      </c>
      <c r="DC57" s="14">
        <f t="shared" si="24"/>
        <v>90</v>
      </c>
      <c r="DD57" s="14">
        <f t="shared" si="25"/>
        <v>0</v>
      </c>
      <c r="DE57" s="14">
        <f t="shared" si="26"/>
        <v>0</v>
      </c>
      <c r="DF57" s="14">
        <f t="shared" si="27"/>
        <v>9</v>
      </c>
      <c r="DG57" s="14">
        <f t="shared" si="28"/>
        <v>4</v>
      </c>
      <c r="DH57" s="14">
        <f t="shared" si="29"/>
        <v>2</v>
      </c>
      <c r="DI57" s="14">
        <f t="shared" si="30"/>
        <v>11</v>
      </c>
      <c r="DL57" s="14">
        <f t="shared" si="6"/>
        <v>3</v>
      </c>
      <c r="DM57" s="14">
        <f t="shared" si="7"/>
        <v>0</v>
      </c>
      <c r="DN57" s="14" t="str">
        <f t="shared" si="31"/>
        <v>HPExt</v>
      </c>
      <c r="DO57" s="14">
        <f t="shared" si="32"/>
        <v>90</v>
      </c>
      <c r="DP57" s="14">
        <f t="shared" si="33"/>
        <v>9</v>
      </c>
      <c r="DQ57" s="14" t="str">
        <f t="shared" si="34"/>
        <v/>
      </c>
      <c r="DR57" s="14" t="str">
        <f t="shared" si="35"/>
        <v/>
      </c>
      <c r="DS57" s="14" t="str">
        <f t="shared" si="36"/>
        <v/>
      </c>
      <c r="DT57" s="14">
        <f t="shared" si="37"/>
        <v>4</v>
      </c>
      <c r="DU57" s="14">
        <f t="shared" si="38"/>
        <v>2</v>
      </c>
      <c r="DV57" s="14">
        <f t="shared" si="39"/>
        <v>11</v>
      </c>
      <c r="DW57" s="29" t="s">
        <v>758</v>
      </c>
      <c r="DX57" s="14">
        <f t="shared" si="40"/>
        <v>50</v>
      </c>
      <c r="EA57" s="37"/>
      <c r="EB57" s="37"/>
      <c r="EC57" s="37"/>
      <c r="ED57" s="37"/>
      <c r="EF57" s="37"/>
      <c r="EG57" s="37"/>
      <c r="EM57" s="37"/>
      <c r="EN57" s="37"/>
      <c r="ET57" s="13">
        <v>53</v>
      </c>
      <c r="EU57" s="13">
        <f t="shared" si="41"/>
        <v>5</v>
      </c>
      <c r="EV57" s="13" t="str">
        <f t="shared" si="42"/>
        <v>150级寄灵人洗练-5</v>
      </c>
      <c r="EW57" s="13">
        <f t="shared" si="43"/>
        <v>15</v>
      </c>
      <c r="EX57" s="13">
        <f t="shared" si="44"/>
        <v>5</v>
      </c>
      <c r="EY57" s="13">
        <f t="shared" si="45"/>
        <v>400</v>
      </c>
      <c r="EZ57" s="13" t="str">
        <f t="shared" si="46"/>
        <v>DefRate</v>
      </c>
      <c r="FA57" s="13">
        <f t="shared" si="47"/>
        <v>1.4E-2</v>
      </c>
      <c r="FB57" s="13">
        <f t="shared" si="48"/>
        <v>0.04</v>
      </c>
    </row>
    <row r="58" spans="1:158" s="20" customFormat="1" ht="16.5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13">
        <v>53</v>
      </c>
      <c r="BS58" s="13">
        <v>5</v>
      </c>
      <c r="BT58" s="13">
        <v>100</v>
      </c>
      <c r="BU58" s="13">
        <v>3</v>
      </c>
      <c r="BV58" s="13">
        <v>1</v>
      </c>
      <c r="BW58" s="13">
        <v>1</v>
      </c>
      <c r="BX58" s="13">
        <f t="shared" si="49"/>
        <v>2053010</v>
      </c>
      <c r="BY58" s="13" t="s">
        <v>799</v>
      </c>
      <c r="BZ58" s="13"/>
      <c r="CA58" s="13">
        <v>8</v>
      </c>
      <c r="CB58" s="13">
        <f>SUM(CA$6:CA58)</f>
        <v>386</v>
      </c>
      <c r="CC58" s="13">
        <v>1</v>
      </c>
      <c r="CD58" s="13">
        <v>2</v>
      </c>
      <c r="CE58" s="13">
        <v>3</v>
      </c>
      <c r="CF58" s="13">
        <v>4</v>
      </c>
      <c r="CG58" s="13">
        <v>5</v>
      </c>
      <c r="CH58" s="13">
        <v>6</v>
      </c>
      <c r="CI58" s="13">
        <v>7</v>
      </c>
      <c r="CJ58" s="13">
        <v>8</v>
      </c>
      <c r="CK58" s="37"/>
      <c r="CM58" s="13">
        <v>54</v>
      </c>
      <c r="CN58" s="14">
        <f t="shared" si="14"/>
        <v>7</v>
      </c>
      <c r="CO58" s="14">
        <f t="shared" si="15"/>
        <v>1</v>
      </c>
      <c r="CP58" s="14">
        <f t="shared" si="16"/>
        <v>6</v>
      </c>
      <c r="CQ58" s="14">
        <f t="shared" si="1"/>
        <v>1</v>
      </c>
      <c r="CR58" s="14">
        <f t="shared" si="2"/>
        <v>2014016</v>
      </c>
      <c r="CS58" s="13" t="str">
        <f t="shared" si="3"/>
        <v>30级寄灵人橙色-护手</v>
      </c>
      <c r="CT58" s="14">
        <f t="shared" si="4"/>
        <v>1</v>
      </c>
      <c r="CU58" s="14">
        <f t="shared" si="5"/>
        <v>4</v>
      </c>
      <c r="CV58" s="14">
        <f t="shared" si="17"/>
        <v>30</v>
      </c>
      <c r="CW58" s="14">
        <f t="shared" si="18"/>
        <v>30</v>
      </c>
      <c r="CX58" s="14">
        <f t="shared" si="19"/>
        <v>6</v>
      </c>
      <c r="CY58" s="14" t="str">
        <f t="shared" si="20"/>
        <v/>
      </c>
      <c r="CZ58" s="14">
        <f t="shared" si="21"/>
        <v>9</v>
      </c>
      <c r="DA58" s="14">
        <f t="shared" si="22"/>
        <v>0</v>
      </c>
      <c r="DB58" s="14">
        <f t="shared" si="23"/>
        <v>0</v>
      </c>
      <c r="DC58" s="14">
        <f t="shared" si="24"/>
        <v>90</v>
      </c>
      <c r="DD58" s="14">
        <f t="shared" si="25"/>
        <v>0</v>
      </c>
      <c r="DE58" s="14">
        <f t="shared" si="26"/>
        <v>0</v>
      </c>
      <c r="DF58" s="14">
        <f t="shared" si="27"/>
        <v>9</v>
      </c>
      <c r="DG58" s="14">
        <f t="shared" si="28"/>
        <v>4</v>
      </c>
      <c r="DH58" s="14">
        <f t="shared" si="29"/>
        <v>2</v>
      </c>
      <c r="DI58" s="14">
        <f t="shared" si="30"/>
        <v>11</v>
      </c>
      <c r="DL58" s="14">
        <f t="shared" si="6"/>
        <v>3</v>
      </c>
      <c r="DM58" s="14">
        <f t="shared" si="7"/>
        <v>0</v>
      </c>
      <c r="DN58" s="14" t="str">
        <f t="shared" si="31"/>
        <v>HPExt</v>
      </c>
      <c r="DO58" s="14">
        <f t="shared" si="32"/>
        <v>90</v>
      </c>
      <c r="DP58" s="14">
        <f t="shared" si="33"/>
        <v>9</v>
      </c>
      <c r="DQ58" s="14" t="str">
        <f t="shared" si="34"/>
        <v/>
      </c>
      <c r="DR58" s="14" t="str">
        <f t="shared" si="35"/>
        <v/>
      </c>
      <c r="DS58" s="14" t="str">
        <f t="shared" si="36"/>
        <v/>
      </c>
      <c r="DT58" s="14">
        <f t="shared" si="37"/>
        <v>4</v>
      </c>
      <c r="DU58" s="14">
        <f t="shared" si="38"/>
        <v>2</v>
      </c>
      <c r="DV58" s="14">
        <f t="shared" si="39"/>
        <v>11</v>
      </c>
      <c r="DW58" s="29" t="s">
        <v>758</v>
      </c>
      <c r="DX58" s="14">
        <f t="shared" si="40"/>
        <v>50</v>
      </c>
      <c r="EA58" s="37"/>
      <c r="EB58" s="37"/>
      <c r="EC58" s="37"/>
      <c r="ED58" s="37"/>
      <c r="EF58" s="37"/>
      <c r="EG58" s="37"/>
      <c r="EM58" s="37"/>
      <c r="EN58" s="37"/>
      <c r="ET58" s="13">
        <v>54</v>
      </c>
      <c r="EU58" s="13">
        <f t="shared" si="41"/>
        <v>5</v>
      </c>
      <c r="EV58" s="13" t="str">
        <f t="shared" si="42"/>
        <v>150级寄灵人洗练-6</v>
      </c>
      <c r="EW58" s="13">
        <f t="shared" si="43"/>
        <v>15</v>
      </c>
      <c r="EX58" s="13">
        <f t="shared" si="44"/>
        <v>6</v>
      </c>
      <c r="EY58" s="13">
        <f t="shared" si="45"/>
        <v>500</v>
      </c>
      <c r="EZ58" s="13" t="str">
        <f t="shared" si="46"/>
        <v>HPRate</v>
      </c>
      <c r="FA58" s="13">
        <f t="shared" si="47"/>
        <v>1.4E-2</v>
      </c>
      <c r="FB58" s="13">
        <f t="shared" si="48"/>
        <v>0.04</v>
      </c>
    </row>
    <row r="59" spans="1:158" s="20" customFormat="1" ht="16.5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13">
        <v>54</v>
      </c>
      <c r="BS59" s="13">
        <v>5</v>
      </c>
      <c r="BT59" s="13">
        <v>100</v>
      </c>
      <c r="BU59" s="13">
        <v>3</v>
      </c>
      <c r="BV59" s="13">
        <v>2</v>
      </c>
      <c r="BW59" s="13">
        <v>2</v>
      </c>
      <c r="BX59" s="13">
        <f t="shared" si="49"/>
        <v>2053020</v>
      </c>
      <c r="BY59" s="13" t="s">
        <v>800</v>
      </c>
      <c r="BZ59" s="13"/>
      <c r="CA59" s="13">
        <v>8</v>
      </c>
      <c r="CB59" s="13">
        <f>SUM(CA$6:CA59)</f>
        <v>394</v>
      </c>
      <c r="CC59" s="13">
        <v>1</v>
      </c>
      <c r="CD59" s="13">
        <v>2</v>
      </c>
      <c r="CE59" s="13">
        <v>3</v>
      </c>
      <c r="CF59" s="13">
        <v>4</v>
      </c>
      <c r="CG59" s="13">
        <v>5</v>
      </c>
      <c r="CH59" s="13">
        <v>6</v>
      </c>
      <c r="CI59" s="13">
        <v>7</v>
      </c>
      <c r="CJ59" s="13">
        <v>8</v>
      </c>
      <c r="CK59" s="37"/>
      <c r="CM59" s="13">
        <v>55</v>
      </c>
      <c r="CN59" s="14">
        <f t="shared" si="14"/>
        <v>7</v>
      </c>
      <c r="CO59" s="14">
        <f t="shared" si="15"/>
        <v>1</v>
      </c>
      <c r="CP59" s="14">
        <f t="shared" si="16"/>
        <v>7</v>
      </c>
      <c r="CQ59" s="14">
        <f t="shared" si="1"/>
        <v>1</v>
      </c>
      <c r="CR59" s="14">
        <f t="shared" si="2"/>
        <v>2014017</v>
      </c>
      <c r="CS59" s="13" t="str">
        <f t="shared" si="3"/>
        <v>30级寄灵人橙色-项链</v>
      </c>
      <c r="CT59" s="14">
        <f t="shared" si="4"/>
        <v>1</v>
      </c>
      <c r="CU59" s="14">
        <f t="shared" si="5"/>
        <v>4</v>
      </c>
      <c r="CV59" s="14">
        <f t="shared" si="17"/>
        <v>30</v>
      </c>
      <c r="CW59" s="14">
        <f t="shared" si="18"/>
        <v>30</v>
      </c>
      <c r="CX59" s="14">
        <f t="shared" si="19"/>
        <v>7</v>
      </c>
      <c r="CY59" s="14" t="str">
        <f t="shared" si="20"/>
        <v/>
      </c>
      <c r="CZ59" s="14">
        <f t="shared" si="21"/>
        <v>19</v>
      </c>
      <c r="DA59" s="14">
        <f t="shared" si="22"/>
        <v>18</v>
      </c>
      <c r="DB59" s="14">
        <f t="shared" si="23"/>
        <v>11</v>
      </c>
      <c r="DC59" s="14">
        <f t="shared" si="24"/>
        <v>0</v>
      </c>
      <c r="DD59" s="14">
        <f t="shared" si="25"/>
        <v>1.8</v>
      </c>
      <c r="DE59" s="14">
        <f t="shared" si="26"/>
        <v>1</v>
      </c>
      <c r="DF59" s="14">
        <f t="shared" si="27"/>
        <v>0</v>
      </c>
      <c r="DG59" s="14">
        <f t="shared" si="28"/>
        <v>4</v>
      </c>
      <c r="DH59" s="14">
        <f t="shared" si="29"/>
        <v>2</v>
      </c>
      <c r="DI59" s="14">
        <f t="shared" si="30"/>
        <v>11</v>
      </c>
      <c r="DL59" s="14">
        <f t="shared" si="6"/>
        <v>1</v>
      </c>
      <c r="DM59" s="14">
        <f t="shared" si="7"/>
        <v>2</v>
      </c>
      <c r="DN59" s="14" t="str">
        <f t="shared" si="31"/>
        <v>AtkExt</v>
      </c>
      <c r="DO59" s="14">
        <f t="shared" si="32"/>
        <v>18</v>
      </c>
      <c r="DP59" s="14">
        <f t="shared" si="33"/>
        <v>1.8</v>
      </c>
      <c r="DQ59" s="14" t="str">
        <f t="shared" si="34"/>
        <v>DefExt</v>
      </c>
      <c r="DR59" s="14">
        <f t="shared" si="35"/>
        <v>11</v>
      </c>
      <c r="DS59" s="14">
        <f t="shared" si="36"/>
        <v>1</v>
      </c>
      <c r="DT59" s="14">
        <f t="shared" si="37"/>
        <v>4</v>
      </c>
      <c r="DU59" s="14">
        <f t="shared" si="38"/>
        <v>2</v>
      </c>
      <c r="DV59" s="14">
        <f t="shared" si="39"/>
        <v>11</v>
      </c>
      <c r="DW59" s="29" t="s">
        <v>758</v>
      </c>
      <c r="DX59" s="14">
        <f t="shared" si="40"/>
        <v>50</v>
      </c>
      <c r="EA59" s="37"/>
      <c r="EB59" s="37"/>
      <c r="EC59" s="37"/>
      <c r="ED59" s="37"/>
      <c r="EF59" s="37"/>
      <c r="EG59" s="37"/>
      <c r="EM59" s="37"/>
      <c r="EN59" s="37"/>
      <c r="ET59" s="13">
        <v>55</v>
      </c>
      <c r="EU59" s="13">
        <f t="shared" si="41"/>
        <v>5</v>
      </c>
      <c r="EV59" s="13" t="str">
        <f t="shared" si="42"/>
        <v>150级寄灵人洗练-7</v>
      </c>
      <c r="EW59" s="13">
        <f t="shared" si="43"/>
        <v>15</v>
      </c>
      <c r="EX59" s="13">
        <f t="shared" si="44"/>
        <v>7</v>
      </c>
      <c r="EY59" s="13">
        <f t="shared" si="45"/>
        <v>500</v>
      </c>
      <c r="EZ59" s="13" t="str">
        <f t="shared" si="46"/>
        <v>Crit</v>
      </c>
      <c r="FA59" s="13">
        <f t="shared" si="47"/>
        <v>1.0999999999999999E-2</v>
      </c>
      <c r="FB59" s="13">
        <f t="shared" si="48"/>
        <v>0.03</v>
      </c>
    </row>
    <row r="60" spans="1:158" s="20" customFormat="1" ht="16.5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13">
        <v>55</v>
      </c>
      <c r="BS60" s="13">
        <v>5</v>
      </c>
      <c r="BT60" s="13">
        <v>100</v>
      </c>
      <c r="BU60" s="13">
        <v>4</v>
      </c>
      <c r="BV60" s="13">
        <v>1</v>
      </c>
      <c r="BW60" s="13">
        <v>1</v>
      </c>
      <c r="BX60" s="13">
        <f t="shared" si="49"/>
        <v>2054010</v>
      </c>
      <c r="BY60" s="13" t="s">
        <v>801</v>
      </c>
      <c r="BZ60" s="13"/>
      <c r="CA60" s="13">
        <v>8</v>
      </c>
      <c r="CB60" s="13">
        <f>SUM(CA$6:CA60)</f>
        <v>402</v>
      </c>
      <c r="CC60" s="13">
        <v>1</v>
      </c>
      <c r="CD60" s="13">
        <v>2</v>
      </c>
      <c r="CE60" s="13">
        <v>3</v>
      </c>
      <c r="CF60" s="13">
        <v>4</v>
      </c>
      <c r="CG60" s="13">
        <v>5</v>
      </c>
      <c r="CH60" s="13">
        <v>6</v>
      </c>
      <c r="CI60" s="13">
        <v>7</v>
      </c>
      <c r="CJ60" s="13">
        <v>8</v>
      </c>
      <c r="CK60" s="37"/>
      <c r="CM60" s="13">
        <v>56</v>
      </c>
      <c r="CN60" s="14">
        <f t="shared" si="14"/>
        <v>7</v>
      </c>
      <c r="CO60" s="14">
        <f t="shared" si="15"/>
        <v>1</v>
      </c>
      <c r="CP60" s="14">
        <f t="shared" si="16"/>
        <v>8</v>
      </c>
      <c r="CQ60" s="14">
        <f t="shared" si="1"/>
        <v>1</v>
      </c>
      <c r="CR60" s="14">
        <f t="shared" si="2"/>
        <v>2014018</v>
      </c>
      <c r="CS60" s="13" t="str">
        <f t="shared" si="3"/>
        <v>30级寄灵人橙色-戒指</v>
      </c>
      <c r="CT60" s="14">
        <f t="shared" si="4"/>
        <v>1</v>
      </c>
      <c r="CU60" s="14">
        <f t="shared" si="5"/>
        <v>4</v>
      </c>
      <c r="CV60" s="14">
        <f t="shared" si="17"/>
        <v>30</v>
      </c>
      <c r="CW60" s="14">
        <f t="shared" si="18"/>
        <v>30</v>
      </c>
      <c r="CX60" s="14">
        <f t="shared" si="19"/>
        <v>8</v>
      </c>
      <c r="CY60" s="14" t="str">
        <f t="shared" si="20"/>
        <v/>
      </c>
      <c r="CZ60" s="14">
        <f t="shared" si="21"/>
        <v>16</v>
      </c>
      <c r="DA60" s="14">
        <f t="shared" si="22"/>
        <v>18</v>
      </c>
      <c r="DB60" s="14">
        <f t="shared" si="23"/>
        <v>0</v>
      </c>
      <c r="DC60" s="14">
        <f t="shared" si="24"/>
        <v>75</v>
      </c>
      <c r="DD60" s="14">
        <f t="shared" si="25"/>
        <v>1.8</v>
      </c>
      <c r="DE60" s="14">
        <f t="shared" si="26"/>
        <v>0</v>
      </c>
      <c r="DF60" s="14">
        <f t="shared" si="27"/>
        <v>7.5</v>
      </c>
      <c r="DG60" s="14">
        <f t="shared" si="28"/>
        <v>4</v>
      </c>
      <c r="DH60" s="14">
        <f t="shared" si="29"/>
        <v>2</v>
      </c>
      <c r="DI60" s="14">
        <f t="shared" si="30"/>
        <v>11</v>
      </c>
      <c r="DL60" s="14">
        <f t="shared" si="6"/>
        <v>1</v>
      </c>
      <c r="DM60" s="14">
        <f t="shared" si="7"/>
        <v>3</v>
      </c>
      <c r="DN60" s="14" t="str">
        <f t="shared" si="31"/>
        <v>AtkExt</v>
      </c>
      <c r="DO60" s="14">
        <f t="shared" si="32"/>
        <v>18</v>
      </c>
      <c r="DP60" s="14">
        <f t="shared" si="33"/>
        <v>1.8</v>
      </c>
      <c r="DQ60" s="14" t="str">
        <f t="shared" si="34"/>
        <v>HPExt</v>
      </c>
      <c r="DR60" s="14">
        <f t="shared" si="35"/>
        <v>75</v>
      </c>
      <c r="DS60" s="14">
        <f t="shared" si="36"/>
        <v>7.5</v>
      </c>
      <c r="DT60" s="14">
        <f t="shared" si="37"/>
        <v>4</v>
      </c>
      <c r="DU60" s="14">
        <f t="shared" si="38"/>
        <v>2</v>
      </c>
      <c r="DV60" s="14">
        <f t="shared" si="39"/>
        <v>11</v>
      </c>
      <c r="DW60" s="29" t="s">
        <v>758</v>
      </c>
      <c r="DX60" s="14">
        <f t="shared" si="40"/>
        <v>50</v>
      </c>
      <c r="EA60" s="37"/>
      <c r="EB60" s="37"/>
      <c r="EC60" s="37"/>
      <c r="ED60" s="37"/>
      <c r="EF60" s="37"/>
      <c r="EG60" s="37"/>
      <c r="EM60" s="37"/>
      <c r="EN60" s="37"/>
      <c r="ET60" s="13">
        <v>56</v>
      </c>
      <c r="EU60" s="13">
        <f t="shared" si="41"/>
        <v>5</v>
      </c>
      <c r="EV60" s="13" t="str">
        <f t="shared" si="42"/>
        <v>150级寄灵人洗练-8</v>
      </c>
      <c r="EW60" s="13">
        <f t="shared" si="43"/>
        <v>15</v>
      </c>
      <c r="EX60" s="13">
        <f t="shared" si="44"/>
        <v>8</v>
      </c>
      <c r="EY60" s="13">
        <f t="shared" si="45"/>
        <v>500</v>
      </c>
      <c r="EZ60" s="13" t="str">
        <f t="shared" si="46"/>
        <v>CritRate</v>
      </c>
      <c r="FA60" s="13">
        <f t="shared" si="47"/>
        <v>2.8000000000000001E-2</v>
      </c>
      <c r="FB60" s="13">
        <f t="shared" si="48"/>
        <v>0.08</v>
      </c>
    </row>
    <row r="61" spans="1:158" s="20" customFormat="1" ht="16.5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13">
        <v>56</v>
      </c>
      <c r="BS61" s="13">
        <v>5</v>
      </c>
      <c r="BT61" s="13">
        <v>100</v>
      </c>
      <c r="BU61" s="13">
        <v>4</v>
      </c>
      <c r="BV61" s="13">
        <v>2</v>
      </c>
      <c r="BW61" s="13">
        <v>2</v>
      </c>
      <c r="BX61" s="13">
        <f t="shared" si="49"/>
        <v>2054020</v>
      </c>
      <c r="BY61" s="13" t="s">
        <v>802</v>
      </c>
      <c r="BZ61" s="13"/>
      <c r="CA61" s="13">
        <v>8</v>
      </c>
      <c r="CB61" s="13">
        <f>SUM(CA$6:CA61)</f>
        <v>410</v>
      </c>
      <c r="CC61" s="13">
        <v>1</v>
      </c>
      <c r="CD61" s="13">
        <v>2</v>
      </c>
      <c r="CE61" s="13">
        <v>3</v>
      </c>
      <c r="CF61" s="13">
        <v>4</v>
      </c>
      <c r="CG61" s="13">
        <v>5</v>
      </c>
      <c r="CH61" s="13">
        <v>6</v>
      </c>
      <c r="CI61" s="13">
        <v>7</v>
      </c>
      <c r="CJ61" s="13">
        <v>8</v>
      </c>
      <c r="CK61" s="37"/>
      <c r="CM61" s="13">
        <v>57</v>
      </c>
      <c r="CN61" s="14">
        <f t="shared" si="14"/>
        <v>8</v>
      </c>
      <c r="CO61" s="14">
        <f t="shared" si="15"/>
        <v>2</v>
      </c>
      <c r="CP61" s="14">
        <f t="shared" si="16"/>
        <v>1</v>
      </c>
      <c r="CQ61" s="14">
        <f t="shared" si="1"/>
        <v>1</v>
      </c>
      <c r="CR61" s="14">
        <f t="shared" si="2"/>
        <v>2014021</v>
      </c>
      <c r="CS61" s="13" t="str">
        <f t="shared" si="3"/>
        <v>30级守护灵橙色-武器</v>
      </c>
      <c r="CT61" s="14">
        <f t="shared" si="4"/>
        <v>2</v>
      </c>
      <c r="CU61" s="14">
        <f t="shared" si="5"/>
        <v>4</v>
      </c>
      <c r="CV61" s="14">
        <f t="shared" si="17"/>
        <v>30</v>
      </c>
      <c r="CW61" s="14">
        <f t="shared" si="18"/>
        <v>30</v>
      </c>
      <c r="CX61" s="14">
        <f t="shared" si="19"/>
        <v>1</v>
      </c>
      <c r="CY61" s="14" t="str">
        <f t="shared" si="20"/>
        <v/>
      </c>
      <c r="CZ61" s="14">
        <f t="shared" si="21"/>
        <v>30</v>
      </c>
      <c r="DA61" s="14">
        <f t="shared" si="22"/>
        <v>60</v>
      </c>
      <c r="DB61" s="14">
        <f t="shared" si="23"/>
        <v>0</v>
      </c>
      <c r="DC61" s="14">
        <f t="shared" si="24"/>
        <v>0</v>
      </c>
      <c r="DD61" s="14">
        <f t="shared" si="25"/>
        <v>6</v>
      </c>
      <c r="DE61" s="14">
        <f t="shared" si="26"/>
        <v>0</v>
      </c>
      <c r="DF61" s="14">
        <f t="shared" si="27"/>
        <v>0</v>
      </c>
      <c r="DG61" s="14">
        <f t="shared" si="28"/>
        <v>4</v>
      </c>
      <c r="DH61" s="14">
        <f t="shared" si="29"/>
        <v>2</v>
      </c>
      <c r="DI61" s="14">
        <f t="shared" si="30"/>
        <v>21</v>
      </c>
      <c r="DL61" s="14">
        <f t="shared" si="6"/>
        <v>1</v>
      </c>
      <c r="DM61" s="14">
        <f t="shared" si="7"/>
        <v>0</v>
      </c>
      <c r="DN61" s="14" t="str">
        <f t="shared" si="31"/>
        <v>AtkExt</v>
      </c>
      <c r="DO61" s="14">
        <f t="shared" si="32"/>
        <v>60</v>
      </c>
      <c r="DP61" s="14">
        <f t="shared" si="33"/>
        <v>6</v>
      </c>
      <c r="DQ61" s="14" t="str">
        <f t="shared" si="34"/>
        <v/>
      </c>
      <c r="DR61" s="14" t="str">
        <f t="shared" si="35"/>
        <v/>
      </c>
      <c r="DS61" s="14" t="str">
        <f t="shared" si="36"/>
        <v/>
      </c>
      <c r="DT61" s="14">
        <f t="shared" si="37"/>
        <v>4</v>
      </c>
      <c r="DU61" s="14">
        <f t="shared" si="38"/>
        <v>2</v>
      </c>
      <c r="DV61" s="14">
        <f t="shared" si="39"/>
        <v>21</v>
      </c>
      <c r="DW61" s="29" t="s">
        <v>758</v>
      </c>
      <c r="DX61" s="14">
        <f t="shared" si="40"/>
        <v>50</v>
      </c>
      <c r="EA61" s="37"/>
      <c r="EB61" s="37"/>
      <c r="EC61" s="37"/>
      <c r="ED61" s="37"/>
      <c r="EF61" s="37"/>
      <c r="EG61" s="37"/>
      <c r="EM61" s="37"/>
      <c r="EN61" s="37"/>
      <c r="ET61" s="13">
        <v>57</v>
      </c>
      <c r="EU61" s="13">
        <f t="shared" si="41"/>
        <v>5</v>
      </c>
      <c r="EV61" s="13" t="str">
        <f t="shared" si="42"/>
        <v>150级寄灵人洗练-9</v>
      </c>
      <c r="EW61" s="13">
        <f t="shared" si="43"/>
        <v>15</v>
      </c>
      <c r="EX61" s="13">
        <f t="shared" si="44"/>
        <v>9</v>
      </c>
      <c r="EY61" s="13">
        <f t="shared" si="45"/>
        <v>500</v>
      </c>
      <c r="EZ61" s="13" t="str">
        <f t="shared" si="46"/>
        <v>DefIgnor</v>
      </c>
      <c r="FA61" s="13">
        <f t="shared" si="47"/>
        <v>1.0999999999999999E-2</v>
      </c>
      <c r="FB61" s="13">
        <f t="shared" si="48"/>
        <v>0.03</v>
      </c>
    </row>
    <row r="62" spans="1:158" s="20" customFormat="1" ht="16.5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13">
        <v>57</v>
      </c>
      <c r="BS62" s="13">
        <v>5</v>
      </c>
      <c r="BT62" s="13">
        <v>100</v>
      </c>
      <c r="BU62" s="13">
        <v>4</v>
      </c>
      <c r="BV62" s="13">
        <v>1</v>
      </c>
      <c r="BW62" s="13">
        <v>3</v>
      </c>
      <c r="BX62" s="13">
        <f t="shared" si="49"/>
        <v>2054030</v>
      </c>
      <c r="BY62" s="13" t="s">
        <v>803</v>
      </c>
      <c r="BZ62" s="13">
        <v>1051</v>
      </c>
      <c r="CA62" s="13">
        <v>5</v>
      </c>
      <c r="CB62" s="13">
        <f>SUM(CA$6:CA62)</f>
        <v>415</v>
      </c>
      <c r="CC62" s="13">
        <v>1</v>
      </c>
      <c r="CD62" s="13">
        <v>2</v>
      </c>
      <c r="CE62" s="13">
        <v>3</v>
      </c>
      <c r="CF62" s="13">
        <v>7</v>
      </c>
      <c r="CG62" s="13">
        <v>8</v>
      </c>
      <c r="CH62" s="13"/>
      <c r="CI62" s="13"/>
      <c r="CJ62" s="13"/>
      <c r="CK62" s="37"/>
      <c r="CM62" s="13">
        <v>58</v>
      </c>
      <c r="CN62" s="14">
        <f t="shared" si="14"/>
        <v>8</v>
      </c>
      <c r="CO62" s="14">
        <f t="shared" si="15"/>
        <v>2</v>
      </c>
      <c r="CP62" s="14">
        <f t="shared" si="16"/>
        <v>2</v>
      </c>
      <c r="CQ62" s="14">
        <f t="shared" si="1"/>
        <v>1</v>
      </c>
      <c r="CR62" s="14">
        <f t="shared" si="2"/>
        <v>2014022</v>
      </c>
      <c r="CS62" s="13" t="str">
        <f t="shared" si="3"/>
        <v>30级守护灵橙色-头盔</v>
      </c>
      <c r="CT62" s="14">
        <f t="shared" si="4"/>
        <v>2</v>
      </c>
      <c r="CU62" s="14">
        <f t="shared" si="5"/>
        <v>4</v>
      </c>
      <c r="CV62" s="14">
        <f t="shared" si="17"/>
        <v>30</v>
      </c>
      <c r="CW62" s="14">
        <f t="shared" si="18"/>
        <v>30</v>
      </c>
      <c r="CX62" s="14">
        <f t="shared" si="19"/>
        <v>2</v>
      </c>
      <c r="CY62" s="14" t="str">
        <f t="shared" si="20"/>
        <v/>
      </c>
      <c r="CZ62" s="14">
        <f t="shared" si="21"/>
        <v>15</v>
      </c>
      <c r="DA62" s="14">
        <f t="shared" si="22"/>
        <v>0</v>
      </c>
      <c r="DB62" s="14">
        <f t="shared" si="23"/>
        <v>15</v>
      </c>
      <c r="DC62" s="14">
        <f t="shared" si="24"/>
        <v>0</v>
      </c>
      <c r="DD62" s="14">
        <f t="shared" si="25"/>
        <v>0</v>
      </c>
      <c r="DE62" s="14">
        <f t="shared" si="26"/>
        <v>1.5</v>
      </c>
      <c r="DF62" s="14">
        <f t="shared" si="27"/>
        <v>0</v>
      </c>
      <c r="DG62" s="14">
        <f t="shared" si="28"/>
        <v>4</v>
      </c>
      <c r="DH62" s="14">
        <f t="shared" si="29"/>
        <v>2</v>
      </c>
      <c r="DI62" s="14">
        <f t="shared" si="30"/>
        <v>21</v>
      </c>
      <c r="DL62" s="14">
        <f t="shared" si="6"/>
        <v>2</v>
      </c>
      <c r="DM62" s="14">
        <f t="shared" si="7"/>
        <v>0</v>
      </c>
      <c r="DN62" s="14" t="str">
        <f t="shared" si="31"/>
        <v>DefExt</v>
      </c>
      <c r="DO62" s="14">
        <f t="shared" si="32"/>
        <v>15</v>
      </c>
      <c r="DP62" s="14">
        <f t="shared" si="33"/>
        <v>1.5</v>
      </c>
      <c r="DQ62" s="14" t="str">
        <f t="shared" si="34"/>
        <v/>
      </c>
      <c r="DR62" s="14" t="str">
        <f t="shared" si="35"/>
        <v/>
      </c>
      <c r="DS62" s="14" t="str">
        <f t="shared" si="36"/>
        <v/>
      </c>
      <c r="DT62" s="14">
        <f t="shared" si="37"/>
        <v>4</v>
      </c>
      <c r="DU62" s="14">
        <f t="shared" si="38"/>
        <v>2</v>
      </c>
      <c r="DV62" s="14">
        <f t="shared" si="39"/>
        <v>21</v>
      </c>
      <c r="DW62" s="29" t="s">
        <v>758</v>
      </c>
      <c r="DX62" s="14">
        <f t="shared" si="40"/>
        <v>50</v>
      </c>
      <c r="EA62" s="37"/>
      <c r="EB62" s="37"/>
      <c r="EC62" s="37"/>
      <c r="ED62" s="37"/>
      <c r="EF62" s="37"/>
      <c r="EG62" s="37"/>
      <c r="EM62" s="37"/>
      <c r="EN62" s="37"/>
      <c r="ET62" s="13">
        <v>58</v>
      </c>
      <c r="EU62" s="13">
        <f t="shared" si="41"/>
        <v>5</v>
      </c>
      <c r="EV62" s="13" t="str">
        <f t="shared" si="42"/>
        <v>150级寄灵人洗练-10</v>
      </c>
      <c r="EW62" s="13">
        <f t="shared" si="43"/>
        <v>15</v>
      </c>
      <c r="EX62" s="13">
        <f t="shared" si="44"/>
        <v>10</v>
      </c>
      <c r="EY62" s="13">
        <f t="shared" si="45"/>
        <v>500</v>
      </c>
      <c r="EZ62" s="13" t="str">
        <f t="shared" si="46"/>
        <v>Block</v>
      </c>
      <c r="FA62" s="13">
        <f t="shared" si="47"/>
        <v>1.0999999999999999E-2</v>
      </c>
      <c r="FB62" s="13">
        <f t="shared" si="48"/>
        <v>0.03</v>
      </c>
    </row>
    <row r="63" spans="1:158" s="20" customFormat="1" ht="16.5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13">
        <v>58</v>
      </c>
      <c r="BS63" s="13">
        <v>5</v>
      </c>
      <c r="BT63" s="13">
        <v>100</v>
      </c>
      <c r="BU63" s="13">
        <v>4</v>
      </c>
      <c r="BV63" s="13">
        <v>2</v>
      </c>
      <c r="BW63" s="13">
        <v>4</v>
      </c>
      <c r="BX63" s="13">
        <f t="shared" si="49"/>
        <v>2054040</v>
      </c>
      <c r="BY63" s="13" t="s">
        <v>804</v>
      </c>
      <c r="BZ63" s="13">
        <v>2051</v>
      </c>
      <c r="CA63" s="13">
        <v>5</v>
      </c>
      <c r="CB63" s="13">
        <f>SUM(CA$6:CA63)</f>
        <v>420</v>
      </c>
      <c r="CC63" s="13">
        <v>1</v>
      </c>
      <c r="CD63" s="13">
        <v>2</v>
      </c>
      <c r="CE63" s="13">
        <v>3</v>
      </c>
      <c r="CF63" s="13">
        <v>7</v>
      </c>
      <c r="CG63" s="13">
        <v>8</v>
      </c>
      <c r="CH63" s="13"/>
      <c r="CI63" s="13"/>
      <c r="CJ63" s="13"/>
      <c r="CK63" s="37"/>
      <c r="CM63" s="13">
        <v>59</v>
      </c>
      <c r="CN63" s="14">
        <f t="shared" si="14"/>
        <v>8</v>
      </c>
      <c r="CO63" s="14">
        <f t="shared" si="15"/>
        <v>2</v>
      </c>
      <c r="CP63" s="14">
        <f t="shared" si="16"/>
        <v>3</v>
      </c>
      <c r="CQ63" s="14">
        <f t="shared" si="1"/>
        <v>1</v>
      </c>
      <c r="CR63" s="14">
        <f t="shared" si="2"/>
        <v>2014023</v>
      </c>
      <c r="CS63" s="13" t="str">
        <f t="shared" si="3"/>
        <v>30级守护灵橙色-肩甲</v>
      </c>
      <c r="CT63" s="14">
        <f t="shared" si="4"/>
        <v>2</v>
      </c>
      <c r="CU63" s="14">
        <f t="shared" si="5"/>
        <v>4</v>
      </c>
      <c r="CV63" s="14">
        <f t="shared" si="17"/>
        <v>30</v>
      </c>
      <c r="CW63" s="14">
        <f t="shared" si="18"/>
        <v>30</v>
      </c>
      <c r="CX63" s="14">
        <f t="shared" si="19"/>
        <v>3</v>
      </c>
      <c r="CY63" s="14" t="str">
        <f t="shared" si="20"/>
        <v/>
      </c>
      <c r="CZ63" s="14">
        <f t="shared" si="21"/>
        <v>15</v>
      </c>
      <c r="DA63" s="14">
        <f t="shared" si="22"/>
        <v>0</v>
      </c>
      <c r="DB63" s="14">
        <f t="shared" si="23"/>
        <v>8</v>
      </c>
      <c r="DC63" s="14">
        <f t="shared" si="24"/>
        <v>150</v>
      </c>
      <c r="DD63" s="14">
        <f t="shared" si="25"/>
        <v>0</v>
      </c>
      <c r="DE63" s="14">
        <f t="shared" si="26"/>
        <v>0.75</v>
      </c>
      <c r="DF63" s="14">
        <f t="shared" si="27"/>
        <v>7.5</v>
      </c>
      <c r="DG63" s="14">
        <f t="shared" si="28"/>
        <v>4</v>
      </c>
      <c r="DH63" s="14">
        <f t="shared" si="29"/>
        <v>2</v>
      </c>
      <c r="DI63" s="14">
        <f t="shared" si="30"/>
        <v>21</v>
      </c>
      <c r="DL63" s="14">
        <f t="shared" si="6"/>
        <v>2</v>
      </c>
      <c r="DM63" s="14">
        <f t="shared" si="7"/>
        <v>3</v>
      </c>
      <c r="DN63" s="14" t="str">
        <f t="shared" si="31"/>
        <v>DefExt</v>
      </c>
      <c r="DO63" s="14">
        <f t="shared" si="32"/>
        <v>8</v>
      </c>
      <c r="DP63" s="14">
        <f t="shared" si="33"/>
        <v>0.75</v>
      </c>
      <c r="DQ63" s="14" t="str">
        <f t="shared" si="34"/>
        <v>HPExt</v>
      </c>
      <c r="DR63" s="14">
        <f t="shared" si="35"/>
        <v>150</v>
      </c>
      <c r="DS63" s="14">
        <f t="shared" si="36"/>
        <v>7.5</v>
      </c>
      <c r="DT63" s="14">
        <f t="shared" si="37"/>
        <v>4</v>
      </c>
      <c r="DU63" s="14">
        <f t="shared" si="38"/>
        <v>2</v>
      </c>
      <c r="DV63" s="14">
        <f t="shared" si="39"/>
        <v>21</v>
      </c>
      <c r="DW63" s="29" t="s">
        <v>758</v>
      </c>
      <c r="DX63" s="14">
        <f t="shared" si="40"/>
        <v>50</v>
      </c>
      <c r="EA63" s="37"/>
      <c r="EB63" s="37"/>
      <c r="EC63" s="37"/>
      <c r="ED63" s="37"/>
      <c r="EF63" s="37"/>
      <c r="EG63" s="37"/>
      <c r="EM63" s="37"/>
      <c r="EN63" s="37"/>
      <c r="ET63" s="13">
        <v>59</v>
      </c>
      <c r="EU63" s="13">
        <f t="shared" si="41"/>
        <v>5</v>
      </c>
      <c r="EV63" s="13" t="str">
        <f t="shared" si="42"/>
        <v>150级寄灵人洗练-11</v>
      </c>
      <c r="EW63" s="13">
        <f t="shared" si="43"/>
        <v>15</v>
      </c>
      <c r="EX63" s="13">
        <f t="shared" si="44"/>
        <v>11</v>
      </c>
      <c r="EY63" s="13">
        <f t="shared" si="45"/>
        <v>500</v>
      </c>
      <c r="EZ63" s="13" t="str">
        <f t="shared" si="46"/>
        <v>EffectHit</v>
      </c>
      <c r="FA63" s="13">
        <f t="shared" si="47"/>
        <v>1.7999999999999999E-2</v>
      </c>
      <c r="FB63" s="13">
        <f t="shared" si="48"/>
        <v>0.05</v>
      </c>
    </row>
    <row r="64" spans="1:158" s="20" customFormat="1" ht="16.5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13">
        <v>59</v>
      </c>
      <c r="BS64" s="13">
        <v>5</v>
      </c>
      <c r="BT64" s="13">
        <v>100</v>
      </c>
      <c r="BU64" s="13">
        <v>4</v>
      </c>
      <c r="BV64" s="13">
        <v>1</v>
      </c>
      <c r="BW64" s="13">
        <v>5</v>
      </c>
      <c r="BX64" s="13">
        <f t="shared" si="49"/>
        <v>2054050</v>
      </c>
      <c r="BY64" s="13" t="s">
        <v>805</v>
      </c>
      <c r="BZ64" s="13">
        <v>1052</v>
      </c>
      <c r="CA64" s="13">
        <v>6</v>
      </c>
      <c r="CB64" s="13">
        <f>SUM(CA$6:CA64)</f>
        <v>426</v>
      </c>
      <c r="CC64" s="13">
        <v>1</v>
      </c>
      <c r="CD64" s="13">
        <v>2</v>
      </c>
      <c r="CE64" s="13">
        <v>3</v>
      </c>
      <c r="CF64" s="13">
        <v>4</v>
      </c>
      <c r="CG64" s="13">
        <v>5</v>
      </c>
      <c r="CH64" s="13">
        <v>6</v>
      </c>
      <c r="CI64" s="13"/>
      <c r="CJ64" s="13"/>
      <c r="CK64" s="37"/>
      <c r="CM64" s="13">
        <v>60</v>
      </c>
      <c r="CN64" s="14">
        <f t="shared" si="14"/>
        <v>8</v>
      </c>
      <c r="CO64" s="14">
        <f t="shared" si="15"/>
        <v>2</v>
      </c>
      <c r="CP64" s="14">
        <f t="shared" si="16"/>
        <v>4</v>
      </c>
      <c r="CQ64" s="14">
        <f t="shared" si="1"/>
        <v>1</v>
      </c>
      <c r="CR64" s="14">
        <f t="shared" si="2"/>
        <v>2014024</v>
      </c>
      <c r="CS64" s="13" t="str">
        <f t="shared" si="3"/>
        <v>30级守护灵橙色-衣服</v>
      </c>
      <c r="CT64" s="14">
        <f t="shared" si="4"/>
        <v>2</v>
      </c>
      <c r="CU64" s="14">
        <f t="shared" si="5"/>
        <v>4</v>
      </c>
      <c r="CV64" s="14">
        <f t="shared" si="17"/>
        <v>30</v>
      </c>
      <c r="CW64" s="14">
        <f t="shared" si="18"/>
        <v>30</v>
      </c>
      <c r="CX64" s="14">
        <f t="shared" si="19"/>
        <v>4</v>
      </c>
      <c r="CY64" s="14" t="str">
        <f t="shared" si="20"/>
        <v/>
      </c>
      <c r="CZ64" s="14">
        <f t="shared" si="21"/>
        <v>15</v>
      </c>
      <c r="DA64" s="14">
        <f t="shared" si="22"/>
        <v>0</v>
      </c>
      <c r="DB64" s="14">
        <f t="shared" si="23"/>
        <v>15</v>
      </c>
      <c r="DC64" s="14">
        <f t="shared" si="24"/>
        <v>0</v>
      </c>
      <c r="DD64" s="14">
        <f t="shared" si="25"/>
        <v>0</v>
      </c>
      <c r="DE64" s="14">
        <f t="shared" si="26"/>
        <v>1.5</v>
      </c>
      <c r="DF64" s="14">
        <f t="shared" si="27"/>
        <v>0</v>
      </c>
      <c r="DG64" s="14">
        <f t="shared" si="28"/>
        <v>4</v>
      </c>
      <c r="DH64" s="14">
        <f t="shared" si="29"/>
        <v>2</v>
      </c>
      <c r="DI64" s="14">
        <f t="shared" si="30"/>
        <v>21</v>
      </c>
      <c r="DL64" s="14">
        <f t="shared" si="6"/>
        <v>2</v>
      </c>
      <c r="DM64" s="14">
        <f t="shared" si="7"/>
        <v>0</v>
      </c>
      <c r="DN64" s="14" t="str">
        <f t="shared" si="31"/>
        <v>DefExt</v>
      </c>
      <c r="DO64" s="14">
        <f t="shared" si="32"/>
        <v>15</v>
      </c>
      <c r="DP64" s="14">
        <f t="shared" si="33"/>
        <v>1.5</v>
      </c>
      <c r="DQ64" s="14" t="str">
        <f t="shared" si="34"/>
        <v/>
      </c>
      <c r="DR64" s="14" t="str">
        <f t="shared" si="35"/>
        <v/>
      </c>
      <c r="DS64" s="14" t="str">
        <f t="shared" si="36"/>
        <v/>
      </c>
      <c r="DT64" s="14">
        <f t="shared" si="37"/>
        <v>4</v>
      </c>
      <c r="DU64" s="14">
        <f t="shared" si="38"/>
        <v>2</v>
      </c>
      <c r="DV64" s="14">
        <f t="shared" si="39"/>
        <v>21</v>
      </c>
      <c r="DW64" s="29" t="s">
        <v>758</v>
      </c>
      <c r="DX64" s="14">
        <f t="shared" si="40"/>
        <v>50</v>
      </c>
      <c r="EA64" s="37"/>
      <c r="EB64" s="37"/>
      <c r="EC64" s="37"/>
      <c r="ED64" s="37"/>
      <c r="EF64" s="37"/>
      <c r="EG64" s="37"/>
      <c r="EM64" s="37"/>
      <c r="EN64" s="37"/>
      <c r="ET64" s="13">
        <v>60</v>
      </c>
      <c r="EU64" s="13">
        <f t="shared" si="41"/>
        <v>5</v>
      </c>
      <c r="EV64" s="13" t="str">
        <f t="shared" si="42"/>
        <v>150级寄灵人洗练-12</v>
      </c>
      <c r="EW64" s="13">
        <f t="shared" si="43"/>
        <v>15</v>
      </c>
      <c r="EX64" s="13">
        <f t="shared" si="44"/>
        <v>12</v>
      </c>
      <c r="EY64" s="13">
        <f t="shared" si="45"/>
        <v>500</v>
      </c>
      <c r="EZ64" s="13" t="str">
        <f t="shared" si="46"/>
        <v>EffectResist</v>
      </c>
      <c r="FA64" s="13">
        <f t="shared" si="47"/>
        <v>1.7999999999999999E-2</v>
      </c>
      <c r="FB64" s="13">
        <f t="shared" si="48"/>
        <v>0.05</v>
      </c>
    </row>
    <row r="65" spans="1:158" s="20" customFormat="1" ht="16.5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13">
        <v>60</v>
      </c>
      <c r="BS65" s="13">
        <v>5</v>
      </c>
      <c r="BT65" s="13">
        <v>100</v>
      </c>
      <c r="BU65" s="13">
        <v>4</v>
      </c>
      <c r="BV65" s="13">
        <v>2</v>
      </c>
      <c r="BW65" s="13">
        <v>6</v>
      </c>
      <c r="BX65" s="13">
        <f t="shared" si="49"/>
        <v>2054060</v>
      </c>
      <c r="BY65" s="13" t="s">
        <v>806</v>
      </c>
      <c r="BZ65" s="13">
        <v>2052</v>
      </c>
      <c r="CA65" s="13">
        <v>6</v>
      </c>
      <c r="CB65" s="13">
        <f>SUM(CA$6:CA65)</f>
        <v>432</v>
      </c>
      <c r="CC65" s="13">
        <v>1</v>
      </c>
      <c r="CD65" s="13">
        <v>2</v>
      </c>
      <c r="CE65" s="13">
        <v>3</v>
      </c>
      <c r="CF65" s="13">
        <v>4</v>
      </c>
      <c r="CG65" s="13">
        <v>5</v>
      </c>
      <c r="CH65" s="13">
        <v>6</v>
      </c>
      <c r="CI65" s="13"/>
      <c r="CJ65" s="13"/>
      <c r="CK65" s="37"/>
      <c r="CM65" s="13">
        <v>61</v>
      </c>
      <c r="CN65" s="14">
        <f t="shared" si="14"/>
        <v>8</v>
      </c>
      <c r="CO65" s="14">
        <f t="shared" si="15"/>
        <v>2</v>
      </c>
      <c r="CP65" s="14">
        <f t="shared" si="16"/>
        <v>5</v>
      </c>
      <c r="CQ65" s="14">
        <f t="shared" si="1"/>
        <v>1</v>
      </c>
      <c r="CR65" s="14">
        <f t="shared" si="2"/>
        <v>2014025</v>
      </c>
      <c r="CS65" s="13" t="str">
        <f t="shared" si="3"/>
        <v>30级守护灵橙色-鞋子</v>
      </c>
      <c r="CT65" s="14">
        <f t="shared" si="4"/>
        <v>2</v>
      </c>
      <c r="CU65" s="14">
        <f t="shared" si="5"/>
        <v>4</v>
      </c>
      <c r="CV65" s="14">
        <f t="shared" si="17"/>
        <v>30</v>
      </c>
      <c r="CW65" s="14">
        <f t="shared" si="18"/>
        <v>30</v>
      </c>
      <c r="CX65" s="14">
        <f t="shared" si="19"/>
        <v>5</v>
      </c>
      <c r="CY65" s="14" t="str">
        <f t="shared" si="20"/>
        <v/>
      </c>
      <c r="CZ65" s="14">
        <f t="shared" si="21"/>
        <v>15</v>
      </c>
      <c r="DA65" s="14">
        <f t="shared" si="22"/>
        <v>0</v>
      </c>
      <c r="DB65" s="14">
        <f t="shared" si="23"/>
        <v>0</v>
      </c>
      <c r="DC65" s="14">
        <f t="shared" si="24"/>
        <v>300</v>
      </c>
      <c r="DD65" s="14">
        <f t="shared" si="25"/>
        <v>0</v>
      </c>
      <c r="DE65" s="14">
        <f t="shared" si="26"/>
        <v>0</v>
      </c>
      <c r="DF65" s="14">
        <f t="shared" si="27"/>
        <v>15</v>
      </c>
      <c r="DG65" s="14">
        <f t="shared" si="28"/>
        <v>4</v>
      </c>
      <c r="DH65" s="14">
        <f t="shared" si="29"/>
        <v>2</v>
      </c>
      <c r="DI65" s="14">
        <f t="shared" si="30"/>
        <v>21</v>
      </c>
      <c r="DL65" s="14">
        <f t="shared" si="6"/>
        <v>3</v>
      </c>
      <c r="DM65" s="14">
        <f t="shared" si="7"/>
        <v>0</v>
      </c>
      <c r="DN65" s="14" t="str">
        <f t="shared" si="31"/>
        <v>HPExt</v>
      </c>
      <c r="DO65" s="14">
        <f t="shared" si="32"/>
        <v>300</v>
      </c>
      <c r="DP65" s="14">
        <f t="shared" si="33"/>
        <v>15</v>
      </c>
      <c r="DQ65" s="14" t="str">
        <f t="shared" si="34"/>
        <v/>
      </c>
      <c r="DR65" s="14" t="str">
        <f t="shared" si="35"/>
        <v/>
      </c>
      <c r="DS65" s="14" t="str">
        <f t="shared" si="36"/>
        <v/>
      </c>
      <c r="DT65" s="14">
        <f t="shared" si="37"/>
        <v>4</v>
      </c>
      <c r="DU65" s="14">
        <f t="shared" si="38"/>
        <v>2</v>
      </c>
      <c r="DV65" s="14">
        <f t="shared" si="39"/>
        <v>21</v>
      </c>
      <c r="DW65" s="29" t="s">
        <v>758</v>
      </c>
      <c r="DX65" s="14">
        <f t="shared" si="40"/>
        <v>50</v>
      </c>
      <c r="EA65" s="37"/>
      <c r="EB65" s="37"/>
      <c r="EC65" s="37"/>
      <c r="ED65" s="37"/>
      <c r="EF65" s="37"/>
      <c r="EG65" s="37"/>
      <c r="EM65" s="37"/>
      <c r="EN65" s="37"/>
      <c r="ET65" s="13">
        <v>61</v>
      </c>
      <c r="EU65" s="13">
        <f t="shared" si="41"/>
        <v>6</v>
      </c>
      <c r="EV65" s="13" t="str">
        <f t="shared" si="42"/>
        <v>180级寄灵人洗练-1</v>
      </c>
      <c r="EW65" s="13">
        <f t="shared" si="43"/>
        <v>16</v>
      </c>
      <c r="EX65" s="13">
        <f t="shared" si="44"/>
        <v>1</v>
      </c>
      <c r="EY65" s="13">
        <f t="shared" si="45"/>
        <v>1800</v>
      </c>
      <c r="EZ65" s="13" t="str">
        <f t="shared" si="46"/>
        <v>AtkExt</v>
      </c>
      <c r="FA65" s="13">
        <f t="shared" si="47"/>
        <v>424</v>
      </c>
      <c r="FB65" s="13">
        <f t="shared" si="48"/>
        <v>1213</v>
      </c>
    </row>
    <row r="66" spans="1:158" s="20" customFormat="1" ht="16.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13">
        <v>61</v>
      </c>
      <c r="BS66" s="13">
        <v>5</v>
      </c>
      <c r="BT66" s="13">
        <v>100</v>
      </c>
      <c r="BU66" s="13">
        <v>4</v>
      </c>
      <c r="BV66" s="13">
        <v>1</v>
      </c>
      <c r="BW66" s="13">
        <v>7</v>
      </c>
      <c r="BX66" s="13">
        <f t="shared" si="49"/>
        <v>2054070</v>
      </c>
      <c r="BY66" s="13" t="s">
        <v>807</v>
      </c>
      <c r="BZ66" s="13">
        <v>1053</v>
      </c>
      <c r="CA66" s="13">
        <v>6</v>
      </c>
      <c r="CB66" s="13">
        <f>SUM(CA$6:CA66)</f>
        <v>438</v>
      </c>
      <c r="CC66" s="13">
        <v>1</v>
      </c>
      <c r="CD66" s="13">
        <v>4</v>
      </c>
      <c r="CE66" s="13">
        <v>5</v>
      </c>
      <c r="CF66" s="13">
        <v>6</v>
      </c>
      <c r="CG66" s="13">
        <v>7</v>
      </c>
      <c r="CH66" s="13">
        <v>8</v>
      </c>
      <c r="CI66" s="13"/>
      <c r="CJ66" s="13"/>
      <c r="CK66" s="37"/>
      <c r="CM66" s="13">
        <v>62</v>
      </c>
      <c r="CN66" s="14">
        <f t="shared" si="14"/>
        <v>8</v>
      </c>
      <c r="CO66" s="14">
        <f t="shared" si="15"/>
        <v>2</v>
      </c>
      <c r="CP66" s="14">
        <f t="shared" si="16"/>
        <v>6</v>
      </c>
      <c r="CQ66" s="14">
        <f t="shared" si="1"/>
        <v>1</v>
      </c>
      <c r="CR66" s="14">
        <f t="shared" si="2"/>
        <v>2014026</v>
      </c>
      <c r="CS66" s="13" t="str">
        <f t="shared" si="3"/>
        <v>30级守护灵橙色-护手</v>
      </c>
      <c r="CT66" s="14">
        <f t="shared" si="4"/>
        <v>2</v>
      </c>
      <c r="CU66" s="14">
        <f t="shared" si="5"/>
        <v>4</v>
      </c>
      <c r="CV66" s="14">
        <f t="shared" si="17"/>
        <v>30</v>
      </c>
      <c r="CW66" s="14">
        <f t="shared" si="18"/>
        <v>30</v>
      </c>
      <c r="CX66" s="14">
        <f t="shared" si="19"/>
        <v>6</v>
      </c>
      <c r="CY66" s="14" t="str">
        <f t="shared" si="20"/>
        <v/>
      </c>
      <c r="CZ66" s="14">
        <f t="shared" si="21"/>
        <v>15</v>
      </c>
      <c r="DA66" s="14">
        <f t="shared" si="22"/>
        <v>0</v>
      </c>
      <c r="DB66" s="14">
        <f t="shared" si="23"/>
        <v>0</v>
      </c>
      <c r="DC66" s="14">
        <f t="shared" si="24"/>
        <v>300</v>
      </c>
      <c r="DD66" s="14">
        <f t="shared" si="25"/>
        <v>0</v>
      </c>
      <c r="DE66" s="14">
        <f t="shared" si="26"/>
        <v>0</v>
      </c>
      <c r="DF66" s="14">
        <f t="shared" si="27"/>
        <v>15</v>
      </c>
      <c r="DG66" s="14">
        <f t="shared" si="28"/>
        <v>4</v>
      </c>
      <c r="DH66" s="14">
        <f t="shared" si="29"/>
        <v>2</v>
      </c>
      <c r="DI66" s="14">
        <f t="shared" si="30"/>
        <v>21</v>
      </c>
      <c r="DL66" s="14">
        <f t="shared" si="6"/>
        <v>3</v>
      </c>
      <c r="DM66" s="14">
        <f t="shared" si="7"/>
        <v>0</v>
      </c>
      <c r="DN66" s="14" t="str">
        <f t="shared" si="31"/>
        <v>HPExt</v>
      </c>
      <c r="DO66" s="14">
        <f t="shared" si="32"/>
        <v>300</v>
      </c>
      <c r="DP66" s="14">
        <f t="shared" si="33"/>
        <v>15</v>
      </c>
      <c r="DQ66" s="14" t="str">
        <f t="shared" si="34"/>
        <v/>
      </c>
      <c r="DR66" s="14" t="str">
        <f t="shared" si="35"/>
        <v/>
      </c>
      <c r="DS66" s="14" t="str">
        <f t="shared" si="36"/>
        <v/>
      </c>
      <c r="DT66" s="14">
        <f t="shared" si="37"/>
        <v>4</v>
      </c>
      <c r="DU66" s="14">
        <f t="shared" si="38"/>
        <v>2</v>
      </c>
      <c r="DV66" s="14">
        <f t="shared" si="39"/>
        <v>21</v>
      </c>
      <c r="DW66" s="29" t="s">
        <v>758</v>
      </c>
      <c r="DX66" s="14">
        <f t="shared" si="40"/>
        <v>50</v>
      </c>
      <c r="EA66" s="37"/>
      <c r="EB66" s="37"/>
      <c r="EC66" s="37"/>
      <c r="ED66" s="37"/>
      <c r="EF66" s="37"/>
      <c r="EG66" s="37"/>
      <c r="EM66" s="37"/>
      <c r="EN66" s="37"/>
      <c r="ET66" s="13">
        <v>62</v>
      </c>
      <c r="EU66" s="13">
        <f t="shared" si="41"/>
        <v>6</v>
      </c>
      <c r="EV66" s="13" t="str">
        <f t="shared" si="42"/>
        <v>180级寄灵人洗练-2</v>
      </c>
      <c r="EW66" s="13">
        <f t="shared" si="43"/>
        <v>16</v>
      </c>
      <c r="EX66" s="13">
        <f t="shared" si="44"/>
        <v>2</v>
      </c>
      <c r="EY66" s="13">
        <f t="shared" si="45"/>
        <v>1800</v>
      </c>
      <c r="EZ66" s="13" t="str">
        <f t="shared" si="46"/>
        <v>DefExt</v>
      </c>
      <c r="FA66" s="13">
        <f t="shared" si="47"/>
        <v>212</v>
      </c>
      <c r="FB66" s="13">
        <f t="shared" si="48"/>
        <v>606</v>
      </c>
    </row>
    <row r="67" spans="1:158" s="20" customFormat="1" ht="16.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13">
        <v>62</v>
      </c>
      <c r="BS67" s="13">
        <v>5</v>
      </c>
      <c r="BT67" s="13">
        <v>100</v>
      </c>
      <c r="BU67" s="13">
        <v>4</v>
      </c>
      <c r="BV67" s="13">
        <v>2</v>
      </c>
      <c r="BW67" s="13">
        <v>8</v>
      </c>
      <c r="BX67" s="13">
        <f t="shared" si="49"/>
        <v>2054080</v>
      </c>
      <c r="BY67" s="13" t="s">
        <v>808</v>
      </c>
      <c r="BZ67" s="13">
        <v>2053</v>
      </c>
      <c r="CA67" s="13">
        <v>6</v>
      </c>
      <c r="CB67" s="13">
        <f>SUM(CA$6:CA67)</f>
        <v>444</v>
      </c>
      <c r="CC67" s="13">
        <v>1</v>
      </c>
      <c r="CD67" s="13">
        <v>4</v>
      </c>
      <c r="CE67" s="13">
        <v>5</v>
      </c>
      <c r="CF67" s="13">
        <v>6</v>
      </c>
      <c r="CG67" s="13">
        <v>7</v>
      </c>
      <c r="CH67" s="13">
        <v>8</v>
      </c>
      <c r="CI67" s="13"/>
      <c r="CJ67" s="13"/>
      <c r="CK67" s="37"/>
      <c r="CM67" s="13">
        <v>63</v>
      </c>
      <c r="CN67" s="14">
        <f t="shared" si="14"/>
        <v>8</v>
      </c>
      <c r="CO67" s="14">
        <f t="shared" si="15"/>
        <v>2</v>
      </c>
      <c r="CP67" s="14">
        <f t="shared" si="16"/>
        <v>7</v>
      </c>
      <c r="CQ67" s="14">
        <f t="shared" si="1"/>
        <v>1</v>
      </c>
      <c r="CR67" s="14">
        <f t="shared" si="2"/>
        <v>2014027</v>
      </c>
      <c r="CS67" s="13" t="str">
        <f t="shared" si="3"/>
        <v>30级守护灵橙色-项链</v>
      </c>
      <c r="CT67" s="14">
        <f t="shared" si="4"/>
        <v>2</v>
      </c>
      <c r="CU67" s="14">
        <f t="shared" si="5"/>
        <v>4</v>
      </c>
      <c r="CV67" s="14">
        <f t="shared" si="17"/>
        <v>30</v>
      </c>
      <c r="CW67" s="14">
        <f t="shared" si="18"/>
        <v>30</v>
      </c>
      <c r="CX67" s="14">
        <f t="shared" si="19"/>
        <v>7</v>
      </c>
      <c r="CY67" s="14" t="str">
        <f t="shared" si="20"/>
        <v/>
      </c>
      <c r="CZ67" s="14">
        <f t="shared" si="21"/>
        <v>22</v>
      </c>
      <c r="DA67" s="14">
        <f t="shared" si="22"/>
        <v>20</v>
      </c>
      <c r="DB67" s="14">
        <f t="shared" si="23"/>
        <v>13</v>
      </c>
      <c r="DC67" s="14">
        <f t="shared" si="24"/>
        <v>0</v>
      </c>
      <c r="DD67" s="14">
        <f t="shared" si="25"/>
        <v>2</v>
      </c>
      <c r="DE67" s="14">
        <f t="shared" si="26"/>
        <v>1.25</v>
      </c>
      <c r="DF67" s="14">
        <f t="shared" si="27"/>
        <v>0</v>
      </c>
      <c r="DG67" s="14">
        <f t="shared" si="28"/>
        <v>4</v>
      </c>
      <c r="DH67" s="14">
        <f t="shared" si="29"/>
        <v>2</v>
      </c>
      <c r="DI67" s="14">
        <f t="shared" si="30"/>
        <v>21</v>
      </c>
      <c r="DL67" s="14">
        <f t="shared" si="6"/>
        <v>1</v>
      </c>
      <c r="DM67" s="14">
        <f t="shared" si="7"/>
        <v>2</v>
      </c>
      <c r="DN67" s="14" t="str">
        <f t="shared" si="31"/>
        <v>AtkExt</v>
      </c>
      <c r="DO67" s="14">
        <f t="shared" si="32"/>
        <v>20</v>
      </c>
      <c r="DP67" s="14">
        <f t="shared" si="33"/>
        <v>2</v>
      </c>
      <c r="DQ67" s="14" t="str">
        <f t="shared" si="34"/>
        <v>DefExt</v>
      </c>
      <c r="DR67" s="14">
        <f t="shared" si="35"/>
        <v>13</v>
      </c>
      <c r="DS67" s="14">
        <f t="shared" si="36"/>
        <v>1.25</v>
      </c>
      <c r="DT67" s="14">
        <f t="shared" si="37"/>
        <v>4</v>
      </c>
      <c r="DU67" s="14">
        <f t="shared" si="38"/>
        <v>2</v>
      </c>
      <c r="DV67" s="14">
        <f t="shared" si="39"/>
        <v>21</v>
      </c>
      <c r="DW67" s="29" t="s">
        <v>758</v>
      </c>
      <c r="DX67" s="14">
        <f t="shared" si="40"/>
        <v>50</v>
      </c>
      <c r="EA67" s="37"/>
      <c r="EB67" s="37"/>
      <c r="EC67" s="37"/>
      <c r="ED67" s="37"/>
      <c r="EF67" s="37"/>
      <c r="EG67" s="37"/>
      <c r="EM67" s="37"/>
      <c r="EN67" s="37"/>
      <c r="ET67" s="13">
        <v>63</v>
      </c>
      <c r="EU67" s="13">
        <f t="shared" si="41"/>
        <v>6</v>
      </c>
      <c r="EV67" s="13" t="str">
        <f t="shared" si="42"/>
        <v>180级寄灵人洗练-3</v>
      </c>
      <c r="EW67" s="13">
        <f t="shared" si="43"/>
        <v>16</v>
      </c>
      <c r="EX67" s="13">
        <f t="shared" si="44"/>
        <v>3</v>
      </c>
      <c r="EY67" s="13">
        <f t="shared" si="45"/>
        <v>2000</v>
      </c>
      <c r="EZ67" s="13" t="str">
        <f t="shared" si="46"/>
        <v>HPExt</v>
      </c>
      <c r="FA67" s="13">
        <f t="shared" si="47"/>
        <v>1276</v>
      </c>
      <c r="FB67" s="13">
        <f t="shared" si="48"/>
        <v>3646</v>
      </c>
    </row>
    <row r="68" spans="1:158" s="20" customFormat="1" ht="16.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13">
        <v>63</v>
      </c>
      <c r="BS68" s="13">
        <v>6</v>
      </c>
      <c r="BT68" s="13">
        <v>120</v>
      </c>
      <c r="BU68" s="13">
        <v>1</v>
      </c>
      <c r="BV68" s="13">
        <v>1</v>
      </c>
      <c r="BW68" s="13">
        <v>1</v>
      </c>
      <c r="BX68" s="13">
        <f t="shared" si="49"/>
        <v>2061010</v>
      </c>
      <c r="BY68" s="13" t="s">
        <v>809</v>
      </c>
      <c r="BZ68" s="13"/>
      <c r="CA68" s="13">
        <v>8</v>
      </c>
      <c r="CB68" s="13">
        <f>SUM(CA$6:CA68)</f>
        <v>452</v>
      </c>
      <c r="CC68" s="13">
        <v>1</v>
      </c>
      <c r="CD68" s="13">
        <v>2</v>
      </c>
      <c r="CE68" s="13">
        <v>3</v>
      </c>
      <c r="CF68" s="13">
        <v>4</v>
      </c>
      <c r="CG68" s="13">
        <v>5</v>
      </c>
      <c r="CH68" s="13">
        <v>6</v>
      </c>
      <c r="CI68" s="13">
        <v>7</v>
      </c>
      <c r="CJ68" s="13">
        <v>8</v>
      </c>
      <c r="CK68" s="37"/>
      <c r="CM68" s="13">
        <v>64</v>
      </c>
      <c r="CN68" s="14">
        <f t="shared" si="14"/>
        <v>8</v>
      </c>
      <c r="CO68" s="14">
        <f t="shared" si="15"/>
        <v>2</v>
      </c>
      <c r="CP68" s="14">
        <f t="shared" si="16"/>
        <v>8</v>
      </c>
      <c r="CQ68" s="14">
        <f t="shared" si="1"/>
        <v>1</v>
      </c>
      <c r="CR68" s="14">
        <f t="shared" si="2"/>
        <v>2014028</v>
      </c>
      <c r="CS68" s="13" t="str">
        <f t="shared" si="3"/>
        <v>30级守护灵橙色-戒指</v>
      </c>
      <c r="CT68" s="14">
        <f t="shared" si="4"/>
        <v>2</v>
      </c>
      <c r="CU68" s="14">
        <f t="shared" si="5"/>
        <v>4</v>
      </c>
      <c r="CV68" s="14">
        <f t="shared" si="17"/>
        <v>30</v>
      </c>
      <c r="CW68" s="14">
        <f t="shared" si="18"/>
        <v>30</v>
      </c>
      <c r="CX68" s="14">
        <f t="shared" si="19"/>
        <v>8</v>
      </c>
      <c r="CY68" s="14" t="str">
        <f t="shared" si="20"/>
        <v/>
      </c>
      <c r="CZ68" s="14">
        <f t="shared" si="21"/>
        <v>22</v>
      </c>
      <c r="DA68" s="14">
        <f t="shared" si="22"/>
        <v>20</v>
      </c>
      <c r="DB68" s="14">
        <f t="shared" si="23"/>
        <v>0</v>
      </c>
      <c r="DC68" s="14">
        <f t="shared" si="24"/>
        <v>250</v>
      </c>
      <c r="DD68" s="14">
        <f t="shared" si="25"/>
        <v>2</v>
      </c>
      <c r="DE68" s="14">
        <f t="shared" si="26"/>
        <v>0</v>
      </c>
      <c r="DF68" s="14">
        <f t="shared" si="27"/>
        <v>12.5</v>
      </c>
      <c r="DG68" s="14">
        <f t="shared" si="28"/>
        <v>4</v>
      </c>
      <c r="DH68" s="14">
        <f t="shared" si="29"/>
        <v>2</v>
      </c>
      <c r="DI68" s="14">
        <f t="shared" si="30"/>
        <v>21</v>
      </c>
      <c r="DL68" s="14">
        <f t="shared" si="6"/>
        <v>1</v>
      </c>
      <c r="DM68" s="14">
        <f t="shared" si="7"/>
        <v>3</v>
      </c>
      <c r="DN68" s="14" t="str">
        <f t="shared" si="31"/>
        <v>AtkExt</v>
      </c>
      <c r="DO68" s="14">
        <f t="shared" si="32"/>
        <v>20</v>
      </c>
      <c r="DP68" s="14">
        <f t="shared" si="33"/>
        <v>2</v>
      </c>
      <c r="DQ68" s="14" t="str">
        <f t="shared" si="34"/>
        <v>HPExt</v>
      </c>
      <c r="DR68" s="14">
        <f t="shared" si="35"/>
        <v>250</v>
      </c>
      <c r="DS68" s="14">
        <f t="shared" si="36"/>
        <v>12.5</v>
      </c>
      <c r="DT68" s="14">
        <f t="shared" si="37"/>
        <v>4</v>
      </c>
      <c r="DU68" s="14">
        <f t="shared" si="38"/>
        <v>2</v>
      </c>
      <c r="DV68" s="14">
        <f t="shared" si="39"/>
        <v>21</v>
      </c>
      <c r="DW68" s="29" t="s">
        <v>758</v>
      </c>
      <c r="DX68" s="14">
        <f t="shared" si="40"/>
        <v>50</v>
      </c>
      <c r="EA68" s="37"/>
      <c r="EB68" s="37"/>
      <c r="EC68" s="37"/>
      <c r="ED68" s="37"/>
      <c r="EF68" s="37"/>
      <c r="EG68" s="37"/>
      <c r="EM68" s="37"/>
      <c r="EN68" s="37"/>
      <c r="ET68" s="13">
        <v>64</v>
      </c>
      <c r="EU68" s="13">
        <f t="shared" si="41"/>
        <v>6</v>
      </c>
      <c r="EV68" s="13" t="str">
        <f t="shared" si="42"/>
        <v>180级寄灵人洗练-4</v>
      </c>
      <c r="EW68" s="13">
        <f t="shared" si="43"/>
        <v>16</v>
      </c>
      <c r="EX68" s="13">
        <f t="shared" si="44"/>
        <v>4</v>
      </c>
      <c r="EY68" s="13">
        <f t="shared" si="45"/>
        <v>500</v>
      </c>
      <c r="EZ68" s="13" t="str">
        <f t="shared" si="46"/>
        <v>AtkRate</v>
      </c>
      <c r="FA68" s="13">
        <f t="shared" si="47"/>
        <v>1.4E-2</v>
      </c>
      <c r="FB68" s="13">
        <f t="shared" si="48"/>
        <v>0.04</v>
      </c>
    </row>
    <row r="69" spans="1:158" s="20" customFormat="1" ht="16.5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13">
        <v>64</v>
      </c>
      <c r="BS69" s="13">
        <v>6</v>
      </c>
      <c r="BT69" s="13">
        <v>120</v>
      </c>
      <c r="BU69" s="13">
        <v>1</v>
      </c>
      <c r="BV69" s="13">
        <v>2</v>
      </c>
      <c r="BW69" s="13">
        <v>2</v>
      </c>
      <c r="BX69" s="13">
        <f t="shared" si="49"/>
        <v>2061020</v>
      </c>
      <c r="BY69" s="13" t="s">
        <v>810</v>
      </c>
      <c r="BZ69" s="13"/>
      <c r="CA69" s="13">
        <v>8</v>
      </c>
      <c r="CB69" s="13">
        <f>SUM(CA$6:CA69)</f>
        <v>460</v>
      </c>
      <c r="CC69" s="13">
        <v>1</v>
      </c>
      <c r="CD69" s="13">
        <v>2</v>
      </c>
      <c r="CE69" s="13">
        <v>3</v>
      </c>
      <c r="CF69" s="13">
        <v>4</v>
      </c>
      <c r="CG69" s="13">
        <v>5</v>
      </c>
      <c r="CH69" s="13">
        <v>6</v>
      </c>
      <c r="CI69" s="13">
        <v>7</v>
      </c>
      <c r="CJ69" s="13">
        <v>8</v>
      </c>
      <c r="CK69" s="37"/>
      <c r="CM69" s="13">
        <v>65</v>
      </c>
      <c r="CN69" s="14">
        <f t="shared" si="14"/>
        <v>9</v>
      </c>
      <c r="CO69" s="14">
        <f t="shared" si="15"/>
        <v>3</v>
      </c>
      <c r="CP69" s="14">
        <f t="shared" si="16"/>
        <v>1</v>
      </c>
      <c r="CQ69" s="14">
        <f t="shared" ref="CQ69:CQ132" si="51">INDEX($BS$6:$BS$81,CN69)</f>
        <v>1</v>
      </c>
      <c r="CR69" s="14">
        <f t="shared" ref="CR69:CR132" si="52">INDEX($BX$6:$BX$81,CN69)+CX69</f>
        <v>2014031</v>
      </c>
      <c r="CS69" s="13" t="str">
        <f t="shared" ref="CS69:CS132" si="53">INDEX($BY$6:$BY$81,CN69)&amp;"-"&amp;INDEX($CC$3:$CJ$3,CX69)</f>
        <v>30级寄灵人橙色套1-武器</v>
      </c>
      <c r="CT69" s="14">
        <f t="shared" ref="CT69:CT132" si="54">INDEX($BV$6:$BV$81,CN69)</f>
        <v>1</v>
      </c>
      <c r="CU69" s="14">
        <f t="shared" ref="CU69:CU132" si="55">INDEX($BU$6:$BU$81,CN69)</f>
        <v>4</v>
      </c>
      <c r="CV69" s="14">
        <f t="shared" si="17"/>
        <v>30</v>
      </c>
      <c r="CW69" s="14">
        <f t="shared" si="18"/>
        <v>30</v>
      </c>
      <c r="CX69" s="14">
        <f t="shared" si="19"/>
        <v>1</v>
      </c>
      <c r="CY69" s="14">
        <f t="shared" si="20"/>
        <v>1011</v>
      </c>
      <c r="CZ69" s="14">
        <f t="shared" si="21"/>
        <v>27</v>
      </c>
      <c r="DA69" s="14">
        <f t="shared" si="22"/>
        <v>54</v>
      </c>
      <c r="DB69" s="14">
        <f t="shared" si="23"/>
        <v>0</v>
      </c>
      <c r="DC69" s="14">
        <f t="shared" si="24"/>
        <v>0</v>
      </c>
      <c r="DD69" s="14">
        <f t="shared" si="25"/>
        <v>5.4</v>
      </c>
      <c r="DE69" s="14">
        <f t="shared" si="26"/>
        <v>0</v>
      </c>
      <c r="DF69" s="14">
        <f t="shared" si="27"/>
        <v>0</v>
      </c>
      <c r="DG69" s="14">
        <f t="shared" si="28"/>
        <v>4</v>
      </c>
      <c r="DH69" s="14">
        <f t="shared" si="29"/>
        <v>2</v>
      </c>
      <c r="DI69" s="14">
        <f t="shared" si="30"/>
        <v>11</v>
      </c>
      <c r="DL69" s="14">
        <f t="shared" ref="DL69:DL132" si="56">INDEX(AF$5:AF$12,$CX69)</f>
        <v>1</v>
      </c>
      <c r="DM69" s="14">
        <f t="shared" ref="DM69:DM132" si="57">INDEX(AG$5:AG$12,$CX69)</f>
        <v>0</v>
      </c>
      <c r="DN69" s="14" t="str">
        <f t="shared" si="31"/>
        <v>AtkExt</v>
      </c>
      <c r="DO69" s="14">
        <f t="shared" si="32"/>
        <v>54</v>
      </c>
      <c r="DP69" s="14">
        <f t="shared" si="33"/>
        <v>5.4</v>
      </c>
      <c r="DQ69" s="14" t="str">
        <f t="shared" si="34"/>
        <v/>
      </c>
      <c r="DR69" s="14" t="str">
        <f t="shared" si="35"/>
        <v/>
      </c>
      <c r="DS69" s="14" t="str">
        <f t="shared" si="36"/>
        <v/>
      </c>
      <c r="DT69" s="14">
        <f t="shared" si="37"/>
        <v>4</v>
      </c>
      <c r="DU69" s="14">
        <f t="shared" si="38"/>
        <v>2</v>
      </c>
      <c r="DV69" s="14">
        <f t="shared" si="39"/>
        <v>11</v>
      </c>
      <c r="DW69" s="29" t="s">
        <v>758</v>
      </c>
      <c r="DX69" s="14">
        <f t="shared" si="40"/>
        <v>50</v>
      </c>
      <c r="EA69" s="37"/>
      <c r="EB69" s="37"/>
      <c r="EC69" s="37"/>
      <c r="ED69" s="37"/>
      <c r="EF69" s="37"/>
      <c r="EG69" s="37"/>
      <c r="EM69" s="37"/>
      <c r="EN69" s="37"/>
      <c r="ET69" s="13">
        <v>65</v>
      </c>
      <c r="EU69" s="13">
        <f t="shared" si="41"/>
        <v>6</v>
      </c>
      <c r="EV69" s="13" t="str">
        <f t="shared" si="42"/>
        <v>180级寄灵人洗练-5</v>
      </c>
      <c r="EW69" s="13">
        <f t="shared" si="43"/>
        <v>16</v>
      </c>
      <c r="EX69" s="13">
        <f t="shared" si="44"/>
        <v>5</v>
      </c>
      <c r="EY69" s="13">
        <f t="shared" si="45"/>
        <v>400</v>
      </c>
      <c r="EZ69" s="13" t="str">
        <f t="shared" si="46"/>
        <v>DefRate</v>
      </c>
      <c r="FA69" s="13">
        <f t="shared" si="47"/>
        <v>1.4E-2</v>
      </c>
      <c r="FB69" s="13">
        <f t="shared" si="48"/>
        <v>0.04</v>
      </c>
    </row>
    <row r="70" spans="1:158" s="20" customFormat="1" ht="16.5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13">
        <v>65</v>
      </c>
      <c r="BS70" s="13">
        <v>6</v>
      </c>
      <c r="BT70" s="13">
        <v>120</v>
      </c>
      <c r="BU70" s="13">
        <v>2</v>
      </c>
      <c r="BV70" s="13">
        <v>1</v>
      </c>
      <c r="BW70" s="13">
        <v>1</v>
      </c>
      <c r="BX70" s="13">
        <f t="shared" si="49"/>
        <v>2062010</v>
      </c>
      <c r="BY70" s="13" t="s">
        <v>811</v>
      </c>
      <c r="BZ70" s="13"/>
      <c r="CA70" s="13">
        <v>8</v>
      </c>
      <c r="CB70" s="13">
        <f>SUM(CA$6:CA70)</f>
        <v>468</v>
      </c>
      <c r="CC70" s="13">
        <v>1</v>
      </c>
      <c r="CD70" s="13">
        <v>2</v>
      </c>
      <c r="CE70" s="13">
        <v>3</v>
      </c>
      <c r="CF70" s="13">
        <v>4</v>
      </c>
      <c r="CG70" s="13">
        <v>5</v>
      </c>
      <c r="CH70" s="13">
        <v>6</v>
      </c>
      <c r="CI70" s="13">
        <v>7</v>
      </c>
      <c r="CJ70" s="13">
        <v>8</v>
      </c>
      <c r="CK70" s="37"/>
      <c r="CM70" s="13">
        <v>66</v>
      </c>
      <c r="CN70" s="14">
        <f t="shared" ref="CN70:CN133" si="58">MATCH(CM70-1,$CB$5:$CB$81,1)</f>
        <v>9</v>
      </c>
      <c r="CO70" s="14">
        <f t="shared" ref="CO70:CO133" si="59">INDEX($BW$6:$BW$81,CN70)</f>
        <v>3</v>
      </c>
      <c r="CP70" s="14">
        <f t="shared" ref="CP70:CP133" si="60">CM70-INDEX($CB$5:$CB$81,CN70)</f>
        <v>2</v>
      </c>
      <c r="CQ70" s="14">
        <f t="shared" si="51"/>
        <v>1</v>
      </c>
      <c r="CR70" s="14">
        <f t="shared" si="52"/>
        <v>2014032</v>
      </c>
      <c r="CS70" s="13" t="str">
        <f t="shared" si="53"/>
        <v>30级寄灵人橙色套1-头盔</v>
      </c>
      <c r="CT70" s="14">
        <f t="shared" si="54"/>
        <v>1</v>
      </c>
      <c r="CU70" s="14">
        <f t="shared" si="55"/>
        <v>4</v>
      </c>
      <c r="CV70" s="14">
        <f t="shared" ref="CV70:CV133" si="61">INDEX($D$5:$D$16,(CT70-1)*6+CQ70)</f>
        <v>30</v>
      </c>
      <c r="CW70" s="14">
        <f t="shared" ref="CW70:CW133" si="62">INDEX($D$5:$D$16,(CT70-1)*6+CQ70)</f>
        <v>30</v>
      </c>
      <c r="CX70" s="14">
        <f t="shared" ref="CX70:CX133" si="63">INDEX($CC$6:$CJ$81,CN70,CP70)</f>
        <v>2</v>
      </c>
      <c r="CY70" s="14">
        <f t="shared" ref="CY70:CY133" si="64">IF(INDEX($BZ$6:$BZ$81,CN70)&gt;0,INDEX($BZ$6:$BZ$81,CN70),"")</f>
        <v>1011</v>
      </c>
      <c r="CZ70" s="14">
        <f t="shared" ref="CZ70:CZ133" si="65">INT(SUMPRODUCT($DD$3:$DF$3,DD70:DF70))</f>
        <v>12</v>
      </c>
      <c r="DA70" s="14">
        <f t="shared" ref="DA70:DA133" si="66">ROUND(INDEX(O$5:O$16,($CT70-1)*6+$CQ70)*INDEX(AC$5:AC$12,$CX70)*INDEX($AL$5:$AL$8,$CU70),0)</f>
        <v>0</v>
      </c>
      <c r="DB70" s="14">
        <f t="shared" ref="DB70:DB133" si="67">ROUND(INDEX(P$5:P$16,($CT70-1)*6+$CQ70)*INDEX(AD$5:AD$12,$CX70)*INDEX($AL$5:$AL$8,$CU70),0)</f>
        <v>14</v>
      </c>
      <c r="DC70" s="14">
        <f t="shared" ref="DC70:DC133" si="68">ROUND(INDEX(Q$5:Q$16,($CT70-1)*6+$CQ70)*INDEX(AE$5:AE$12,$CX70)*INDEX($AL$5:$AL$8,$CU70),0)</f>
        <v>0</v>
      </c>
      <c r="DD70" s="14">
        <f t="shared" ref="DD70:DD133" si="69">ROUND(INDEX(H$5:H$16,($CT70-1)*6+$CQ70)*INDEX(AC$5:AC$12,$CX70) * INDEX($AL$5:$AL$8,$CU70),2)</f>
        <v>0</v>
      </c>
      <c r="DE70" s="14">
        <f t="shared" ref="DE70:DE133" si="70">ROUND(INDEX(I$5:I$16,($CT70-1)*6+$CQ70)*INDEX(AD$5:AD$12,$CX70) * INDEX($AL$5:$AL$8,$CU70),2)</f>
        <v>1.2</v>
      </c>
      <c r="DF70" s="14">
        <f t="shared" ref="DF70:DF133" si="71">ROUND(INDEX(J$5:J$16,($CT70-1)*6+$CQ70)*INDEX(AE$5:AE$12,$CX70) * INDEX($AL$5:$AL$8,$CU70),2)</f>
        <v>0</v>
      </c>
      <c r="DG70" s="14">
        <f t="shared" ref="DG70:DG133" si="72">(CQ70-1)*4+CU70</f>
        <v>4</v>
      </c>
      <c r="DH70" s="14">
        <f t="shared" ref="DH70:DH133" si="73">INDEX($BM$5:$BP$16,CQ70,CU70)</f>
        <v>2</v>
      </c>
      <c r="DI70" s="14">
        <f t="shared" ref="DI70:DI133" si="74">CT70*10+CQ70</f>
        <v>11</v>
      </c>
      <c r="DL70" s="14">
        <f t="shared" si="56"/>
        <v>2</v>
      </c>
      <c r="DM70" s="14">
        <f t="shared" si="57"/>
        <v>0</v>
      </c>
      <c r="DN70" s="14" t="str">
        <f t="shared" ref="DN70:DN133" si="75">INDEX($AA$3:$AC$3,DL70)</f>
        <v>DefExt</v>
      </c>
      <c r="DO70" s="14">
        <f t="shared" ref="DO70:DO133" si="76">INDEX(DA70:DC70,DL70)</f>
        <v>14</v>
      </c>
      <c r="DP70" s="14">
        <f t="shared" ref="DP70:DP133" si="77">INDEX(DD70:DF70,DL70)</f>
        <v>1.2</v>
      </c>
      <c r="DQ70" s="14" t="str">
        <f t="shared" ref="DQ70:DQ133" si="78">IF(DM70&gt;0,INDEX($AA$3:$AC$3,DM70),"")</f>
        <v/>
      </c>
      <c r="DR70" s="14" t="str">
        <f t="shared" ref="DR70:DR133" si="79">IF(DM70&gt;0,INDEX(DA70:DC70,DM70),"")</f>
        <v/>
      </c>
      <c r="DS70" s="14" t="str">
        <f t="shared" ref="DS70:DS133" si="80">IF(DM70&gt;0,INDEX(DD70:DF70,DM70),"")</f>
        <v/>
      </c>
      <c r="DT70" s="14">
        <f t="shared" ref="DT70:DT133" si="81">(CQ70-1)*4+CU70</f>
        <v>4</v>
      </c>
      <c r="DU70" s="14">
        <f t="shared" ref="DU70:DU133" si="82">INDEX($BM$5:$BP$16,CQ70,CU70)</f>
        <v>2</v>
      </c>
      <c r="DV70" s="14">
        <f t="shared" ref="DV70:DV133" si="83">CT70*10+CQ70</f>
        <v>11</v>
      </c>
      <c r="DW70" s="29" t="s">
        <v>758</v>
      </c>
      <c r="DX70" s="14">
        <f t="shared" ref="DX70:DX133" si="84">INDEX($T$5:$Y$8,CU70,CQ70)</f>
        <v>50</v>
      </c>
      <c r="EA70" s="37"/>
      <c r="EB70" s="37"/>
      <c r="EC70" s="37"/>
      <c r="ED70" s="37"/>
      <c r="EF70" s="37"/>
      <c r="EG70" s="37"/>
      <c r="EM70" s="37"/>
      <c r="EN70" s="37"/>
      <c r="ET70" s="13">
        <v>66</v>
      </c>
      <c r="EU70" s="13">
        <f t="shared" ref="EU70:EU133" si="85">INT((ET70-1)/12)+1</f>
        <v>6</v>
      </c>
      <c r="EV70" s="13" t="str">
        <f t="shared" ref="EV70:EV76" si="86">INDEX($AU$5:$AU$16,EU70)&amp;"洗练-"&amp;EX70</f>
        <v>180级寄灵人洗练-6</v>
      </c>
      <c r="EW70" s="13">
        <f t="shared" ref="EW70:EW76" si="87">INDEX($AT$5:$AT$16,EU70)</f>
        <v>16</v>
      </c>
      <c r="EX70" s="13">
        <f t="shared" ref="EX70:EX76" si="88">MOD(ET70-1,12)+1</f>
        <v>6</v>
      </c>
      <c r="EY70" s="13">
        <f t="shared" ref="EY70:EY133" si="89">INDEX($AY$2:$BJ$2,EX70)</f>
        <v>500</v>
      </c>
      <c r="EZ70" s="13" t="str">
        <f t="shared" ref="EZ70:EZ76" si="90">INDEX($AY$3:$BJ$3,EX70)</f>
        <v>HPRate</v>
      </c>
      <c r="FA70" s="13">
        <f t="shared" ref="FA70:FA133" si="91">IF(FB70&gt;1,INT(FB70*0.35),ROUND(FB70*0.35,3))</f>
        <v>1.4E-2</v>
      </c>
      <c r="FB70" s="13">
        <f t="shared" ref="FB70:FB76" si="92">INDEX($AY$5:$BJ$16,EU70,EX70)</f>
        <v>0.04</v>
      </c>
    </row>
    <row r="71" spans="1:158" s="20" customFormat="1" ht="16.5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13">
        <v>66</v>
      </c>
      <c r="BS71" s="13">
        <v>6</v>
      </c>
      <c r="BT71" s="13">
        <v>120</v>
      </c>
      <c r="BU71" s="13">
        <v>2</v>
      </c>
      <c r="BV71" s="13">
        <v>2</v>
      </c>
      <c r="BW71" s="13">
        <v>2</v>
      </c>
      <c r="BX71" s="13">
        <f t="shared" ref="BX71:BX81" si="93">BW71*10+BU71*1000+BS71*10000+2000000</f>
        <v>2062020</v>
      </c>
      <c r="BY71" s="13" t="s">
        <v>812</v>
      </c>
      <c r="BZ71" s="13"/>
      <c r="CA71" s="13">
        <v>8</v>
      </c>
      <c r="CB71" s="13">
        <f>SUM(CA$6:CA71)</f>
        <v>476</v>
      </c>
      <c r="CC71" s="13">
        <v>1</v>
      </c>
      <c r="CD71" s="13">
        <v>2</v>
      </c>
      <c r="CE71" s="13">
        <v>3</v>
      </c>
      <c r="CF71" s="13">
        <v>4</v>
      </c>
      <c r="CG71" s="13">
        <v>5</v>
      </c>
      <c r="CH71" s="13">
        <v>6</v>
      </c>
      <c r="CI71" s="13">
        <v>7</v>
      </c>
      <c r="CJ71" s="13">
        <v>8</v>
      </c>
      <c r="CK71" s="37"/>
      <c r="CM71" s="13">
        <v>67</v>
      </c>
      <c r="CN71" s="14">
        <f t="shared" si="58"/>
        <v>9</v>
      </c>
      <c r="CO71" s="14">
        <f t="shared" si="59"/>
        <v>3</v>
      </c>
      <c r="CP71" s="14">
        <f t="shared" si="60"/>
        <v>3</v>
      </c>
      <c r="CQ71" s="14">
        <f t="shared" si="51"/>
        <v>1</v>
      </c>
      <c r="CR71" s="14">
        <f t="shared" si="52"/>
        <v>2014033</v>
      </c>
      <c r="CS71" s="13" t="str">
        <f t="shared" si="53"/>
        <v>30级寄灵人橙色套1-肩甲</v>
      </c>
      <c r="CT71" s="14">
        <f t="shared" si="54"/>
        <v>1</v>
      </c>
      <c r="CU71" s="14">
        <f t="shared" si="55"/>
        <v>4</v>
      </c>
      <c r="CV71" s="14">
        <f t="shared" si="61"/>
        <v>30</v>
      </c>
      <c r="CW71" s="14">
        <f t="shared" si="62"/>
        <v>30</v>
      </c>
      <c r="CX71" s="14">
        <f t="shared" si="63"/>
        <v>3</v>
      </c>
      <c r="CY71" s="14">
        <f t="shared" si="64"/>
        <v>1011</v>
      </c>
      <c r="CZ71" s="14">
        <f t="shared" si="65"/>
        <v>10</v>
      </c>
      <c r="DA71" s="14">
        <f t="shared" si="66"/>
        <v>0</v>
      </c>
      <c r="DB71" s="14">
        <f t="shared" si="67"/>
        <v>7</v>
      </c>
      <c r="DC71" s="14">
        <f t="shared" si="68"/>
        <v>45</v>
      </c>
      <c r="DD71" s="14">
        <f t="shared" si="69"/>
        <v>0</v>
      </c>
      <c r="DE71" s="14">
        <f t="shared" si="70"/>
        <v>0.6</v>
      </c>
      <c r="DF71" s="14">
        <f t="shared" si="71"/>
        <v>4.5</v>
      </c>
      <c r="DG71" s="14">
        <f t="shared" si="72"/>
        <v>4</v>
      </c>
      <c r="DH71" s="14">
        <f t="shared" si="73"/>
        <v>2</v>
      </c>
      <c r="DI71" s="14">
        <f t="shared" si="74"/>
        <v>11</v>
      </c>
      <c r="DL71" s="14">
        <f t="shared" si="56"/>
        <v>2</v>
      </c>
      <c r="DM71" s="14">
        <f t="shared" si="57"/>
        <v>3</v>
      </c>
      <c r="DN71" s="14" t="str">
        <f t="shared" si="75"/>
        <v>DefExt</v>
      </c>
      <c r="DO71" s="14">
        <f t="shared" si="76"/>
        <v>7</v>
      </c>
      <c r="DP71" s="14">
        <f t="shared" si="77"/>
        <v>0.6</v>
      </c>
      <c r="DQ71" s="14" t="str">
        <f t="shared" si="78"/>
        <v>HPExt</v>
      </c>
      <c r="DR71" s="14">
        <f t="shared" si="79"/>
        <v>45</v>
      </c>
      <c r="DS71" s="14">
        <f t="shared" si="80"/>
        <v>4.5</v>
      </c>
      <c r="DT71" s="14">
        <f t="shared" si="81"/>
        <v>4</v>
      </c>
      <c r="DU71" s="14">
        <f t="shared" si="82"/>
        <v>2</v>
      </c>
      <c r="DV71" s="14">
        <f t="shared" si="83"/>
        <v>11</v>
      </c>
      <c r="DW71" s="29" t="s">
        <v>758</v>
      </c>
      <c r="DX71" s="14">
        <f t="shared" si="84"/>
        <v>50</v>
      </c>
      <c r="EA71" s="37"/>
      <c r="EB71" s="37"/>
      <c r="EC71" s="37"/>
      <c r="ED71" s="37"/>
      <c r="EF71" s="37"/>
      <c r="EG71" s="37"/>
      <c r="EM71" s="37"/>
      <c r="EN71" s="37"/>
      <c r="ET71" s="13">
        <v>67</v>
      </c>
      <c r="EU71" s="13">
        <f t="shared" si="85"/>
        <v>6</v>
      </c>
      <c r="EV71" s="13" t="str">
        <f t="shared" si="86"/>
        <v>180级寄灵人洗练-7</v>
      </c>
      <c r="EW71" s="13">
        <f t="shared" si="87"/>
        <v>16</v>
      </c>
      <c r="EX71" s="13">
        <f t="shared" si="88"/>
        <v>7</v>
      </c>
      <c r="EY71" s="13">
        <f t="shared" si="89"/>
        <v>500</v>
      </c>
      <c r="EZ71" s="13" t="str">
        <f t="shared" si="90"/>
        <v>Crit</v>
      </c>
      <c r="FA71" s="13">
        <f t="shared" si="91"/>
        <v>1.0999999999999999E-2</v>
      </c>
      <c r="FB71" s="13">
        <f t="shared" si="92"/>
        <v>0.03</v>
      </c>
    </row>
    <row r="72" spans="1:158" s="20" customFormat="1" ht="16.5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13">
        <v>67</v>
      </c>
      <c r="BS72" s="13">
        <v>6</v>
      </c>
      <c r="BT72" s="13">
        <v>120</v>
      </c>
      <c r="BU72" s="13">
        <v>3</v>
      </c>
      <c r="BV72" s="13">
        <v>1</v>
      </c>
      <c r="BW72" s="13">
        <v>1</v>
      </c>
      <c r="BX72" s="13">
        <f t="shared" si="93"/>
        <v>2063010</v>
      </c>
      <c r="BY72" s="13" t="s">
        <v>813</v>
      </c>
      <c r="BZ72" s="13"/>
      <c r="CA72" s="13">
        <v>8</v>
      </c>
      <c r="CB72" s="13">
        <f>SUM(CA$6:CA72)</f>
        <v>484</v>
      </c>
      <c r="CC72" s="13">
        <v>1</v>
      </c>
      <c r="CD72" s="13">
        <v>2</v>
      </c>
      <c r="CE72" s="13">
        <v>3</v>
      </c>
      <c r="CF72" s="13">
        <v>4</v>
      </c>
      <c r="CG72" s="13">
        <v>5</v>
      </c>
      <c r="CH72" s="13">
        <v>6</v>
      </c>
      <c r="CI72" s="13">
        <v>7</v>
      </c>
      <c r="CJ72" s="13">
        <v>8</v>
      </c>
      <c r="CK72" s="37"/>
      <c r="CM72" s="13">
        <v>68</v>
      </c>
      <c r="CN72" s="14">
        <f t="shared" si="58"/>
        <v>9</v>
      </c>
      <c r="CO72" s="14">
        <f t="shared" si="59"/>
        <v>3</v>
      </c>
      <c r="CP72" s="14">
        <f t="shared" si="60"/>
        <v>4</v>
      </c>
      <c r="CQ72" s="14">
        <f t="shared" si="51"/>
        <v>1</v>
      </c>
      <c r="CR72" s="14">
        <f t="shared" si="52"/>
        <v>2014034</v>
      </c>
      <c r="CS72" s="13" t="str">
        <f t="shared" si="53"/>
        <v>30级寄灵人橙色套1-衣服</v>
      </c>
      <c r="CT72" s="14">
        <f t="shared" si="54"/>
        <v>1</v>
      </c>
      <c r="CU72" s="14">
        <f t="shared" si="55"/>
        <v>4</v>
      </c>
      <c r="CV72" s="14">
        <f t="shared" si="61"/>
        <v>30</v>
      </c>
      <c r="CW72" s="14">
        <f t="shared" si="62"/>
        <v>30</v>
      </c>
      <c r="CX72" s="14">
        <f t="shared" si="63"/>
        <v>4</v>
      </c>
      <c r="CY72" s="14">
        <f t="shared" si="64"/>
        <v>1011</v>
      </c>
      <c r="CZ72" s="14">
        <f t="shared" si="65"/>
        <v>12</v>
      </c>
      <c r="DA72" s="14">
        <f t="shared" si="66"/>
        <v>0</v>
      </c>
      <c r="DB72" s="14">
        <f t="shared" si="67"/>
        <v>14</v>
      </c>
      <c r="DC72" s="14">
        <f t="shared" si="68"/>
        <v>0</v>
      </c>
      <c r="DD72" s="14">
        <f t="shared" si="69"/>
        <v>0</v>
      </c>
      <c r="DE72" s="14">
        <f t="shared" si="70"/>
        <v>1.2</v>
      </c>
      <c r="DF72" s="14">
        <f t="shared" si="71"/>
        <v>0</v>
      </c>
      <c r="DG72" s="14">
        <f t="shared" si="72"/>
        <v>4</v>
      </c>
      <c r="DH72" s="14">
        <f t="shared" si="73"/>
        <v>2</v>
      </c>
      <c r="DI72" s="14">
        <f t="shared" si="74"/>
        <v>11</v>
      </c>
      <c r="DL72" s="14">
        <f t="shared" si="56"/>
        <v>2</v>
      </c>
      <c r="DM72" s="14">
        <f t="shared" si="57"/>
        <v>0</v>
      </c>
      <c r="DN72" s="14" t="str">
        <f t="shared" si="75"/>
        <v>DefExt</v>
      </c>
      <c r="DO72" s="14">
        <f t="shared" si="76"/>
        <v>14</v>
      </c>
      <c r="DP72" s="14">
        <f t="shared" si="77"/>
        <v>1.2</v>
      </c>
      <c r="DQ72" s="14" t="str">
        <f t="shared" si="78"/>
        <v/>
      </c>
      <c r="DR72" s="14" t="str">
        <f t="shared" si="79"/>
        <v/>
      </c>
      <c r="DS72" s="14" t="str">
        <f t="shared" si="80"/>
        <v/>
      </c>
      <c r="DT72" s="14">
        <f t="shared" si="81"/>
        <v>4</v>
      </c>
      <c r="DU72" s="14">
        <f t="shared" si="82"/>
        <v>2</v>
      </c>
      <c r="DV72" s="14">
        <f t="shared" si="83"/>
        <v>11</v>
      </c>
      <c r="DW72" s="29" t="s">
        <v>758</v>
      </c>
      <c r="DX72" s="14">
        <f t="shared" si="84"/>
        <v>50</v>
      </c>
      <c r="EA72" s="37"/>
      <c r="EB72" s="37"/>
      <c r="EC72" s="37"/>
      <c r="ED72" s="37"/>
      <c r="EF72" s="37"/>
      <c r="EG72" s="37"/>
      <c r="EM72" s="37"/>
      <c r="EN72" s="37"/>
      <c r="ET72" s="13">
        <v>68</v>
      </c>
      <c r="EU72" s="13">
        <f t="shared" si="85"/>
        <v>6</v>
      </c>
      <c r="EV72" s="13" t="str">
        <f t="shared" si="86"/>
        <v>180级寄灵人洗练-8</v>
      </c>
      <c r="EW72" s="13">
        <f t="shared" si="87"/>
        <v>16</v>
      </c>
      <c r="EX72" s="13">
        <f t="shared" si="88"/>
        <v>8</v>
      </c>
      <c r="EY72" s="13">
        <f t="shared" si="89"/>
        <v>500</v>
      </c>
      <c r="EZ72" s="13" t="str">
        <f t="shared" si="90"/>
        <v>CritRate</v>
      </c>
      <c r="FA72" s="13">
        <f t="shared" si="91"/>
        <v>2.8000000000000001E-2</v>
      </c>
      <c r="FB72" s="13">
        <f t="shared" si="92"/>
        <v>0.08</v>
      </c>
    </row>
    <row r="73" spans="1:158" s="20" customFormat="1" ht="16.5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13">
        <v>68</v>
      </c>
      <c r="BS73" s="13">
        <v>6</v>
      </c>
      <c r="BT73" s="13">
        <v>120</v>
      </c>
      <c r="BU73" s="13">
        <v>3</v>
      </c>
      <c r="BV73" s="13">
        <v>2</v>
      </c>
      <c r="BW73" s="13">
        <v>2</v>
      </c>
      <c r="BX73" s="13">
        <f t="shared" si="93"/>
        <v>2063020</v>
      </c>
      <c r="BY73" s="13" t="s">
        <v>814</v>
      </c>
      <c r="BZ73" s="13"/>
      <c r="CA73" s="13">
        <v>8</v>
      </c>
      <c r="CB73" s="13">
        <f>SUM(CA$6:CA73)</f>
        <v>492</v>
      </c>
      <c r="CC73" s="13">
        <v>1</v>
      </c>
      <c r="CD73" s="13">
        <v>2</v>
      </c>
      <c r="CE73" s="13">
        <v>3</v>
      </c>
      <c r="CF73" s="13">
        <v>4</v>
      </c>
      <c r="CG73" s="13">
        <v>5</v>
      </c>
      <c r="CH73" s="13">
        <v>6</v>
      </c>
      <c r="CI73" s="13">
        <v>7</v>
      </c>
      <c r="CJ73" s="13">
        <v>8</v>
      </c>
      <c r="CK73" s="37"/>
      <c r="CM73" s="13">
        <v>69</v>
      </c>
      <c r="CN73" s="14">
        <f t="shared" si="58"/>
        <v>9</v>
      </c>
      <c r="CO73" s="14">
        <f t="shared" si="59"/>
        <v>3</v>
      </c>
      <c r="CP73" s="14">
        <f t="shared" si="60"/>
        <v>5</v>
      </c>
      <c r="CQ73" s="14">
        <f t="shared" si="51"/>
        <v>1</v>
      </c>
      <c r="CR73" s="14">
        <f t="shared" si="52"/>
        <v>2014035</v>
      </c>
      <c r="CS73" s="13" t="str">
        <f t="shared" si="53"/>
        <v>30级寄灵人橙色套1-鞋子</v>
      </c>
      <c r="CT73" s="14">
        <f t="shared" si="54"/>
        <v>1</v>
      </c>
      <c r="CU73" s="14">
        <f t="shared" si="55"/>
        <v>4</v>
      </c>
      <c r="CV73" s="14">
        <f t="shared" si="61"/>
        <v>30</v>
      </c>
      <c r="CW73" s="14">
        <f t="shared" si="62"/>
        <v>30</v>
      </c>
      <c r="CX73" s="14">
        <f t="shared" si="63"/>
        <v>5</v>
      </c>
      <c r="CY73" s="14">
        <f t="shared" si="64"/>
        <v>1011</v>
      </c>
      <c r="CZ73" s="14">
        <f t="shared" si="65"/>
        <v>9</v>
      </c>
      <c r="DA73" s="14">
        <f t="shared" si="66"/>
        <v>0</v>
      </c>
      <c r="DB73" s="14">
        <f t="shared" si="67"/>
        <v>0</v>
      </c>
      <c r="DC73" s="14">
        <f t="shared" si="68"/>
        <v>90</v>
      </c>
      <c r="DD73" s="14">
        <f t="shared" si="69"/>
        <v>0</v>
      </c>
      <c r="DE73" s="14">
        <f t="shared" si="70"/>
        <v>0</v>
      </c>
      <c r="DF73" s="14">
        <f t="shared" si="71"/>
        <v>9</v>
      </c>
      <c r="DG73" s="14">
        <f t="shared" si="72"/>
        <v>4</v>
      </c>
      <c r="DH73" s="14">
        <f t="shared" si="73"/>
        <v>2</v>
      </c>
      <c r="DI73" s="14">
        <f t="shared" si="74"/>
        <v>11</v>
      </c>
      <c r="DL73" s="14">
        <f t="shared" si="56"/>
        <v>3</v>
      </c>
      <c r="DM73" s="14">
        <f t="shared" si="57"/>
        <v>0</v>
      </c>
      <c r="DN73" s="14" t="str">
        <f t="shared" si="75"/>
        <v>HPExt</v>
      </c>
      <c r="DO73" s="14">
        <f t="shared" si="76"/>
        <v>90</v>
      </c>
      <c r="DP73" s="14">
        <f t="shared" si="77"/>
        <v>9</v>
      </c>
      <c r="DQ73" s="14" t="str">
        <f t="shared" si="78"/>
        <v/>
      </c>
      <c r="DR73" s="14" t="str">
        <f t="shared" si="79"/>
        <v/>
      </c>
      <c r="DS73" s="14" t="str">
        <f t="shared" si="80"/>
        <v/>
      </c>
      <c r="DT73" s="14">
        <f t="shared" si="81"/>
        <v>4</v>
      </c>
      <c r="DU73" s="14">
        <f t="shared" si="82"/>
        <v>2</v>
      </c>
      <c r="DV73" s="14">
        <f t="shared" si="83"/>
        <v>11</v>
      </c>
      <c r="DW73" s="29" t="s">
        <v>758</v>
      </c>
      <c r="DX73" s="14">
        <f t="shared" si="84"/>
        <v>50</v>
      </c>
      <c r="EA73" s="37"/>
      <c r="EB73" s="37"/>
      <c r="EC73" s="37"/>
      <c r="ED73" s="37"/>
      <c r="EF73" s="37"/>
      <c r="EG73" s="37"/>
      <c r="EM73" s="37"/>
      <c r="EN73" s="37"/>
      <c r="ET73" s="13">
        <v>69</v>
      </c>
      <c r="EU73" s="13">
        <f t="shared" si="85"/>
        <v>6</v>
      </c>
      <c r="EV73" s="13" t="str">
        <f t="shared" si="86"/>
        <v>180级寄灵人洗练-9</v>
      </c>
      <c r="EW73" s="13">
        <f t="shared" si="87"/>
        <v>16</v>
      </c>
      <c r="EX73" s="13">
        <f t="shared" si="88"/>
        <v>9</v>
      </c>
      <c r="EY73" s="13">
        <f t="shared" si="89"/>
        <v>500</v>
      </c>
      <c r="EZ73" s="13" t="str">
        <f t="shared" si="90"/>
        <v>DefIgnor</v>
      </c>
      <c r="FA73" s="13">
        <f t="shared" si="91"/>
        <v>1.0999999999999999E-2</v>
      </c>
      <c r="FB73" s="13">
        <f t="shared" si="92"/>
        <v>0.03</v>
      </c>
    </row>
    <row r="74" spans="1:158" s="20" customFormat="1" ht="16.5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13">
        <v>69</v>
      </c>
      <c r="BS74" s="13">
        <v>6</v>
      </c>
      <c r="BT74" s="13">
        <v>120</v>
      </c>
      <c r="BU74" s="13">
        <v>4</v>
      </c>
      <c r="BV74" s="13">
        <v>1</v>
      </c>
      <c r="BW74" s="13">
        <v>1</v>
      </c>
      <c r="BX74" s="13">
        <f t="shared" si="93"/>
        <v>2064010</v>
      </c>
      <c r="BY74" s="13" t="s">
        <v>815</v>
      </c>
      <c r="BZ74" s="13"/>
      <c r="CA74" s="13">
        <v>8</v>
      </c>
      <c r="CB74" s="13">
        <f>SUM(CA$6:CA74)</f>
        <v>500</v>
      </c>
      <c r="CC74" s="13">
        <v>1</v>
      </c>
      <c r="CD74" s="13">
        <v>2</v>
      </c>
      <c r="CE74" s="13">
        <v>3</v>
      </c>
      <c r="CF74" s="13">
        <v>4</v>
      </c>
      <c r="CG74" s="13">
        <v>5</v>
      </c>
      <c r="CH74" s="13">
        <v>6</v>
      </c>
      <c r="CI74" s="13">
        <v>7</v>
      </c>
      <c r="CJ74" s="13">
        <v>8</v>
      </c>
      <c r="CK74" s="37"/>
      <c r="CM74" s="13">
        <v>70</v>
      </c>
      <c r="CN74" s="14">
        <f t="shared" si="58"/>
        <v>9</v>
      </c>
      <c r="CO74" s="14">
        <f t="shared" si="59"/>
        <v>3</v>
      </c>
      <c r="CP74" s="14">
        <f t="shared" si="60"/>
        <v>6</v>
      </c>
      <c r="CQ74" s="14">
        <f t="shared" si="51"/>
        <v>1</v>
      </c>
      <c r="CR74" s="14">
        <f t="shared" si="52"/>
        <v>2014036</v>
      </c>
      <c r="CS74" s="13" t="str">
        <f t="shared" si="53"/>
        <v>30级寄灵人橙色套1-护手</v>
      </c>
      <c r="CT74" s="14">
        <f t="shared" si="54"/>
        <v>1</v>
      </c>
      <c r="CU74" s="14">
        <f t="shared" si="55"/>
        <v>4</v>
      </c>
      <c r="CV74" s="14">
        <f t="shared" si="61"/>
        <v>30</v>
      </c>
      <c r="CW74" s="14">
        <f t="shared" si="62"/>
        <v>30</v>
      </c>
      <c r="CX74" s="14">
        <f t="shared" si="63"/>
        <v>6</v>
      </c>
      <c r="CY74" s="14">
        <f t="shared" si="64"/>
        <v>1011</v>
      </c>
      <c r="CZ74" s="14">
        <f t="shared" si="65"/>
        <v>9</v>
      </c>
      <c r="DA74" s="14">
        <f t="shared" si="66"/>
        <v>0</v>
      </c>
      <c r="DB74" s="14">
        <f t="shared" si="67"/>
        <v>0</v>
      </c>
      <c r="DC74" s="14">
        <f t="shared" si="68"/>
        <v>90</v>
      </c>
      <c r="DD74" s="14">
        <f t="shared" si="69"/>
        <v>0</v>
      </c>
      <c r="DE74" s="14">
        <f t="shared" si="70"/>
        <v>0</v>
      </c>
      <c r="DF74" s="14">
        <f t="shared" si="71"/>
        <v>9</v>
      </c>
      <c r="DG74" s="14">
        <f t="shared" si="72"/>
        <v>4</v>
      </c>
      <c r="DH74" s="14">
        <f t="shared" si="73"/>
        <v>2</v>
      </c>
      <c r="DI74" s="14">
        <f t="shared" si="74"/>
        <v>11</v>
      </c>
      <c r="DL74" s="14">
        <f t="shared" si="56"/>
        <v>3</v>
      </c>
      <c r="DM74" s="14">
        <f t="shared" si="57"/>
        <v>0</v>
      </c>
      <c r="DN74" s="14" t="str">
        <f t="shared" si="75"/>
        <v>HPExt</v>
      </c>
      <c r="DO74" s="14">
        <f t="shared" si="76"/>
        <v>90</v>
      </c>
      <c r="DP74" s="14">
        <f t="shared" si="77"/>
        <v>9</v>
      </c>
      <c r="DQ74" s="14" t="str">
        <f t="shared" si="78"/>
        <v/>
      </c>
      <c r="DR74" s="14" t="str">
        <f t="shared" si="79"/>
        <v/>
      </c>
      <c r="DS74" s="14" t="str">
        <f t="shared" si="80"/>
        <v/>
      </c>
      <c r="DT74" s="14">
        <f t="shared" si="81"/>
        <v>4</v>
      </c>
      <c r="DU74" s="14">
        <f t="shared" si="82"/>
        <v>2</v>
      </c>
      <c r="DV74" s="14">
        <f t="shared" si="83"/>
        <v>11</v>
      </c>
      <c r="DW74" s="29" t="s">
        <v>758</v>
      </c>
      <c r="DX74" s="14">
        <f t="shared" si="84"/>
        <v>50</v>
      </c>
      <c r="EA74" s="37"/>
      <c r="EB74" s="37"/>
      <c r="EC74" s="37"/>
      <c r="ED74" s="37"/>
      <c r="EF74" s="37"/>
      <c r="EG74" s="37"/>
      <c r="EM74" s="37"/>
      <c r="EN74" s="37"/>
      <c r="ET74" s="13">
        <v>70</v>
      </c>
      <c r="EU74" s="13">
        <f t="shared" si="85"/>
        <v>6</v>
      </c>
      <c r="EV74" s="13" t="str">
        <f t="shared" si="86"/>
        <v>180级寄灵人洗练-10</v>
      </c>
      <c r="EW74" s="13">
        <f t="shared" si="87"/>
        <v>16</v>
      </c>
      <c r="EX74" s="13">
        <f t="shared" si="88"/>
        <v>10</v>
      </c>
      <c r="EY74" s="13">
        <f t="shared" si="89"/>
        <v>500</v>
      </c>
      <c r="EZ74" s="13" t="str">
        <f t="shared" si="90"/>
        <v>Block</v>
      </c>
      <c r="FA74" s="13">
        <f t="shared" si="91"/>
        <v>1.0999999999999999E-2</v>
      </c>
      <c r="FB74" s="13">
        <f t="shared" si="92"/>
        <v>0.03</v>
      </c>
    </row>
    <row r="75" spans="1:158" s="20" customFormat="1" ht="16.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13">
        <v>70</v>
      </c>
      <c r="BS75" s="13">
        <v>6</v>
      </c>
      <c r="BT75" s="13">
        <v>120</v>
      </c>
      <c r="BU75" s="13">
        <v>4</v>
      </c>
      <c r="BV75" s="13">
        <v>2</v>
      </c>
      <c r="BW75" s="13">
        <v>2</v>
      </c>
      <c r="BX75" s="13">
        <f t="shared" si="93"/>
        <v>2064020</v>
      </c>
      <c r="BY75" s="13" t="s">
        <v>816</v>
      </c>
      <c r="BZ75" s="13"/>
      <c r="CA75" s="13">
        <v>8</v>
      </c>
      <c r="CB75" s="13">
        <f>SUM(CA$6:CA75)</f>
        <v>508</v>
      </c>
      <c r="CC75" s="13">
        <v>1</v>
      </c>
      <c r="CD75" s="13">
        <v>2</v>
      </c>
      <c r="CE75" s="13">
        <v>3</v>
      </c>
      <c r="CF75" s="13">
        <v>4</v>
      </c>
      <c r="CG75" s="13">
        <v>5</v>
      </c>
      <c r="CH75" s="13">
        <v>6</v>
      </c>
      <c r="CI75" s="13">
        <v>7</v>
      </c>
      <c r="CJ75" s="13">
        <v>8</v>
      </c>
      <c r="CK75" s="37"/>
      <c r="CM75" s="13">
        <v>71</v>
      </c>
      <c r="CN75" s="14">
        <f t="shared" si="58"/>
        <v>9</v>
      </c>
      <c r="CO75" s="14">
        <f t="shared" si="59"/>
        <v>3</v>
      </c>
      <c r="CP75" s="14">
        <f t="shared" si="60"/>
        <v>7</v>
      </c>
      <c r="CQ75" s="14">
        <f t="shared" si="51"/>
        <v>1</v>
      </c>
      <c r="CR75" s="14">
        <f t="shared" si="52"/>
        <v>2014037</v>
      </c>
      <c r="CS75" s="13" t="str">
        <f t="shared" si="53"/>
        <v>30级寄灵人橙色套1-项链</v>
      </c>
      <c r="CT75" s="14">
        <f t="shared" si="54"/>
        <v>1</v>
      </c>
      <c r="CU75" s="14">
        <f t="shared" si="55"/>
        <v>4</v>
      </c>
      <c r="CV75" s="14">
        <f t="shared" si="61"/>
        <v>30</v>
      </c>
      <c r="CW75" s="14">
        <f t="shared" si="62"/>
        <v>30</v>
      </c>
      <c r="CX75" s="14">
        <f t="shared" si="63"/>
        <v>7</v>
      </c>
      <c r="CY75" s="14">
        <f t="shared" si="64"/>
        <v>1011</v>
      </c>
      <c r="CZ75" s="14">
        <f t="shared" si="65"/>
        <v>19</v>
      </c>
      <c r="DA75" s="14">
        <f t="shared" si="66"/>
        <v>18</v>
      </c>
      <c r="DB75" s="14">
        <f t="shared" si="67"/>
        <v>11</v>
      </c>
      <c r="DC75" s="14">
        <f t="shared" si="68"/>
        <v>0</v>
      </c>
      <c r="DD75" s="14">
        <f t="shared" si="69"/>
        <v>1.8</v>
      </c>
      <c r="DE75" s="14">
        <f t="shared" si="70"/>
        <v>1</v>
      </c>
      <c r="DF75" s="14">
        <f t="shared" si="71"/>
        <v>0</v>
      </c>
      <c r="DG75" s="14">
        <f t="shared" si="72"/>
        <v>4</v>
      </c>
      <c r="DH75" s="14">
        <f t="shared" si="73"/>
        <v>2</v>
      </c>
      <c r="DI75" s="14">
        <f t="shared" si="74"/>
        <v>11</v>
      </c>
      <c r="DL75" s="14">
        <f t="shared" si="56"/>
        <v>1</v>
      </c>
      <c r="DM75" s="14">
        <f t="shared" si="57"/>
        <v>2</v>
      </c>
      <c r="DN75" s="14" t="str">
        <f t="shared" si="75"/>
        <v>AtkExt</v>
      </c>
      <c r="DO75" s="14">
        <f t="shared" si="76"/>
        <v>18</v>
      </c>
      <c r="DP75" s="14">
        <f t="shared" si="77"/>
        <v>1.8</v>
      </c>
      <c r="DQ75" s="14" t="str">
        <f t="shared" si="78"/>
        <v>DefExt</v>
      </c>
      <c r="DR75" s="14">
        <f t="shared" si="79"/>
        <v>11</v>
      </c>
      <c r="DS75" s="14">
        <f t="shared" si="80"/>
        <v>1</v>
      </c>
      <c r="DT75" s="14">
        <f t="shared" si="81"/>
        <v>4</v>
      </c>
      <c r="DU75" s="14">
        <f t="shared" si="82"/>
        <v>2</v>
      </c>
      <c r="DV75" s="14">
        <f t="shared" si="83"/>
        <v>11</v>
      </c>
      <c r="DW75" s="29" t="s">
        <v>758</v>
      </c>
      <c r="DX75" s="14">
        <f t="shared" si="84"/>
        <v>50</v>
      </c>
      <c r="EA75" s="37"/>
      <c r="EB75" s="37"/>
      <c r="EC75" s="37"/>
      <c r="ED75" s="37"/>
      <c r="EF75" s="37"/>
      <c r="EG75" s="37"/>
      <c r="EM75" s="37"/>
      <c r="EN75" s="37"/>
      <c r="ET75" s="13">
        <v>71</v>
      </c>
      <c r="EU75" s="13">
        <f t="shared" si="85"/>
        <v>6</v>
      </c>
      <c r="EV75" s="13" t="str">
        <f t="shared" si="86"/>
        <v>180级寄灵人洗练-11</v>
      </c>
      <c r="EW75" s="13">
        <f t="shared" si="87"/>
        <v>16</v>
      </c>
      <c r="EX75" s="13">
        <f t="shared" si="88"/>
        <v>11</v>
      </c>
      <c r="EY75" s="13">
        <f t="shared" si="89"/>
        <v>500</v>
      </c>
      <c r="EZ75" s="13" t="str">
        <f t="shared" si="90"/>
        <v>EffectHit</v>
      </c>
      <c r="FA75" s="13">
        <f t="shared" si="91"/>
        <v>1.7999999999999999E-2</v>
      </c>
      <c r="FB75" s="13">
        <f t="shared" si="92"/>
        <v>0.05</v>
      </c>
    </row>
    <row r="76" spans="1:158" s="20" customFormat="1" ht="16.5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13">
        <v>71</v>
      </c>
      <c r="BS76" s="13">
        <v>6</v>
      </c>
      <c r="BT76" s="13">
        <v>120</v>
      </c>
      <c r="BU76" s="13">
        <v>4</v>
      </c>
      <c r="BV76" s="13">
        <v>1</v>
      </c>
      <c r="BW76" s="13">
        <v>3</v>
      </c>
      <c r="BX76" s="13">
        <f t="shared" si="93"/>
        <v>2064030</v>
      </c>
      <c r="BY76" s="13" t="s">
        <v>817</v>
      </c>
      <c r="BZ76" s="13">
        <v>1061</v>
      </c>
      <c r="CA76" s="13">
        <v>5</v>
      </c>
      <c r="CB76" s="13">
        <f>SUM(CA$6:CA76)</f>
        <v>513</v>
      </c>
      <c r="CC76" s="13">
        <v>1</v>
      </c>
      <c r="CD76" s="13">
        <v>2</v>
      </c>
      <c r="CE76" s="13">
        <v>3</v>
      </c>
      <c r="CF76" s="13">
        <v>7</v>
      </c>
      <c r="CG76" s="13">
        <v>8</v>
      </c>
      <c r="CH76" s="13"/>
      <c r="CI76" s="13"/>
      <c r="CJ76" s="13"/>
      <c r="CK76" s="37"/>
      <c r="CM76" s="13">
        <v>72</v>
      </c>
      <c r="CN76" s="14">
        <f t="shared" si="58"/>
        <v>9</v>
      </c>
      <c r="CO76" s="14">
        <f t="shared" si="59"/>
        <v>3</v>
      </c>
      <c r="CP76" s="14">
        <f t="shared" si="60"/>
        <v>8</v>
      </c>
      <c r="CQ76" s="14">
        <f t="shared" si="51"/>
        <v>1</v>
      </c>
      <c r="CR76" s="14">
        <f t="shared" si="52"/>
        <v>2014038</v>
      </c>
      <c r="CS76" s="13" t="str">
        <f t="shared" si="53"/>
        <v>30级寄灵人橙色套1-戒指</v>
      </c>
      <c r="CT76" s="14">
        <f t="shared" si="54"/>
        <v>1</v>
      </c>
      <c r="CU76" s="14">
        <f t="shared" si="55"/>
        <v>4</v>
      </c>
      <c r="CV76" s="14">
        <f t="shared" si="61"/>
        <v>30</v>
      </c>
      <c r="CW76" s="14">
        <f t="shared" si="62"/>
        <v>30</v>
      </c>
      <c r="CX76" s="14">
        <f t="shared" si="63"/>
        <v>8</v>
      </c>
      <c r="CY76" s="14">
        <f t="shared" si="64"/>
        <v>1011</v>
      </c>
      <c r="CZ76" s="14">
        <f t="shared" si="65"/>
        <v>16</v>
      </c>
      <c r="DA76" s="14">
        <f t="shared" si="66"/>
        <v>18</v>
      </c>
      <c r="DB76" s="14">
        <f t="shared" si="67"/>
        <v>0</v>
      </c>
      <c r="DC76" s="14">
        <f t="shared" si="68"/>
        <v>75</v>
      </c>
      <c r="DD76" s="14">
        <f t="shared" si="69"/>
        <v>1.8</v>
      </c>
      <c r="DE76" s="14">
        <f t="shared" si="70"/>
        <v>0</v>
      </c>
      <c r="DF76" s="14">
        <f t="shared" si="71"/>
        <v>7.5</v>
      </c>
      <c r="DG76" s="14">
        <f t="shared" si="72"/>
        <v>4</v>
      </c>
      <c r="DH76" s="14">
        <f t="shared" si="73"/>
        <v>2</v>
      </c>
      <c r="DI76" s="14">
        <f t="shared" si="74"/>
        <v>11</v>
      </c>
      <c r="DL76" s="14">
        <f t="shared" si="56"/>
        <v>1</v>
      </c>
      <c r="DM76" s="14">
        <f t="shared" si="57"/>
        <v>3</v>
      </c>
      <c r="DN76" s="14" t="str">
        <f t="shared" si="75"/>
        <v>AtkExt</v>
      </c>
      <c r="DO76" s="14">
        <f t="shared" si="76"/>
        <v>18</v>
      </c>
      <c r="DP76" s="14">
        <f t="shared" si="77"/>
        <v>1.8</v>
      </c>
      <c r="DQ76" s="14" t="str">
        <f t="shared" si="78"/>
        <v>HPExt</v>
      </c>
      <c r="DR76" s="14">
        <f t="shared" si="79"/>
        <v>75</v>
      </c>
      <c r="DS76" s="14">
        <f t="shared" si="80"/>
        <v>7.5</v>
      </c>
      <c r="DT76" s="14">
        <f t="shared" si="81"/>
        <v>4</v>
      </c>
      <c r="DU76" s="14">
        <f t="shared" si="82"/>
        <v>2</v>
      </c>
      <c r="DV76" s="14">
        <f t="shared" si="83"/>
        <v>11</v>
      </c>
      <c r="DW76" s="29" t="s">
        <v>758</v>
      </c>
      <c r="DX76" s="14">
        <f t="shared" si="84"/>
        <v>50</v>
      </c>
      <c r="EA76" s="37"/>
      <c r="EB76" s="37"/>
      <c r="EC76" s="37"/>
      <c r="ED76" s="37"/>
      <c r="EF76" s="37"/>
      <c r="EG76" s="37"/>
      <c r="EM76" s="37"/>
      <c r="EN76" s="37"/>
      <c r="ET76" s="13">
        <v>72</v>
      </c>
      <c r="EU76" s="13">
        <f t="shared" si="85"/>
        <v>6</v>
      </c>
      <c r="EV76" s="13" t="str">
        <f t="shared" si="86"/>
        <v>180级寄灵人洗练-12</v>
      </c>
      <c r="EW76" s="13">
        <f t="shared" si="87"/>
        <v>16</v>
      </c>
      <c r="EX76" s="13">
        <f t="shared" si="88"/>
        <v>12</v>
      </c>
      <c r="EY76" s="13">
        <f t="shared" si="89"/>
        <v>500</v>
      </c>
      <c r="EZ76" s="13" t="str">
        <f t="shared" si="90"/>
        <v>EffectResist</v>
      </c>
      <c r="FA76" s="13">
        <f t="shared" si="91"/>
        <v>1.7999999999999999E-2</v>
      </c>
      <c r="FB76" s="13">
        <f t="shared" si="92"/>
        <v>0.05</v>
      </c>
    </row>
    <row r="77" spans="1:158" s="20" customFormat="1" ht="16.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13">
        <v>72</v>
      </c>
      <c r="BS77" s="13">
        <v>6</v>
      </c>
      <c r="BT77" s="13">
        <v>120</v>
      </c>
      <c r="BU77" s="13">
        <v>4</v>
      </c>
      <c r="BV77" s="13">
        <v>2</v>
      </c>
      <c r="BW77" s="13">
        <v>4</v>
      </c>
      <c r="BX77" s="13">
        <f t="shared" si="93"/>
        <v>2064040</v>
      </c>
      <c r="BY77" s="13" t="s">
        <v>818</v>
      </c>
      <c r="BZ77" s="13">
        <v>2061</v>
      </c>
      <c r="CA77" s="13">
        <v>5</v>
      </c>
      <c r="CB77" s="13">
        <f>SUM(CA$6:CA77)</f>
        <v>518</v>
      </c>
      <c r="CC77" s="13">
        <v>1</v>
      </c>
      <c r="CD77" s="13">
        <v>2</v>
      </c>
      <c r="CE77" s="13">
        <v>3</v>
      </c>
      <c r="CF77" s="13">
        <v>7</v>
      </c>
      <c r="CG77" s="13">
        <v>8</v>
      </c>
      <c r="CH77" s="13"/>
      <c r="CI77" s="13"/>
      <c r="CJ77" s="13"/>
      <c r="CK77" s="37"/>
      <c r="CM77" s="13">
        <v>73</v>
      </c>
      <c r="CN77" s="14">
        <f t="shared" si="58"/>
        <v>10</v>
      </c>
      <c r="CO77" s="14">
        <f t="shared" si="59"/>
        <v>4</v>
      </c>
      <c r="CP77" s="14">
        <f t="shared" si="60"/>
        <v>1</v>
      </c>
      <c r="CQ77" s="14">
        <f t="shared" si="51"/>
        <v>1</v>
      </c>
      <c r="CR77" s="14">
        <f t="shared" si="52"/>
        <v>2014041</v>
      </c>
      <c r="CS77" s="13" t="str">
        <f t="shared" si="53"/>
        <v>30级守护灵橙色套1-武器</v>
      </c>
      <c r="CT77" s="14">
        <f t="shared" si="54"/>
        <v>2</v>
      </c>
      <c r="CU77" s="14">
        <f t="shared" si="55"/>
        <v>4</v>
      </c>
      <c r="CV77" s="14">
        <f t="shared" si="61"/>
        <v>30</v>
      </c>
      <c r="CW77" s="14">
        <f t="shared" si="62"/>
        <v>30</v>
      </c>
      <c r="CX77" s="14">
        <f t="shared" si="63"/>
        <v>1</v>
      </c>
      <c r="CY77" s="14">
        <f t="shared" si="64"/>
        <v>2011</v>
      </c>
      <c r="CZ77" s="14">
        <f t="shared" si="65"/>
        <v>30</v>
      </c>
      <c r="DA77" s="14">
        <f t="shared" si="66"/>
        <v>60</v>
      </c>
      <c r="DB77" s="14">
        <f t="shared" si="67"/>
        <v>0</v>
      </c>
      <c r="DC77" s="14">
        <f t="shared" si="68"/>
        <v>0</v>
      </c>
      <c r="DD77" s="14">
        <f t="shared" si="69"/>
        <v>6</v>
      </c>
      <c r="DE77" s="14">
        <f t="shared" si="70"/>
        <v>0</v>
      </c>
      <c r="DF77" s="14">
        <f t="shared" si="71"/>
        <v>0</v>
      </c>
      <c r="DG77" s="14">
        <f t="shared" si="72"/>
        <v>4</v>
      </c>
      <c r="DH77" s="14">
        <f t="shared" si="73"/>
        <v>2</v>
      </c>
      <c r="DI77" s="14">
        <f t="shared" si="74"/>
        <v>21</v>
      </c>
      <c r="DL77" s="14">
        <f t="shared" si="56"/>
        <v>1</v>
      </c>
      <c r="DM77" s="14">
        <f t="shared" si="57"/>
        <v>0</v>
      </c>
      <c r="DN77" s="14" t="str">
        <f t="shared" si="75"/>
        <v>AtkExt</v>
      </c>
      <c r="DO77" s="14">
        <f t="shared" si="76"/>
        <v>60</v>
      </c>
      <c r="DP77" s="14">
        <f t="shared" si="77"/>
        <v>6</v>
      </c>
      <c r="DQ77" s="14" t="str">
        <f t="shared" si="78"/>
        <v/>
      </c>
      <c r="DR77" s="14" t="str">
        <f t="shared" si="79"/>
        <v/>
      </c>
      <c r="DS77" s="14" t="str">
        <f t="shared" si="80"/>
        <v/>
      </c>
      <c r="DT77" s="14">
        <f t="shared" si="81"/>
        <v>4</v>
      </c>
      <c r="DU77" s="14">
        <f t="shared" si="82"/>
        <v>2</v>
      </c>
      <c r="DV77" s="14">
        <f t="shared" si="83"/>
        <v>21</v>
      </c>
      <c r="DW77" s="29" t="s">
        <v>758</v>
      </c>
      <c r="DX77" s="14">
        <f t="shared" si="84"/>
        <v>50</v>
      </c>
      <c r="EA77" s="37"/>
      <c r="EB77" s="37"/>
      <c r="EC77" s="37"/>
      <c r="ED77" s="37"/>
      <c r="EF77" s="37"/>
      <c r="EG77" s="37"/>
      <c r="EM77" s="37"/>
      <c r="EN77" s="37"/>
      <c r="ET77" s="13">
        <v>73</v>
      </c>
      <c r="EU77" s="13">
        <f t="shared" si="85"/>
        <v>7</v>
      </c>
      <c r="EV77" s="13" t="str">
        <f t="shared" ref="EV77:EV94" si="94">INDEX($AU$5:$AU$16,EU77)&amp;"洗练-"&amp;EX77</f>
        <v>20级守护灵洗练-1</v>
      </c>
      <c r="EW77" s="13">
        <f t="shared" ref="EW77:EW94" si="95">INDEX($AT$5:$AT$16,EU77)</f>
        <v>21</v>
      </c>
      <c r="EX77" s="13">
        <f t="shared" ref="EX77:EX94" si="96">MOD(ET77-1,12)+1</f>
        <v>1</v>
      </c>
      <c r="EY77" s="13">
        <f t="shared" si="89"/>
        <v>1800</v>
      </c>
      <c r="EZ77" s="13" t="str">
        <f t="shared" ref="EZ77:EZ94" si="97">INDEX($AY$3:$BJ$3,EX77)</f>
        <v>AtkExt</v>
      </c>
      <c r="FA77" s="13">
        <f t="shared" si="91"/>
        <v>11</v>
      </c>
      <c r="FB77" s="13">
        <f t="shared" ref="FB77:FB94" si="98">INDEX($AY$5:$BJ$16,EU77,EX77)</f>
        <v>34</v>
      </c>
    </row>
    <row r="78" spans="1:158" s="20" customFormat="1" ht="16.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13">
        <v>73</v>
      </c>
      <c r="BS78" s="13">
        <v>6</v>
      </c>
      <c r="BT78" s="13">
        <v>120</v>
      </c>
      <c r="BU78" s="13">
        <v>4</v>
      </c>
      <c r="BV78" s="13">
        <v>1</v>
      </c>
      <c r="BW78" s="13">
        <v>5</v>
      </c>
      <c r="BX78" s="13">
        <f t="shared" si="93"/>
        <v>2064050</v>
      </c>
      <c r="BY78" s="13" t="s">
        <v>819</v>
      </c>
      <c r="BZ78" s="13">
        <v>1062</v>
      </c>
      <c r="CA78" s="13">
        <v>6</v>
      </c>
      <c r="CB78" s="13">
        <f>SUM(CA$6:CA78)</f>
        <v>524</v>
      </c>
      <c r="CC78" s="13">
        <v>1</v>
      </c>
      <c r="CD78" s="13">
        <v>2</v>
      </c>
      <c r="CE78" s="13">
        <v>3</v>
      </c>
      <c r="CF78" s="13">
        <v>4</v>
      </c>
      <c r="CG78" s="13">
        <v>5</v>
      </c>
      <c r="CH78" s="13">
        <v>6</v>
      </c>
      <c r="CI78" s="13"/>
      <c r="CJ78" s="13"/>
      <c r="CK78" s="37"/>
      <c r="CM78" s="13">
        <v>74</v>
      </c>
      <c r="CN78" s="14">
        <f t="shared" si="58"/>
        <v>10</v>
      </c>
      <c r="CO78" s="14">
        <f t="shared" si="59"/>
        <v>4</v>
      </c>
      <c r="CP78" s="14">
        <f t="shared" si="60"/>
        <v>2</v>
      </c>
      <c r="CQ78" s="14">
        <f t="shared" si="51"/>
        <v>1</v>
      </c>
      <c r="CR78" s="14">
        <f t="shared" si="52"/>
        <v>2014042</v>
      </c>
      <c r="CS78" s="13" t="str">
        <f t="shared" si="53"/>
        <v>30级守护灵橙色套1-头盔</v>
      </c>
      <c r="CT78" s="14">
        <f t="shared" si="54"/>
        <v>2</v>
      </c>
      <c r="CU78" s="14">
        <f t="shared" si="55"/>
        <v>4</v>
      </c>
      <c r="CV78" s="14">
        <f t="shared" si="61"/>
        <v>30</v>
      </c>
      <c r="CW78" s="14">
        <f t="shared" si="62"/>
        <v>30</v>
      </c>
      <c r="CX78" s="14">
        <f t="shared" si="63"/>
        <v>2</v>
      </c>
      <c r="CY78" s="14">
        <f t="shared" si="64"/>
        <v>2011</v>
      </c>
      <c r="CZ78" s="14">
        <f t="shared" si="65"/>
        <v>15</v>
      </c>
      <c r="DA78" s="14">
        <f t="shared" si="66"/>
        <v>0</v>
      </c>
      <c r="DB78" s="14">
        <f t="shared" si="67"/>
        <v>15</v>
      </c>
      <c r="DC78" s="14">
        <f t="shared" si="68"/>
        <v>0</v>
      </c>
      <c r="DD78" s="14">
        <f t="shared" si="69"/>
        <v>0</v>
      </c>
      <c r="DE78" s="14">
        <f t="shared" si="70"/>
        <v>1.5</v>
      </c>
      <c r="DF78" s="14">
        <f t="shared" si="71"/>
        <v>0</v>
      </c>
      <c r="DG78" s="14">
        <f t="shared" si="72"/>
        <v>4</v>
      </c>
      <c r="DH78" s="14">
        <f t="shared" si="73"/>
        <v>2</v>
      </c>
      <c r="DI78" s="14">
        <f t="shared" si="74"/>
        <v>21</v>
      </c>
      <c r="DL78" s="14">
        <f t="shared" si="56"/>
        <v>2</v>
      </c>
      <c r="DM78" s="14">
        <f t="shared" si="57"/>
        <v>0</v>
      </c>
      <c r="DN78" s="14" t="str">
        <f t="shared" si="75"/>
        <v>DefExt</v>
      </c>
      <c r="DO78" s="14">
        <f t="shared" si="76"/>
        <v>15</v>
      </c>
      <c r="DP78" s="14">
        <f t="shared" si="77"/>
        <v>1.5</v>
      </c>
      <c r="DQ78" s="14" t="str">
        <f t="shared" si="78"/>
        <v/>
      </c>
      <c r="DR78" s="14" t="str">
        <f t="shared" si="79"/>
        <v/>
      </c>
      <c r="DS78" s="14" t="str">
        <f t="shared" si="80"/>
        <v/>
      </c>
      <c r="DT78" s="14">
        <f t="shared" si="81"/>
        <v>4</v>
      </c>
      <c r="DU78" s="14">
        <f t="shared" si="82"/>
        <v>2</v>
      </c>
      <c r="DV78" s="14">
        <f t="shared" si="83"/>
        <v>21</v>
      </c>
      <c r="DW78" s="29" t="s">
        <v>758</v>
      </c>
      <c r="DX78" s="14">
        <f t="shared" si="84"/>
        <v>50</v>
      </c>
      <c r="EA78" s="37"/>
      <c r="EB78" s="37"/>
      <c r="EC78" s="37"/>
      <c r="ED78" s="37"/>
      <c r="EF78" s="37"/>
      <c r="EG78" s="37"/>
      <c r="EM78" s="37"/>
      <c r="EN78" s="37"/>
      <c r="ET78" s="13">
        <v>74</v>
      </c>
      <c r="EU78" s="13">
        <f t="shared" si="85"/>
        <v>7</v>
      </c>
      <c r="EV78" s="13" t="str">
        <f t="shared" si="94"/>
        <v>20级守护灵洗练-2</v>
      </c>
      <c r="EW78" s="13">
        <f t="shared" si="95"/>
        <v>21</v>
      </c>
      <c r="EX78" s="13">
        <f t="shared" si="96"/>
        <v>2</v>
      </c>
      <c r="EY78" s="13">
        <f t="shared" si="89"/>
        <v>1800</v>
      </c>
      <c r="EZ78" s="13" t="str">
        <f t="shared" si="97"/>
        <v>DefExt</v>
      </c>
      <c r="FA78" s="13">
        <f t="shared" si="91"/>
        <v>5</v>
      </c>
      <c r="FB78" s="13">
        <f t="shared" si="98"/>
        <v>17</v>
      </c>
    </row>
    <row r="79" spans="1:158" s="20" customFormat="1" ht="16.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13">
        <v>74</v>
      </c>
      <c r="BS79" s="13">
        <v>6</v>
      </c>
      <c r="BT79" s="13">
        <v>120</v>
      </c>
      <c r="BU79" s="13">
        <v>4</v>
      </c>
      <c r="BV79" s="13">
        <v>2</v>
      </c>
      <c r="BW79" s="13">
        <v>6</v>
      </c>
      <c r="BX79" s="13">
        <f t="shared" si="93"/>
        <v>2064060</v>
      </c>
      <c r="BY79" s="13" t="s">
        <v>820</v>
      </c>
      <c r="BZ79" s="13">
        <v>2062</v>
      </c>
      <c r="CA79" s="13">
        <v>6</v>
      </c>
      <c r="CB79" s="13">
        <f>SUM(CA$6:CA79)</f>
        <v>530</v>
      </c>
      <c r="CC79" s="13">
        <v>1</v>
      </c>
      <c r="CD79" s="13">
        <v>2</v>
      </c>
      <c r="CE79" s="13">
        <v>3</v>
      </c>
      <c r="CF79" s="13">
        <v>4</v>
      </c>
      <c r="CG79" s="13">
        <v>5</v>
      </c>
      <c r="CH79" s="13">
        <v>6</v>
      </c>
      <c r="CI79" s="13"/>
      <c r="CJ79" s="13"/>
      <c r="CK79" s="37"/>
      <c r="CM79" s="13">
        <v>75</v>
      </c>
      <c r="CN79" s="14">
        <f t="shared" si="58"/>
        <v>10</v>
      </c>
      <c r="CO79" s="14">
        <f t="shared" si="59"/>
        <v>4</v>
      </c>
      <c r="CP79" s="14">
        <f t="shared" si="60"/>
        <v>3</v>
      </c>
      <c r="CQ79" s="14">
        <f t="shared" si="51"/>
        <v>1</v>
      </c>
      <c r="CR79" s="14">
        <f t="shared" si="52"/>
        <v>2014043</v>
      </c>
      <c r="CS79" s="13" t="str">
        <f t="shared" si="53"/>
        <v>30级守护灵橙色套1-肩甲</v>
      </c>
      <c r="CT79" s="14">
        <f t="shared" si="54"/>
        <v>2</v>
      </c>
      <c r="CU79" s="14">
        <f t="shared" si="55"/>
        <v>4</v>
      </c>
      <c r="CV79" s="14">
        <f t="shared" si="61"/>
        <v>30</v>
      </c>
      <c r="CW79" s="14">
        <f t="shared" si="62"/>
        <v>30</v>
      </c>
      <c r="CX79" s="14">
        <f t="shared" si="63"/>
        <v>3</v>
      </c>
      <c r="CY79" s="14">
        <f t="shared" si="64"/>
        <v>2011</v>
      </c>
      <c r="CZ79" s="14">
        <f t="shared" si="65"/>
        <v>15</v>
      </c>
      <c r="DA79" s="14">
        <f t="shared" si="66"/>
        <v>0</v>
      </c>
      <c r="DB79" s="14">
        <f t="shared" si="67"/>
        <v>8</v>
      </c>
      <c r="DC79" s="14">
        <f t="shared" si="68"/>
        <v>150</v>
      </c>
      <c r="DD79" s="14">
        <f t="shared" si="69"/>
        <v>0</v>
      </c>
      <c r="DE79" s="14">
        <f t="shared" si="70"/>
        <v>0.75</v>
      </c>
      <c r="DF79" s="14">
        <f t="shared" si="71"/>
        <v>7.5</v>
      </c>
      <c r="DG79" s="14">
        <f t="shared" si="72"/>
        <v>4</v>
      </c>
      <c r="DH79" s="14">
        <f t="shared" si="73"/>
        <v>2</v>
      </c>
      <c r="DI79" s="14">
        <f t="shared" si="74"/>
        <v>21</v>
      </c>
      <c r="DL79" s="14">
        <f t="shared" si="56"/>
        <v>2</v>
      </c>
      <c r="DM79" s="14">
        <f t="shared" si="57"/>
        <v>3</v>
      </c>
      <c r="DN79" s="14" t="str">
        <f t="shared" si="75"/>
        <v>DefExt</v>
      </c>
      <c r="DO79" s="14">
        <f t="shared" si="76"/>
        <v>8</v>
      </c>
      <c r="DP79" s="14">
        <f t="shared" si="77"/>
        <v>0.75</v>
      </c>
      <c r="DQ79" s="14" t="str">
        <f t="shared" si="78"/>
        <v>HPExt</v>
      </c>
      <c r="DR79" s="14">
        <f t="shared" si="79"/>
        <v>150</v>
      </c>
      <c r="DS79" s="14">
        <f t="shared" si="80"/>
        <v>7.5</v>
      </c>
      <c r="DT79" s="14">
        <f t="shared" si="81"/>
        <v>4</v>
      </c>
      <c r="DU79" s="14">
        <f t="shared" si="82"/>
        <v>2</v>
      </c>
      <c r="DV79" s="14">
        <f t="shared" si="83"/>
        <v>21</v>
      </c>
      <c r="DW79" s="29" t="s">
        <v>758</v>
      </c>
      <c r="DX79" s="14">
        <f t="shared" si="84"/>
        <v>50</v>
      </c>
      <c r="EA79" s="37"/>
      <c r="EB79" s="37"/>
      <c r="EC79" s="37"/>
      <c r="ED79" s="37"/>
      <c r="EF79" s="37"/>
      <c r="EG79" s="37"/>
      <c r="EM79" s="37"/>
      <c r="EN79" s="37"/>
      <c r="ET79" s="13">
        <v>75</v>
      </c>
      <c r="EU79" s="13">
        <f t="shared" si="85"/>
        <v>7</v>
      </c>
      <c r="EV79" s="13" t="str">
        <f t="shared" si="94"/>
        <v>20级守护灵洗练-3</v>
      </c>
      <c r="EW79" s="13">
        <f t="shared" si="95"/>
        <v>21</v>
      </c>
      <c r="EX79" s="13">
        <f t="shared" si="96"/>
        <v>3</v>
      </c>
      <c r="EY79" s="13">
        <f t="shared" si="89"/>
        <v>2000</v>
      </c>
      <c r="EZ79" s="13" t="str">
        <f t="shared" si="97"/>
        <v>HPExt</v>
      </c>
      <c r="FA79" s="13">
        <f t="shared" si="91"/>
        <v>26</v>
      </c>
      <c r="FB79" s="13">
        <f t="shared" si="98"/>
        <v>77</v>
      </c>
    </row>
    <row r="80" spans="1:158" s="20" customFormat="1" ht="16.5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13">
        <v>75</v>
      </c>
      <c r="BS80" s="13">
        <v>6</v>
      </c>
      <c r="BT80" s="13">
        <v>120</v>
      </c>
      <c r="BU80" s="13">
        <v>4</v>
      </c>
      <c r="BV80" s="13">
        <v>1</v>
      </c>
      <c r="BW80" s="13">
        <v>7</v>
      </c>
      <c r="BX80" s="13">
        <f t="shared" si="93"/>
        <v>2064070</v>
      </c>
      <c r="BY80" s="13" t="s">
        <v>821</v>
      </c>
      <c r="BZ80" s="13">
        <v>1063</v>
      </c>
      <c r="CA80" s="13">
        <v>6</v>
      </c>
      <c r="CB80" s="13">
        <f>SUM(CA$6:CA80)</f>
        <v>536</v>
      </c>
      <c r="CC80" s="13">
        <v>1</v>
      </c>
      <c r="CD80" s="13">
        <v>4</v>
      </c>
      <c r="CE80" s="13">
        <v>5</v>
      </c>
      <c r="CF80" s="13">
        <v>6</v>
      </c>
      <c r="CG80" s="13">
        <v>7</v>
      </c>
      <c r="CH80" s="13">
        <v>8</v>
      </c>
      <c r="CI80" s="13"/>
      <c r="CJ80" s="13"/>
      <c r="CK80" s="37"/>
      <c r="CM80" s="13">
        <v>76</v>
      </c>
      <c r="CN80" s="14">
        <f t="shared" si="58"/>
        <v>10</v>
      </c>
      <c r="CO80" s="14">
        <f t="shared" si="59"/>
        <v>4</v>
      </c>
      <c r="CP80" s="14">
        <f t="shared" si="60"/>
        <v>4</v>
      </c>
      <c r="CQ80" s="14">
        <f t="shared" si="51"/>
        <v>1</v>
      </c>
      <c r="CR80" s="14">
        <f t="shared" si="52"/>
        <v>2014044</v>
      </c>
      <c r="CS80" s="13" t="str">
        <f t="shared" si="53"/>
        <v>30级守护灵橙色套1-衣服</v>
      </c>
      <c r="CT80" s="14">
        <f t="shared" si="54"/>
        <v>2</v>
      </c>
      <c r="CU80" s="14">
        <f t="shared" si="55"/>
        <v>4</v>
      </c>
      <c r="CV80" s="14">
        <f t="shared" si="61"/>
        <v>30</v>
      </c>
      <c r="CW80" s="14">
        <f t="shared" si="62"/>
        <v>30</v>
      </c>
      <c r="CX80" s="14">
        <f t="shared" si="63"/>
        <v>4</v>
      </c>
      <c r="CY80" s="14">
        <f t="shared" si="64"/>
        <v>2011</v>
      </c>
      <c r="CZ80" s="14">
        <f t="shared" si="65"/>
        <v>15</v>
      </c>
      <c r="DA80" s="14">
        <f t="shared" si="66"/>
        <v>0</v>
      </c>
      <c r="DB80" s="14">
        <f t="shared" si="67"/>
        <v>15</v>
      </c>
      <c r="DC80" s="14">
        <f t="shared" si="68"/>
        <v>0</v>
      </c>
      <c r="DD80" s="14">
        <f t="shared" si="69"/>
        <v>0</v>
      </c>
      <c r="DE80" s="14">
        <f t="shared" si="70"/>
        <v>1.5</v>
      </c>
      <c r="DF80" s="14">
        <f t="shared" si="71"/>
        <v>0</v>
      </c>
      <c r="DG80" s="14">
        <f t="shared" si="72"/>
        <v>4</v>
      </c>
      <c r="DH80" s="14">
        <f t="shared" si="73"/>
        <v>2</v>
      </c>
      <c r="DI80" s="14">
        <f t="shared" si="74"/>
        <v>21</v>
      </c>
      <c r="DL80" s="14">
        <f t="shared" si="56"/>
        <v>2</v>
      </c>
      <c r="DM80" s="14">
        <f t="shared" si="57"/>
        <v>0</v>
      </c>
      <c r="DN80" s="14" t="str">
        <f t="shared" si="75"/>
        <v>DefExt</v>
      </c>
      <c r="DO80" s="14">
        <f t="shared" si="76"/>
        <v>15</v>
      </c>
      <c r="DP80" s="14">
        <f t="shared" si="77"/>
        <v>1.5</v>
      </c>
      <c r="DQ80" s="14" t="str">
        <f t="shared" si="78"/>
        <v/>
      </c>
      <c r="DR80" s="14" t="str">
        <f t="shared" si="79"/>
        <v/>
      </c>
      <c r="DS80" s="14" t="str">
        <f t="shared" si="80"/>
        <v/>
      </c>
      <c r="DT80" s="14">
        <f t="shared" si="81"/>
        <v>4</v>
      </c>
      <c r="DU80" s="14">
        <f t="shared" si="82"/>
        <v>2</v>
      </c>
      <c r="DV80" s="14">
        <f t="shared" si="83"/>
        <v>21</v>
      </c>
      <c r="DW80" s="29" t="s">
        <v>758</v>
      </c>
      <c r="DX80" s="14">
        <f t="shared" si="84"/>
        <v>50</v>
      </c>
      <c r="EA80" s="37"/>
      <c r="EB80" s="37"/>
      <c r="EC80" s="37"/>
      <c r="ED80" s="37"/>
      <c r="EF80" s="37"/>
      <c r="EG80" s="37"/>
      <c r="EM80" s="37"/>
      <c r="EN80" s="37"/>
      <c r="ET80" s="13">
        <v>76</v>
      </c>
      <c r="EU80" s="13">
        <f t="shared" si="85"/>
        <v>7</v>
      </c>
      <c r="EV80" s="13" t="str">
        <f t="shared" si="94"/>
        <v>20级守护灵洗练-4</v>
      </c>
      <c r="EW80" s="13">
        <f t="shared" si="95"/>
        <v>21</v>
      </c>
      <c r="EX80" s="13">
        <f t="shared" si="96"/>
        <v>4</v>
      </c>
      <c r="EY80" s="13">
        <f t="shared" si="89"/>
        <v>500</v>
      </c>
      <c r="EZ80" s="13" t="str">
        <f t="shared" si="97"/>
        <v>AtkRate</v>
      </c>
      <c r="FA80" s="13">
        <f t="shared" si="91"/>
        <v>1.4E-2</v>
      </c>
      <c r="FB80" s="13">
        <f t="shared" si="98"/>
        <v>0.04</v>
      </c>
    </row>
    <row r="81" spans="1:158" s="20" customFormat="1" ht="16.5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13">
        <v>76</v>
      </c>
      <c r="BS81" s="13">
        <v>6</v>
      </c>
      <c r="BT81" s="13">
        <v>120</v>
      </c>
      <c r="BU81" s="13">
        <v>4</v>
      </c>
      <c r="BV81" s="13">
        <v>2</v>
      </c>
      <c r="BW81" s="13">
        <v>8</v>
      </c>
      <c r="BX81" s="13">
        <f t="shared" si="93"/>
        <v>2064080</v>
      </c>
      <c r="BY81" s="13" t="s">
        <v>822</v>
      </c>
      <c r="BZ81" s="13">
        <v>2063</v>
      </c>
      <c r="CA81" s="13">
        <v>6</v>
      </c>
      <c r="CB81" s="13">
        <f>SUM(CA$6:CA81)</f>
        <v>542</v>
      </c>
      <c r="CC81" s="13">
        <v>1</v>
      </c>
      <c r="CD81" s="13">
        <v>4</v>
      </c>
      <c r="CE81" s="13">
        <v>5</v>
      </c>
      <c r="CF81" s="13">
        <v>6</v>
      </c>
      <c r="CG81" s="13">
        <v>7</v>
      </c>
      <c r="CH81" s="13">
        <v>8</v>
      </c>
      <c r="CI81" s="13"/>
      <c r="CJ81" s="13"/>
      <c r="CK81" s="37"/>
      <c r="CM81" s="13">
        <v>77</v>
      </c>
      <c r="CN81" s="14">
        <f t="shared" si="58"/>
        <v>10</v>
      </c>
      <c r="CO81" s="14">
        <f t="shared" si="59"/>
        <v>4</v>
      </c>
      <c r="CP81" s="14">
        <f t="shared" si="60"/>
        <v>5</v>
      </c>
      <c r="CQ81" s="14">
        <f t="shared" si="51"/>
        <v>1</v>
      </c>
      <c r="CR81" s="14">
        <f t="shared" si="52"/>
        <v>2014045</v>
      </c>
      <c r="CS81" s="13" t="str">
        <f t="shared" si="53"/>
        <v>30级守护灵橙色套1-鞋子</v>
      </c>
      <c r="CT81" s="14">
        <f t="shared" si="54"/>
        <v>2</v>
      </c>
      <c r="CU81" s="14">
        <f t="shared" si="55"/>
        <v>4</v>
      </c>
      <c r="CV81" s="14">
        <f t="shared" si="61"/>
        <v>30</v>
      </c>
      <c r="CW81" s="14">
        <f t="shared" si="62"/>
        <v>30</v>
      </c>
      <c r="CX81" s="14">
        <f t="shared" si="63"/>
        <v>5</v>
      </c>
      <c r="CY81" s="14">
        <f t="shared" si="64"/>
        <v>2011</v>
      </c>
      <c r="CZ81" s="14">
        <f t="shared" si="65"/>
        <v>15</v>
      </c>
      <c r="DA81" s="14">
        <f t="shared" si="66"/>
        <v>0</v>
      </c>
      <c r="DB81" s="14">
        <f t="shared" si="67"/>
        <v>0</v>
      </c>
      <c r="DC81" s="14">
        <f t="shared" si="68"/>
        <v>300</v>
      </c>
      <c r="DD81" s="14">
        <f t="shared" si="69"/>
        <v>0</v>
      </c>
      <c r="DE81" s="14">
        <f t="shared" si="70"/>
        <v>0</v>
      </c>
      <c r="DF81" s="14">
        <f t="shared" si="71"/>
        <v>15</v>
      </c>
      <c r="DG81" s="14">
        <f t="shared" si="72"/>
        <v>4</v>
      </c>
      <c r="DH81" s="14">
        <f t="shared" si="73"/>
        <v>2</v>
      </c>
      <c r="DI81" s="14">
        <f t="shared" si="74"/>
        <v>21</v>
      </c>
      <c r="DL81" s="14">
        <f t="shared" si="56"/>
        <v>3</v>
      </c>
      <c r="DM81" s="14">
        <f t="shared" si="57"/>
        <v>0</v>
      </c>
      <c r="DN81" s="14" t="str">
        <f t="shared" si="75"/>
        <v>HPExt</v>
      </c>
      <c r="DO81" s="14">
        <f t="shared" si="76"/>
        <v>300</v>
      </c>
      <c r="DP81" s="14">
        <f t="shared" si="77"/>
        <v>15</v>
      </c>
      <c r="DQ81" s="14" t="str">
        <f t="shared" si="78"/>
        <v/>
      </c>
      <c r="DR81" s="14" t="str">
        <f t="shared" si="79"/>
        <v/>
      </c>
      <c r="DS81" s="14" t="str">
        <f t="shared" si="80"/>
        <v/>
      </c>
      <c r="DT81" s="14">
        <f t="shared" si="81"/>
        <v>4</v>
      </c>
      <c r="DU81" s="14">
        <f t="shared" si="82"/>
        <v>2</v>
      </c>
      <c r="DV81" s="14">
        <f t="shared" si="83"/>
        <v>21</v>
      </c>
      <c r="DW81" s="29" t="s">
        <v>758</v>
      </c>
      <c r="DX81" s="14">
        <f t="shared" si="84"/>
        <v>50</v>
      </c>
      <c r="EA81" s="37"/>
      <c r="EB81" s="37"/>
      <c r="EC81" s="37"/>
      <c r="ED81" s="37"/>
      <c r="EF81" s="37"/>
      <c r="EG81" s="37"/>
      <c r="EM81" s="37"/>
      <c r="EN81" s="37"/>
      <c r="ET81" s="13">
        <v>77</v>
      </c>
      <c r="EU81" s="13">
        <f t="shared" si="85"/>
        <v>7</v>
      </c>
      <c r="EV81" s="13" t="str">
        <f t="shared" si="94"/>
        <v>20级守护灵洗练-5</v>
      </c>
      <c r="EW81" s="13">
        <f t="shared" si="95"/>
        <v>21</v>
      </c>
      <c r="EX81" s="13">
        <f t="shared" si="96"/>
        <v>5</v>
      </c>
      <c r="EY81" s="13">
        <f t="shared" si="89"/>
        <v>400</v>
      </c>
      <c r="EZ81" s="13" t="str">
        <f t="shared" si="97"/>
        <v>DefRate</v>
      </c>
      <c r="FA81" s="13">
        <f t="shared" si="91"/>
        <v>1.4E-2</v>
      </c>
      <c r="FB81" s="13">
        <f t="shared" si="98"/>
        <v>0.04</v>
      </c>
    </row>
    <row r="82" spans="1:158" s="20" customFormat="1" ht="16.5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Y82" s="37"/>
      <c r="CK82" s="37"/>
      <c r="CM82" s="13">
        <v>78</v>
      </c>
      <c r="CN82" s="14">
        <f t="shared" si="58"/>
        <v>10</v>
      </c>
      <c r="CO82" s="14">
        <f t="shared" si="59"/>
        <v>4</v>
      </c>
      <c r="CP82" s="14">
        <f t="shared" si="60"/>
        <v>6</v>
      </c>
      <c r="CQ82" s="14">
        <f t="shared" si="51"/>
        <v>1</v>
      </c>
      <c r="CR82" s="14">
        <f t="shared" si="52"/>
        <v>2014046</v>
      </c>
      <c r="CS82" s="13" t="str">
        <f t="shared" si="53"/>
        <v>30级守护灵橙色套1-护手</v>
      </c>
      <c r="CT82" s="14">
        <f t="shared" si="54"/>
        <v>2</v>
      </c>
      <c r="CU82" s="14">
        <f t="shared" si="55"/>
        <v>4</v>
      </c>
      <c r="CV82" s="14">
        <f t="shared" si="61"/>
        <v>30</v>
      </c>
      <c r="CW82" s="14">
        <f t="shared" si="62"/>
        <v>30</v>
      </c>
      <c r="CX82" s="14">
        <f t="shared" si="63"/>
        <v>6</v>
      </c>
      <c r="CY82" s="14">
        <f t="shared" si="64"/>
        <v>2011</v>
      </c>
      <c r="CZ82" s="14">
        <f t="shared" si="65"/>
        <v>15</v>
      </c>
      <c r="DA82" s="14">
        <f t="shared" si="66"/>
        <v>0</v>
      </c>
      <c r="DB82" s="14">
        <f t="shared" si="67"/>
        <v>0</v>
      </c>
      <c r="DC82" s="14">
        <f t="shared" si="68"/>
        <v>300</v>
      </c>
      <c r="DD82" s="14">
        <f t="shared" si="69"/>
        <v>0</v>
      </c>
      <c r="DE82" s="14">
        <f t="shared" si="70"/>
        <v>0</v>
      </c>
      <c r="DF82" s="14">
        <f t="shared" si="71"/>
        <v>15</v>
      </c>
      <c r="DG82" s="14">
        <f t="shared" si="72"/>
        <v>4</v>
      </c>
      <c r="DH82" s="14">
        <f t="shared" si="73"/>
        <v>2</v>
      </c>
      <c r="DI82" s="14">
        <f t="shared" si="74"/>
        <v>21</v>
      </c>
      <c r="DL82" s="14">
        <f t="shared" si="56"/>
        <v>3</v>
      </c>
      <c r="DM82" s="14">
        <f t="shared" si="57"/>
        <v>0</v>
      </c>
      <c r="DN82" s="14" t="str">
        <f t="shared" si="75"/>
        <v>HPExt</v>
      </c>
      <c r="DO82" s="14">
        <f t="shared" si="76"/>
        <v>300</v>
      </c>
      <c r="DP82" s="14">
        <f t="shared" si="77"/>
        <v>15</v>
      </c>
      <c r="DQ82" s="14" t="str">
        <f t="shared" si="78"/>
        <v/>
      </c>
      <c r="DR82" s="14" t="str">
        <f t="shared" si="79"/>
        <v/>
      </c>
      <c r="DS82" s="14" t="str">
        <f t="shared" si="80"/>
        <v/>
      </c>
      <c r="DT82" s="14">
        <f t="shared" si="81"/>
        <v>4</v>
      </c>
      <c r="DU82" s="14">
        <f t="shared" si="82"/>
        <v>2</v>
      </c>
      <c r="DV82" s="14">
        <f t="shared" si="83"/>
        <v>21</v>
      </c>
      <c r="DW82" s="29" t="s">
        <v>758</v>
      </c>
      <c r="DX82" s="14">
        <f t="shared" si="84"/>
        <v>50</v>
      </c>
      <c r="EA82" s="37"/>
      <c r="EB82" s="37"/>
      <c r="EC82" s="37"/>
      <c r="ED82" s="37"/>
      <c r="EF82" s="37"/>
      <c r="EG82" s="37"/>
      <c r="EM82" s="37"/>
      <c r="EN82" s="37"/>
      <c r="ET82" s="13">
        <v>78</v>
      </c>
      <c r="EU82" s="13">
        <f t="shared" si="85"/>
        <v>7</v>
      </c>
      <c r="EV82" s="13" t="str">
        <f t="shared" si="94"/>
        <v>20级守护灵洗练-6</v>
      </c>
      <c r="EW82" s="13">
        <f t="shared" si="95"/>
        <v>21</v>
      </c>
      <c r="EX82" s="13">
        <f t="shared" si="96"/>
        <v>6</v>
      </c>
      <c r="EY82" s="13">
        <f t="shared" si="89"/>
        <v>500</v>
      </c>
      <c r="EZ82" s="13" t="str">
        <f t="shared" si="97"/>
        <v>HPRate</v>
      </c>
      <c r="FA82" s="13">
        <f t="shared" si="91"/>
        <v>1.4E-2</v>
      </c>
      <c r="FB82" s="13">
        <f t="shared" si="98"/>
        <v>0.04</v>
      </c>
    </row>
    <row r="83" spans="1:158" ht="16.5" x14ac:dyDescent="0.2">
      <c r="CM83" s="13">
        <v>79</v>
      </c>
      <c r="CN83" s="14">
        <f t="shared" si="58"/>
        <v>10</v>
      </c>
      <c r="CO83" s="14">
        <f t="shared" si="59"/>
        <v>4</v>
      </c>
      <c r="CP83" s="14">
        <f t="shared" si="60"/>
        <v>7</v>
      </c>
      <c r="CQ83" s="14">
        <f t="shared" si="51"/>
        <v>1</v>
      </c>
      <c r="CR83" s="14">
        <f t="shared" si="52"/>
        <v>2014047</v>
      </c>
      <c r="CS83" s="13" t="str">
        <f t="shared" si="53"/>
        <v>30级守护灵橙色套1-项链</v>
      </c>
      <c r="CT83" s="14">
        <f t="shared" si="54"/>
        <v>2</v>
      </c>
      <c r="CU83" s="14">
        <f t="shared" si="55"/>
        <v>4</v>
      </c>
      <c r="CV83" s="14">
        <f t="shared" si="61"/>
        <v>30</v>
      </c>
      <c r="CW83" s="14">
        <f t="shared" si="62"/>
        <v>30</v>
      </c>
      <c r="CX83" s="14">
        <f t="shared" si="63"/>
        <v>7</v>
      </c>
      <c r="CY83" s="14">
        <f t="shared" si="64"/>
        <v>2011</v>
      </c>
      <c r="CZ83" s="14">
        <f t="shared" si="65"/>
        <v>22</v>
      </c>
      <c r="DA83" s="14">
        <f t="shared" si="66"/>
        <v>20</v>
      </c>
      <c r="DB83" s="14">
        <f t="shared" si="67"/>
        <v>13</v>
      </c>
      <c r="DC83" s="14">
        <f t="shared" si="68"/>
        <v>0</v>
      </c>
      <c r="DD83" s="14">
        <f t="shared" si="69"/>
        <v>2</v>
      </c>
      <c r="DE83" s="14">
        <f t="shared" si="70"/>
        <v>1.25</v>
      </c>
      <c r="DF83" s="14">
        <f t="shared" si="71"/>
        <v>0</v>
      </c>
      <c r="DG83" s="14">
        <f t="shared" si="72"/>
        <v>4</v>
      </c>
      <c r="DH83" s="14">
        <f t="shared" si="73"/>
        <v>2</v>
      </c>
      <c r="DI83" s="14">
        <f t="shared" si="74"/>
        <v>21</v>
      </c>
      <c r="DL83" s="14">
        <f t="shared" si="56"/>
        <v>1</v>
      </c>
      <c r="DM83" s="14">
        <f t="shared" si="57"/>
        <v>2</v>
      </c>
      <c r="DN83" s="14" t="str">
        <f t="shared" si="75"/>
        <v>AtkExt</v>
      </c>
      <c r="DO83" s="14">
        <f t="shared" si="76"/>
        <v>20</v>
      </c>
      <c r="DP83" s="14">
        <f t="shared" si="77"/>
        <v>2</v>
      </c>
      <c r="DQ83" s="14" t="str">
        <f t="shared" si="78"/>
        <v>DefExt</v>
      </c>
      <c r="DR83" s="14">
        <f t="shared" si="79"/>
        <v>13</v>
      </c>
      <c r="DS83" s="14">
        <f t="shared" si="80"/>
        <v>1.25</v>
      </c>
      <c r="DT83" s="14">
        <f t="shared" si="81"/>
        <v>4</v>
      </c>
      <c r="DU83" s="14">
        <f t="shared" si="82"/>
        <v>2</v>
      </c>
      <c r="DV83" s="14">
        <f t="shared" si="83"/>
        <v>21</v>
      </c>
      <c r="DW83" s="29" t="s">
        <v>758</v>
      </c>
      <c r="DX83" s="14">
        <f t="shared" si="84"/>
        <v>50</v>
      </c>
      <c r="ET83" s="13">
        <v>79</v>
      </c>
      <c r="EU83" s="13">
        <f t="shared" si="85"/>
        <v>7</v>
      </c>
      <c r="EV83" s="13" t="str">
        <f t="shared" si="94"/>
        <v>20级守护灵洗练-7</v>
      </c>
      <c r="EW83" s="13">
        <f t="shared" si="95"/>
        <v>21</v>
      </c>
      <c r="EX83" s="13">
        <f t="shared" si="96"/>
        <v>7</v>
      </c>
      <c r="EY83" s="13">
        <f t="shared" si="89"/>
        <v>500</v>
      </c>
      <c r="EZ83" s="13" t="str">
        <f t="shared" si="97"/>
        <v>Crit</v>
      </c>
      <c r="FA83" s="13">
        <f t="shared" si="91"/>
        <v>1.0999999999999999E-2</v>
      </c>
      <c r="FB83" s="13">
        <f t="shared" si="98"/>
        <v>0.03</v>
      </c>
    </row>
    <row r="84" spans="1:158" ht="16.5" x14ac:dyDescent="0.2">
      <c r="BS84" s="16"/>
      <c r="BT84" s="16"/>
      <c r="BU84" s="16"/>
      <c r="BV84" s="16"/>
      <c r="BW84" s="16"/>
      <c r="BX84" s="16"/>
      <c r="BY84" s="16"/>
      <c r="BZ84" s="16"/>
      <c r="CM84" s="13">
        <v>80</v>
      </c>
      <c r="CN84" s="14">
        <f t="shared" si="58"/>
        <v>10</v>
      </c>
      <c r="CO84" s="14">
        <f t="shared" si="59"/>
        <v>4</v>
      </c>
      <c r="CP84" s="14">
        <f t="shared" si="60"/>
        <v>8</v>
      </c>
      <c r="CQ84" s="14">
        <f t="shared" si="51"/>
        <v>1</v>
      </c>
      <c r="CR84" s="14">
        <f t="shared" si="52"/>
        <v>2014048</v>
      </c>
      <c r="CS84" s="13" t="str">
        <f t="shared" si="53"/>
        <v>30级守护灵橙色套1-戒指</v>
      </c>
      <c r="CT84" s="14">
        <f t="shared" si="54"/>
        <v>2</v>
      </c>
      <c r="CU84" s="14">
        <f t="shared" si="55"/>
        <v>4</v>
      </c>
      <c r="CV84" s="14">
        <f t="shared" si="61"/>
        <v>30</v>
      </c>
      <c r="CW84" s="14">
        <f t="shared" si="62"/>
        <v>30</v>
      </c>
      <c r="CX84" s="14">
        <f t="shared" si="63"/>
        <v>8</v>
      </c>
      <c r="CY84" s="14">
        <f t="shared" si="64"/>
        <v>2011</v>
      </c>
      <c r="CZ84" s="14">
        <f t="shared" si="65"/>
        <v>22</v>
      </c>
      <c r="DA84" s="14">
        <f t="shared" si="66"/>
        <v>20</v>
      </c>
      <c r="DB84" s="14">
        <f t="shared" si="67"/>
        <v>0</v>
      </c>
      <c r="DC84" s="14">
        <f t="shared" si="68"/>
        <v>250</v>
      </c>
      <c r="DD84" s="14">
        <f t="shared" si="69"/>
        <v>2</v>
      </c>
      <c r="DE84" s="14">
        <f t="shared" si="70"/>
        <v>0</v>
      </c>
      <c r="DF84" s="14">
        <f t="shared" si="71"/>
        <v>12.5</v>
      </c>
      <c r="DG84" s="14">
        <f t="shared" si="72"/>
        <v>4</v>
      </c>
      <c r="DH84" s="14">
        <f t="shared" si="73"/>
        <v>2</v>
      </c>
      <c r="DI84" s="14">
        <f t="shared" si="74"/>
        <v>21</v>
      </c>
      <c r="DL84" s="14">
        <f t="shared" si="56"/>
        <v>1</v>
      </c>
      <c r="DM84" s="14">
        <f t="shared" si="57"/>
        <v>3</v>
      </c>
      <c r="DN84" s="14" t="str">
        <f t="shared" si="75"/>
        <v>AtkExt</v>
      </c>
      <c r="DO84" s="14">
        <f t="shared" si="76"/>
        <v>20</v>
      </c>
      <c r="DP84" s="14">
        <f t="shared" si="77"/>
        <v>2</v>
      </c>
      <c r="DQ84" s="14" t="str">
        <f t="shared" si="78"/>
        <v>HPExt</v>
      </c>
      <c r="DR84" s="14">
        <f t="shared" si="79"/>
        <v>250</v>
      </c>
      <c r="DS84" s="14">
        <f t="shared" si="80"/>
        <v>12.5</v>
      </c>
      <c r="DT84" s="14">
        <f t="shared" si="81"/>
        <v>4</v>
      </c>
      <c r="DU84" s="14">
        <f t="shared" si="82"/>
        <v>2</v>
      </c>
      <c r="DV84" s="14">
        <f t="shared" si="83"/>
        <v>21</v>
      </c>
      <c r="DW84" s="29" t="s">
        <v>758</v>
      </c>
      <c r="DX84" s="14">
        <f t="shared" si="84"/>
        <v>50</v>
      </c>
      <c r="ET84" s="13">
        <v>80</v>
      </c>
      <c r="EU84" s="13">
        <f t="shared" si="85"/>
        <v>7</v>
      </c>
      <c r="EV84" s="13" t="str">
        <f t="shared" si="94"/>
        <v>20级守护灵洗练-8</v>
      </c>
      <c r="EW84" s="13">
        <f t="shared" si="95"/>
        <v>21</v>
      </c>
      <c r="EX84" s="13">
        <f t="shared" si="96"/>
        <v>8</v>
      </c>
      <c r="EY84" s="13">
        <f t="shared" si="89"/>
        <v>500</v>
      </c>
      <c r="EZ84" s="13" t="str">
        <f t="shared" si="97"/>
        <v>CritRate</v>
      </c>
      <c r="FA84" s="13">
        <f t="shared" si="91"/>
        <v>2.8000000000000001E-2</v>
      </c>
      <c r="FB84" s="13">
        <f t="shared" si="98"/>
        <v>0.08</v>
      </c>
    </row>
    <row r="85" spans="1:158" ht="16.5" x14ac:dyDescent="0.2">
      <c r="BS85" s="16"/>
      <c r="BT85" s="16"/>
      <c r="BU85" s="16"/>
      <c r="BV85" s="16"/>
      <c r="BW85" s="16"/>
      <c r="BX85" s="16"/>
      <c r="BY85" s="16"/>
      <c r="BZ85" s="16"/>
      <c r="CM85" s="13">
        <v>81</v>
      </c>
      <c r="CN85" s="14">
        <f t="shared" si="58"/>
        <v>11</v>
      </c>
      <c r="CO85" s="14">
        <f t="shared" si="59"/>
        <v>1</v>
      </c>
      <c r="CP85" s="14">
        <f t="shared" si="60"/>
        <v>1</v>
      </c>
      <c r="CQ85" s="14">
        <f t="shared" si="51"/>
        <v>2</v>
      </c>
      <c r="CR85" s="14">
        <f t="shared" si="52"/>
        <v>2021011</v>
      </c>
      <c r="CS85" s="13" t="str">
        <f t="shared" si="53"/>
        <v>60级寄灵人绿色-武器</v>
      </c>
      <c r="CT85" s="14">
        <f t="shared" si="54"/>
        <v>1</v>
      </c>
      <c r="CU85" s="14">
        <f t="shared" si="55"/>
        <v>1</v>
      </c>
      <c r="CV85" s="14">
        <f t="shared" si="61"/>
        <v>60</v>
      </c>
      <c r="CW85" s="14">
        <f t="shared" si="62"/>
        <v>60</v>
      </c>
      <c r="CX85" s="14">
        <f t="shared" si="63"/>
        <v>1</v>
      </c>
      <c r="CY85" s="14" t="str">
        <f t="shared" si="64"/>
        <v/>
      </c>
      <c r="CZ85" s="14">
        <f t="shared" si="65"/>
        <v>18</v>
      </c>
      <c r="DA85" s="14">
        <f t="shared" si="66"/>
        <v>66</v>
      </c>
      <c r="DB85" s="14">
        <f t="shared" si="67"/>
        <v>0</v>
      </c>
      <c r="DC85" s="14">
        <f t="shared" si="68"/>
        <v>0</v>
      </c>
      <c r="DD85" s="14">
        <f t="shared" si="69"/>
        <v>3.6</v>
      </c>
      <c r="DE85" s="14">
        <f t="shared" si="70"/>
        <v>0</v>
      </c>
      <c r="DF85" s="14">
        <f t="shared" si="71"/>
        <v>0</v>
      </c>
      <c r="DG85" s="14">
        <f t="shared" si="72"/>
        <v>5</v>
      </c>
      <c r="DH85" s="14">
        <f t="shared" si="73"/>
        <v>0</v>
      </c>
      <c r="DI85" s="14">
        <f t="shared" si="74"/>
        <v>12</v>
      </c>
      <c r="DL85" s="14">
        <f t="shared" si="56"/>
        <v>1</v>
      </c>
      <c r="DM85" s="14">
        <f t="shared" si="57"/>
        <v>0</v>
      </c>
      <c r="DN85" s="14" t="str">
        <f t="shared" si="75"/>
        <v>AtkExt</v>
      </c>
      <c r="DO85" s="14">
        <f t="shared" si="76"/>
        <v>66</v>
      </c>
      <c r="DP85" s="14">
        <f t="shared" si="77"/>
        <v>3.6</v>
      </c>
      <c r="DQ85" s="14" t="str">
        <f t="shared" si="78"/>
        <v/>
      </c>
      <c r="DR85" s="14" t="str">
        <f t="shared" si="79"/>
        <v/>
      </c>
      <c r="DS85" s="14" t="str">
        <f t="shared" si="80"/>
        <v/>
      </c>
      <c r="DT85" s="14">
        <f t="shared" si="81"/>
        <v>5</v>
      </c>
      <c r="DU85" s="14">
        <f t="shared" si="82"/>
        <v>0</v>
      </c>
      <c r="DV85" s="14">
        <f t="shared" si="83"/>
        <v>12</v>
      </c>
      <c r="DW85" s="29" t="s">
        <v>758</v>
      </c>
      <c r="DX85" s="14">
        <f t="shared" si="84"/>
        <v>10</v>
      </c>
      <c r="ET85" s="13">
        <v>81</v>
      </c>
      <c r="EU85" s="13">
        <f t="shared" si="85"/>
        <v>7</v>
      </c>
      <c r="EV85" s="13" t="str">
        <f t="shared" si="94"/>
        <v>20级守护灵洗练-9</v>
      </c>
      <c r="EW85" s="13">
        <f t="shared" si="95"/>
        <v>21</v>
      </c>
      <c r="EX85" s="13">
        <f t="shared" si="96"/>
        <v>9</v>
      </c>
      <c r="EY85" s="13">
        <f t="shared" si="89"/>
        <v>500</v>
      </c>
      <c r="EZ85" s="13" t="str">
        <f t="shared" si="97"/>
        <v>DefIgnor</v>
      </c>
      <c r="FA85" s="13">
        <f t="shared" si="91"/>
        <v>1.0999999999999999E-2</v>
      </c>
      <c r="FB85" s="13">
        <f t="shared" si="98"/>
        <v>0.03</v>
      </c>
    </row>
    <row r="86" spans="1:158" ht="16.5" x14ac:dyDescent="0.2">
      <c r="BS86" s="16"/>
      <c r="BT86" s="16"/>
      <c r="BU86" s="16"/>
      <c r="BV86" s="16"/>
      <c r="BW86" s="16"/>
      <c r="BX86" s="16"/>
      <c r="BY86" s="16"/>
      <c r="BZ86" s="16"/>
      <c r="CM86" s="13">
        <v>82</v>
      </c>
      <c r="CN86" s="14">
        <f t="shared" si="58"/>
        <v>11</v>
      </c>
      <c r="CO86" s="14">
        <f t="shared" si="59"/>
        <v>1</v>
      </c>
      <c r="CP86" s="14">
        <f t="shared" si="60"/>
        <v>2</v>
      </c>
      <c r="CQ86" s="14">
        <f t="shared" si="51"/>
        <v>2</v>
      </c>
      <c r="CR86" s="14">
        <f t="shared" si="52"/>
        <v>2021012</v>
      </c>
      <c r="CS86" s="13" t="str">
        <f t="shared" si="53"/>
        <v>60级寄灵人绿色-头盔</v>
      </c>
      <c r="CT86" s="14">
        <f t="shared" si="54"/>
        <v>1</v>
      </c>
      <c r="CU86" s="14">
        <f t="shared" si="55"/>
        <v>1</v>
      </c>
      <c r="CV86" s="14">
        <f t="shared" si="61"/>
        <v>60</v>
      </c>
      <c r="CW86" s="14">
        <f t="shared" si="62"/>
        <v>60</v>
      </c>
      <c r="CX86" s="14">
        <f t="shared" si="63"/>
        <v>2</v>
      </c>
      <c r="CY86" s="14" t="str">
        <f t="shared" si="64"/>
        <v/>
      </c>
      <c r="CZ86" s="14">
        <f t="shared" si="65"/>
        <v>9</v>
      </c>
      <c r="DA86" s="14">
        <f t="shared" si="66"/>
        <v>0</v>
      </c>
      <c r="DB86" s="14">
        <f t="shared" si="67"/>
        <v>17</v>
      </c>
      <c r="DC86" s="14">
        <f t="shared" si="68"/>
        <v>0</v>
      </c>
      <c r="DD86" s="14">
        <f t="shared" si="69"/>
        <v>0</v>
      </c>
      <c r="DE86" s="14">
        <f t="shared" si="70"/>
        <v>0.9</v>
      </c>
      <c r="DF86" s="14">
        <f t="shared" si="71"/>
        <v>0</v>
      </c>
      <c r="DG86" s="14">
        <f t="shared" si="72"/>
        <v>5</v>
      </c>
      <c r="DH86" s="14">
        <f t="shared" si="73"/>
        <v>0</v>
      </c>
      <c r="DI86" s="14">
        <f t="shared" si="74"/>
        <v>12</v>
      </c>
      <c r="DL86" s="14">
        <f t="shared" si="56"/>
        <v>2</v>
      </c>
      <c r="DM86" s="14">
        <f t="shared" si="57"/>
        <v>0</v>
      </c>
      <c r="DN86" s="14" t="str">
        <f t="shared" si="75"/>
        <v>DefExt</v>
      </c>
      <c r="DO86" s="14">
        <f t="shared" si="76"/>
        <v>17</v>
      </c>
      <c r="DP86" s="14">
        <f t="shared" si="77"/>
        <v>0.9</v>
      </c>
      <c r="DQ86" s="14" t="str">
        <f t="shared" si="78"/>
        <v/>
      </c>
      <c r="DR86" s="14" t="str">
        <f t="shared" si="79"/>
        <v/>
      </c>
      <c r="DS86" s="14" t="str">
        <f t="shared" si="80"/>
        <v/>
      </c>
      <c r="DT86" s="14">
        <f t="shared" si="81"/>
        <v>5</v>
      </c>
      <c r="DU86" s="14">
        <f t="shared" si="82"/>
        <v>0</v>
      </c>
      <c r="DV86" s="14">
        <f t="shared" si="83"/>
        <v>12</v>
      </c>
      <c r="DW86" s="29" t="s">
        <v>758</v>
      </c>
      <c r="DX86" s="14">
        <f t="shared" si="84"/>
        <v>10</v>
      </c>
      <c r="ET86" s="13">
        <v>82</v>
      </c>
      <c r="EU86" s="13">
        <f t="shared" si="85"/>
        <v>7</v>
      </c>
      <c r="EV86" s="13" t="str">
        <f t="shared" si="94"/>
        <v>20级守护灵洗练-10</v>
      </c>
      <c r="EW86" s="13">
        <f t="shared" si="95"/>
        <v>21</v>
      </c>
      <c r="EX86" s="13">
        <f t="shared" si="96"/>
        <v>10</v>
      </c>
      <c r="EY86" s="13">
        <f t="shared" si="89"/>
        <v>500</v>
      </c>
      <c r="EZ86" s="13" t="str">
        <f t="shared" si="97"/>
        <v>Block</v>
      </c>
      <c r="FA86" s="13">
        <f t="shared" si="91"/>
        <v>1.0999999999999999E-2</v>
      </c>
      <c r="FB86" s="13">
        <f t="shared" si="98"/>
        <v>0.03</v>
      </c>
    </row>
    <row r="87" spans="1:158" ht="16.5" x14ac:dyDescent="0.2">
      <c r="BS87" s="16"/>
      <c r="BT87" s="16"/>
      <c r="BU87" s="16"/>
      <c r="BV87" s="16"/>
      <c r="BW87" s="16"/>
      <c r="BX87" s="16"/>
      <c r="BY87" s="16"/>
      <c r="BZ87" s="16"/>
      <c r="CM87" s="13">
        <v>83</v>
      </c>
      <c r="CN87" s="14">
        <f t="shared" si="58"/>
        <v>11</v>
      </c>
      <c r="CO87" s="14">
        <f t="shared" si="59"/>
        <v>1</v>
      </c>
      <c r="CP87" s="14">
        <f t="shared" si="60"/>
        <v>3</v>
      </c>
      <c r="CQ87" s="14">
        <f t="shared" si="51"/>
        <v>2</v>
      </c>
      <c r="CR87" s="14">
        <f t="shared" si="52"/>
        <v>2021013</v>
      </c>
      <c r="CS87" s="13" t="str">
        <f t="shared" si="53"/>
        <v>60级寄灵人绿色-肩甲</v>
      </c>
      <c r="CT87" s="14">
        <f t="shared" si="54"/>
        <v>1</v>
      </c>
      <c r="CU87" s="14">
        <f t="shared" si="55"/>
        <v>1</v>
      </c>
      <c r="CV87" s="14">
        <f t="shared" si="61"/>
        <v>60</v>
      </c>
      <c r="CW87" s="14">
        <f t="shared" si="62"/>
        <v>60</v>
      </c>
      <c r="CX87" s="14">
        <f t="shared" si="63"/>
        <v>3</v>
      </c>
      <c r="CY87" s="14" t="str">
        <f t="shared" si="64"/>
        <v/>
      </c>
      <c r="CZ87" s="14">
        <f t="shared" si="65"/>
        <v>7</v>
      </c>
      <c r="DA87" s="14">
        <f t="shared" si="66"/>
        <v>0</v>
      </c>
      <c r="DB87" s="14">
        <f t="shared" si="67"/>
        <v>8</v>
      </c>
      <c r="DC87" s="14">
        <f t="shared" si="68"/>
        <v>49</v>
      </c>
      <c r="DD87" s="14">
        <f t="shared" si="69"/>
        <v>0</v>
      </c>
      <c r="DE87" s="14">
        <f t="shared" si="70"/>
        <v>0.45</v>
      </c>
      <c r="DF87" s="14">
        <f t="shared" si="71"/>
        <v>2.7</v>
      </c>
      <c r="DG87" s="14">
        <f t="shared" si="72"/>
        <v>5</v>
      </c>
      <c r="DH87" s="14">
        <f t="shared" si="73"/>
        <v>0</v>
      </c>
      <c r="DI87" s="14">
        <f t="shared" si="74"/>
        <v>12</v>
      </c>
      <c r="DL87" s="14">
        <f t="shared" si="56"/>
        <v>2</v>
      </c>
      <c r="DM87" s="14">
        <f t="shared" si="57"/>
        <v>3</v>
      </c>
      <c r="DN87" s="14" t="str">
        <f t="shared" si="75"/>
        <v>DefExt</v>
      </c>
      <c r="DO87" s="14">
        <f t="shared" si="76"/>
        <v>8</v>
      </c>
      <c r="DP87" s="14">
        <f t="shared" si="77"/>
        <v>0.45</v>
      </c>
      <c r="DQ87" s="14" t="str">
        <f t="shared" si="78"/>
        <v>HPExt</v>
      </c>
      <c r="DR87" s="14">
        <f t="shared" si="79"/>
        <v>49</v>
      </c>
      <c r="DS87" s="14">
        <f t="shared" si="80"/>
        <v>2.7</v>
      </c>
      <c r="DT87" s="14">
        <f t="shared" si="81"/>
        <v>5</v>
      </c>
      <c r="DU87" s="14">
        <f t="shared" si="82"/>
        <v>0</v>
      </c>
      <c r="DV87" s="14">
        <f t="shared" si="83"/>
        <v>12</v>
      </c>
      <c r="DW87" s="29" t="s">
        <v>758</v>
      </c>
      <c r="DX87" s="14">
        <f t="shared" si="84"/>
        <v>10</v>
      </c>
      <c r="ET87" s="13">
        <v>83</v>
      </c>
      <c r="EU87" s="13">
        <f t="shared" si="85"/>
        <v>7</v>
      </c>
      <c r="EV87" s="13" t="str">
        <f t="shared" si="94"/>
        <v>20级守护灵洗练-11</v>
      </c>
      <c r="EW87" s="13">
        <f t="shared" si="95"/>
        <v>21</v>
      </c>
      <c r="EX87" s="13">
        <f t="shared" si="96"/>
        <v>11</v>
      </c>
      <c r="EY87" s="13">
        <f t="shared" si="89"/>
        <v>500</v>
      </c>
      <c r="EZ87" s="13" t="str">
        <f t="shared" si="97"/>
        <v>EffectHit</v>
      </c>
      <c r="FA87" s="13">
        <f t="shared" si="91"/>
        <v>1.7999999999999999E-2</v>
      </c>
      <c r="FB87" s="13">
        <f t="shared" si="98"/>
        <v>0.05</v>
      </c>
    </row>
    <row r="88" spans="1:158" ht="16.5" x14ac:dyDescent="0.2">
      <c r="BS88" s="16"/>
      <c r="BT88" s="16"/>
      <c r="BU88" s="16"/>
      <c r="BV88" s="16"/>
      <c r="BW88" s="16"/>
      <c r="BX88" s="16"/>
      <c r="BY88" s="16"/>
      <c r="BZ88" s="16"/>
      <c r="CM88" s="13">
        <v>84</v>
      </c>
      <c r="CN88" s="14">
        <f t="shared" si="58"/>
        <v>11</v>
      </c>
      <c r="CO88" s="14">
        <f t="shared" si="59"/>
        <v>1</v>
      </c>
      <c r="CP88" s="14">
        <f t="shared" si="60"/>
        <v>4</v>
      </c>
      <c r="CQ88" s="14">
        <f t="shared" si="51"/>
        <v>2</v>
      </c>
      <c r="CR88" s="14">
        <f t="shared" si="52"/>
        <v>2021014</v>
      </c>
      <c r="CS88" s="13" t="str">
        <f t="shared" si="53"/>
        <v>60级寄灵人绿色-衣服</v>
      </c>
      <c r="CT88" s="14">
        <f t="shared" si="54"/>
        <v>1</v>
      </c>
      <c r="CU88" s="14">
        <f t="shared" si="55"/>
        <v>1</v>
      </c>
      <c r="CV88" s="14">
        <f t="shared" si="61"/>
        <v>60</v>
      </c>
      <c r="CW88" s="14">
        <f t="shared" si="62"/>
        <v>60</v>
      </c>
      <c r="CX88" s="14">
        <f t="shared" si="63"/>
        <v>4</v>
      </c>
      <c r="CY88" s="14" t="str">
        <f t="shared" si="64"/>
        <v/>
      </c>
      <c r="CZ88" s="14">
        <f t="shared" si="65"/>
        <v>9</v>
      </c>
      <c r="DA88" s="14">
        <f t="shared" si="66"/>
        <v>0</v>
      </c>
      <c r="DB88" s="14">
        <f t="shared" si="67"/>
        <v>17</v>
      </c>
      <c r="DC88" s="14">
        <f t="shared" si="68"/>
        <v>0</v>
      </c>
      <c r="DD88" s="14">
        <f t="shared" si="69"/>
        <v>0</v>
      </c>
      <c r="DE88" s="14">
        <f t="shared" si="70"/>
        <v>0.9</v>
      </c>
      <c r="DF88" s="14">
        <f t="shared" si="71"/>
        <v>0</v>
      </c>
      <c r="DG88" s="14">
        <f t="shared" si="72"/>
        <v>5</v>
      </c>
      <c r="DH88" s="14">
        <f t="shared" si="73"/>
        <v>0</v>
      </c>
      <c r="DI88" s="14">
        <f t="shared" si="74"/>
        <v>12</v>
      </c>
      <c r="DL88" s="14">
        <f t="shared" si="56"/>
        <v>2</v>
      </c>
      <c r="DM88" s="14">
        <f t="shared" si="57"/>
        <v>0</v>
      </c>
      <c r="DN88" s="14" t="str">
        <f t="shared" si="75"/>
        <v>DefExt</v>
      </c>
      <c r="DO88" s="14">
        <f t="shared" si="76"/>
        <v>17</v>
      </c>
      <c r="DP88" s="14">
        <f t="shared" si="77"/>
        <v>0.9</v>
      </c>
      <c r="DQ88" s="14" t="str">
        <f t="shared" si="78"/>
        <v/>
      </c>
      <c r="DR88" s="14" t="str">
        <f t="shared" si="79"/>
        <v/>
      </c>
      <c r="DS88" s="14" t="str">
        <f t="shared" si="80"/>
        <v/>
      </c>
      <c r="DT88" s="14">
        <f t="shared" si="81"/>
        <v>5</v>
      </c>
      <c r="DU88" s="14">
        <f t="shared" si="82"/>
        <v>0</v>
      </c>
      <c r="DV88" s="14">
        <f t="shared" si="83"/>
        <v>12</v>
      </c>
      <c r="DW88" s="29" t="s">
        <v>758</v>
      </c>
      <c r="DX88" s="14">
        <f t="shared" si="84"/>
        <v>10</v>
      </c>
      <c r="ET88" s="13">
        <v>84</v>
      </c>
      <c r="EU88" s="13">
        <f t="shared" si="85"/>
        <v>7</v>
      </c>
      <c r="EV88" s="13" t="str">
        <f t="shared" si="94"/>
        <v>20级守护灵洗练-12</v>
      </c>
      <c r="EW88" s="13">
        <f t="shared" si="95"/>
        <v>21</v>
      </c>
      <c r="EX88" s="13">
        <f t="shared" si="96"/>
        <v>12</v>
      </c>
      <c r="EY88" s="13">
        <f t="shared" si="89"/>
        <v>500</v>
      </c>
      <c r="EZ88" s="13" t="str">
        <f t="shared" si="97"/>
        <v>EffectResist</v>
      </c>
      <c r="FA88" s="13">
        <f t="shared" si="91"/>
        <v>1.7999999999999999E-2</v>
      </c>
      <c r="FB88" s="13">
        <f t="shared" si="98"/>
        <v>0.05</v>
      </c>
    </row>
    <row r="89" spans="1:158" ht="16.5" x14ac:dyDescent="0.2">
      <c r="BS89" s="16"/>
      <c r="BT89" s="16"/>
      <c r="BU89" s="16"/>
      <c r="BV89" s="16"/>
      <c r="BW89" s="16"/>
      <c r="BX89" s="16"/>
      <c r="BY89" s="16"/>
      <c r="BZ89" s="16"/>
      <c r="CM89" s="13">
        <v>85</v>
      </c>
      <c r="CN89" s="14">
        <f t="shared" si="58"/>
        <v>11</v>
      </c>
      <c r="CO89" s="14">
        <f t="shared" si="59"/>
        <v>1</v>
      </c>
      <c r="CP89" s="14">
        <f t="shared" si="60"/>
        <v>5</v>
      </c>
      <c r="CQ89" s="14">
        <f t="shared" si="51"/>
        <v>2</v>
      </c>
      <c r="CR89" s="14">
        <f t="shared" si="52"/>
        <v>2021015</v>
      </c>
      <c r="CS89" s="13" t="str">
        <f t="shared" si="53"/>
        <v>60级寄灵人绿色-鞋子</v>
      </c>
      <c r="CT89" s="14">
        <f t="shared" si="54"/>
        <v>1</v>
      </c>
      <c r="CU89" s="14">
        <f t="shared" si="55"/>
        <v>1</v>
      </c>
      <c r="CV89" s="14">
        <f t="shared" si="61"/>
        <v>60</v>
      </c>
      <c r="CW89" s="14">
        <f t="shared" si="62"/>
        <v>60</v>
      </c>
      <c r="CX89" s="14">
        <f t="shared" si="63"/>
        <v>5</v>
      </c>
      <c r="CY89" s="14" t="str">
        <f t="shared" si="64"/>
        <v/>
      </c>
      <c r="CZ89" s="14">
        <f t="shared" si="65"/>
        <v>5</v>
      </c>
      <c r="DA89" s="14">
        <f t="shared" si="66"/>
        <v>0</v>
      </c>
      <c r="DB89" s="14">
        <f t="shared" si="67"/>
        <v>0</v>
      </c>
      <c r="DC89" s="14">
        <f t="shared" si="68"/>
        <v>98</v>
      </c>
      <c r="DD89" s="14">
        <f t="shared" si="69"/>
        <v>0</v>
      </c>
      <c r="DE89" s="14">
        <f t="shared" si="70"/>
        <v>0</v>
      </c>
      <c r="DF89" s="14">
        <f t="shared" si="71"/>
        <v>5.4</v>
      </c>
      <c r="DG89" s="14">
        <f t="shared" si="72"/>
        <v>5</v>
      </c>
      <c r="DH89" s="14">
        <f t="shared" si="73"/>
        <v>0</v>
      </c>
      <c r="DI89" s="14">
        <f t="shared" si="74"/>
        <v>12</v>
      </c>
      <c r="DL89" s="14">
        <f t="shared" si="56"/>
        <v>3</v>
      </c>
      <c r="DM89" s="14">
        <f t="shared" si="57"/>
        <v>0</v>
      </c>
      <c r="DN89" s="14" t="str">
        <f t="shared" si="75"/>
        <v>HPExt</v>
      </c>
      <c r="DO89" s="14">
        <f t="shared" si="76"/>
        <v>98</v>
      </c>
      <c r="DP89" s="14">
        <f t="shared" si="77"/>
        <v>5.4</v>
      </c>
      <c r="DQ89" s="14" t="str">
        <f t="shared" si="78"/>
        <v/>
      </c>
      <c r="DR89" s="14" t="str">
        <f t="shared" si="79"/>
        <v/>
      </c>
      <c r="DS89" s="14" t="str">
        <f t="shared" si="80"/>
        <v/>
      </c>
      <c r="DT89" s="14">
        <f t="shared" si="81"/>
        <v>5</v>
      </c>
      <c r="DU89" s="14">
        <f t="shared" si="82"/>
        <v>0</v>
      </c>
      <c r="DV89" s="14">
        <f t="shared" si="83"/>
        <v>12</v>
      </c>
      <c r="DW89" s="29" t="s">
        <v>758</v>
      </c>
      <c r="DX89" s="14">
        <f t="shared" si="84"/>
        <v>10</v>
      </c>
      <c r="ET89" s="13">
        <v>85</v>
      </c>
      <c r="EU89" s="13">
        <f t="shared" si="85"/>
        <v>8</v>
      </c>
      <c r="EV89" s="13" t="str">
        <f t="shared" si="94"/>
        <v>40级守护灵洗练-1</v>
      </c>
      <c r="EW89" s="13">
        <f t="shared" si="95"/>
        <v>22</v>
      </c>
      <c r="EX89" s="13">
        <f t="shared" si="96"/>
        <v>1</v>
      </c>
      <c r="EY89" s="13">
        <f t="shared" si="89"/>
        <v>1800</v>
      </c>
      <c r="EZ89" s="13" t="str">
        <f t="shared" si="97"/>
        <v>AtkExt</v>
      </c>
      <c r="FA89" s="13">
        <f t="shared" si="91"/>
        <v>17</v>
      </c>
      <c r="FB89" s="13">
        <f t="shared" si="98"/>
        <v>50</v>
      </c>
    </row>
    <row r="90" spans="1:158" ht="16.5" x14ac:dyDescent="0.2">
      <c r="BS90" s="16"/>
      <c r="BT90" s="16"/>
      <c r="BU90" s="16"/>
      <c r="BV90" s="16"/>
      <c r="BW90" s="16"/>
      <c r="BX90" s="16"/>
      <c r="BY90" s="16"/>
      <c r="BZ90" s="16"/>
      <c r="CM90" s="13">
        <v>86</v>
      </c>
      <c r="CN90" s="14">
        <f t="shared" si="58"/>
        <v>11</v>
      </c>
      <c r="CO90" s="14">
        <f t="shared" si="59"/>
        <v>1</v>
      </c>
      <c r="CP90" s="14">
        <f t="shared" si="60"/>
        <v>6</v>
      </c>
      <c r="CQ90" s="14">
        <f t="shared" si="51"/>
        <v>2</v>
      </c>
      <c r="CR90" s="14">
        <f t="shared" si="52"/>
        <v>2021016</v>
      </c>
      <c r="CS90" s="13" t="str">
        <f t="shared" si="53"/>
        <v>60级寄灵人绿色-护手</v>
      </c>
      <c r="CT90" s="14">
        <f t="shared" si="54"/>
        <v>1</v>
      </c>
      <c r="CU90" s="14">
        <f t="shared" si="55"/>
        <v>1</v>
      </c>
      <c r="CV90" s="14">
        <f t="shared" si="61"/>
        <v>60</v>
      </c>
      <c r="CW90" s="14">
        <f t="shared" si="62"/>
        <v>60</v>
      </c>
      <c r="CX90" s="14">
        <f t="shared" si="63"/>
        <v>6</v>
      </c>
      <c r="CY90" s="14" t="str">
        <f t="shared" si="64"/>
        <v/>
      </c>
      <c r="CZ90" s="14">
        <f t="shared" si="65"/>
        <v>5</v>
      </c>
      <c r="DA90" s="14">
        <f t="shared" si="66"/>
        <v>0</v>
      </c>
      <c r="DB90" s="14">
        <f t="shared" si="67"/>
        <v>0</v>
      </c>
      <c r="DC90" s="14">
        <f t="shared" si="68"/>
        <v>98</v>
      </c>
      <c r="DD90" s="14">
        <f t="shared" si="69"/>
        <v>0</v>
      </c>
      <c r="DE90" s="14">
        <f t="shared" si="70"/>
        <v>0</v>
      </c>
      <c r="DF90" s="14">
        <f t="shared" si="71"/>
        <v>5.4</v>
      </c>
      <c r="DG90" s="14">
        <f t="shared" si="72"/>
        <v>5</v>
      </c>
      <c r="DH90" s="14">
        <f t="shared" si="73"/>
        <v>0</v>
      </c>
      <c r="DI90" s="14">
        <f t="shared" si="74"/>
        <v>12</v>
      </c>
      <c r="DL90" s="14">
        <f t="shared" si="56"/>
        <v>3</v>
      </c>
      <c r="DM90" s="14">
        <f t="shared" si="57"/>
        <v>0</v>
      </c>
      <c r="DN90" s="14" t="str">
        <f t="shared" si="75"/>
        <v>HPExt</v>
      </c>
      <c r="DO90" s="14">
        <f t="shared" si="76"/>
        <v>98</v>
      </c>
      <c r="DP90" s="14">
        <f t="shared" si="77"/>
        <v>5.4</v>
      </c>
      <c r="DQ90" s="14" t="str">
        <f t="shared" si="78"/>
        <v/>
      </c>
      <c r="DR90" s="14" t="str">
        <f t="shared" si="79"/>
        <v/>
      </c>
      <c r="DS90" s="14" t="str">
        <f t="shared" si="80"/>
        <v/>
      </c>
      <c r="DT90" s="14">
        <f t="shared" si="81"/>
        <v>5</v>
      </c>
      <c r="DU90" s="14">
        <f t="shared" si="82"/>
        <v>0</v>
      </c>
      <c r="DV90" s="14">
        <f t="shared" si="83"/>
        <v>12</v>
      </c>
      <c r="DW90" s="29" t="s">
        <v>758</v>
      </c>
      <c r="DX90" s="14">
        <f t="shared" si="84"/>
        <v>10</v>
      </c>
      <c r="ET90" s="13">
        <v>86</v>
      </c>
      <c r="EU90" s="13">
        <f t="shared" si="85"/>
        <v>8</v>
      </c>
      <c r="EV90" s="13" t="str">
        <f t="shared" si="94"/>
        <v>40级守护灵洗练-2</v>
      </c>
      <c r="EW90" s="13">
        <f t="shared" si="95"/>
        <v>22</v>
      </c>
      <c r="EX90" s="13">
        <f t="shared" si="96"/>
        <v>2</v>
      </c>
      <c r="EY90" s="13">
        <f t="shared" si="89"/>
        <v>1800</v>
      </c>
      <c r="EZ90" s="13" t="str">
        <f t="shared" si="97"/>
        <v>DefExt</v>
      </c>
      <c r="FA90" s="13">
        <f t="shared" si="91"/>
        <v>12</v>
      </c>
      <c r="FB90" s="13">
        <f t="shared" si="98"/>
        <v>37</v>
      </c>
    </row>
    <row r="91" spans="1:158" ht="16.5" x14ac:dyDescent="0.2">
      <c r="BS91" s="16"/>
      <c r="BT91" s="16"/>
      <c r="BU91" s="16"/>
      <c r="BV91" s="16"/>
      <c r="BW91" s="16"/>
      <c r="BX91" s="16"/>
      <c r="BY91" s="16"/>
      <c r="BZ91" s="16"/>
      <c r="CM91" s="13">
        <v>87</v>
      </c>
      <c r="CN91" s="14">
        <f t="shared" si="58"/>
        <v>11</v>
      </c>
      <c r="CO91" s="14">
        <f t="shared" si="59"/>
        <v>1</v>
      </c>
      <c r="CP91" s="14">
        <f t="shared" si="60"/>
        <v>7</v>
      </c>
      <c r="CQ91" s="14">
        <f t="shared" si="51"/>
        <v>2</v>
      </c>
      <c r="CR91" s="14">
        <f t="shared" si="52"/>
        <v>2021017</v>
      </c>
      <c r="CS91" s="13" t="str">
        <f t="shared" si="53"/>
        <v>60级寄灵人绿色-项链</v>
      </c>
      <c r="CT91" s="14">
        <f t="shared" si="54"/>
        <v>1</v>
      </c>
      <c r="CU91" s="14">
        <f t="shared" si="55"/>
        <v>1</v>
      </c>
      <c r="CV91" s="14">
        <f t="shared" si="61"/>
        <v>60</v>
      </c>
      <c r="CW91" s="14">
        <f t="shared" si="62"/>
        <v>60</v>
      </c>
      <c r="CX91" s="14">
        <f t="shared" si="63"/>
        <v>7</v>
      </c>
      <c r="CY91" s="14" t="str">
        <f t="shared" si="64"/>
        <v/>
      </c>
      <c r="CZ91" s="14">
        <f t="shared" si="65"/>
        <v>13</v>
      </c>
      <c r="DA91" s="14">
        <f t="shared" si="66"/>
        <v>22</v>
      </c>
      <c r="DB91" s="14">
        <f t="shared" si="67"/>
        <v>14</v>
      </c>
      <c r="DC91" s="14">
        <f t="shared" si="68"/>
        <v>0</v>
      </c>
      <c r="DD91" s="14">
        <f t="shared" si="69"/>
        <v>1.2</v>
      </c>
      <c r="DE91" s="14">
        <f t="shared" si="70"/>
        <v>0.75</v>
      </c>
      <c r="DF91" s="14">
        <f t="shared" si="71"/>
        <v>0</v>
      </c>
      <c r="DG91" s="14">
        <f t="shared" si="72"/>
        <v>5</v>
      </c>
      <c r="DH91" s="14">
        <f t="shared" si="73"/>
        <v>0</v>
      </c>
      <c r="DI91" s="14">
        <f t="shared" si="74"/>
        <v>12</v>
      </c>
      <c r="DL91" s="14">
        <f t="shared" si="56"/>
        <v>1</v>
      </c>
      <c r="DM91" s="14">
        <f t="shared" si="57"/>
        <v>2</v>
      </c>
      <c r="DN91" s="14" t="str">
        <f t="shared" si="75"/>
        <v>AtkExt</v>
      </c>
      <c r="DO91" s="14">
        <f t="shared" si="76"/>
        <v>22</v>
      </c>
      <c r="DP91" s="14">
        <f t="shared" si="77"/>
        <v>1.2</v>
      </c>
      <c r="DQ91" s="14" t="str">
        <f t="shared" si="78"/>
        <v>DefExt</v>
      </c>
      <c r="DR91" s="14">
        <f t="shared" si="79"/>
        <v>14</v>
      </c>
      <c r="DS91" s="14">
        <f t="shared" si="80"/>
        <v>0.75</v>
      </c>
      <c r="DT91" s="14">
        <f t="shared" si="81"/>
        <v>5</v>
      </c>
      <c r="DU91" s="14">
        <f t="shared" si="82"/>
        <v>0</v>
      </c>
      <c r="DV91" s="14">
        <f t="shared" si="83"/>
        <v>12</v>
      </c>
      <c r="DW91" s="29" t="s">
        <v>758</v>
      </c>
      <c r="DX91" s="14">
        <f t="shared" si="84"/>
        <v>10</v>
      </c>
      <c r="ET91" s="13">
        <v>87</v>
      </c>
      <c r="EU91" s="13">
        <f t="shared" si="85"/>
        <v>8</v>
      </c>
      <c r="EV91" s="13" t="str">
        <f t="shared" si="94"/>
        <v>40级守护灵洗练-3</v>
      </c>
      <c r="EW91" s="13">
        <f t="shared" si="95"/>
        <v>22</v>
      </c>
      <c r="EX91" s="13">
        <f t="shared" si="96"/>
        <v>3</v>
      </c>
      <c r="EY91" s="13">
        <f t="shared" si="89"/>
        <v>2000</v>
      </c>
      <c r="EZ91" s="13" t="str">
        <f t="shared" si="97"/>
        <v>HPExt</v>
      </c>
      <c r="FA91" s="13">
        <f t="shared" si="91"/>
        <v>89</v>
      </c>
      <c r="FB91" s="13">
        <f t="shared" si="98"/>
        <v>255</v>
      </c>
    </row>
    <row r="92" spans="1:158" ht="16.5" x14ac:dyDescent="0.2">
      <c r="BS92" s="16"/>
      <c r="BT92" s="16"/>
      <c r="BU92" s="16"/>
      <c r="BV92" s="16"/>
      <c r="BW92" s="16"/>
      <c r="BX92" s="16"/>
      <c r="BY92" s="16"/>
      <c r="BZ92" s="16"/>
      <c r="CM92" s="13">
        <v>88</v>
      </c>
      <c r="CN92" s="14">
        <f t="shared" si="58"/>
        <v>11</v>
      </c>
      <c r="CO92" s="14">
        <f t="shared" si="59"/>
        <v>1</v>
      </c>
      <c r="CP92" s="14">
        <f t="shared" si="60"/>
        <v>8</v>
      </c>
      <c r="CQ92" s="14">
        <f t="shared" si="51"/>
        <v>2</v>
      </c>
      <c r="CR92" s="14">
        <f t="shared" si="52"/>
        <v>2021018</v>
      </c>
      <c r="CS92" s="13" t="str">
        <f t="shared" si="53"/>
        <v>60级寄灵人绿色-戒指</v>
      </c>
      <c r="CT92" s="14">
        <f t="shared" si="54"/>
        <v>1</v>
      </c>
      <c r="CU92" s="14">
        <f t="shared" si="55"/>
        <v>1</v>
      </c>
      <c r="CV92" s="14">
        <f t="shared" si="61"/>
        <v>60</v>
      </c>
      <c r="CW92" s="14">
        <f t="shared" si="62"/>
        <v>60</v>
      </c>
      <c r="CX92" s="14">
        <f t="shared" si="63"/>
        <v>8</v>
      </c>
      <c r="CY92" s="14" t="str">
        <f t="shared" si="64"/>
        <v/>
      </c>
      <c r="CZ92" s="14">
        <f t="shared" si="65"/>
        <v>10</v>
      </c>
      <c r="DA92" s="14">
        <f t="shared" si="66"/>
        <v>22</v>
      </c>
      <c r="DB92" s="14">
        <f t="shared" si="67"/>
        <v>0</v>
      </c>
      <c r="DC92" s="14">
        <f t="shared" si="68"/>
        <v>81</v>
      </c>
      <c r="DD92" s="14">
        <f t="shared" si="69"/>
        <v>1.2</v>
      </c>
      <c r="DE92" s="14">
        <f t="shared" si="70"/>
        <v>0</v>
      </c>
      <c r="DF92" s="14">
        <f t="shared" si="71"/>
        <v>4.5</v>
      </c>
      <c r="DG92" s="14">
        <f t="shared" si="72"/>
        <v>5</v>
      </c>
      <c r="DH92" s="14">
        <f t="shared" si="73"/>
        <v>0</v>
      </c>
      <c r="DI92" s="14">
        <f t="shared" si="74"/>
        <v>12</v>
      </c>
      <c r="DL92" s="14">
        <f t="shared" si="56"/>
        <v>1</v>
      </c>
      <c r="DM92" s="14">
        <f t="shared" si="57"/>
        <v>3</v>
      </c>
      <c r="DN92" s="14" t="str">
        <f t="shared" si="75"/>
        <v>AtkExt</v>
      </c>
      <c r="DO92" s="14">
        <f t="shared" si="76"/>
        <v>22</v>
      </c>
      <c r="DP92" s="14">
        <f t="shared" si="77"/>
        <v>1.2</v>
      </c>
      <c r="DQ92" s="14" t="str">
        <f t="shared" si="78"/>
        <v>HPExt</v>
      </c>
      <c r="DR92" s="14">
        <f t="shared" si="79"/>
        <v>81</v>
      </c>
      <c r="DS92" s="14">
        <f t="shared" si="80"/>
        <v>4.5</v>
      </c>
      <c r="DT92" s="14">
        <f t="shared" si="81"/>
        <v>5</v>
      </c>
      <c r="DU92" s="14">
        <f t="shared" si="82"/>
        <v>0</v>
      </c>
      <c r="DV92" s="14">
        <f t="shared" si="83"/>
        <v>12</v>
      </c>
      <c r="DW92" s="29" t="s">
        <v>758</v>
      </c>
      <c r="DX92" s="14">
        <f t="shared" si="84"/>
        <v>10</v>
      </c>
      <c r="ET92" s="13">
        <v>88</v>
      </c>
      <c r="EU92" s="13">
        <f t="shared" si="85"/>
        <v>8</v>
      </c>
      <c r="EV92" s="13" t="str">
        <f t="shared" si="94"/>
        <v>40级守护灵洗练-4</v>
      </c>
      <c r="EW92" s="13">
        <f t="shared" si="95"/>
        <v>22</v>
      </c>
      <c r="EX92" s="13">
        <f t="shared" si="96"/>
        <v>4</v>
      </c>
      <c r="EY92" s="13">
        <f t="shared" si="89"/>
        <v>500</v>
      </c>
      <c r="EZ92" s="13" t="str">
        <f t="shared" si="97"/>
        <v>AtkRate</v>
      </c>
      <c r="FA92" s="13">
        <f t="shared" si="91"/>
        <v>1.4E-2</v>
      </c>
      <c r="FB92" s="13">
        <f t="shared" si="98"/>
        <v>0.04</v>
      </c>
    </row>
    <row r="93" spans="1:158" ht="16.5" x14ac:dyDescent="0.2">
      <c r="BS93" s="16"/>
      <c r="BT93" s="16"/>
      <c r="BU93" s="16"/>
      <c r="BV93" s="16"/>
      <c r="BW93" s="16"/>
      <c r="BX93" s="16"/>
      <c r="BY93" s="16"/>
      <c r="BZ93" s="16"/>
      <c r="CM93" s="13">
        <v>89</v>
      </c>
      <c r="CN93" s="14">
        <f t="shared" si="58"/>
        <v>12</v>
      </c>
      <c r="CO93" s="14">
        <f t="shared" si="59"/>
        <v>2</v>
      </c>
      <c r="CP93" s="14">
        <f t="shared" si="60"/>
        <v>1</v>
      </c>
      <c r="CQ93" s="14">
        <f t="shared" si="51"/>
        <v>2</v>
      </c>
      <c r="CR93" s="14">
        <f t="shared" si="52"/>
        <v>2021021</v>
      </c>
      <c r="CS93" s="13" t="str">
        <f t="shared" si="53"/>
        <v>60级守护灵绿色-武器</v>
      </c>
      <c r="CT93" s="14">
        <f t="shared" si="54"/>
        <v>2</v>
      </c>
      <c r="CU93" s="14">
        <f t="shared" si="55"/>
        <v>1</v>
      </c>
      <c r="CV93" s="14">
        <f t="shared" si="61"/>
        <v>60</v>
      </c>
      <c r="CW93" s="14">
        <f t="shared" si="62"/>
        <v>60</v>
      </c>
      <c r="CX93" s="14">
        <f t="shared" si="63"/>
        <v>1</v>
      </c>
      <c r="CY93" s="14" t="str">
        <f t="shared" si="64"/>
        <v/>
      </c>
      <c r="CZ93" s="14">
        <f t="shared" si="65"/>
        <v>18</v>
      </c>
      <c r="DA93" s="14">
        <f t="shared" si="66"/>
        <v>60</v>
      </c>
      <c r="DB93" s="14">
        <f t="shared" si="67"/>
        <v>0</v>
      </c>
      <c r="DC93" s="14">
        <f t="shared" si="68"/>
        <v>0</v>
      </c>
      <c r="DD93" s="14">
        <f t="shared" si="69"/>
        <v>3.6</v>
      </c>
      <c r="DE93" s="14">
        <f t="shared" si="70"/>
        <v>0</v>
      </c>
      <c r="DF93" s="14">
        <f t="shared" si="71"/>
        <v>0</v>
      </c>
      <c r="DG93" s="14">
        <f t="shared" si="72"/>
        <v>5</v>
      </c>
      <c r="DH93" s="14">
        <f t="shared" si="73"/>
        <v>0</v>
      </c>
      <c r="DI93" s="14">
        <f t="shared" si="74"/>
        <v>22</v>
      </c>
      <c r="DL93" s="14">
        <f t="shared" si="56"/>
        <v>1</v>
      </c>
      <c r="DM93" s="14">
        <f t="shared" si="57"/>
        <v>0</v>
      </c>
      <c r="DN93" s="14" t="str">
        <f t="shared" si="75"/>
        <v>AtkExt</v>
      </c>
      <c r="DO93" s="14">
        <f t="shared" si="76"/>
        <v>60</v>
      </c>
      <c r="DP93" s="14">
        <f t="shared" si="77"/>
        <v>3.6</v>
      </c>
      <c r="DQ93" s="14" t="str">
        <f t="shared" si="78"/>
        <v/>
      </c>
      <c r="DR93" s="14" t="str">
        <f t="shared" si="79"/>
        <v/>
      </c>
      <c r="DS93" s="14" t="str">
        <f t="shared" si="80"/>
        <v/>
      </c>
      <c r="DT93" s="14">
        <f t="shared" si="81"/>
        <v>5</v>
      </c>
      <c r="DU93" s="14">
        <f t="shared" si="82"/>
        <v>0</v>
      </c>
      <c r="DV93" s="14">
        <f t="shared" si="83"/>
        <v>22</v>
      </c>
      <c r="DW93" s="29" t="s">
        <v>758</v>
      </c>
      <c r="DX93" s="14">
        <f t="shared" si="84"/>
        <v>10</v>
      </c>
      <c r="ET93" s="13">
        <v>89</v>
      </c>
      <c r="EU93" s="13">
        <f t="shared" si="85"/>
        <v>8</v>
      </c>
      <c r="EV93" s="13" t="str">
        <f t="shared" si="94"/>
        <v>40级守护灵洗练-5</v>
      </c>
      <c r="EW93" s="13">
        <f t="shared" si="95"/>
        <v>22</v>
      </c>
      <c r="EX93" s="13">
        <f t="shared" si="96"/>
        <v>5</v>
      </c>
      <c r="EY93" s="13">
        <f t="shared" si="89"/>
        <v>400</v>
      </c>
      <c r="EZ93" s="13" t="str">
        <f t="shared" si="97"/>
        <v>DefRate</v>
      </c>
      <c r="FA93" s="13">
        <f t="shared" si="91"/>
        <v>1.4E-2</v>
      </c>
      <c r="FB93" s="13">
        <f t="shared" si="98"/>
        <v>0.04</v>
      </c>
    </row>
    <row r="94" spans="1:158" ht="16.5" x14ac:dyDescent="0.2">
      <c r="BS94" s="16"/>
      <c r="BT94" s="16"/>
      <c r="BU94" s="16"/>
      <c r="BV94" s="16"/>
      <c r="BW94" s="16"/>
      <c r="BX94" s="16"/>
      <c r="BY94" s="16"/>
      <c r="BZ94" s="16"/>
      <c r="CM94" s="13">
        <v>90</v>
      </c>
      <c r="CN94" s="14">
        <f t="shared" si="58"/>
        <v>12</v>
      </c>
      <c r="CO94" s="14">
        <f t="shared" si="59"/>
        <v>2</v>
      </c>
      <c r="CP94" s="14">
        <f t="shared" si="60"/>
        <v>2</v>
      </c>
      <c r="CQ94" s="14">
        <f t="shared" si="51"/>
        <v>2</v>
      </c>
      <c r="CR94" s="14">
        <f t="shared" si="52"/>
        <v>2021022</v>
      </c>
      <c r="CS94" s="13" t="str">
        <f t="shared" si="53"/>
        <v>60级守护灵绿色-头盔</v>
      </c>
      <c r="CT94" s="14">
        <f t="shared" si="54"/>
        <v>2</v>
      </c>
      <c r="CU94" s="14">
        <f t="shared" si="55"/>
        <v>1</v>
      </c>
      <c r="CV94" s="14">
        <f t="shared" si="61"/>
        <v>60</v>
      </c>
      <c r="CW94" s="14">
        <f t="shared" si="62"/>
        <v>60</v>
      </c>
      <c r="CX94" s="14">
        <f t="shared" si="63"/>
        <v>2</v>
      </c>
      <c r="CY94" s="14" t="str">
        <f t="shared" si="64"/>
        <v/>
      </c>
      <c r="CZ94" s="14">
        <f t="shared" si="65"/>
        <v>9</v>
      </c>
      <c r="DA94" s="14">
        <f t="shared" si="66"/>
        <v>0</v>
      </c>
      <c r="DB94" s="14">
        <f t="shared" si="67"/>
        <v>15</v>
      </c>
      <c r="DC94" s="14">
        <f t="shared" si="68"/>
        <v>0</v>
      </c>
      <c r="DD94" s="14">
        <f t="shared" si="69"/>
        <v>0</v>
      </c>
      <c r="DE94" s="14">
        <f t="shared" si="70"/>
        <v>0.9</v>
      </c>
      <c r="DF94" s="14">
        <f t="shared" si="71"/>
        <v>0</v>
      </c>
      <c r="DG94" s="14">
        <f t="shared" si="72"/>
        <v>5</v>
      </c>
      <c r="DH94" s="14">
        <f t="shared" si="73"/>
        <v>0</v>
      </c>
      <c r="DI94" s="14">
        <f t="shared" si="74"/>
        <v>22</v>
      </c>
      <c r="DL94" s="14">
        <f t="shared" si="56"/>
        <v>2</v>
      </c>
      <c r="DM94" s="14">
        <f t="shared" si="57"/>
        <v>0</v>
      </c>
      <c r="DN94" s="14" t="str">
        <f t="shared" si="75"/>
        <v>DefExt</v>
      </c>
      <c r="DO94" s="14">
        <f t="shared" si="76"/>
        <v>15</v>
      </c>
      <c r="DP94" s="14">
        <f t="shared" si="77"/>
        <v>0.9</v>
      </c>
      <c r="DQ94" s="14" t="str">
        <f t="shared" si="78"/>
        <v/>
      </c>
      <c r="DR94" s="14" t="str">
        <f t="shared" si="79"/>
        <v/>
      </c>
      <c r="DS94" s="14" t="str">
        <f t="shared" si="80"/>
        <v/>
      </c>
      <c r="DT94" s="14">
        <f t="shared" si="81"/>
        <v>5</v>
      </c>
      <c r="DU94" s="14">
        <f t="shared" si="82"/>
        <v>0</v>
      </c>
      <c r="DV94" s="14">
        <f t="shared" si="83"/>
        <v>22</v>
      </c>
      <c r="DW94" s="29" t="s">
        <v>758</v>
      </c>
      <c r="DX94" s="14">
        <f t="shared" si="84"/>
        <v>10</v>
      </c>
      <c r="ET94" s="13">
        <v>90</v>
      </c>
      <c r="EU94" s="13">
        <f t="shared" si="85"/>
        <v>8</v>
      </c>
      <c r="EV94" s="13" t="str">
        <f t="shared" si="94"/>
        <v>40级守护灵洗练-6</v>
      </c>
      <c r="EW94" s="13">
        <f t="shared" si="95"/>
        <v>22</v>
      </c>
      <c r="EX94" s="13">
        <f t="shared" si="96"/>
        <v>6</v>
      </c>
      <c r="EY94" s="13">
        <f t="shared" si="89"/>
        <v>500</v>
      </c>
      <c r="EZ94" s="13" t="str">
        <f t="shared" si="97"/>
        <v>HPRate</v>
      </c>
      <c r="FA94" s="13">
        <f t="shared" si="91"/>
        <v>1.4E-2</v>
      </c>
      <c r="FB94" s="13">
        <f t="shared" si="98"/>
        <v>0.04</v>
      </c>
    </row>
    <row r="95" spans="1:158" ht="16.5" x14ac:dyDescent="0.2">
      <c r="BS95" s="16"/>
      <c r="BT95" s="16"/>
      <c r="BU95" s="16"/>
      <c r="BV95" s="16"/>
      <c r="BW95" s="16"/>
      <c r="BX95" s="16"/>
      <c r="BY95" s="16"/>
      <c r="BZ95" s="16"/>
      <c r="CM95" s="13">
        <v>91</v>
      </c>
      <c r="CN95" s="14">
        <f t="shared" si="58"/>
        <v>12</v>
      </c>
      <c r="CO95" s="14">
        <f t="shared" si="59"/>
        <v>2</v>
      </c>
      <c r="CP95" s="14">
        <f t="shared" si="60"/>
        <v>3</v>
      </c>
      <c r="CQ95" s="14">
        <f t="shared" si="51"/>
        <v>2</v>
      </c>
      <c r="CR95" s="14">
        <f t="shared" si="52"/>
        <v>2021023</v>
      </c>
      <c r="CS95" s="13" t="str">
        <f t="shared" si="53"/>
        <v>60级守护灵绿色-肩甲</v>
      </c>
      <c r="CT95" s="14">
        <f t="shared" si="54"/>
        <v>2</v>
      </c>
      <c r="CU95" s="14">
        <f t="shared" si="55"/>
        <v>1</v>
      </c>
      <c r="CV95" s="14">
        <f t="shared" si="61"/>
        <v>60</v>
      </c>
      <c r="CW95" s="14">
        <f t="shared" si="62"/>
        <v>60</v>
      </c>
      <c r="CX95" s="14">
        <f t="shared" si="63"/>
        <v>3</v>
      </c>
      <c r="CY95" s="14" t="str">
        <f t="shared" si="64"/>
        <v/>
      </c>
      <c r="CZ95" s="14">
        <f t="shared" si="65"/>
        <v>10</v>
      </c>
      <c r="DA95" s="14">
        <f t="shared" si="66"/>
        <v>0</v>
      </c>
      <c r="DB95" s="14">
        <f t="shared" si="67"/>
        <v>8</v>
      </c>
      <c r="DC95" s="14">
        <f t="shared" si="68"/>
        <v>113</v>
      </c>
      <c r="DD95" s="14">
        <f t="shared" si="69"/>
        <v>0</v>
      </c>
      <c r="DE95" s="14">
        <f t="shared" si="70"/>
        <v>0.45</v>
      </c>
      <c r="DF95" s="14">
        <f t="shared" si="71"/>
        <v>6.38</v>
      </c>
      <c r="DG95" s="14">
        <f t="shared" si="72"/>
        <v>5</v>
      </c>
      <c r="DH95" s="14">
        <f t="shared" si="73"/>
        <v>0</v>
      </c>
      <c r="DI95" s="14">
        <f t="shared" si="74"/>
        <v>22</v>
      </c>
      <c r="DL95" s="14">
        <f t="shared" si="56"/>
        <v>2</v>
      </c>
      <c r="DM95" s="14">
        <f t="shared" si="57"/>
        <v>3</v>
      </c>
      <c r="DN95" s="14" t="str">
        <f t="shared" si="75"/>
        <v>DefExt</v>
      </c>
      <c r="DO95" s="14">
        <f t="shared" si="76"/>
        <v>8</v>
      </c>
      <c r="DP95" s="14">
        <f t="shared" si="77"/>
        <v>0.45</v>
      </c>
      <c r="DQ95" s="14" t="str">
        <f t="shared" si="78"/>
        <v>HPExt</v>
      </c>
      <c r="DR95" s="14">
        <f t="shared" si="79"/>
        <v>113</v>
      </c>
      <c r="DS95" s="14">
        <f t="shared" si="80"/>
        <v>6.38</v>
      </c>
      <c r="DT95" s="14">
        <f t="shared" si="81"/>
        <v>5</v>
      </c>
      <c r="DU95" s="14">
        <f t="shared" si="82"/>
        <v>0</v>
      </c>
      <c r="DV95" s="14">
        <f t="shared" si="83"/>
        <v>22</v>
      </c>
      <c r="DW95" s="29" t="s">
        <v>758</v>
      </c>
      <c r="DX95" s="14">
        <f t="shared" si="84"/>
        <v>10</v>
      </c>
      <c r="ET95" s="13">
        <v>91</v>
      </c>
      <c r="EU95" s="13">
        <f t="shared" si="85"/>
        <v>8</v>
      </c>
      <c r="EV95" s="13" t="str">
        <f t="shared" ref="EV95:EV148" si="99">INDEX($AU$5:$AU$16,EU95)&amp;"洗练-"&amp;EX95</f>
        <v>40级守护灵洗练-7</v>
      </c>
      <c r="EW95" s="13">
        <f t="shared" ref="EW95:EW148" si="100">INDEX($AT$5:$AT$16,EU95)</f>
        <v>22</v>
      </c>
      <c r="EX95" s="13">
        <f t="shared" ref="EX95:EX148" si="101">MOD(ET95-1,12)+1</f>
        <v>7</v>
      </c>
      <c r="EY95" s="13">
        <f t="shared" si="89"/>
        <v>500</v>
      </c>
      <c r="EZ95" s="13" t="str">
        <f t="shared" ref="EZ95:EZ148" si="102">INDEX($AY$3:$BJ$3,EX95)</f>
        <v>Crit</v>
      </c>
      <c r="FA95" s="13">
        <f t="shared" si="91"/>
        <v>1.0999999999999999E-2</v>
      </c>
      <c r="FB95" s="13">
        <f t="shared" ref="FB95:FB148" si="103">INDEX($AY$5:$BJ$16,EU95,EX95)</f>
        <v>0.03</v>
      </c>
    </row>
    <row r="96" spans="1:158" ht="16.5" x14ac:dyDescent="0.2">
      <c r="BS96" s="16"/>
      <c r="BT96" s="16"/>
      <c r="BU96" s="16"/>
      <c r="BV96" s="16"/>
      <c r="BW96" s="16"/>
      <c r="BX96" s="16"/>
      <c r="BY96" s="16"/>
      <c r="BZ96" s="16"/>
      <c r="CM96" s="13">
        <v>92</v>
      </c>
      <c r="CN96" s="14">
        <f t="shared" si="58"/>
        <v>12</v>
      </c>
      <c r="CO96" s="14">
        <f t="shared" si="59"/>
        <v>2</v>
      </c>
      <c r="CP96" s="14">
        <f t="shared" si="60"/>
        <v>4</v>
      </c>
      <c r="CQ96" s="14">
        <f t="shared" si="51"/>
        <v>2</v>
      </c>
      <c r="CR96" s="14">
        <f t="shared" si="52"/>
        <v>2021024</v>
      </c>
      <c r="CS96" s="13" t="str">
        <f t="shared" si="53"/>
        <v>60级守护灵绿色-衣服</v>
      </c>
      <c r="CT96" s="14">
        <f t="shared" si="54"/>
        <v>2</v>
      </c>
      <c r="CU96" s="14">
        <f t="shared" si="55"/>
        <v>1</v>
      </c>
      <c r="CV96" s="14">
        <f t="shared" si="61"/>
        <v>60</v>
      </c>
      <c r="CW96" s="14">
        <f t="shared" si="62"/>
        <v>60</v>
      </c>
      <c r="CX96" s="14">
        <f t="shared" si="63"/>
        <v>4</v>
      </c>
      <c r="CY96" s="14" t="str">
        <f t="shared" si="64"/>
        <v/>
      </c>
      <c r="CZ96" s="14">
        <f t="shared" si="65"/>
        <v>9</v>
      </c>
      <c r="DA96" s="14">
        <f t="shared" si="66"/>
        <v>0</v>
      </c>
      <c r="DB96" s="14">
        <f t="shared" si="67"/>
        <v>15</v>
      </c>
      <c r="DC96" s="14">
        <f t="shared" si="68"/>
        <v>0</v>
      </c>
      <c r="DD96" s="14">
        <f t="shared" si="69"/>
        <v>0</v>
      </c>
      <c r="DE96" s="14">
        <f t="shared" si="70"/>
        <v>0.9</v>
      </c>
      <c r="DF96" s="14">
        <f t="shared" si="71"/>
        <v>0</v>
      </c>
      <c r="DG96" s="14">
        <f t="shared" si="72"/>
        <v>5</v>
      </c>
      <c r="DH96" s="14">
        <f t="shared" si="73"/>
        <v>0</v>
      </c>
      <c r="DI96" s="14">
        <f t="shared" si="74"/>
        <v>22</v>
      </c>
      <c r="DL96" s="14">
        <f t="shared" si="56"/>
        <v>2</v>
      </c>
      <c r="DM96" s="14">
        <f t="shared" si="57"/>
        <v>0</v>
      </c>
      <c r="DN96" s="14" t="str">
        <f t="shared" si="75"/>
        <v>DefExt</v>
      </c>
      <c r="DO96" s="14">
        <f t="shared" si="76"/>
        <v>15</v>
      </c>
      <c r="DP96" s="14">
        <f t="shared" si="77"/>
        <v>0.9</v>
      </c>
      <c r="DQ96" s="14" t="str">
        <f t="shared" si="78"/>
        <v/>
      </c>
      <c r="DR96" s="14" t="str">
        <f t="shared" si="79"/>
        <v/>
      </c>
      <c r="DS96" s="14" t="str">
        <f t="shared" si="80"/>
        <v/>
      </c>
      <c r="DT96" s="14">
        <f t="shared" si="81"/>
        <v>5</v>
      </c>
      <c r="DU96" s="14">
        <f t="shared" si="82"/>
        <v>0</v>
      </c>
      <c r="DV96" s="14">
        <f t="shared" si="83"/>
        <v>22</v>
      </c>
      <c r="DW96" s="29" t="s">
        <v>758</v>
      </c>
      <c r="DX96" s="14">
        <f t="shared" si="84"/>
        <v>10</v>
      </c>
      <c r="ET96" s="13">
        <v>92</v>
      </c>
      <c r="EU96" s="13">
        <f t="shared" si="85"/>
        <v>8</v>
      </c>
      <c r="EV96" s="13" t="str">
        <f t="shared" si="99"/>
        <v>40级守护灵洗练-8</v>
      </c>
      <c r="EW96" s="13">
        <f t="shared" si="100"/>
        <v>22</v>
      </c>
      <c r="EX96" s="13">
        <f t="shared" si="101"/>
        <v>8</v>
      </c>
      <c r="EY96" s="13">
        <f t="shared" si="89"/>
        <v>500</v>
      </c>
      <c r="EZ96" s="13" t="str">
        <f t="shared" si="102"/>
        <v>CritRate</v>
      </c>
      <c r="FA96" s="13">
        <f t="shared" si="91"/>
        <v>2.8000000000000001E-2</v>
      </c>
      <c r="FB96" s="13">
        <f t="shared" si="103"/>
        <v>0.08</v>
      </c>
    </row>
    <row r="97" spans="71:158" ht="16.5" x14ac:dyDescent="0.2">
      <c r="BS97" s="16"/>
      <c r="BT97" s="16"/>
      <c r="BU97" s="16"/>
      <c r="BV97" s="16"/>
      <c r="BW97" s="16"/>
      <c r="BX97" s="16"/>
      <c r="BY97" s="16"/>
      <c r="BZ97" s="16"/>
      <c r="CM97" s="13">
        <v>93</v>
      </c>
      <c r="CN97" s="14">
        <f t="shared" si="58"/>
        <v>12</v>
      </c>
      <c r="CO97" s="14">
        <f t="shared" si="59"/>
        <v>2</v>
      </c>
      <c r="CP97" s="14">
        <f t="shared" si="60"/>
        <v>5</v>
      </c>
      <c r="CQ97" s="14">
        <f t="shared" si="51"/>
        <v>2</v>
      </c>
      <c r="CR97" s="14">
        <f t="shared" si="52"/>
        <v>2021025</v>
      </c>
      <c r="CS97" s="13" t="str">
        <f t="shared" si="53"/>
        <v>60级守护灵绿色-鞋子</v>
      </c>
      <c r="CT97" s="14">
        <f t="shared" si="54"/>
        <v>2</v>
      </c>
      <c r="CU97" s="14">
        <f t="shared" si="55"/>
        <v>1</v>
      </c>
      <c r="CV97" s="14">
        <f t="shared" si="61"/>
        <v>60</v>
      </c>
      <c r="CW97" s="14">
        <f t="shared" si="62"/>
        <v>60</v>
      </c>
      <c r="CX97" s="14">
        <f t="shared" si="63"/>
        <v>5</v>
      </c>
      <c r="CY97" s="14" t="str">
        <f t="shared" si="64"/>
        <v/>
      </c>
      <c r="CZ97" s="14">
        <f t="shared" si="65"/>
        <v>12</v>
      </c>
      <c r="DA97" s="14">
        <f t="shared" si="66"/>
        <v>0</v>
      </c>
      <c r="DB97" s="14">
        <f t="shared" si="67"/>
        <v>0</v>
      </c>
      <c r="DC97" s="14">
        <f t="shared" si="68"/>
        <v>225</v>
      </c>
      <c r="DD97" s="14">
        <f t="shared" si="69"/>
        <v>0</v>
      </c>
      <c r="DE97" s="14">
        <f t="shared" si="70"/>
        <v>0</v>
      </c>
      <c r="DF97" s="14">
        <f t="shared" si="71"/>
        <v>12.75</v>
      </c>
      <c r="DG97" s="14">
        <f t="shared" si="72"/>
        <v>5</v>
      </c>
      <c r="DH97" s="14">
        <f t="shared" si="73"/>
        <v>0</v>
      </c>
      <c r="DI97" s="14">
        <f t="shared" si="74"/>
        <v>22</v>
      </c>
      <c r="DL97" s="14">
        <f t="shared" si="56"/>
        <v>3</v>
      </c>
      <c r="DM97" s="14">
        <f t="shared" si="57"/>
        <v>0</v>
      </c>
      <c r="DN97" s="14" t="str">
        <f t="shared" si="75"/>
        <v>HPExt</v>
      </c>
      <c r="DO97" s="14">
        <f t="shared" si="76"/>
        <v>225</v>
      </c>
      <c r="DP97" s="14">
        <f t="shared" si="77"/>
        <v>12.75</v>
      </c>
      <c r="DQ97" s="14" t="str">
        <f t="shared" si="78"/>
        <v/>
      </c>
      <c r="DR97" s="14" t="str">
        <f t="shared" si="79"/>
        <v/>
      </c>
      <c r="DS97" s="14" t="str">
        <f t="shared" si="80"/>
        <v/>
      </c>
      <c r="DT97" s="14">
        <f t="shared" si="81"/>
        <v>5</v>
      </c>
      <c r="DU97" s="14">
        <f t="shared" si="82"/>
        <v>0</v>
      </c>
      <c r="DV97" s="14">
        <f t="shared" si="83"/>
        <v>22</v>
      </c>
      <c r="DW97" s="29" t="s">
        <v>758</v>
      </c>
      <c r="DX97" s="14">
        <f t="shared" si="84"/>
        <v>10</v>
      </c>
      <c r="ET97" s="13">
        <v>93</v>
      </c>
      <c r="EU97" s="13">
        <f t="shared" si="85"/>
        <v>8</v>
      </c>
      <c r="EV97" s="13" t="str">
        <f t="shared" si="99"/>
        <v>40级守护灵洗练-9</v>
      </c>
      <c r="EW97" s="13">
        <f t="shared" si="100"/>
        <v>22</v>
      </c>
      <c r="EX97" s="13">
        <f t="shared" si="101"/>
        <v>9</v>
      </c>
      <c r="EY97" s="13">
        <f t="shared" si="89"/>
        <v>500</v>
      </c>
      <c r="EZ97" s="13" t="str">
        <f t="shared" si="102"/>
        <v>DefIgnor</v>
      </c>
      <c r="FA97" s="13">
        <f t="shared" si="91"/>
        <v>1.0999999999999999E-2</v>
      </c>
      <c r="FB97" s="13">
        <f t="shared" si="103"/>
        <v>0.03</v>
      </c>
    </row>
    <row r="98" spans="71:158" ht="16.5" x14ac:dyDescent="0.2">
      <c r="BS98" s="16"/>
      <c r="BT98" s="16"/>
      <c r="BU98" s="16"/>
      <c r="BV98" s="16"/>
      <c r="BW98" s="16"/>
      <c r="BX98" s="16"/>
      <c r="BY98" s="16"/>
      <c r="BZ98" s="16"/>
      <c r="CM98" s="13">
        <v>94</v>
      </c>
      <c r="CN98" s="14">
        <f t="shared" si="58"/>
        <v>12</v>
      </c>
      <c r="CO98" s="14">
        <f t="shared" si="59"/>
        <v>2</v>
      </c>
      <c r="CP98" s="14">
        <f t="shared" si="60"/>
        <v>6</v>
      </c>
      <c r="CQ98" s="14">
        <f t="shared" si="51"/>
        <v>2</v>
      </c>
      <c r="CR98" s="14">
        <f t="shared" si="52"/>
        <v>2021026</v>
      </c>
      <c r="CS98" s="13" t="str">
        <f t="shared" si="53"/>
        <v>60级守护灵绿色-护手</v>
      </c>
      <c r="CT98" s="14">
        <f t="shared" si="54"/>
        <v>2</v>
      </c>
      <c r="CU98" s="14">
        <f t="shared" si="55"/>
        <v>1</v>
      </c>
      <c r="CV98" s="14">
        <f t="shared" si="61"/>
        <v>60</v>
      </c>
      <c r="CW98" s="14">
        <f t="shared" si="62"/>
        <v>60</v>
      </c>
      <c r="CX98" s="14">
        <f t="shared" si="63"/>
        <v>6</v>
      </c>
      <c r="CY98" s="14" t="str">
        <f t="shared" si="64"/>
        <v/>
      </c>
      <c r="CZ98" s="14">
        <f t="shared" si="65"/>
        <v>12</v>
      </c>
      <c r="DA98" s="14">
        <f t="shared" si="66"/>
        <v>0</v>
      </c>
      <c r="DB98" s="14">
        <f t="shared" si="67"/>
        <v>0</v>
      </c>
      <c r="DC98" s="14">
        <f t="shared" si="68"/>
        <v>225</v>
      </c>
      <c r="DD98" s="14">
        <f t="shared" si="69"/>
        <v>0</v>
      </c>
      <c r="DE98" s="14">
        <f t="shared" si="70"/>
        <v>0</v>
      </c>
      <c r="DF98" s="14">
        <f t="shared" si="71"/>
        <v>12.75</v>
      </c>
      <c r="DG98" s="14">
        <f t="shared" si="72"/>
        <v>5</v>
      </c>
      <c r="DH98" s="14">
        <f t="shared" si="73"/>
        <v>0</v>
      </c>
      <c r="DI98" s="14">
        <f t="shared" si="74"/>
        <v>22</v>
      </c>
      <c r="DL98" s="14">
        <f t="shared" si="56"/>
        <v>3</v>
      </c>
      <c r="DM98" s="14">
        <f t="shared" si="57"/>
        <v>0</v>
      </c>
      <c r="DN98" s="14" t="str">
        <f t="shared" si="75"/>
        <v>HPExt</v>
      </c>
      <c r="DO98" s="14">
        <f t="shared" si="76"/>
        <v>225</v>
      </c>
      <c r="DP98" s="14">
        <f t="shared" si="77"/>
        <v>12.75</v>
      </c>
      <c r="DQ98" s="14" t="str">
        <f t="shared" si="78"/>
        <v/>
      </c>
      <c r="DR98" s="14" t="str">
        <f t="shared" si="79"/>
        <v/>
      </c>
      <c r="DS98" s="14" t="str">
        <f t="shared" si="80"/>
        <v/>
      </c>
      <c r="DT98" s="14">
        <f t="shared" si="81"/>
        <v>5</v>
      </c>
      <c r="DU98" s="14">
        <f t="shared" si="82"/>
        <v>0</v>
      </c>
      <c r="DV98" s="14">
        <f t="shared" si="83"/>
        <v>22</v>
      </c>
      <c r="DW98" s="29" t="s">
        <v>758</v>
      </c>
      <c r="DX98" s="14">
        <f t="shared" si="84"/>
        <v>10</v>
      </c>
      <c r="ET98" s="13">
        <v>94</v>
      </c>
      <c r="EU98" s="13">
        <f t="shared" si="85"/>
        <v>8</v>
      </c>
      <c r="EV98" s="13" t="str">
        <f t="shared" si="99"/>
        <v>40级守护灵洗练-10</v>
      </c>
      <c r="EW98" s="13">
        <f t="shared" si="100"/>
        <v>22</v>
      </c>
      <c r="EX98" s="13">
        <f t="shared" si="101"/>
        <v>10</v>
      </c>
      <c r="EY98" s="13">
        <f t="shared" si="89"/>
        <v>500</v>
      </c>
      <c r="EZ98" s="13" t="str">
        <f t="shared" si="102"/>
        <v>Block</v>
      </c>
      <c r="FA98" s="13">
        <f t="shared" si="91"/>
        <v>1.0999999999999999E-2</v>
      </c>
      <c r="FB98" s="13">
        <f t="shared" si="103"/>
        <v>0.03</v>
      </c>
    </row>
    <row r="99" spans="71:158" ht="16.5" x14ac:dyDescent="0.2">
      <c r="BS99" s="16"/>
      <c r="BT99" s="16"/>
      <c r="BU99" s="16"/>
      <c r="BV99" s="16"/>
      <c r="BW99" s="16"/>
      <c r="BX99" s="16"/>
      <c r="BY99" s="16"/>
      <c r="BZ99" s="16"/>
      <c r="CM99" s="13">
        <v>95</v>
      </c>
      <c r="CN99" s="14">
        <f t="shared" si="58"/>
        <v>12</v>
      </c>
      <c r="CO99" s="14">
        <f t="shared" si="59"/>
        <v>2</v>
      </c>
      <c r="CP99" s="14">
        <f t="shared" si="60"/>
        <v>7</v>
      </c>
      <c r="CQ99" s="14">
        <f t="shared" si="51"/>
        <v>2</v>
      </c>
      <c r="CR99" s="14">
        <f t="shared" si="52"/>
        <v>2021027</v>
      </c>
      <c r="CS99" s="13" t="str">
        <f t="shared" si="53"/>
        <v>60级守护灵绿色-项链</v>
      </c>
      <c r="CT99" s="14">
        <f t="shared" si="54"/>
        <v>2</v>
      </c>
      <c r="CU99" s="14">
        <f t="shared" si="55"/>
        <v>1</v>
      </c>
      <c r="CV99" s="14">
        <f t="shared" si="61"/>
        <v>60</v>
      </c>
      <c r="CW99" s="14">
        <f t="shared" si="62"/>
        <v>60</v>
      </c>
      <c r="CX99" s="14">
        <f t="shared" si="63"/>
        <v>7</v>
      </c>
      <c r="CY99" s="14" t="str">
        <f t="shared" si="64"/>
        <v/>
      </c>
      <c r="CZ99" s="14">
        <f t="shared" si="65"/>
        <v>13</v>
      </c>
      <c r="DA99" s="14">
        <f t="shared" si="66"/>
        <v>20</v>
      </c>
      <c r="DB99" s="14">
        <f t="shared" si="67"/>
        <v>13</v>
      </c>
      <c r="DC99" s="14">
        <f t="shared" si="68"/>
        <v>0</v>
      </c>
      <c r="DD99" s="14">
        <f t="shared" si="69"/>
        <v>1.2</v>
      </c>
      <c r="DE99" s="14">
        <f t="shared" si="70"/>
        <v>0.75</v>
      </c>
      <c r="DF99" s="14">
        <f t="shared" si="71"/>
        <v>0</v>
      </c>
      <c r="DG99" s="14">
        <f t="shared" si="72"/>
        <v>5</v>
      </c>
      <c r="DH99" s="14">
        <f t="shared" si="73"/>
        <v>0</v>
      </c>
      <c r="DI99" s="14">
        <f t="shared" si="74"/>
        <v>22</v>
      </c>
      <c r="DL99" s="14">
        <f t="shared" si="56"/>
        <v>1</v>
      </c>
      <c r="DM99" s="14">
        <f t="shared" si="57"/>
        <v>2</v>
      </c>
      <c r="DN99" s="14" t="str">
        <f t="shared" si="75"/>
        <v>AtkExt</v>
      </c>
      <c r="DO99" s="14">
        <f t="shared" si="76"/>
        <v>20</v>
      </c>
      <c r="DP99" s="14">
        <f t="shared" si="77"/>
        <v>1.2</v>
      </c>
      <c r="DQ99" s="14" t="str">
        <f t="shared" si="78"/>
        <v>DefExt</v>
      </c>
      <c r="DR99" s="14">
        <f t="shared" si="79"/>
        <v>13</v>
      </c>
      <c r="DS99" s="14">
        <f t="shared" si="80"/>
        <v>0.75</v>
      </c>
      <c r="DT99" s="14">
        <f t="shared" si="81"/>
        <v>5</v>
      </c>
      <c r="DU99" s="14">
        <f t="shared" si="82"/>
        <v>0</v>
      </c>
      <c r="DV99" s="14">
        <f t="shared" si="83"/>
        <v>22</v>
      </c>
      <c r="DW99" s="29" t="s">
        <v>758</v>
      </c>
      <c r="DX99" s="14">
        <f t="shared" si="84"/>
        <v>10</v>
      </c>
      <c r="ET99" s="13">
        <v>95</v>
      </c>
      <c r="EU99" s="13">
        <f t="shared" si="85"/>
        <v>8</v>
      </c>
      <c r="EV99" s="13" t="str">
        <f t="shared" si="99"/>
        <v>40级守护灵洗练-11</v>
      </c>
      <c r="EW99" s="13">
        <f t="shared" si="100"/>
        <v>22</v>
      </c>
      <c r="EX99" s="13">
        <f t="shared" si="101"/>
        <v>11</v>
      </c>
      <c r="EY99" s="13">
        <f t="shared" si="89"/>
        <v>500</v>
      </c>
      <c r="EZ99" s="13" t="str">
        <f t="shared" si="102"/>
        <v>EffectHit</v>
      </c>
      <c r="FA99" s="13">
        <f t="shared" si="91"/>
        <v>1.7999999999999999E-2</v>
      </c>
      <c r="FB99" s="13">
        <f t="shared" si="103"/>
        <v>0.05</v>
      </c>
    </row>
    <row r="100" spans="71:158" ht="16.5" x14ac:dyDescent="0.2">
      <c r="BS100" s="16"/>
      <c r="BT100" s="16"/>
      <c r="BU100" s="16"/>
      <c r="BV100" s="16"/>
      <c r="BW100" s="16"/>
      <c r="BX100" s="16"/>
      <c r="BY100" s="16"/>
      <c r="BZ100" s="16"/>
      <c r="CM100" s="13">
        <v>96</v>
      </c>
      <c r="CN100" s="14">
        <f t="shared" si="58"/>
        <v>12</v>
      </c>
      <c r="CO100" s="14">
        <f t="shared" si="59"/>
        <v>2</v>
      </c>
      <c r="CP100" s="14">
        <f t="shared" si="60"/>
        <v>8</v>
      </c>
      <c r="CQ100" s="14">
        <f t="shared" si="51"/>
        <v>2</v>
      </c>
      <c r="CR100" s="14">
        <f t="shared" si="52"/>
        <v>2021028</v>
      </c>
      <c r="CS100" s="13" t="str">
        <f t="shared" si="53"/>
        <v>60级守护灵绿色-戒指</v>
      </c>
      <c r="CT100" s="14">
        <f t="shared" si="54"/>
        <v>2</v>
      </c>
      <c r="CU100" s="14">
        <f t="shared" si="55"/>
        <v>1</v>
      </c>
      <c r="CV100" s="14">
        <f t="shared" si="61"/>
        <v>60</v>
      </c>
      <c r="CW100" s="14">
        <f t="shared" si="62"/>
        <v>60</v>
      </c>
      <c r="CX100" s="14">
        <f t="shared" si="63"/>
        <v>8</v>
      </c>
      <c r="CY100" s="14" t="str">
        <f t="shared" si="64"/>
        <v/>
      </c>
      <c r="CZ100" s="14">
        <f t="shared" si="65"/>
        <v>16</v>
      </c>
      <c r="DA100" s="14">
        <f t="shared" si="66"/>
        <v>20</v>
      </c>
      <c r="DB100" s="14">
        <f t="shared" si="67"/>
        <v>0</v>
      </c>
      <c r="DC100" s="14">
        <f t="shared" si="68"/>
        <v>188</v>
      </c>
      <c r="DD100" s="14">
        <f t="shared" si="69"/>
        <v>1.2</v>
      </c>
      <c r="DE100" s="14">
        <f t="shared" si="70"/>
        <v>0</v>
      </c>
      <c r="DF100" s="14">
        <f t="shared" si="71"/>
        <v>10.63</v>
      </c>
      <c r="DG100" s="14">
        <f t="shared" si="72"/>
        <v>5</v>
      </c>
      <c r="DH100" s="14">
        <f t="shared" si="73"/>
        <v>0</v>
      </c>
      <c r="DI100" s="14">
        <f t="shared" si="74"/>
        <v>22</v>
      </c>
      <c r="DL100" s="14">
        <f t="shared" si="56"/>
        <v>1</v>
      </c>
      <c r="DM100" s="14">
        <f t="shared" si="57"/>
        <v>3</v>
      </c>
      <c r="DN100" s="14" t="str">
        <f t="shared" si="75"/>
        <v>AtkExt</v>
      </c>
      <c r="DO100" s="14">
        <f t="shared" si="76"/>
        <v>20</v>
      </c>
      <c r="DP100" s="14">
        <f t="shared" si="77"/>
        <v>1.2</v>
      </c>
      <c r="DQ100" s="14" t="str">
        <f t="shared" si="78"/>
        <v>HPExt</v>
      </c>
      <c r="DR100" s="14">
        <f t="shared" si="79"/>
        <v>188</v>
      </c>
      <c r="DS100" s="14">
        <f t="shared" si="80"/>
        <v>10.63</v>
      </c>
      <c r="DT100" s="14">
        <f t="shared" si="81"/>
        <v>5</v>
      </c>
      <c r="DU100" s="14">
        <f t="shared" si="82"/>
        <v>0</v>
      </c>
      <c r="DV100" s="14">
        <f t="shared" si="83"/>
        <v>22</v>
      </c>
      <c r="DW100" s="29" t="s">
        <v>758</v>
      </c>
      <c r="DX100" s="14">
        <f t="shared" si="84"/>
        <v>10</v>
      </c>
      <c r="ET100" s="13">
        <v>96</v>
      </c>
      <c r="EU100" s="13">
        <f t="shared" si="85"/>
        <v>8</v>
      </c>
      <c r="EV100" s="13" t="str">
        <f t="shared" si="99"/>
        <v>40级守护灵洗练-12</v>
      </c>
      <c r="EW100" s="13">
        <f t="shared" si="100"/>
        <v>22</v>
      </c>
      <c r="EX100" s="13">
        <f t="shared" si="101"/>
        <v>12</v>
      </c>
      <c r="EY100" s="13">
        <f t="shared" si="89"/>
        <v>500</v>
      </c>
      <c r="EZ100" s="13" t="str">
        <f t="shared" si="102"/>
        <v>EffectResist</v>
      </c>
      <c r="FA100" s="13">
        <f t="shared" si="91"/>
        <v>1.7999999999999999E-2</v>
      </c>
      <c r="FB100" s="13">
        <f t="shared" si="103"/>
        <v>0.05</v>
      </c>
    </row>
    <row r="101" spans="71:158" ht="16.5" x14ac:dyDescent="0.2">
      <c r="BS101" s="16"/>
      <c r="BT101" s="16"/>
      <c r="BU101" s="16"/>
      <c r="BV101" s="16"/>
      <c r="BW101" s="16"/>
      <c r="BX101" s="16"/>
      <c r="BY101" s="16"/>
      <c r="BZ101" s="16"/>
      <c r="CM101" s="13">
        <v>97</v>
      </c>
      <c r="CN101" s="14">
        <f t="shared" si="58"/>
        <v>13</v>
      </c>
      <c r="CO101" s="14">
        <f t="shared" si="59"/>
        <v>1</v>
      </c>
      <c r="CP101" s="14">
        <f t="shared" si="60"/>
        <v>1</v>
      </c>
      <c r="CQ101" s="14">
        <f t="shared" si="51"/>
        <v>2</v>
      </c>
      <c r="CR101" s="14">
        <f t="shared" si="52"/>
        <v>2022011</v>
      </c>
      <c r="CS101" s="13" t="str">
        <f t="shared" si="53"/>
        <v>60级寄灵人蓝色-武器</v>
      </c>
      <c r="CT101" s="14">
        <f t="shared" si="54"/>
        <v>1</v>
      </c>
      <c r="CU101" s="14">
        <f t="shared" si="55"/>
        <v>2</v>
      </c>
      <c r="CV101" s="14">
        <f t="shared" si="61"/>
        <v>60</v>
      </c>
      <c r="CW101" s="14">
        <f t="shared" si="62"/>
        <v>60</v>
      </c>
      <c r="CX101" s="14">
        <f t="shared" si="63"/>
        <v>1</v>
      </c>
      <c r="CY101" s="14" t="str">
        <f t="shared" si="64"/>
        <v/>
      </c>
      <c r="CZ101" s="14">
        <f t="shared" si="65"/>
        <v>27</v>
      </c>
      <c r="DA101" s="14">
        <f t="shared" si="66"/>
        <v>99</v>
      </c>
      <c r="DB101" s="14">
        <f t="shared" si="67"/>
        <v>0</v>
      </c>
      <c r="DC101" s="14">
        <f t="shared" si="68"/>
        <v>0</v>
      </c>
      <c r="DD101" s="14">
        <f t="shared" si="69"/>
        <v>5.4</v>
      </c>
      <c r="DE101" s="14">
        <f t="shared" si="70"/>
        <v>0</v>
      </c>
      <c r="DF101" s="14">
        <f t="shared" si="71"/>
        <v>0</v>
      </c>
      <c r="DG101" s="14">
        <f t="shared" si="72"/>
        <v>6</v>
      </c>
      <c r="DH101" s="14">
        <f t="shared" si="73"/>
        <v>0</v>
      </c>
      <c r="DI101" s="14">
        <f t="shared" si="74"/>
        <v>12</v>
      </c>
      <c r="DL101" s="14">
        <f t="shared" si="56"/>
        <v>1</v>
      </c>
      <c r="DM101" s="14">
        <f t="shared" si="57"/>
        <v>0</v>
      </c>
      <c r="DN101" s="14" t="str">
        <f t="shared" si="75"/>
        <v>AtkExt</v>
      </c>
      <c r="DO101" s="14">
        <f t="shared" si="76"/>
        <v>99</v>
      </c>
      <c r="DP101" s="14">
        <f t="shared" si="77"/>
        <v>5.4</v>
      </c>
      <c r="DQ101" s="14" t="str">
        <f t="shared" si="78"/>
        <v/>
      </c>
      <c r="DR101" s="14" t="str">
        <f t="shared" si="79"/>
        <v/>
      </c>
      <c r="DS101" s="14" t="str">
        <f t="shared" si="80"/>
        <v/>
      </c>
      <c r="DT101" s="14">
        <f t="shared" si="81"/>
        <v>6</v>
      </c>
      <c r="DU101" s="14">
        <f t="shared" si="82"/>
        <v>0</v>
      </c>
      <c r="DV101" s="14">
        <f t="shared" si="83"/>
        <v>12</v>
      </c>
      <c r="DW101" s="29" t="s">
        <v>758</v>
      </c>
      <c r="DX101" s="14">
        <f t="shared" si="84"/>
        <v>30</v>
      </c>
      <c r="ET101" s="13">
        <v>97</v>
      </c>
      <c r="EU101" s="13">
        <f t="shared" si="85"/>
        <v>9</v>
      </c>
      <c r="EV101" s="13" t="str">
        <f t="shared" si="99"/>
        <v>60级守护灵洗练-1</v>
      </c>
      <c r="EW101" s="13">
        <f t="shared" si="100"/>
        <v>23</v>
      </c>
      <c r="EX101" s="13">
        <f t="shared" si="101"/>
        <v>1</v>
      </c>
      <c r="EY101" s="13">
        <f t="shared" si="89"/>
        <v>1800</v>
      </c>
      <c r="EZ101" s="13" t="str">
        <f t="shared" si="102"/>
        <v>AtkExt</v>
      </c>
      <c r="FA101" s="13">
        <f t="shared" si="91"/>
        <v>51</v>
      </c>
      <c r="FB101" s="13">
        <f t="shared" si="103"/>
        <v>147</v>
      </c>
    </row>
    <row r="102" spans="71:158" ht="16.5" x14ac:dyDescent="0.2">
      <c r="BS102" s="16"/>
      <c r="BT102" s="16"/>
      <c r="BU102" s="16"/>
      <c r="BV102" s="16"/>
      <c r="BW102" s="16"/>
      <c r="BX102" s="16"/>
      <c r="BY102" s="16"/>
      <c r="BZ102" s="16"/>
      <c r="CM102" s="13">
        <v>98</v>
      </c>
      <c r="CN102" s="14">
        <f t="shared" si="58"/>
        <v>13</v>
      </c>
      <c r="CO102" s="14">
        <f t="shared" si="59"/>
        <v>1</v>
      </c>
      <c r="CP102" s="14">
        <f t="shared" si="60"/>
        <v>2</v>
      </c>
      <c r="CQ102" s="14">
        <f t="shared" si="51"/>
        <v>2</v>
      </c>
      <c r="CR102" s="14">
        <f t="shared" si="52"/>
        <v>2022012</v>
      </c>
      <c r="CS102" s="13" t="str">
        <f t="shared" si="53"/>
        <v>60级寄灵人蓝色-头盔</v>
      </c>
      <c r="CT102" s="14">
        <f t="shared" si="54"/>
        <v>1</v>
      </c>
      <c r="CU102" s="14">
        <f t="shared" si="55"/>
        <v>2</v>
      </c>
      <c r="CV102" s="14">
        <f t="shared" si="61"/>
        <v>60</v>
      </c>
      <c r="CW102" s="14">
        <f t="shared" si="62"/>
        <v>60</v>
      </c>
      <c r="CX102" s="14">
        <f t="shared" si="63"/>
        <v>2</v>
      </c>
      <c r="CY102" s="14" t="str">
        <f t="shared" si="64"/>
        <v/>
      </c>
      <c r="CZ102" s="14">
        <f t="shared" si="65"/>
        <v>13</v>
      </c>
      <c r="DA102" s="14">
        <f t="shared" si="66"/>
        <v>0</v>
      </c>
      <c r="DB102" s="14">
        <f t="shared" si="67"/>
        <v>25</v>
      </c>
      <c r="DC102" s="14">
        <f t="shared" si="68"/>
        <v>0</v>
      </c>
      <c r="DD102" s="14">
        <f t="shared" si="69"/>
        <v>0</v>
      </c>
      <c r="DE102" s="14">
        <f t="shared" si="70"/>
        <v>1.35</v>
      </c>
      <c r="DF102" s="14">
        <f t="shared" si="71"/>
        <v>0</v>
      </c>
      <c r="DG102" s="14">
        <f t="shared" si="72"/>
        <v>6</v>
      </c>
      <c r="DH102" s="14">
        <f t="shared" si="73"/>
        <v>0</v>
      </c>
      <c r="DI102" s="14">
        <f t="shared" si="74"/>
        <v>12</v>
      </c>
      <c r="DL102" s="14">
        <f t="shared" si="56"/>
        <v>2</v>
      </c>
      <c r="DM102" s="14">
        <f t="shared" si="57"/>
        <v>0</v>
      </c>
      <c r="DN102" s="14" t="str">
        <f t="shared" si="75"/>
        <v>DefExt</v>
      </c>
      <c r="DO102" s="14">
        <f t="shared" si="76"/>
        <v>25</v>
      </c>
      <c r="DP102" s="14">
        <f t="shared" si="77"/>
        <v>1.35</v>
      </c>
      <c r="DQ102" s="14" t="str">
        <f t="shared" si="78"/>
        <v/>
      </c>
      <c r="DR102" s="14" t="str">
        <f t="shared" si="79"/>
        <v/>
      </c>
      <c r="DS102" s="14" t="str">
        <f t="shared" si="80"/>
        <v/>
      </c>
      <c r="DT102" s="14">
        <f t="shared" si="81"/>
        <v>6</v>
      </c>
      <c r="DU102" s="14">
        <f t="shared" si="82"/>
        <v>0</v>
      </c>
      <c r="DV102" s="14">
        <f t="shared" si="83"/>
        <v>12</v>
      </c>
      <c r="DW102" s="29" t="s">
        <v>758</v>
      </c>
      <c r="DX102" s="14">
        <f t="shared" si="84"/>
        <v>30</v>
      </c>
      <c r="ET102" s="13">
        <v>98</v>
      </c>
      <c r="EU102" s="13">
        <f t="shared" si="85"/>
        <v>9</v>
      </c>
      <c r="EV102" s="13" t="str">
        <f t="shared" si="99"/>
        <v>60级守护灵洗练-2</v>
      </c>
      <c r="EW102" s="13">
        <f t="shared" si="100"/>
        <v>23</v>
      </c>
      <c r="EX102" s="13">
        <f t="shared" si="101"/>
        <v>2</v>
      </c>
      <c r="EY102" s="13">
        <f t="shared" si="89"/>
        <v>1800</v>
      </c>
      <c r="EZ102" s="13" t="str">
        <f t="shared" si="102"/>
        <v>DefExt</v>
      </c>
      <c r="FA102" s="13">
        <f t="shared" si="91"/>
        <v>19</v>
      </c>
      <c r="FB102" s="13">
        <f t="shared" si="103"/>
        <v>55</v>
      </c>
    </row>
    <row r="103" spans="71:158" ht="16.5" x14ac:dyDescent="0.2">
      <c r="BS103" s="16"/>
      <c r="BT103" s="16"/>
      <c r="BU103" s="16"/>
      <c r="BV103" s="16"/>
      <c r="BW103" s="16"/>
      <c r="BX103" s="16"/>
      <c r="BY103" s="16"/>
      <c r="BZ103" s="16"/>
      <c r="CM103" s="13">
        <v>99</v>
      </c>
      <c r="CN103" s="14">
        <f t="shared" si="58"/>
        <v>13</v>
      </c>
      <c r="CO103" s="14">
        <f t="shared" si="59"/>
        <v>1</v>
      </c>
      <c r="CP103" s="14">
        <f t="shared" si="60"/>
        <v>3</v>
      </c>
      <c r="CQ103" s="14">
        <f t="shared" si="51"/>
        <v>2</v>
      </c>
      <c r="CR103" s="14">
        <f t="shared" si="52"/>
        <v>2022013</v>
      </c>
      <c r="CS103" s="13" t="str">
        <f t="shared" si="53"/>
        <v>60级寄灵人蓝色-肩甲</v>
      </c>
      <c r="CT103" s="14">
        <f t="shared" si="54"/>
        <v>1</v>
      </c>
      <c r="CU103" s="14">
        <f t="shared" si="55"/>
        <v>2</v>
      </c>
      <c r="CV103" s="14">
        <f t="shared" si="61"/>
        <v>60</v>
      </c>
      <c r="CW103" s="14">
        <f t="shared" si="62"/>
        <v>60</v>
      </c>
      <c r="CX103" s="14">
        <f t="shared" si="63"/>
        <v>3</v>
      </c>
      <c r="CY103" s="14" t="str">
        <f t="shared" si="64"/>
        <v/>
      </c>
      <c r="CZ103" s="14">
        <f t="shared" si="65"/>
        <v>10</v>
      </c>
      <c r="DA103" s="14">
        <f t="shared" si="66"/>
        <v>0</v>
      </c>
      <c r="DB103" s="14">
        <f t="shared" si="67"/>
        <v>12</v>
      </c>
      <c r="DC103" s="14">
        <f t="shared" si="68"/>
        <v>73</v>
      </c>
      <c r="DD103" s="14">
        <f t="shared" si="69"/>
        <v>0</v>
      </c>
      <c r="DE103" s="14">
        <f t="shared" si="70"/>
        <v>0.68</v>
      </c>
      <c r="DF103" s="14">
        <f t="shared" si="71"/>
        <v>4.05</v>
      </c>
      <c r="DG103" s="14">
        <f t="shared" si="72"/>
        <v>6</v>
      </c>
      <c r="DH103" s="14">
        <f t="shared" si="73"/>
        <v>0</v>
      </c>
      <c r="DI103" s="14">
        <f t="shared" si="74"/>
        <v>12</v>
      </c>
      <c r="DL103" s="14">
        <f t="shared" si="56"/>
        <v>2</v>
      </c>
      <c r="DM103" s="14">
        <f t="shared" si="57"/>
        <v>3</v>
      </c>
      <c r="DN103" s="14" t="str">
        <f t="shared" si="75"/>
        <v>DefExt</v>
      </c>
      <c r="DO103" s="14">
        <f t="shared" si="76"/>
        <v>12</v>
      </c>
      <c r="DP103" s="14">
        <f t="shared" si="77"/>
        <v>0.68</v>
      </c>
      <c r="DQ103" s="14" t="str">
        <f t="shared" si="78"/>
        <v>HPExt</v>
      </c>
      <c r="DR103" s="14">
        <f t="shared" si="79"/>
        <v>73</v>
      </c>
      <c r="DS103" s="14">
        <f t="shared" si="80"/>
        <v>4.05</v>
      </c>
      <c r="DT103" s="14">
        <f t="shared" si="81"/>
        <v>6</v>
      </c>
      <c r="DU103" s="14">
        <f t="shared" si="82"/>
        <v>0</v>
      </c>
      <c r="DV103" s="14">
        <f t="shared" si="83"/>
        <v>12</v>
      </c>
      <c r="DW103" s="29" t="s">
        <v>758</v>
      </c>
      <c r="DX103" s="14">
        <f t="shared" si="84"/>
        <v>30</v>
      </c>
      <c r="ET103" s="13">
        <v>99</v>
      </c>
      <c r="EU103" s="13">
        <f t="shared" si="85"/>
        <v>9</v>
      </c>
      <c r="EV103" s="13" t="str">
        <f t="shared" si="99"/>
        <v>60级守护灵洗练-3</v>
      </c>
      <c r="EW103" s="13">
        <f t="shared" si="100"/>
        <v>23</v>
      </c>
      <c r="EX103" s="13">
        <f t="shared" si="101"/>
        <v>3</v>
      </c>
      <c r="EY103" s="13">
        <f t="shared" si="89"/>
        <v>2000</v>
      </c>
      <c r="EZ103" s="13" t="str">
        <f t="shared" si="102"/>
        <v>HPExt</v>
      </c>
      <c r="FA103" s="13">
        <f t="shared" si="91"/>
        <v>202</v>
      </c>
      <c r="FB103" s="13">
        <f t="shared" si="103"/>
        <v>579</v>
      </c>
    </row>
    <row r="104" spans="71:158" ht="16.5" x14ac:dyDescent="0.2">
      <c r="BS104" s="16"/>
      <c r="BT104" s="16"/>
      <c r="BU104" s="16"/>
      <c r="BV104" s="16"/>
      <c r="BW104" s="16"/>
      <c r="BX104" s="16"/>
      <c r="BY104" s="16"/>
      <c r="BZ104" s="16"/>
      <c r="CM104" s="13">
        <v>100</v>
      </c>
      <c r="CN104" s="14">
        <f t="shared" si="58"/>
        <v>13</v>
      </c>
      <c r="CO104" s="14">
        <f t="shared" si="59"/>
        <v>1</v>
      </c>
      <c r="CP104" s="14">
        <f t="shared" si="60"/>
        <v>4</v>
      </c>
      <c r="CQ104" s="14">
        <f t="shared" si="51"/>
        <v>2</v>
      </c>
      <c r="CR104" s="14">
        <f t="shared" si="52"/>
        <v>2022014</v>
      </c>
      <c r="CS104" s="13" t="str">
        <f t="shared" si="53"/>
        <v>60级寄灵人蓝色-衣服</v>
      </c>
      <c r="CT104" s="14">
        <f t="shared" si="54"/>
        <v>1</v>
      </c>
      <c r="CU104" s="14">
        <f t="shared" si="55"/>
        <v>2</v>
      </c>
      <c r="CV104" s="14">
        <f t="shared" si="61"/>
        <v>60</v>
      </c>
      <c r="CW104" s="14">
        <f t="shared" si="62"/>
        <v>60</v>
      </c>
      <c r="CX104" s="14">
        <f t="shared" si="63"/>
        <v>4</v>
      </c>
      <c r="CY104" s="14" t="str">
        <f t="shared" si="64"/>
        <v/>
      </c>
      <c r="CZ104" s="14">
        <f t="shared" si="65"/>
        <v>13</v>
      </c>
      <c r="DA104" s="14">
        <f t="shared" si="66"/>
        <v>0</v>
      </c>
      <c r="DB104" s="14">
        <f t="shared" si="67"/>
        <v>25</v>
      </c>
      <c r="DC104" s="14">
        <f t="shared" si="68"/>
        <v>0</v>
      </c>
      <c r="DD104" s="14">
        <f t="shared" si="69"/>
        <v>0</v>
      </c>
      <c r="DE104" s="14">
        <f t="shared" si="70"/>
        <v>1.35</v>
      </c>
      <c r="DF104" s="14">
        <f t="shared" si="71"/>
        <v>0</v>
      </c>
      <c r="DG104" s="14">
        <f t="shared" si="72"/>
        <v>6</v>
      </c>
      <c r="DH104" s="14">
        <f t="shared" si="73"/>
        <v>0</v>
      </c>
      <c r="DI104" s="14">
        <f t="shared" si="74"/>
        <v>12</v>
      </c>
      <c r="DL104" s="14">
        <f t="shared" si="56"/>
        <v>2</v>
      </c>
      <c r="DM104" s="14">
        <f t="shared" si="57"/>
        <v>0</v>
      </c>
      <c r="DN104" s="14" t="str">
        <f t="shared" si="75"/>
        <v>DefExt</v>
      </c>
      <c r="DO104" s="14">
        <f t="shared" si="76"/>
        <v>25</v>
      </c>
      <c r="DP104" s="14">
        <f t="shared" si="77"/>
        <v>1.35</v>
      </c>
      <c r="DQ104" s="14" t="str">
        <f t="shared" si="78"/>
        <v/>
      </c>
      <c r="DR104" s="14" t="str">
        <f t="shared" si="79"/>
        <v/>
      </c>
      <c r="DS104" s="14" t="str">
        <f t="shared" si="80"/>
        <v/>
      </c>
      <c r="DT104" s="14">
        <f t="shared" si="81"/>
        <v>6</v>
      </c>
      <c r="DU104" s="14">
        <f t="shared" si="82"/>
        <v>0</v>
      </c>
      <c r="DV104" s="14">
        <f t="shared" si="83"/>
        <v>12</v>
      </c>
      <c r="DW104" s="29" t="s">
        <v>758</v>
      </c>
      <c r="DX104" s="14">
        <f t="shared" si="84"/>
        <v>30</v>
      </c>
      <c r="ET104" s="13">
        <v>100</v>
      </c>
      <c r="EU104" s="13">
        <f t="shared" si="85"/>
        <v>9</v>
      </c>
      <c r="EV104" s="13" t="str">
        <f t="shared" si="99"/>
        <v>60级守护灵洗练-4</v>
      </c>
      <c r="EW104" s="13">
        <f t="shared" si="100"/>
        <v>23</v>
      </c>
      <c r="EX104" s="13">
        <f t="shared" si="101"/>
        <v>4</v>
      </c>
      <c r="EY104" s="13">
        <f t="shared" si="89"/>
        <v>500</v>
      </c>
      <c r="EZ104" s="13" t="str">
        <f t="shared" si="102"/>
        <v>AtkRate</v>
      </c>
      <c r="FA104" s="13">
        <f t="shared" si="91"/>
        <v>1.4E-2</v>
      </c>
      <c r="FB104" s="13">
        <f t="shared" si="103"/>
        <v>0.04</v>
      </c>
    </row>
    <row r="105" spans="71:158" ht="16.5" x14ac:dyDescent="0.2">
      <c r="BS105" s="16"/>
      <c r="BT105" s="16"/>
      <c r="BU105" s="16"/>
      <c r="BV105" s="16"/>
      <c r="BW105" s="16"/>
      <c r="BX105" s="16"/>
      <c r="BY105" s="16"/>
      <c r="BZ105" s="16"/>
      <c r="CM105" s="13">
        <v>101</v>
      </c>
      <c r="CN105" s="14">
        <f t="shared" si="58"/>
        <v>13</v>
      </c>
      <c r="CO105" s="14">
        <f t="shared" si="59"/>
        <v>1</v>
      </c>
      <c r="CP105" s="14">
        <f t="shared" si="60"/>
        <v>5</v>
      </c>
      <c r="CQ105" s="14">
        <f t="shared" si="51"/>
        <v>2</v>
      </c>
      <c r="CR105" s="14">
        <f t="shared" si="52"/>
        <v>2022015</v>
      </c>
      <c r="CS105" s="13" t="str">
        <f t="shared" si="53"/>
        <v>60级寄灵人蓝色-鞋子</v>
      </c>
      <c r="CT105" s="14">
        <f t="shared" si="54"/>
        <v>1</v>
      </c>
      <c r="CU105" s="14">
        <f t="shared" si="55"/>
        <v>2</v>
      </c>
      <c r="CV105" s="14">
        <f t="shared" si="61"/>
        <v>60</v>
      </c>
      <c r="CW105" s="14">
        <f t="shared" si="62"/>
        <v>60</v>
      </c>
      <c r="CX105" s="14">
        <f t="shared" si="63"/>
        <v>5</v>
      </c>
      <c r="CY105" s="14" t="str">
        <f t="shared" si="64"/>
        <v/>
      </c>
      <c r="CZ105" s="14">
        <f t="shared" si="65"/>
        <v>8</v>
      </c>
      <c r="DA105" s="14">
        <f t="shared" si="66"/>
        <v>0</v>
      </c>
      <c r="DB105" s="14">
        <f t="shared" si="67"/>
        <v>0</v>
      </c>
      <c r="DC105" s="14">
        <f t="shared" si="68"/>
        <v>146</v>
      </c>
      <c r="DD105" s="14">
        <f t="shared" si="69"/>
        <v>0</v>
      </c>
      <c r="DE105" s="14">
        <f t="shared" si="70"/>
        <v>0</v>
      </c>
      <c r="DF105" s="14">
        <f t="shared" si="71"/>
        <v>8.1</v>
      </c>
      <c r="DG105" s="14">
        <f t="shared" si="72"/>
        <v>6</v>
      </c>
      <c r="DH105" s="14">
        <f t="shared" si="73"/>
        <v>0</v>
      </c>
      <c r="DI105" s="14">
        <f t="shared" si="74"/>
        <v>12</v>
      </c>
      <c r="DL105" s="14">
        <f t="shared" si="56"/>
        <v>3</v>
      </c>
      <c r="DM105" s="14">
        <f t="shared" si="57"/>
        <v>0</v>
      </c>
      <c r="DN105" s="14" t="str">
        <f t="shared" si="75"/>
        <v>HPExt</v>
      </c>
      <c r="DO105" s="14">
        <f t="shared" si="76"/>
        <v>146</v>
      </c>
      <c r="DP105" s="14">
        <f t="shared" si="77"/>
        <v>8.1</v>
      </c>
      <c r="DQ105" s="14" t="str">
        <f t="shared" si="78"/>
        <v/>
      </c>
      <c r="DR105" s="14" t="str">
        <f t="shared" si="79"/>
        <v/>
      </c>
      <c r="DS105" s="14" t="str">
        <f t="shared" si="80"/>
        <v/>
      </c>
      <c r="DT105" s="14">
        <f t="shared" si="81"/>
        <v>6</v>
      </c>
      <c r="DU105" s="14">
        <f t="shared" si="82"/>
        <v>0</v>
      </c>
      <c r="DV105" s="14">
        <f t="shared" si="83"/>
        <v>12</v>
      </c>
      <c r="DW105" s="29" t="s">
        <v>758</v>
      </c>
      <c r="DX105" s="14">
        <f t="shared" si="84"/>
        <v>30</v>
      </c>
      <c r="ET105" s="13">
        <v>101</v>
      </c>
      <c r="EU105" s="13">
        <f t="shared" si="85"/>
        <v>9</v>
      </c>
      <c r="EV105" s="13" t="str">
        <f t="shared" si="99"/>
        <v>60级守护灵洗练-5</v>
      </c>
      <c r="EW105" s="13">
        <f t="shared" si="100"/>
        <v>23</v>
      </c>
      <c r="EX105" s="13">
        <f t="shared" si="101"/>
        <v>5</v>
      </c>
      <c r="EY105" s="13">
        <f t="shared" si="89"/>
        <v>400</v>
      </c>
      <c r="EZ105" s="13" t="str">
        <f t="shared" si="102"/>
        <v>DefRate</v>
      </c>
      <c r="FA105" s="13">
        <f t="shared" si="91"/>
        <v>1.4E-2</v>
      </c>
      <c r="FB105" s="13">
        <f t="shared" si="103"/>
        <v>0.04</v>
      </c>
    </row>
    <row r="106" spans="71:158" ht="16.5" x14ac:dyDescent="0.2">
      <c r="BS106" s="16"/>
      <c r="BT106" s="16"/>
      <c r="BU106" s="16"/>
      <c r="BV106" s="16"/>
      <c r="BW106" s="16"/>
      <c r="BX106" s="16"/>
      <c r="BY106" s="16"/>
      <c r="BZ106" s="16"/>
      <c r="CM106" s="13">
        <v>102</v>
      </c>
      <c r="CN106" s="14">
        <f t="shared" si="58"/>
        <v>13</v>
      </c>
      <c r="CO106" s="14">
        <f t="shared" si="59"/>
        <v>1</v>
      </c>
      <c r="CP106" s="14">
        <f t="shared" si="60"/>
        <v>6</v>
      </c>
      <c r="CQ106" s="14">
        <f t="shared" si="51"/>
        <v>2</v>
      </c>
      <c r="CR106" s="14">
        <f t="shared" si="52"/>
        <v>2022016</v>
      </c>
      <c r="CS106" s="13" t="str">
        <f t="shared" si="53"/>
        <v>60级寄灵人蓝色-护手</v>
      </c>
      <c r="CT106" s="14">
        <f t="shared" si="54"/>
        <v>1</v>
      </c>
      <c r="CU106" s="14">
        <f t="shared" si="55"/>
        <v>2</v>
      </c>
      <c r="CV106" s="14">
        <f t="shared" si="61"/>
        <v>60</v>
      </c>
      <c r="CW106" s="14">
        <f t="shared" si="62"/>
        <v>60</v>
      </c>
      <c r="CX106" s="14">
        <f t="shared" si="63"/>
        <v>6</v>
      </c>
      <c r="CY106" s="14" t="str">
        <f t="shared" si="64"/>
        <v/>
      </c>
      <c r="CZ106" s="14">
        <f t="shared" si="65"/>
        <v>8</v>
      </c>
      <c r="DA106" s="14">
        <f t="shared" si="66"/>
        <v>0</v>
      </c>
      <c r="DB106" s="14">
        <f t="shared" si="67"/>
        <v>0</v>
      </c>
      <c r="DC106" s="14">
        <f t="shared" si="68"/>
        <v>146</v>
      </c>
      <c r="DD106" s="14">
        <f t="shared" si="69"/>
        <v>0</v>
      </c>
      <c r="DE106" s="14">
        <f t="shared" si="70"/>
        <v>0</v>
      </c>
      <c r="DF106" s="14">
        <f t="shared" si="71"/>
        <v>8.1</v>
      </c>
      <c r="DG106" s="14">
        <f t="shared" si="72"/>
        <v>6</v>
      </c>
      <c r="DH106" s="14">
        <f t="shared" si="73"/>
        <v>0</v>
      </c>
      <c r="DI106" s="14">
        <f t="shared" si="74"/>
        <v>12</v>
      </c>
      <c r="DL106" s="14">
        <f t="shared" si="56"/>
        <v>3</v>
      </c>
      <c r="DM106" s="14">
        <f t="shared" si="57"/>
        <v>0</v>
      </c>
      <c r="DN106" s="14" t="str">
        <f t="shared" si="75"/>
        <v>HPExt</v>
      </c>
      <c r="DO106" s="14">
        <f t="shared" si="76"/>
        <v>146</v>
      </c>
      <c r="DP106" s="14">
        <f t="shared" si="77"/>
        <v>8.1</v>
      </c>
      <c r="DQ106" s="14" t="str">
        <f t="shared" si="78"/>
        <v/>
      </c>
      <c r="DR106" s="14" t="str">
        <f t="shared" si="79"/>
        <v/>
      </c>
      <c r="DS106" s="14" t="str">
        <f t="shared" si="80"/>
        <v/>
      </c>
      <c r="DT106" s="14">
        <f t="shared" si="81"/>
        <v>6</v>
      </c>
      <c r="DU106" s="14">
        <f t="shared" si="82"/>
        <v>0</v>
      </c>
      <c r="DV106" s="14">
        <f t="shared" si="83"/>
        <v>12</v>
      </c>
      <c r="DW106" s="29" t="s">
        <v>758</v>
      </c>
      <c r="DX106" s="14">
        <f t="shared" si="84"/>
        <v>30</v>
      </c>
      <c r="ET106" s="13">
        <v>102</v>
      </c>
      <c r="EU106" s="13">
        <f t="shared" si="85"/>
        <v>9</v>
      </c>
      <c r="EV106" s="13" t="str">
        <f t="shared" si="99"/>
        <v>60级守护灵洗练-6</v>
      </c>
      <c r="EW106" s="13">
        <f t="shared" si="100"/>
        <v>23</v>
      </c>
      <c r="EX106" s="13">
        <f t="shared" si="101"/>
        <v>6</v>
      </c>
      <c r="EY106" s="13">
        <f t="shared" si="89"/>
        <v>500</v>
      </c>
      <c r="EZ106" s="13" t="str">
        <f t="shared" si="102"/>
        <v>HPRate</v>
      </c>
      <c r="FA106" s="13">
        <f t="shared" si="91"/>
        <v>1.4E-2</v>
      </c>
      <c r="FB106" s="13">
        <f t="shared" si="103"/>
        <v>0.04</v>
      </c>
    </row>
    <row r="107" spans="71:158" ht="16.5" x14ac:dyDescent="0.2">
      <c r="BS107" s="16"/>
      <c r="BT107" s="16"/>
      <c r="BU107" s="16"/>
      <c r="BV107" s="16"/>
      <c r="BW107" s="16"/>
      <c r="BX107" s="16"/>
      <c r="BY107" s="16"/>
      <c r="BZ107" s="16"/>
      <c r="CM107" s="13">
        <v>103</v>
      </c>
      <c r="CN107" s="14">
        <f t="shared" si="58"/>
        <v>13</v>
      </c>
      <c r="CO107" s="14">
        <f t="shared" si="59"/>
        <v>1</v>
      </c>
      <c r="CP107" s="14">
        <f t="shared" si="60"/>
        <v>7</v>
      </c>
      <c r="CQ107" s="14">
        <f t="shared" si="51"/>
        <v>2</v>
      </c>
      <c r="CR107" s="14">
        <f t="shared" si="52"/>
        <v>2022017</v>
      </c>
      <c r="CS107" s="13" t="str">
        <f t="shared" si="53"/>
        <v>60级寄灵人蓝色-项链</v>
      </c>
      <c r="CT107" s="14">
        <f t="shared" si="54"/>
        <v>1</v>
      </c>
      <c r="CU107" s="14">
        <f t="shared" si="55"/>
        <v>2</v>
      </c>
      <c r="CV107" s="14">
        <f t="shared" si="61"/>
        <v>60</v>
      </c>
      <c r="CW107" s="14">
        <f t="shared" si="62"/>
        <v>60</v>
      </c>
      <c r="CX107" s="14">
        <f t="shared" si="63"/>
        <v>7</v>
      </c>
      <c r="CY107" s="14" t="str">
        <f t="shared" si="64"/>
        <v/>
      </c>
      <c r="CZ107" s="14">
        <f t="shared" si="65"/>
        <v>20</v>
      </c>
      <c r="DA107" s="14">
        <f t="shared" si="66"/>
        <v>33</v>
      </c>
      <c r="DB107" s="14">
        <f t="shared" si="67"/>
        <v>21</v>
      </c>
      <c r="DC107" s="14">
        <f t="shared" si="68"/>
        <v>0</v>
      </c>
      <c r="DD107" s="14">
        <f t="shared" si="69"/>
        <v>1.8</v>
      </c>
      <c r="DE107" s="14">
        <f t="shared" si="70"/>
        <v>1.1299999999999999</v>
      </c>
      <c r="DF107" s="14">
        <f t="shared" si="71"/>
        <v>0</v>
      </c>
      <c r="DG107" s="14">
        <f t="shared" si="72"/>
        <v>6</v>
      </c>
      <c r="DH107" s="14">
        <f t="shared" si="73"/>
        <v>0</v>
      </c>
      <c r="DI107" s="14">
        <f t="shared" si="74"/>
        <v>12</v>
      </c>
      <c r="DL107" s="14">
        <f t="shared" si="56"/>
        <v>1</v>
      </c>
      <c r="DM107" s="14">
        <f t="shared" si="57"/>
        <v>2</v>
      </c>
      <c r="DN107" s="14" t="str">
        <f t="shared" si="75"/>
        <v>AtkExt</v>
      </c>
      <c r="DO107" s="14">
        <f t="shared" si="76"/>
        <v>33</v>
      </c>
      <c r="DP107" s="14">
        <f t="shared" si="77"/>
        <v>1.8</v>
      </c>
      <c r="DQ107" s="14" t="str">
        <f t="shared" si="78"/>
        <v>DefExt</v>
      </c>
      <c r="DR107" s="14">
        <f t="shared" si="79"/>
        <v>21</v>
      </c>
      <c r="DS107" s="14">
        <f t="shared" si="80"/>
        <v>1.1299999999999999</v>
      </c>
      <c r="DT107" s="14">
        <f t="shared" si="81"/>
        <v>6</v>
      </c>
      <c r="DU107" s="14">
        <f t="shared" si="82"/>
        <v>0</v>
      </c>
      <c r="DV107" s="14">
        <f t="shared" si="83"/>
        <v>12</v>
      </c>
      <c r="DW107" s="29" t="s">
        <v>758</v>
      </c>
      <c r="DX107" s="14">
        <f t="shared" si="84"/>
        <v>30</v>
      </c>
      <c r="ET107" s="13">
        <v>103</v>
      </c>
      <c r="EU107" s="13">
        <f t="shared" si="85"/>
        <v>9</v>
      </c>
      <c r="EV107" s="13" t="str">
        <f t="shared" si="99"/>
        <v>60级守护灵洗练-7</v>
      </c>
      <c r="EW107" s="13">
        <f t="shared" si="100"/>
        <v>23</v>
      </c>
      <c r="EX107" s="13">
        <f t="shared" si="101"/>
        <v>7</v>
      </c>
      <c r="EY107" s="13">
        <f t="shared" si="89"/>
        <v>500</v>
      </c>
      <c r="EZ107" s="13" t="str">
        <f t="shared" si="102"/>
        <v>Crit</v>
      </c>
      <c r="FA107" s="13">
        <f t="shared" si="91"/>
        <v>1.0999999999999999E-2</v>
      </c>
      <c r="FB107" s="13">
        <f t="shared" si="103"/>
        <v>0.03</v>
      </c>
    </row>
    <row r="108" spans="71:158" ht="16.5" x14ac:dyDescent="0.2">
      <c r="BS108" s="16"/>
      <c r="BT108" s="16"/>
      <c r="BU108" s="16"/>
      <c r="BV108" s="16"/>
      <c r="BW108" s="16"/>
      <c r="BX108" s="16"/>
      <c r="BY108" s="16"/>
      <c r="BZ108" s="16"/>
      <c r="CM108" s="13">
        <v>104</v>
      </c>
      <c r="CN108" s="14">
        <f t="shared" si="58"/>
        <v>13</v>
      </c>
      <c r="CO108" s="14">
        <f t="shared" si="59"/>
        <v>1</v>
      </c>
      <c r="CP108" s="14">
        <f t="shared" si="60"/>
        <v>8</v>
      </c>
      <c r="CQ108" s="14">
        <f t="shared" si="51"/>
        <v>2</v>
      </c>
      <c r="CR108" s="14">
        <f t="shared" si="52"/>
        <v>2022018</v>
      </c>
      <c r="CS108" s="13" t="str">
        <f t="shared" si="53"/>
        <v>60级寄灵人蓝色-戒指</v>
      </c>
      <c r="CT108" s="14">
        <f t="shared" si="54"/>
        <v>1</v>
      </c>
      <c r="CU108" s="14">
        <f t="shared" si="55"/>
        <v>2</v>
      </c>
      <c r="CV108" s="14">
        <f t="shared" si="61"/>
        <v>60</v>
      </c>
      <c r="CW108" s="14">
        <f t="shared" si="62"/>
        <v>60</v>
      </c>
      <c r="CX108" s="14">
        <f t="shared" si="63"/>
        <v>8</v>
      </c>
      <c r="CY108" s="14" t="str">
        <f t="shared" si="64"/>
        <v/>
      </c>
      <c r="CZ108" s="14">
        <f t="shared" si="65"/>
        <v>15</v>
      </c>
      <c r="DA108" s="14">
        <f t="shared" si="66"/>
        <v>33</v>
      </c>
      <c r="DB108" s="14">
        <f t="shared" si="67"/>
        <v>0</v>
      </c>
      <c r="DC108" s="14">
        <f t="shared" si="68"/>
        <v>122</v>
      </c>
      <c r="DD108" s="14">
        <f t="shared" si="69"/>
        <v>1.8</v>
      </c>
      <c r="DE108" s="14">
        <f t="shared" si="70"/>
        <v>0</v>
      </c>
      <c r="DF108" s="14">
        <f t="shared" si="71"/>
        <v>6.75</v>
      </c>
      <c r="DG108" s="14">
        <f t="shared" si="72"/>
        <v>6</v>
      </c>
      <c r="DH108" s="14">
        <f t="shared" si="73"/>
        <v>0</v>
      </c>
      <c r="DI108" s="14">
        <f t="shared" si="74"/>
        <v>12</v>
      </c>
      <c r="DL108" s="14">
        <f t="shared" si="56"/>
        <v>1</v>
      </c>
      <c r="DM108" s="14">
        <f t="shared" si="57"/>
        <v>3</v>
      </c>
      <c r="DN108" s="14" t="str">
        <f t="shared" si="75"/>
        <v>AtkExt</v>
      </c>
      <c r="DO108" s="14">
        <f t="shared" si="76"/>
        <v>33</v>
      </c>
      <c r="DP108" s="14">
        <f t="shared" si="77"/>
        <v>1.8</v>
      </c>
      <c r="DQ108" s="14" t="str">
        <f t="shared" si="78"/>
        <v>HPExt</v>
      </c>
      <c r="DR108" s="14">
        <f t="shared" si="79"/>
        <v>122</v>
      </c>
      <c r="DS108" s="14">
        <f t="shared" si="80"/>
        <v>6.75</v>
      </c>
      <c r="DT108" s="14">
        <f t="shared" si="81"/>
        <v>6</v>
      </c>
      <c r="DU108" s="14">
        <f t="shared" si="82"/>
        <v>0</v>
      </c>
      <c r="DV108" s="14">
        <f t="shared" si="83"/>
        <v>12</v>
      </c>
      <c r="DW108" s="29" t="s">
        <v>758</v>
      </c>
      <c r="DX108" s="14">
        <f t="shared" si="84"/>
        <v>30</v>
      </c>
      <c r="ET108" s="13">
        <v>104</v>
      </c>
      <c r="EU108" s="13">
        <f t="shared" si="85"/>
        <v>9</v>
      </c>
      <c r="EV108" s="13" t="str">
        <f t="shared" si="99"/>
        <v>60级守护灵洗练-8</v>
      </c>
      <c r="EW108" s="13">
        <f t="shared" si="100"/>
        <v>23</v>
      </c>
      <c r="EX108" s="13">
        <f t="shared" si="101"/>
        <v>8</v>
      </c>
      <c r="EY108" s="13">
        <f t="shared" si="89"/>
        <v>500</v>
      </c>
      <c r="EZ108" s="13" t="str">
        <f t="shared" si="102"/>
        <v>CritRate</v>
      </c>
      <c r="FA108" s="13">
        <f t="shared" si="91"/>
        <v>2.8000000000000001E-2</v>
      </c>
      <c r="FB108" s="13">
        <f t="shared" si="103"/>
        <v>0.08</v>
      </c>
    </row>
    <row r="109" spans="71:158" ht="16.5" x14ac:dyDescent="0.2">
      <c r="BS109" s="16"/>
      <c r="BT109" s="16"/>
      <c r="BU109" s="16"/>
      <c r="BV109" s="16"/>
      <c r="BW109" s="16"/>
      <c r="BX109" s="16"/>
      <c r="BY109" s="16"/>
      <c r="BZ109" s="16"/>
      <c r="CM109" s="13">
        <v>105</v>
      </c>
      <c r="CN109" s="14">
        <f t="shared" si="58"/>
        <v>14</v>
      </c>
      <c r="CO109" s="14">
        <f t="shared" si="59"/>
        <v>2</v>
      </c>
      <c r="CP109" s="14">
        <f t="shared" si="60"/>
        <v>1</v>
      </c>
      <c r="CQ109" s="14">
        <f t="shared" si="51"/>
        <v>2</v>
      </c>
      <c r="CR109" s="14">
        <f t="shared" si="52"/>
        <v>2022021</v>
      </c>
      <c r="CS109" s="13" t="str">
        <f t="shared" si="53"/>
        <v>60级守护灵蓝色-武器</v>
      </c>
      <c r="CT109" s="14">
        <f t="shared" si="54"/>
        <v>2</v>
      </c>
      <c r="CU109" s="14">
        <f t="shared" si="55"/>
        <v>2</v>
      </c>
      <c r="CV109" s="14">
        <f t="shared" si="61"/>
        <v>60</v>
      </c>
      <c r="CW109" s="14">
        <f t="shared" si="62"/>
        <v>60</v>
      </c>
      <c r="CX109" s="14">
        <f t="shared" si="63"/>
        <v>1</v>
      </c>
      <c r="CY109" s="14" t="str">
        <f t="shared" si="64"/>
        <v/>
      </c>
      <c r="CZ109" s="14">
        <f t="shared" si="65"/>
        <v>27</v>
      </c>
      <c r="DA109" s="14">
        <f t="shared" si="66"/>
        <v>90</v>
      </c>
      <c r="DB109" s="14">
        <f t="shared" si="67"/>
        <v>0</v>
      </c>
      <c r="DC109" s="14">
        <f t="shared" si="68"/>
        <v>0</v>
      </c>
      <c r="DD109" s="14">
        <f t="shared" si="69"/>
        <v>5.4</v>
      </c>
      <c r="DE109" s="14">
        <f t="shared" si="70"/>
        <v>0</v>
      </c>
      <c r="DF109" s="14">
        <f t="shared" si="71"/>
        <v>0</v>
      </c>
      <c r="DG109" s="14">
        <f t="shared" si="72"/>
        <v>6</v>
      </c>
      <c r="DH109" s="14">
        <f t="shared" si="73"/>
        <v>0</v>
      </c>
      <c r="DI109" s="14">
        <f t="shared" si="74"/>
        <v>22</v>
      </c>
      <c r="DL109" s="14">
        <f t="shared" si="56"/>
        <v>1</v>
      </c>
      <c r="DM109" s="14">
        <f t="shared" si="57"/>
        <v>0</v>
      </c>
      <c r="DN109" s="14" t="str">
        <f t="shared" si="75"/>
        <v>AtkExt</v>
      </c>
      <c r="DO109" s="14">
        <f t="shared" si="76"/>
        <v>90</v>
      </c>
      <c r="DP109" s="14">
        <f t="shared" si="77"/>
        <v>5.4</v>
      </c>
      <c r="DQ109" s="14" t="str">
        <f t="shared" si="78"/>
        <v/>
      </c>
      <c r="DR109" s="14" t="str">
        <f t="shared" si="79"/>
        <v/>
      </c>
      <c r="DS109" s="14" t="str">
        <f t="shared" si="80"/>
        <v/>
      </c>
      <c r="DT109" s="14">
        <f t="shared" si="81"/>
        <v>6</v>
      </c>
      <c r="DU109" s="14">
        <f t="shared" si="82"/>
        <v>0</v>
      </c>
      <c r="DV109" s="14">
        <f t="shared" si="83"/>
        <v>22</v>
      </c>
      <c r="DW109" s="29" t="s">
        <v>758</v>
      </c>
      <c r="DX109" s="14">
        <f t="shared" si="84"/>
        <v>30</v>
      </c>
      <c r="ET109" s="13">
        <v>105</v>
      </c>
      <c r="EU109" s="13">
        <f t="shared" si="85"/>
        <v>9</v>
      </c>
      <c r="EV109" s="13" t="str">
        <f t="shared" si="99"/>
        <v>60级守护灵洗练-9</v>
      </c>
      <c r="EW109" s="13">
        <f t="shared" si="100"/>
        <v>23</v>
      </c>
      <c r="EX109" s="13">
        <f t="shared" si="101"/>
        <v>9</v>
      </c>
      <c r="EY109" s="13">
        <f t="shared" si="89"/>
        <v>500</v>
      </c>
      <c r="EZ109" s="13" t="str">
        <f t="shared" si="102"/>
        <v>DefIgnor</v>
      </c>
      <c r="FA109" s="13">
        <f t="shared" si="91"/>
        <v>1.0999999999999999E-2</v>
      </c>
      <c r="FB109" s="13">
        <f t="shared" si="103"/>
        <v>0.03</v>
      </c>
    </row>
    <row r="110" spans="71:158" ht="16.5" x14ac:dyDescent="0.2">
      <c r="BS110" s="16"/>
      <c r="BT110" s="16"/>
      <c r="BU110" s="16"/>
      <c r="BV110" s="16"/>
      <c r="BW110" s="16"/>
      <c r="BX110" s="16"/>
      <c r="BY110" s="16"/>
      <c r="BZ110" s="16"/>
      <c r="CM110" s="13">
        <v>106</v>
      </c>
      <c r="CN110" s="14">
        <f t="shared" si="58"/>
        <v>14</v>
      </c>
      <c r="CO110" s="14">
        <f t="shared" si="59"/>
        <v>2</v>
      </c>
      <c r="CP110" s="14">
        <f t="shared" si="60"/>
        <v>2</v>
      </c>
      <c r="CQ110" s="14">
        <f t="shared" si="51"/>
        <v>2</v>
      </c>
      <c r="CR110" s="14">
        <f t="shared" si="52"/>
        <v>2022022</v>
      </c>
      <c r="CS110" s="13" t="str">
        <f t="shared" si="53"/>
        <v>60级守护灵蓝色-头盔</v>
      </c>
      <c r="CT110" s="14">
        <f t="shared" si="54"/>
        <v>2</v>
      </c>
      <c r="CU110" s="14">
        <f t="shared" si="55"/>
        <v>2</v>
      </c>
      <c r="CV110" s="14">
        <f t="shared" si="61"/>
        <v>60</v>
      </c>
      <c r="CW110" s="14">
        <f t="shared" si="62"/>
        <v>60</v>
      </c>
      <c r="CX110" s="14">
        <f t="shared" si="63"/>
        <v>2</v>
      </c>
      <c r="CY110" s="14" t="str">
        <f t="shared" si="64"/>
        <v/>
      </c>
      <c r="CZ110" s="14">
        <f t="shared" si="65"/>
        <v>13</v>
      </c>
      <c r="DA110" s="14">
        <f t="shared" si="66"/>
        <v>0</v>
      </c>
      <c r="DB110" s="14">
        <f t="shared" si="67"/>
        <v>23</v>
      </c>
      <c r="DC110" s="14">
        <f t="shared" si="68"/>
        <v>0</v>
      </c>
      <c r="DD110" s="14">
        <f t="shared" si="69"/>
        <v>0</v>
      </c>
      <c r="DE110" s="14">
        <f t="shared" si="70"/>
        <v>1.35</v>
      </c>
      <c r="DF110" s="14">
        <f t="shared" si="71"/>
        <v>0</v>
      </c>
      <c r="DG110" s="14">
        <f t="shared" si="72"/>
        <v>6</v>
      </c>
      <c r="DH110" s="14">
        <f t="shared" si="73"/>
        <v>0</v>
      </c>
      <c r="DI110" s="14">
        <f t="shared" si="74"/>
        <v>22</v>
      </c>
      <c r="DL110" s="14">
        <f t="shared" si="56"/>
        <v>2</v>
      </c>
      <c r="DM110" s="14">
        <f t="shared" si="57"/>
        <v>0</v>
      </c>
      <c r="DN110" s="14" t="str">
        <f t="shared" si="75"/>
        <v>DefExt</v>
      </c>
      <c r="DO110" s="14">
        <f t="shared" si="76"/>
        <v>23</v>
      </c>
      <c r="DP110" s="14">
        <f t="shared" si="77"/>
        <v>1.35</v>
      </c>
      <c r="DQ110" s="14" t="str">
        <f t="shared" si="78"/>
        <v/>
      </c>
      <c r="DR110" s="14" t="str">
        <f t="shared" si="79"/>
        <v/>
      </c>
      <c r="DS110" s="14" t="str">
        <f t="shared" si="80"/>
        <v/>
      </c>
      <c r="DT110" s="14">
        <f t="shared" si="81"/>
        <v>6</v>
      </c>
      <c r="DU110" s="14">
        <f t="shared" si="82"/>
        <v>0</v>
      </c>
      <c r="DV110" s="14">
        <f t="shared" si="83"/>
        <v>22</v>
      </c>
      <c r="DW110" s="29" t="s">
        <v>758</v>
      </c>
      <c r="DX110" s="14">
        <f t="shared" si="84"/>
        <v>30</v>
      </c>
      <c r="ET110" s="13">
        <v>106</v>
      </c>
      <c r="EU110" s="13">
        <f t="shared" si="85"/>
        <v>9</v>
      </c>
      <c r="EV110" s="13" t="str">
        <f t="shared" si="99"/>
        <v>60级守护灵洗练-10</v>
      </c>
      <c r="EW110" s="13">
        <f t="shared" si="100"/>
        <v>23</v>
      </c>
      <c r="EX110" s="13">
        <f t="shared" si="101"/>
        <v>10</v>
      </c>
      <c r="EY110" s="13">
        <f t="shared" si="89"/>
        <v>500</v>
      </c>
      <c r="EZ110" s="13" t="str">
        <f t="shared" si="102"/>
        <v>Block</v>
      </c>
      <c r="FA110" s="13">
        <f t="shared" si="91"/>
        <v>1.0999999999999999E-2</v>
      </c>
      <c r="FB110" s="13">
        <f t="shared" si="103"/>
        <v>0.03</v>
      </c>
    </row>
    <row r="111" spans="71:158" ht="16.5" x14ac:dyDescent="0.2">
      <c r="BS111" s="16"/>
      <c r="BT111" s="16"/>
      <c r="BU111" s="16"/>
      <c r="BV111" s="16"/>
      <c r="BW111" s="16"/>
      <c r="BX111" s="16"/>
      <c r="BY111" s="16"/>
      <c r="BZ111" s="16"/>
      <c r="CM111" s="13">
        <v>107</v>
      </c>
      <c r="CN111" s="14">
        <f t="shared" si="58"/>
        <v>14</v>
      </c>
      <c r="CO111" s="14">
        <f t="shared" si="59"/>
        <v>2</v>
      </c>
      <c r="CP111" s="14">
        <f t="shared" si="60"/>
        <v>3</v>
      </c>
      <c r="CQ111" s="14">
        <f t="shared" si="51"/>
        <v>2</v>
      </c>
      <c r="CR111" s="14">
        <f t="shared" si="52"/>
        <v>2022023</v>
      </c>
      <c r="CS111" s="13" t="str">
        <f t="shared" si="53"/>
        <v>60级守护灵蓝色-肩甲</v>
      </c>
      <c r="CT111" s="14">
        <f t="shared" si="54"/>
        <v>2</v>
      </c>
      <c r="CU111" s="14">
        <f t="shared" si="55"/>
        <v>2</v>
      </c>
      <c r="CV111" s="14">
        <f t="shared" si="61"/>
        <v>60</v>
      </c>
      <c r="CW111" s="14">
        <f t="shared" si="62"/>
        <v>60</v>
      </c>
      <c r="CX111" s="14">
        <f t="shared" si="63"/>
        <v>3</v>
      </c>
      <c r="CY111" s="14" t="str">
        <f t="shared" si="64"/>
        <v/>
      </c>
      <c r="CZ111" s="14">
        <f t="shared" si="65"/>
        <v>16</v>
      </c>
      <c r="DA111" s="14">
        <f t="shared" si="66"/>
        <v>0</v>
      </c>
      <c r="DB111" s="14">
        <f t="shared" si="67"/>
        <v>11</v>
      </c>
      <c r="DC111" s="14">
        <f t="shared" si="68"/>
        <v>169</v>
      </c>
      <c r="DD111" s="14">
        <f t="shared" si="69"/>
        <v>0</v>
      </c>
      <c r="DE111" s="14">
        <f t="shared" si="70"/>
        <v>0.68</v>
      </c>
      <c r="DF111" s="14">
        <f t="shared" si="71"/>
        <v>9.56</v>
      </c>
      <c r="DG111" s="14">
        <f t="shared" si="72"/>
        <v>6</v>
      </c>
      <c r="DH111" s="14">
        <f t="shared" si="73"/>
        <v>0</v>
      </c>
      <c r="DI111" s="14">
        <f t="shared" si="74"/>
        <v>22</v>
      </c>
      <c r="DL111" s="14">
        <f t="shared" si="56"/>
        <v>2</v>
      </c>
      <c r="DM111" s="14">
        <f t="shared" si="57"/>
        <v>3</v>
      </c>
      <c r="DN111" s="14" t="str">
        <f t="shared" si="75"/>
        <v>DefExt</v>
      </c>
      <c r="DO111" s="14">
        <f t="shared" si="76"/>
        <v>11</v>
      </c>
      <c r="DP111" s="14">
        <f t="shared" si="77"/>
        <v>0.68</v>
      </c>
      <c r="DQ111" s="14" t="str">
        <f t="shared" si="78"/>
        <v>HPExt</v>
      </c>
      <c r="DR111" s="14">
        <f t="shared" si="79"/>
        <v>169</v>
      </c>
      <c r="DS111" s="14">
        <f t="shared" si="80"/>
        <v>9.56</v>
      </c>
      <c r="DT111" s="14">
        <f t="shared" si="81"/>
        <v>6</v>
      </c>
      <c r="DU111" s="14">
        <f t="shared" si="82"/>
        <v>0</v>
      </c>
      <c r="DV111" s="14">
        <f t="shared" si="83"/>
        <v>22</v>
      </c>
      <c r="DW111" s="29" t="s">
        <v>758</v>
      </c>
      <c r="DX111" s="14">
        <f t="shared" si="84"/>
        <v>30</v>
      </c>
      <c r="ET111" s="13">
        <v>107</v>
      </c>
      <c r="EU111" s="13">
        <f t="shared" si="85"/>
        <v>9</v>
      </c>
      <c r="EV111" s="13" t="str">
        <f t="shared" si="99"/>
        <v>60级守护灵洗练-11</v>
      </c>
      <c r="EW111" s="13">
        <f t="shared" si="100"/>
        <v>23</v>
      </c>
      <c r="EX111" s="13">
        <f t="shared" si="101"/>
        <v>11</v>
      </c>
      <c r="EY111" s="13">
        <f t="shared" si="89"/>
        <v>500</v>
      </c>
      <c r="EZ111" s="13" t="str">
        <f t="shared" si="102"/>
        <v>EffectHit</v>
      </c>
      <c r="FA111" s="13">
        <f t="shared" si="91"/>
        <v>1.7999999999999999E-2</v>
      </c>
      <c r="FB111" s="13">
        <f t="shared" si="103"/>
        <v>0.05</v>
      </c>
    </row>
    <row r="112" spans="71:158" ht="16.5" x14ac:dyDescent="0.2">
      <c r="BS112" s="16"/>
      <c r="BT112" s="16"/>
      <c r="BU112" s="16"/>
      <c r="BV112" s="16"/>
      <c r="BW112" s="16"/>
      <c r="BX112" s="16"/>
      <c r="BY112" s="16"/>
      <c r="BZ112" s="16"/>
      <c r="CM112" s="13">
        <v>108</v>
      </c>
      <c r="CN112" s="14">
        <f t="shared" si="58"/>
        <v>14</v>
      </c>
      <c r="CO112" s="14">
        <f t="shared" si="59"/>
        <v>2</v>
      </c>
      <c r="CP112" s="14">
        <f t="shared" si="60"/>
        <v>4</v>
      </c>
      <c r="CQ112" s="14">
        <f t="shared" si="51"/>
        <v>2</v>
      </c>
      <c r="CR112" s="14">
        <f t="shared" si="52"/>
        <v>2022024</v>
      </c>
      <c r="CS112" s="13" t="str">
        <f t="shared" si="53"/>
        <v>60级守护灵蓝色-衣服</v>
      </c>
      <c r="CT112" s="14">
        <f t="shared" si="54"/>
        <v>2</v>
      </c>
      <c r="CU112" s="14">
        <f t="shared" si="55"/>
        <v>2</v>
      </c>
      <c r="CV112" s="14">
        <f t="shared" si="61"/>
        <v>60</v>
      </c>
      <c r="CW112" s="14">
        <f t="shared" si="62"/>
        <v>60</v>
      </c>
      <c r="CX112" s="14">
        <f t="shared" si="63"/>
        <v>4</v>
      </c>
      <c r="CY112" s="14" t="str">
        <f t="shared" si="64"/>
        <v/>
      </c>
      <c r="CZ112" s="14">
        <f t="shared" si="65"/>
        <v>13</v>
      </c>
      <c r="DA112" s="14">
        <f t="shared" si="66"/>
        <v>0</v>
      </c>
      <c r="DB112" s="14">
        <f t="shared" si="67"/>
        <v>23</v>
      </c>
      <c r="DC112" s="14">
        <f t="shared" si="68"/>
        <v>0</v>
      </c>
      <c r="DD112" s="14">
        <f t="shared" si="69"/>
        <v>0</v>
      </c>
      <c r="DE112" s="14">
        <f t="shared" si="70"/>
        <v>1.35</v>
      </c>
      <c r="DF112" s="14">
        <f t="shared" si="71"/>
        <v>0</v>
      </c>
      <c r="DG112" s="14">
        <f t="shared" si="72"/>
        <v>6</v>
      </c>
      <c r="DH112" s="14">
        <f t="shared" si="73"/>
        <v>0</v>
      </c>
      <c r="DI112" s="14">
        <f t="shared" si="74"/>
        <v>22</v>
      </c>
      <c r="DL112" s="14">
        <f t="shared" si="56"/>
        <v>2</v>
      </c>
      <c r="DM112" s="14">
        <f t="shared" si="57"/>
        <v>0</v>
      </c>
      <c r="DN112" s="14" t="str">
        <f t="shared" si="75"/>
        <v>DefExt</v>
      </c>
      <c r="DO112" s="14">
        <f t="shared" si="76"/>
        <v>23</v>
      </c>
      <c r="DP112" s="14">
        <f t="shared" si="77"/>
        <v>1.35</v>
      </c>
      <c r="DQ112" s="14" t="str">
        <f t="shared" si="78"/>
        <v/>
      </c>
      <c r="DR112" s="14" t="str">
        <f t="shared" si="79"/>
        <v/>
      </c>
      <c r="DS112" s="14" t="str">
        <f t="shared" si="80"/>
        <v/>
      </c>
      <c r="DT112" s="14">
        <f t="shared" si="81"/>
        <v>6</v>
      </c>
      <c r="DU112" s="14">
        <f t="shared" si="82"/>
        <v>0</v>
      </c>
      <c r="DV112" s="14">
        <f t="shared" si="83"/>
        <v>22</v>
      </c>
      <c r="DW112" s="29" t="s">
        <v>758</v>
      </c>
      <c r="DX112" s="14">
        <f t="shared" si="84"/>
        <v>30</v>
      </c>
      <c r="ET112" s="13">
        <v>108</v>
      </c>
      <c r="EU112" s="13">
        <f t="shared" si="85"/>
        <v>9</v>
      </c>
      <c r="EV112" s="13" t="str">
        <f t="shared" si="99"/>
        <v>60级守护灵洗练-12</v>
      </c>
      <c r="EW112" s="13">
        <f t="shared" si="100"/>
        <v>23</v>
      </c>
      <c r="EX112" s="13">
        <f t="shared" si="101"/>
        <v>12</v>
      </c>
      <c r="EY112" s="13">
        <f t="shared" si="89"/>
        <v>500</v>
      </c>
      <c r="EZ112" s="13" t="str">
        <f t="shared" si="102"/>
        <v>EffectResist</v>
      </c>
      <c r="FA112" s="13">
        <f t="shared" si="91"/>
        <v>1.7999999999999999E-2</v>
      </c>
      <c r="FB112" s="13">
        <f t="shared" si="103"/>
        <v>0.05</v>
      </c>
    </row>
    <row r="113" spans="71:158" ht="16.5" x14ac:dyDescent="0.2">
      <c r="BS113" s="16"/>
      <c r="BT113" s="16"/>
      <c r="BU113" s="16"/>
      <c r="BV113" s="16"/>
      <c r="BW113" s="16"/>
      <c r="BX113" s="16"/>
      <c r="BY113" s="16"/>
      <c r="BZ113" s="16"/>
      <c r="CM113" s="13">
        <v>109</v>
      </c>
      <c r="CN113" s="14">
        <f t="shared" si="58"/>
        <v>14</v>
      </c>
      <c r="CO113" s="14">
        <f t="shared" si="59"/>
        <v>2</v>
      </c>
      <c r="CP113" s="14">
        <f t="shared" si="60"/>
        <v>5</v>
      </c>
      <c r="CQ113" s="14">
        <f t="shared" si="51"/>
        <v>2</v>
      </c>
      <c r="CR113" s="14">
        <f t="shared" si="52"/>
        <v>2022025</v>
      </c>
      <c r="CS113" s="13" t="str">
        <f t="shared" si="53"/>
        <v>60级守护灵蓝色-鞋子</v>
      </c>
      <c r="CT113" s="14">
        <f t="shared" si="54"/>
        <v>2</v>
      </c>
      <c r="CU113" s="14">
        <f t="shared" si="55"/>
        <v>2</v>
      </c>
      <c r="CV113" s="14">
        <f t="shared" si="61"/>
        <v>60</v>
      </c>
      <c r="CW113" s="14">
        <f t="shared" si="62"/>
        <v>60</v>
      </c>
      <c r="CX113" s="14">
        <f t="shared" si="63"/>
        <v>5</v>
      </c>
      <c r="CY113" s="14" t="str">
        <f t="shared" si="64"/>
        <v/>
      </c>
      <c r="CZ113" s="14">
        <f t="shared" si="65"/>
        <v>19</v>
      </c>
      <c r="DA113" s="14">
        <f t="shared" si="66"/>
        <v>0</v>
      </c>
      <c r="DB113" s="14">
        <f t="shared" si="67"/>
        <v>0</v>
      </c>
      <c r="DC113" s="14">
        <f t="shared" si="68"/>
        <v>338</v>
      </c>
      <c r="DD113" s="14">
        <f t="shared" si="69"/>
        <v>0</v>
      </c>
      <c r="DE113" s="14">
        <f t="shared" si="70"/>
        <v>0</v>
      </c>
      <c r="DF113" s="14">
        <f t="shared" si="71"/>
        <v>19.13</v>
      </c>
      <c r="DG113" s="14">
        <f t="shared" si="72"/>
        <v>6</v>
      </c>
      <c r="DH113" s="14">
        <f t="shared" si="73"/>
        <v>0</v>
      </c>
      <c r="DI113" s="14">
        <f t="shared" si="74"/>
        <v>22</v>
      </c>
      <c r="DL113" s="14">
        <f t="shared" si="56"/>
        <v>3</v>
      </c>
      <c r="DM113" s="14">
        <f t="shared" si="57"/>
        <v>0</v>
      </c>
      <c r="DN113" s="14" t="str">
        <f t="shared" si="75"/>
        <v>HPExt</v>
      </c>
      <c r="DO113" s="14">
        <f t="shared" si="76"/>
        <v>338</v>
      </c>
      <c r="DP113" s="14">
        <f t="shared" si="77"/>
        <v>19.13</v>
      </c>
      <c r="DQ113" s="14" t="str">
        <f t="shared" si="78"/>
        <v/>
      </c>
      <c r="DR113" s="14" t="str">
        <f t="shared" si="79"/>
        <v/>
      </c>
      <c r="DS113" s="14" t="str">
        <f t="shared" si="80"/>
        <v/>
      </c>
      <c r="DT113" s="14">
        <f t="shared" si="81"/>
        <v>6</v>
      </c>
      <c r="DU113" s="14">
        <f t="shared" si="82"/>
        <v>0</v>
      </c>
      <c r="DV113" s="14">
        <f t="shared" si="83"/>
        <v>22</v>
      </c>
      <c r="DW113" s="29" t="s">
        <v>758</v>
      </c>
      <c r="DX113" s="14">
        <f t="shared" si="84"/>
        <v>30</v>
      </c>
      <c r="ET113" s="13">
        <v>109</v>
      </c>
      <c r="EU113" s="13">
        <f t="shared" si="85"/>
        <v>10</v>
      </c>
      <c r="EV113" s="13" t="str">
        <f t="shared" si="99"/>
        <v>80级守护灵洗练-1</v>
      </c>
      <c r="EW113" s="13">
        <f t="shared" si="100"/>
        <v>24</v>
      </c>
      <c r="EX113" s="13">
        <f t="shared" si="101"/>
        <v>1</v>
      </c>
      <c r="EY113" s="13">
        <f t="shared" si="89"/>
        <v>1800</v>
      </c>
      <c r="EZ113" s="13" t="str">
        <f t="shared" si="102"/>
        <v>AtkExt</v>
      </c>
      <c r="FA113" s="13">
        <f t="shared" si="91"/>
        <v>84</v>
      </c>
      <c r="FB113" s="13">
        <f t="shared" si="103"/>
        <v>242</v>
      </c>
    </row>
    <row r="114" spans="71:158" ht="16.5" x14ac:dyDescent="0.2">
      <c r="BS114" s="16"/>
      <c r="BT114" s="16"/>
      <c r="BU114" s="16"/>
      <c r="BV114" s="16"/>
      <c r="BW114" s="16"/>
      <c r="BX114" s="16"/>
      <c r="BY114" s="16"/>
      <c r="BZ114" s="16"/>
      <c r="CM114" s="13">
        <v>110</v>
      </c>
      <c r="CN114" s="14">
        <f t="shared" si="58"/>
        <v>14</v>
      </c>
      <c r="CO114" s="14">
        <f t="shared" si="59"/>
        <v>2</v>
      </c>
      <c r="CP114" s="14">
        <f t="shared" si="60"/>
        <v>6</v>
      </c>
      <c r="CQ114" s="14">
        <f t="shared" si="51"/>
        <v>2</v>
      </c>
      <c r="CR114" s="14">
        <f t="shared" si="52"/>
        <v>2022026</v>
      </c>
      <c r="CS114" s="13" t="str">
        <f t="shared" si="53"/>
        <v>60级守护灵蓝色-护手</v>
      </c>
      <c r="CT114" s="14">
        <f t="shared" si="54"/>
        <v>2</v>
      </c>
      <c r="CU114" s="14">
        <f t="shared" si="55"/>
        <v>2</v>
      </c>
      <c r="CV114" s="14">
        <f t="shared" si="61"/>
        <v>60</v>
      </c>
      <c r="CW114" s="14">
        <f t="shared" si="62"/>
        <v>60</v>
      </c>
      <c r="CX114" s="14">
        <f t="shared" si="63"/>
        <v>6</v>
      </c>
      <c r="CY114" s="14" t="str">
        <f t="shared" si="64"/>
        <v/>
      </c>
      <c r="CZ114" s="14">
        <f t="shared" si="65"/>
        <v>19</v>
      </c>
      <c r="DA114" s="14">
        <f t="shared" si="66"/>
        <v>0</v>
      </c>
      <c r="DB114" s="14">
        <f t="shared" si="67"/>
        <v>0</v>
      </c>
      <c r="DC114" s="14">
        <f t="shared" si="68"/>
        <v>338</v>
      </c>
      <c r="DD114" s="14">
        <f t="shared" si="69"/>
        <v>0</v>
      </c>
      <c r="DE114" s="14">
        <f t="shared" si="70"/>
        <v>0</v>
      </c>
      <c r="DF114" s="14">
        <f t="shared" si="71"/>
        <v>19.13</v>
      </c>
      <c r="DG114" s="14">
        <f t="shared" si="72"/>
        <v>6</v>
      </c>
      <c r="DH114" s="14">
        <f t="shared" si="73"/>
        <v>0</v>
      </c>
      <c r="DI114" s="14">
        <f t="shared" si="74"/>
        <v>22</v>
      </c>
      <c r="DL114" s="14">
        <f t="shared" si="56"/>
        <v>3</v>
      </c>
      <c r="DM114" s="14">
        <f t="shared" si="57"/>
        <v>0</v>
      </c>
      <c r="DN114" s="14" t="str">
        <f t="shared" si="75"/>
        <v>HPExt</v>
      </c>
      <c r="DO114" s="14">
        <f t="shared" si="76"/>
        <v>338</v>
      </c>
      <c r="DP114" s="14">
        <f t="shared" si="77"/>
        <v>19.13</v>
      </c>
      <c r="DQ114" s="14" t="str">
        <f t="shared" si="78"/>
        <v/>
      </c>
      <c r="DR114" s="14" t="str">
        <f t="shared" si="79"/>
        <v/>
      </c>
      <c r="DS114" s="14" t="str">
        <f t="shared" si="80"/>
        <v/>
      </c>
      <c r="DT114" s="14">
        <f t="shared" si="81"/>
        <v>6</v>
      </c>
      <c r="DU114" s="14">
        <f t="shared" si="82"/>
        <v>0</v>
      </c>
      <c r="DV114" s="14">
        <f t="shared" si="83"/>
        <v>22</v>
      </c>
      <c r="DW114" s="29" t="s">
        <v>758</v>
      </c>
      <c r="DX114" s="14">
        <f t="shared" si="84"/>
        <v>30</v>
      </c>
      <c r="ET114" s="13">
        <v>110</v>
      </c>
      <c r="EU114" s="13">
        <f t="shared" si="85"/>
        <v>10</v>
      </c>
      <c r="EV114" s="13" t="str">
        <f t="shared" si="99"/>
        <v>80级守护灵洗练-2</v>
      </c>
      <c r="EW114" s="13">
        <f t="shared" si="100"/>
        <v>24</v>
      </c>
      <c r="EX114" s="13">
        <f t="shared" si="101"/>
        <v>2</v>
      </c>
      <c r="EY114" s="13">
        <f t="shared" si="89"/>
        <v>1800</v>
      </c>
      <c r="EZ114" s="13" t="str">
        <f t="shared" si="102"/>
        <v>DefExt</v>
      </c>
      <c r="FA114" s="13">
        <f t="shared" si="91"/>
        <v>42</v>
      </c>
      <c r="FB114" s="13">
        <f t="shared" si="103"/>
        <v>121</v>
      </c>
    </row>
    <row r="115" spans="71:158" ht="16.5" x14ac:dyDescent="0.2">
      <c r="BS115" s="16"/>
      <c r="BT115" s="16"/>
      <c r="BU115" s="16"/>
      <c r="BV115" s="16"/>
      <c r="BW115" s="16"/>
      <c r="BX115" s="16"/>
      <c r="BY115" s="16"/>
      <c r="BZ115" s="16"/>
      <c r="CM115" s="13">
        <v>111</v>
      </c>
      <c r="CN115" s="14">
        <f t="shared" si="58"/>
        <v>14</v>
      </c>
      <c r="CO115" s="14">
        <f t="shared" si="59"/>
        <v>2</v>
      </c>
      <c r="CP115" s="14">
        <f t="shared" si="60"/>
        <v>7</v>
      </c>
      <c r="CQ115" s="14">
        <f t="shared" si="51"/>
        <v>2</v>
      </c>
      <c r="CR115" s="14">
        <f t="shared" si="52"/>
        <v>2022027</v>
      </c>
      <c r="CS115" s="13" t="str">
        <f t="shared" si="53"/>
        <v>60级守护灵蓝色-项链</v>
      </c>
      <c r="CT115" s="14">
        <f t="shared" si="54"/>
        <v>2</v>
      </c>
      <c r="CU115" s="14">
        <f t="shared" si="55"/>
        <v>2</v>
      </c>
      <c r="CV115" s="14">
        <f t="shared" si="61"/>
        <v>60</v>
      </c>
      <c r="CW115" s="14">
        <f t="shared" si="62"/>
        <v>60</v>
      </c>
      <c r="CX115" s="14">
        <f t="shared" si="63"/>
        <v>7</v>
      </c>
      <c r="CY115" s="14" t="str">
        <f t="shared" si="64"/>
        <v/>
      </c>
      <c r="CZ115" s="14">
        <f t="shared" si="65"/>
        <v>20</v>
      </c>
      <c r="DA115" s="14">
        <f t="shared" si="66"/>
        <v>30</v>
      </c>
      <c r="DB115" s="14">
        <f t="shared" si="67"/>
        <v>19</v>
      </c>
      <c r="DC115" s="14">
        <f t="shared" si="68"/>
        <v>0</v>
      </c>
      <c r="DD115" s="14">
        <f t="shared" si="69"/>
        <v>1.8</v>
      </c>
      <c r="DE115" s="14">
        <f t="shared" si="70"/>
        <v>1.1299999999999999</v>
      </c>
      <c r="DF115" s="14">
        <f t="shared" si="71"/>
        <v>0</v>
      </c>
      <c r="DG115" s="14">
        <f t="shared" si="72"/>
        <v>6</v>
      </c>
      <c r="DH115" s="14">
        <f t="shared" si="73"/>
        <v>0</v>
      </c>
      <c r="DI115" s="14">
        <f t="shared" si="74"/>
        <v>22</v>
      </c>
      <c r="DL115" s="14">
        <f t="shared" si="56"/>
        <v>1</v>
      </c>
      <c r="DM115" s="14">
        <f t="shared" si="57"/>
        <v>2</v>
      </c>
      <c r="DN115" s="14" t="str">
        <f t="shared" si="75"/>
        <v>AtkExt</v>
      </c>
      <c r="DO115" s="14">
        <f t="shared" si="76"/>
        <v>30</v>
      </c>
      <c r="DP115" s="14">
        <f t="shared" si="77"/>
        <v>1.8</v>
      </c>
      <c r="DQ115" s="14" t="str">
        <f t="shared" si="78"/>
        <v>DefExt</v>
      </c>
      <c r="DR115" s="14">
        <f t="shared" si="79"/>
        <v>19</v>
      </c>
      <c r="DS115" s="14">
        <f t="shared" si="80"/>
        <v>1.1299999999999999</v>
      </c>
      <c r="DT115" s="14">
        <f t="shared" si="81"/>
        <v>6</v>
      </c>
      <c r="DU115" s="14">
        <f t="shared" si="82"/>
        <v>0</v>
      </c>
      <c r="DV115" s="14">
        <f t="shared" si="83"/>
        <v>22</v>
      </c>
      <c r="DW115" s="29" t="s">
        <v>758</v>
      </c>
      <c r="DX115" s="14">
        <f t="shared" si="84"/>
        <v>30</v>
      </c>
      <c r="ET115" s="13">
        <v>111</v>
      </c>
      <c r="EU115" s="13">
        <f t="shared" si="85"/>
        <v>10</v>
      </c>
      <c r="EV115" s="13" t="str">
        <f t="shared" si="99"/>
        <v>80级守护灵洗练-3</v>
      </c>
      <c r="EW115" s="13">
        <f t="shared" si="100"/>
        <v>24</v>
      </c>
      <c r="EX115" s="13">
        <f t="shared" si="101"/>
        <v>3</v>
      </c>
      <c r="EY115" s="13">
        <f t="shared" si="89"/>
        <v>2000</v>
      </c>
      <c r="EZ115" s="13" t="str">
        <f t="shared" si="102"/>
        <v>HPExt</v>
      </c>
      <c r="FA115" s="13">
        <f t="shared" si="91"/>
        <v>452</v>
      </c>
      <c r="FB115" s="13">
        <f t="shared" si="103"/>
        <v>1292</v>
      </c>
    </row>
    <row r="116" spans="71:158" ht="16.5" x14ac:dyDescent="0.2">
      <c r="BS116" s="16"/>
      <c r="BT116" s="16"/>
      <c r="BU116" s="16"/>
      <c r="BV116" s="16"/>
      <c r="BW116" s="16"/>
      <c r="BX116" s="16"/>
      <c r="BY116" s="16"/>
      <c r="BZ116" s="16"/>
      <c r="CM116" s="13">
        <v>112</v>
      </c>
      <c r="CN116" s="14">
        <f t="shared" si="58"/>
        <v>14</v>
      </c>
      <c r="CO116" s="14">
        <f t="shared" si="59"/>
        <v>2</v>
      </c>
      <c r="CP116" s="14">
        <f t="shared" si="60"/>
        <v>8</v>
      </c>
      <c r="CQ116" s="14">
        <f t="shared" si="51"/>
        <v>2</v>
      </c>
      <c r="CR116" s="14">
        <f t="shared" si="52"/>
        <v>2022028</v>
      </c>
      <c r="CS116" s="13" t="str">
        <f t="shared" si="53"/>
        <v>60级守护灵蓝色-戒指</v>
      </c>
      <c r="CT116" s="14">
        <f t="shared" si="54"/>
        <v>2</v>
      </c>
      <c r="CU116" s="14">
        <f t="shared" si="55"/>
        <v>2</v>
      </c>
      <c r="CV116" s="14">
        <f t="shared" si="61"/>
        <v>60</v>
      </c>
      <c r="CW116" s="14">
        <f t="shared" si="62"/>
        <v>60</v>
      </c>
      <c r="CX116" s="14">
        <f t="shared" si="63"/>
        <v>8</v>
      </c>
      <c r="CY116" s="14" t="str">
        <f t="shared" si="64"/>
        <v/>
      </c>
      <c r="CZ116" s="14">
        <f t="shared" si="65"/>
        <v>24</v>
      </c>
      <c r="DA116" s="14">
        <f t="shared" si="66"/>
        <v>30</v>
      </c>
      <c r="DB116" s="14">
        <f t="shared" si="67"/>
        <v>0</v>
      </c>
      <c r="DC116" s="14">
        <f t="shared" si="68"/>
        <v>281</v>
      </c>
      <c r="DD116" s="14">
        <f t="shared" si="69"/>
        <v>1.8</v>
      </c>
      <c r="DE116" s="14">
        <f t="shared" si="70"/>
        <v>0</v>
      </c>
      <c r="DF116" s="14">
        <f t="shared" si="71"/>
        <v>15.94</v>
      </c>
      <c r="DG116" s="14">
        <f t="shared" si="72"/>
        <v>6</v>
      </c>
      <c r="DH116" s="14">
        <f t="shared" si="73"/>
        <v>0</v>
      </c>
      <c r="DI116" s="14">
        <f t="shared" si="74"/>
        <v>22</v>
      </c>
      <c r="DL116" s="14">
        <f t="shared" si="56"/>
        <v>1</v>
      </c>
      <c r="DM116" s="14">
        <f t="shared" si="57"/>
        <v>3</v>
      </c>
      <c r="DN116" s="14" t="str">
        <f t="shared" si="75"/>
        <v>AtkExt</v>
      </c>
      <c r="DO116" s="14">
        <f t="shared" si="76"/>
        <v>30</v>
      </c>
      <c r="DP116" s="14">
        <f t="shared" si="77"/>
        <v>1.8</v>
      </c>
      <c r="DQ116" s="14" t="str">
        <f t="shared" si="78"/>
        <v>HPExt</v>
      </c>
      <c r="DR116" s="14">
        <f t="shared" si="79"/>
        <v>281</v>
      </c>
      <c r="DS116" s="14">
        <f t="shared" si="80"/>
        <v>15.94</v>
      </c>
      <c r="DT116" s="14">
        <f t="shared" si="81"/>
        <v>6</v>
      </c>
      <c r="DU116" s="14">
        <f t="shared" si="82"/>
        <v>0</v>
      </c>
      <c r="DV116" s="14">
        <f t="shared" si="83"/>
        <v>22</v>
      </c>
      <c r="DW116" s="29" t="s">
        <v>758</v>
      </c>
      <c r="DX116" s="14">
        <f t="shared" si="84"/>
        <v>30</v>
      </c>
      <c r="ET116" s="13">
        <v>112</v>
      </c>
      <c r="EU116" s="13">
        <f t="shared" si="85"/>
        <v>10</v>
      </c>
      <c r="EV116" s="13" t="str">
        <f t="shared" si="99"/>
        <v>80级守护灵洗练-4</v>
      </c>
      <c r="EW116" s="13">
        <f t="shared" si="100"/>
        <v>24</v>
      </c>
      <c r="EX116" s="13">
        <f t="shared" si="101"/>
        <v>4</v>
      </c>
      <c r="EY116" s="13">
        <f t="shared" si="89"/>
        <v>500</v>
      </c>
      <c r="EZ116" s="13" t="str">
        <f t="shared" si="102"/>
        <v>AtkRate</v>
      </c>
      <c r="FA116" s="13">
        <f t="shared" si="91"/>
        <v>1.4E-2</v>
      </c>
      <c r="FB116" s="13">
        <f t="shared" si="103"/>
        <v>0.04</v>
      </c>
    </row>
    <row r="117" spans="71:158" ht="16.5" x14ac:dyDescent="0.2">
      <c r="BS117" s="16"/>
      <c r="BT117" s="16"/>
      <c r="BU117" s="16"/>
      <c r="BV117" s="16"/>
      <c r="BW117" s="16"/>
      <c r="BX117" s="16"/>
      <c r="BY117" s="16"/>
      <c r="BZ117" s="16"/>
      <c r="CM117" s="13">
        <v>113</v>
      </c>
      <c r="CN117" s="14">
        <f t="shared" si="58"/>
        <v>15</v>
      </c>
      <c r="CO117" s="14">
        <f t="shared" si="59"/>
        <v>1</v>
      </c>
      <c r="CP117" s="14">
        <f t="shared" si="60"/>
        <v>1</v>
      </c>
      <c r="CQ117" s="14">
        <f t="shared" si="51"/>
        <v>2</v>
      </c>
      <c r="CR117" s="14">
        <f t="shared" si="52"/>
        <v>2023011</v>
      </c>
      <c r="CS117" s="13" t="str">
        <f t="shared" si="53"/>
        <v>60级寄灵人紫色-武器</v>
      </c>
      <c r="CT117" s="14">
        <f t="shared" si="54"/>
        <v>1</v>
      </c>
      <c r="CU117" s="14">
        <f t="shared" si="55"/>
        <v>3</v>
      </c>
      <c r="CV117" s="14">
        <f t="shared" si="61"/>
        <v>60</v>
      </c>
      <c r="CW117" s="14">
        <f t="shared" si="62"/>
        <v>60</v>
      </c>
      <c r="CX117" s="14">
        <f t="shared" si="63"/>
        <v>1</v>
      </c>
      <c r="CY117" s="14" t="str">
        <f t="shared" si="64"/>
        <v/>
      </c>
      <c r="CZ117" s="14">
        <f t="shared" si="65"/>
        <v>28</v>
      </c>
      <c r="DA117" s="14">
        <f t="shared" si="66"/>
        <v>106</v>
      </c>
      <c r="DB117" s="14">
        <f t="shared" si="67"/>
        <v>0</v>
      </c>
      <c r="DC117" s="14">
        <f t="shared" si="68"/>
        <v>0</v>
      </c>
      <c r="DD117" s="14">
        <f t="shared" si="69"/>
        <v>5.76</v>
      </c>
      <c r="DE117" s="14">
        <f t="shared" si="70"/>
        <v>0</v>
      </c>
      <c r="DF117" s="14">
        <f t="shared" si="71"/>
        <v>0</v>
      </c>
      <c r="DG117" s="14">
        <f t="shared" si="72"/>
        <v>7</v>
      </c>
      <c r="DH117" s="14">
        <f t="shared" si="73"/>
        <v>2</v>
      </c>
      <c r="DI117" s="14">
        <f t="shared" si="74"/>
        <v>12</v>
      </c>
      <c r="DL117" s="14">
        <f t="shared" si="56"/>
        <v>1</v>
      </c>
      <c r="DM117" s="14">
        <f t="shared" si="57"/>
        <v>0</v>
      </c>
      <c r="DN117" s="14" t="str">
        <f t="shared" si="75"/>
        <v>AtkExt</v>
      </c>
      <c r="DO117" s="14">
        <f t="shared" si="76"/>
        <v>106</v>
      </c>
      <c r="DP117" s="14">
        <f t="shared" si="77"/>
        <v>5.76</v>
      </c>
      <c r="DQ117" s="14" t="str">
        <f t="shared" si="78"/>
        <v/>
      </c>
      <c r="DR117" s="14" t="str">
        <f t="shared" si="79"/>
        <v/>
      </c>
      <c r="DS117" s="14" t="str">
        <f t="shared" si="80"/>
        <v/>
      </c>
      <c r="DT117" s="14">
        <f t="shared" si="81"/>
        <v>7</v>
      </c>
      <c r="DU117" s="14">
        <f t="shared" si="82"/>
        <v>2</v>
      </c>
      <c r="DV117" s="14">
        <f t="shared" si="83"/>
        <v>12</v>
      </c>
      <c r="DW117" s="29" t="s">
        <v>758</v>
      </c>
      <c r="DX117" s="14">
        <f t="shared" si="84"/>
        <v>50</v>
      </c>
      <c r="ET117" s="13">
        <v>113</v>
      </c>
      <c r="EU117" s="13">
        <f t="shared" si="85"/>
        <v>10</v>
      </c>
      <c r="EV117" s="13" t="str">
        <f t="shared" si="99"/>
        <v>80级守护灵洗练-5</v>
      </c>
      <c r="EW117" s="13">
        <f t="shared" si="100"/>
        <v>24</v>
      </c>
      <c r="EX117" s="13">
        <f t="shared" si="101"/>
        <v>5</v>
      </c>
      <c r="EY117" s="13">
        <f t="shared" si="89"/>
        <v>400</v>
      </c>
      <c r="EZ117" s="13" t="str">
        <f t="shared" si="102"/>
        <v>DefRate</v>
      </c>
      <c r="FA117" s="13">
        <f t="shared" si="91"/>
        <v>1.4E-2</v>
      </c>
      <c r="FB117" s="13">
        <f t="shared" si="103"/>
        <v>0.04</v>
      </c>
    </row>
    <row r="118" spans="71:158" ht="16.5" x14ac:dyDescent="0.2">
      <c r="BS118" s="16"/>
      <c r="BT118" s="16"/>
      <c r="BU118" s="16"/>
      <c r="BV118" s="16"/>
      <c r="BW118" s="16"/>
      <c r="BX118" s="16"/>
      <c r="BY118" s="16"/>
      <c r="BZ118" s="16"/>
      <c r="CM118" s="13">
        <v>114</v>
      </c>
      <c r="CN118" s="14">
        <f t="shared" si="58"/>
        <v>15</v>
      </c>
      <c r="CO118" s="14">
        <f t="shared" si="59"/>
        <v>1</v>
      </c>
      <c r="CP118" s="14">
        <f t="shared" si="60"/>
        <v>2</v>
      </c>
      <c r="CQ118" s="14">
        <f t="shared" si="51"/>
        <v>2</v>
      </c>
      <c r="CR118" s="14">
        <f t="shared" si="52"/>
        <v>2023012</v>
      </c>
      <c r="CS118" s="13" t="str">
        <f t="shared" si="53"/>
        <v>60级寄灵人紫色-头盔</v>
      </c>
      <c r="CT118" s="14">
        <f t="shared" si="54"/>
        <v>1</v>
      </c>
      <c r="CU118" s="14">
        <f t="shared" si="55"/>
        <v>3</v>
      </c>
      <c r="CV118" s="14">
        <f t="shared" si="61"/>
        <v>60</v>
      </c>
      <c r="CW118" s="14">
        <f t="shared" si="62"/>
        <v>60</v>
      </c>
      <c r="CX118" s="14">
        <f t="shared" si="63"/>
        <v>2</v>
      </c>
      <c r="CY118" s="14" t="str">
        <f t="shared" si="64"/>
        <v/>
      </c>
      <c r="CZ118" s="14">
        <f t="shared" si="65"/>
        <v>14</v>
      </c>
      <c r="DA118" s="14">
        <f t="shared" si="66"/>
        <v>0</v>
      </c>
      <c r="DB118" s="14">
        <f t="shared" si="67"/>
        <v>26</v>
      </c>
      <c r="DC118" s="14">
        <f t="shared" si="68"/>
        <v>0</v>
      </c>
      <c r="DD118" s="14">
        <f t="shared" si="69"/>
        <v>0</v>
      </c>
      <c r="DE118" s="14">
        <f t="shared" si="70"/>
        <v>1.44</v>
      </c>
      <c r="DF118" s="14">
        <f t="shared" si="71"/>
        <v>0</v>
      </c>
      <c r="DG118" s="14">
        <f t="shared" si="72"/>
        <v>7</v>
      </c>
      <c r="DH118" s="14">
        <f t="shared" si="73"/>
        <v>2</v>
      </c>
      <c r="DI118" s="14">
        <f t="shared" si="74"/>
        <v>12</v>
      </c>
      <c r="DL118" s="14">
        <f t="shared" si="56"/>
        <v>2</v>
      </c>
      <c r="DM118" s="14">
        <f t="shared" si="57"/>
        <v>0</v>
      </c>
      <c r="DN118" s="14" t="str">
        <f t="shared" si="75"/>
        <v>DefExt</v>
      </c>
      <c r="DO118" s="14">
        <f t="shared" si="76"/>
        <v>26</v>
      </c>
      <c r="DP118" s="14">
        <f t="shared" si="77"/>
        <v>1.44</v>
      </c>
      <c r="DQ118" s="14" t="str">
        <f t="shared" si="78"/>
        <v/>
      </c>
      <c r="DR118" s="14" t="str">
        <f t="shared" si="79"/>
        <v/>
      </c>
      <c r="DS118" s="14" t="str">
        <f t="shared" si="80"/>
        <v/>
      </c>
      <c r="DT118" s="14">
        <f t="shared" si="81"/>
        <v>7</v>
      </c>
      <c r="DU118" s="14">
        <f t="shared" si="82"/>
        <v>2</v>
      </c>
      <c r="DV118" s="14">
        <f t="shared" si="83"/>
        <v>12</v>
      </c>
      <c r="DW118" s="29" t="s">
        <v>758</v>
      </c>
      <c r="DX118" s="14">
        <f t="shared" si="84"/>
        <v>50</v>
      </c>
      <c r="ET118" s="13">
        <v>114</v>
      </c>
      <c r="EU118" s="13">
        <f t="shared" si="85"/>
        <v>10</v>
      </c>
      <c r="EV118" s="13" t="str">
        <f t="shared" si="99"/>
        <v>80级守护灵洗练-6</v>
      </c>
      <c r="EW118" s="13">
        <f t="shared" si="100"/>
        <v>24</v>
      </c>
      <c r="EX118" s="13">
        <f t="shared" si="101"/>
        <v>6</v>
      </c>
      <c r="EY118" s="13">
        <f t="shared" si="89"/>
        <v>500</v>
      </c>
      <c r="EZ118" s="13" t="str">
        <f t="shared" si="102"/>
        <v>HPRate</v>
      </c>
      <c r="FA118" s="13">
        <f t="shared" si="91"/>
        <v>1.4E-2</v>
      </c>
      <c r="FB118" s="13">
        <f t="shared" si="103"/>
        <v>0.04</v>
      </c>
    </row>
    <row r="119" spans="71:158" ht="16.5" x14ac:dyDescent="0.2">
      <c r="CM119" s="13">
        <v>115</v>
      </c>
      <c r="CN119" s="14">
        <f t="shared" si="58"/>
        <v>15</v>
      </c>
      <c r="CO119" s="14">
        <f t="shared" si="59"/>
        <v>1</v>
      </c>
      <c r="CP119" s="14">
        <f t="shared" si="60"/>
        <v>3</v>
      </c>
      <c r="CQ119" s="14">
        <f t="shared" si="51"/>
        <v>2</v>
      </c>
      <c r="CR119" s="14">
        <f t="shared" si="52"/>
        <v>2023013</v>
      </c>
      <c r="CS119" s="13" t="str">
        <f t="shared" si="53"/>
        <v>60级寄灵人紫色-肩甲</v>
      </c>
      <c r="CT119" s="14">
        <f t="shared" si="54"/>
        <v>1</v>
      </c>
      <c r="CU119" s="14">
        <f t="shared" si="55"/>
        <v>3</v>
      </c>
      <c r="CV119" s="14">
        <f t="shared" si="61"/>
        <v>60</v>
      </c>
      <c r="CW119" s="14">
        <f t="shared" si="62"/>
        <v>60</v>
      </c>
      <c r="CX119" s="14">
        <f t="shared" si="63"/>
        <v>3</v>
      </c>
      <c r="CY119" s="14" t="str">
        <f t="shared" si="64"/>
        <v/>
      </c>
      <c r="CZ119" s="14">
        <f t="shared" si="65"/>
        <v>11</v>
      </c>
      <c r="DA119" s="14">
        <f t="shared" si="66"/>
        <v>0</v>
      </c>
      <c r="DB119" s="14">
        <f t="shared" si="67"/>
        <v>13</v>
      </c>
      <c r="DC119" s="14">
        <f t="shared" si="68"/>
        <v>78</v>
      </c>
      <c r="DD119" s="14">
        <f t="shared" si="69"/>
        <v>0</v>
      </c>
      <c r="DE119" s="14">
        <f t="shared" si="70"/>
        <v>0.72</v>
      </c>
      <c r="DF119" s="14">
        <f t="shared" si="71"/>
        <v>4.32</v>
      </c>
      <c r="DG119" s="14">
        <f t="shared" si="72"/>
        <v>7</v>
      </c>
      <c r="DH119" s="14">
        <f t="shared" si="73"/>
        <v>2</v>
      </c>
      <c r="DI119" s="14">
        <f t="shared" si="74"/>
        <v>12</v>
      </c>
      <c r="DL119" s="14">
        <f t="shared" si="56"/>
        <v>2</v>
      </c>
      <c r="DM119" s="14">
        <f t="shared" si="57"/>
        <v>3</v>
      </c>
      <c r="DN119" s="14" t="str">
        <f t="shared" si="75"/>
        <v>DefExt</v>
      </c>
      <c r="DO119" s="14">
        <f t="shared" si="76"/>
        <v>13</v>
      </c>
      <c r="DP119" s="14">
        <f t="shared" si="77"/>
        <v>0.72</v>
      </c>
      <c r="DQ119" s="14" t="str">
        <f t="shared" si="78"/>
        <v>HPExt</v>
      </c>
      <c r="DR119" s="14">
        <f t="shared" si="79"/>
        <v>78</v>
      </c>
      <c r="DS119" s="14">
        <f t="shared" si="80"/>
        <v>4.32</v>
      </c>
      <c r="DT119" s="14">
        <f t="shared" si="81"/>
        <v>7</v>
      </c>
      <c r="DU119" s="14">
        <f t="shared" si="82"/>
        <v>2</v>
      </c>
      <c r="DV119" s="14">
        <f t="shared" si="83"/>
        <v>12</v>
      </c>
      <c r="DW119" s="29" t="s">
        <v>758</v>
      </c>
      <c r="DX119" s="14">
        <f t="shared" si="84"/>
        <v>50</v>
      </c>
      <c r="ET119" s="13">
        <v>115</v>
      </c>
      <c r="EU119" s="13">
        <f t="shared" si="85"/>
        <v>10</v>
      </c>
      <c r="EV119" s="13" t="str">
        <f t="shared" si="99"/>
        <v>80级守护灵洗练-7</v>
      </c>
      <c r="EW119" s="13">
        <f t="shared" si="100"/>
        <v>24</v>
      </c>
      <c r="EX119" s="13">
        <f t="shared" si="101"/>
        <v>7</v>
      </c>
      <c r="EY119" s="13">
        <f t="shared" si="89"/>
        <v>500</v>
      </c>
      <c r="EZ119" s="13" t="str">
        <f t="shared" si="102"/>
        <v>Crit</v>
      </c>
      <c r="FA119" s="13">
        <f t="shared" si="91"/>
        <v>1.0999999999999999E-2</v>
      </c>
      <c r="FB119" s="13">
        <f t="shared" si="103"/>
        <v>0.03</v>
      </c>
    </row>
    <row r="120" spans="71:158" ht="16.5" x14ac:dyDescent="0.2">
      <c r="CM120" s="13">
        <v>116</v>
      </c>
      <c r="CN120" s="14">
        <f t="shared" si="58"/>
        <v>15</v>
      </c>
      <c r="CO120" s="14">
        <f t="shared" si="59"/>
        <v>1</v>
      </c>
      <c r="CP120" s="14">
        <f t="shared" si="60"/>
        <v>4</v>
      </c>
      <c r="CQ120" s="14">
        <f t="shared" si="51"/>
        <v>2</v>
      </c>
      <c r="CR120" s="14">
        <f t="shared" si="52"/>
        <v>2023014</v>
      </c>
      <c r="CS120" s="13" t="str">
        <f t="shared" si="53"/>
        <v>60级寄灵人紫色-衣服</v>
      </c>
      <c r="CT120" s="14">
        <f t="shared" si="54"/>
        <v>1</v>
      </c>
      <c r="CU120" s="14">
        <f t="shared" si="55"/>
        <v>3</v>
      </c>
      <c r="CV120" s="14">
        <f t="shared" si="61"/>
        <v>60</v>
      </c>
      <c r="CW120" s="14">
        <f t="shared" si="62"/>
        <v>60</v>
      </c>
      <c r="CX120" s="14">
        <f t="shared" si="63"/>
        <v>4</v>
      </c>
      <c r="CY120" s="14" t="str">
        <f t="shared" si="64"/>
        <v/>
      </c>
      <c r="CZ120" s="14">
        <f t="shared" si="65"/>
        <v>14</v>
      </c>
      <c r="DA120" s="14">
        <f t="shared" si="66"/>
        <v>0</v>
      </c>
      <c r="DB120" s="14">
        <f t="shared" si="67"/>
        <v>26</v>
      </c>
      <c r="DC120" s="14">
        <f t="shared" si="68"/>
        <v>0</v>
      </c>
      <c r="DD120" s="14">
        <f t="shared" si="69"/>
        <v>0</v>
      </c>
      <c r="DE120" s="14">
        <f t="shared" si="70"/>
        <v>1.44</v>
      </c>
      <c r="DF120" s="14">
        <f t="shared" si="71"/>
        <v>0</v>
      </c>
      <c r="DG120" s="14">
        <f t="shared" si="72"/>
        <v>7</v>
      </c>
      <c r="DH120" s="14">
        <f t="shared" si="73"/>
        <v>2</v>
      </c>
      <c r="DI120" s="14">
        <f t="shared" si="74"/>
        <v>12</v>
      </c>
      <c r="DL120" s="14">
        <f t="shared" si="56"/>
        <v>2</v>
      </c>
      <c r="DM120" s="14">
        <f t="shared" si="57"/>
        <v>0</v>
      </c>
      <c r="DN120" s="14" t="str">
        <f t="shared" si="75"/>
        <v>DefExt</v>
      </c>
      <c r="DO120" s="14">
        <f t="shared" si="76"/>
        <v>26</v>
      </c>
      <c r="DP120" s="14">
        <f t="shared" si="77"/>
        <v>1.44</v>
      </c>
      <c r="DQ120" s="14" t="str">
        <f t="shared" si="78"/>
        <v/>
      </c>
      <c r="DR120" s="14" t="str">
        <f t="shared" si="79"/>
        <v/>
      </c>
      <c r="DS120" s="14" t="str">
        <f t="shared" si="80"/>
        <v/>
      </c>
      <c r="DT120" s="14">
        <f t="shared" si="81"/>
        <v>7</v>
      </c>
      <c r="DU120" s="14">
        <f t="shared" si="82"/>
        <v>2</v>
      </c>
      <c r="DV120" s="14">
        <f t="shared" si="83"/>
        <v>12</v>
      </c>
      <c r="DW120" s="29" t="s">
        <v>758</v>
      </c>
      <c r="DX120" s="14">
        <f t="shared" si="84"/>
        <v>50</v>
      </c>
      <c r="ET120" s="13">
        <v>116</v>
      </c>
      <c r="EU120" s="13">
        <f t="shared" si="85"/>
        <v>10</v>
      </c>
      <c r="EV120" s="13" t="str">
        <f t="shared" si="99"/>
        <v>80级守护灵洗练-8</v>
      </c>
      <c r="EW120" s="13">
        <f t="shared" si="100"/>
        <v>24</v>
      </c>
      <c r="EX120" s="13">
        <f t="shared" si="101"/>
        <v>8</v>
      </c>
      <c r="EY120" s="13">
        <f t="shared" si="89"/>
        <v>500</v>
      </c>
      <c r="EZ120" s="13" t="str">
        <f t="shared" si="102"/>
        <v>CritRate</v>
      </c>
      <c r="FA120" s="13">
        <f t="shared" si="91"/>
        <v>2.8000000000000001E-2</v>
      </c>
      <c r="FB120" s="13">
        <f t="shared" si="103"/>
        <v>0.08</v>
      </c>
    </row>
    <row r="121" spans="71:158" ht="16.5" x14ac:dyDescent="0.2">
      <c r="CM121" s="13">
        <v>117</v>
      </c>
      <c r="CN121" s="14">
        <f t="shared" si="58"/>
        <v>15</v>
      </c>
      <c r="CO121" s="14">
        <f t="shared" si="59"/>
        <v>1</v>
      </c>
      <c r="CP121" s="14">
        <f t="shared" si="60"/>
        <v>5</v>
      </c>
      <c r="CQ121" s="14">
        <f t="shared" si="51"/>
        <v>2</v>
      </c>
      <c r="CR121" s="14">
        <f t="shared" si="52"/>
        <v>2023015</v>
      </c>
      <c r="CS121" s="13" t="str">
        <f t="shared" si="53"/>
        <v>60级寄灵人紫色-鞋子</v>
      </c>
      <c r="CT121" s="14">
        <f t="shared" si="54"/>
        <v>1</v>
      </c>
      <c r="CU121" s="14">
        <f t="shared" si="55"/>
        <v>3</v>
      </c>
      <c r="CV121" s="14">
        <f t="shared" si="61"/>
        <v>60</v>
      </c>
      <c r="CW121" s="14">
        <f t="shared" si="62"/>
        <v>60</v>
      </c>
      <c r="CX121" s="14">
        <f t="shared" si="63"/>
        <v>5</v>
      </c>
      <c r="CY121" s="14" t="str">
        <f t="shared" si="64"/>
        <v/>
      </c>
      <c r="CZ121" s="14">
        <f t="shared" si="65"/>
        <v>8</v>
      </c>
      <c r="DA121" s="14">
        <f t="shared" si="66"/>
        <v>0</v>
      </c>
      <c r="DB121" s="14">
        <f t="shared" si="67"/>
        <v>0</v>
      </c>
      <c r="DC121" s="14">
        <f t="shared" si="68"/>
        <v>156</v>
      </c>
      <c r="DD121" s="14">
        <f t="shared" si="69"/>
        <v>0</v>
      </c>
      <c r="DE121" s="14">
        <f t="shared" si="70"/>
        <v>0</v>
      </c>
      <c r="DF121" s="14">
        <f t="shared" si="71"/>
        <v>8.64</v>
      </c>
      <c r="DG121" s="14">
        <f t="shared" si="72"/>
        <v>7</v>
      </c>
      <c r="DH121" s="14">
        <f t="shared" si="73"/>
        <v>2</v>
      </c>
      <c r="DI121" s="14">
        <f t="shared" si="74"/>
        <v>12</v>
      </c>
      <c r="DL121" s="14">
        <f t="shared" si="56"/>
        <v>3</v>
      </c>
      <c r="DM121" s="14">
        <f t="shared" si="57"/>
        <v>0</v>
      </c>
      <c r="DN121" s="14" t="str">
        <f t="shared" si="75"/>
        <v>HPExt</v>
      </c>
      <c r="DO121" s="14">
        <f t="shared" si="76"/>
        <v>156</v>
      </c>
      <c r="DP121" s="14">
        <f t="shared" si="77"/>
        <v>8.64</v>
      </c>
      <c r="DQ121" s="14" t="str">
        <f t="shared" si="78"/>
        <v/>
      </c>
      <c r="DR121" s="14" t="str">
        <f t="shared" si="79"/>
        <v/>
      </c>
      <c r="DS121" s="14" t="str">
        <f t="shared" si="80"/>
        <v/>
      </c>
      <c r="DT121" s="14">
        <f t="shared" si="81"/>
        <v>7</v>
      </c>
      <c r="DU121" s="14">
        <f t="shared" si="82"/>
        <v>2</v>
      </c>
      <c r="DV121" s="14">
        <f t="shared" si="83"/>
        <v>12</v>
      </c>
      <c r="DW121" s="29" t="s">
        <v>758</v>
      </c>
      <c r="DX121" s="14">
        <f t="shared" si="84"/>
        <v>50</v>
      </c>
      <c r="ET121" s="13">
        <v>117</v>
      </c>
      <c r="EU121" s="13">
        <f t="shared" si="85"/>
        <v>10</v>
      </c>
      <c r="EV121" s="13" t="str">
        <f t="shared" si="99"/>
        <v>80级守护灵洗练-9</v>
      </c>
      <c r="EW121" s="13">
        <f t="shared" si="100"/>
        <v>24</v>
      </c>
      <c r="EX121" s="13">
        <f t="shared" si="101"/>
        <v>9</v>
      </c>
      <c r="EY121" s="13">
        <f t="shared" si="89"/>
        <v>500</v>
      </c>
      <c r="EZ121" s="13" t="str">
        <f t="shared" si="102"/>
        <v>DefIgnor</v>
      </c>
      <c r="FA121" s="13">
        <f t="shared" si="91"/>
        <v>1.0999999999999999E-2</v>
      </c>
      <c r="FB121" s="13">
        <f t="shared" si="103"/>
        <v>0.03</v>
      </c>
    </row>
    <row r="122" spans="71:158" ht="16.5" x14ac:dyDescent="0.2">
      <c r="CM122" s="13">
        <v>118</v>
      </c>
      <c r="CN122" s="14">
        <f t="shared" si="58"/>
        <v>15</v>
      </c>
      <c r="CO122" s="14">
        <f t="shared" si="59"/>
        <v>1</v>
      </c>
      <c r="CP122" s="14">
        <f t="shared" si="60"/>
        <v>6</v>
      </c>
      <c r="CQ122" s="14">
        <f t="shared" si="51"/>
        <v>2</v>
      </c>
      <c r="CR122" s="14">
        <f t="shared" si="52"/>
        <v>2023016</v>
      </c>
      <c r="CS122" s="13" t="str">
        <f t="shared" si="53"/>
        <v>60级寄灵人紫色-护手</v>
      </c>
      <c r="CT122" s="14">
        <f t="shared" si="54"/>
        <v>1</v>
      </c>
      <c r="CU122" s="14">
        <f t="shared" si="55"/>
        <v>3</v>
      </c>
      <c r="CV122" s="14">
        <f t="shared" si="61"/>
        <v>60</v>
      </c>
      <c r="CW122" s="14">
        <f t="shared" si="62"/>
        <v>60</v>
      </c>
      <c r="CX122" s="14">
        <f t="shared" si="63"/>
        <v>6</v>
      </c>
      <c r="CY122" s="14" t="str">
        <f t="shared" si="64"/>
        <v/>
      </c>
      <c r="CZ122" s="14">
        <f t="shared" si="65"/>
        <v>8</v>
      </c>
      <c r="DA122" s="14">
        <f t="shared" si="66"/>
        <v>0</v>
      </c>
      <c r="DB122" s="14">
        <f t="shared" si="67"/>
        <v>0</v>
      </c>
      <c r="DC122" s="14">
        <f t="shared" si="68"/>
        <v>156</v>
      </c>
      <c r="DD122" s="14">
        <f t="shared" si="69"/>
        <v>0</v>
      </c>
      <c r="DE122" s="14">
        <f t="shared" si="70"/>
        <v>0</v>
      </c>
      <c r="DF122" s="14">
        <f t="shared" si="71"/>
        <v>8.64</v>
      </c>
      <c r="DG122" s="14">
        <f t="shared" si="72"/>
        <v>7</v>
      </c>
      <c r="DH122" s="14">
        <f t="shared" si="73"/>
        <v>2</v>
      </c>
      <c r="DI122" s="14">
        <f t="shared" si="74"/>
        <v>12</v>
      </c>
      <c r="DL122" s="14">
        <f t="shared" si="56"/>
        <v>3</v>
      </c>
      <c r="DM122" s="14">
        <f t="shared" si="57"/>
        <v>0</v>
      </c>
      <c r="DN122" s="14" t="str">
        <f t="shared" si="75"/>
        <v>HPExt</v>
      </c>
      <c r="DO122" s="14">
        <f t="shared" si="76"/>
        <v>156</v>
      </c>
      <c r="DP122" s="14">
        <f t="shared" si="77"/>
        <v>8.64</v>
      </c>
      <c r="DQ122" s="14" t="str">
        <f t="shared" si="78"/>
        <v/>
      </c>
      <c r="DR122" s="14" t="str">
        <f t="shared" si="79"/>
        <v/>
      </c>
      <c r="DS122" s="14" t="str">
        <f t="shared" si="80"/>
        <v/>
      </c>
      <c r="DT122" s="14">
        <f t="shared" si="81"/>
        <v>7</v>
      </c>
      <c r="DU122" s="14">
        <f t="shared" si="82"/>
        <v>2</v>
      </c>
      <c r="DV122" s="14">
        <f t="shared" si="83"/>
        <v>12</v>
      </c>
      <c r="DW122" s="29" t="s">
        <v>758</v>
      </c>
      <c r="DX122" s="14">
        <f t="shared" si="84"/>
        <v>50</v>
      </c>
      <c r="ET122" s="13">
        <v>118</v>
      </c>
      <c r="EU122" s="13">
        <f t="shared" si="85"/>
        <v>10</v>
      </c>
      <c r="EV122" s="13" t="str">
        <f t="shared" si="99"/>
        <v>80级守护灵洗练-10</v>
      </c>
      <c r="EW122" s="13">
        <f t="shared" si="100"/>
        <v>24</v>
      </c>
      <c r="EX122" s="13">
        <f t="shared" si="101"/>
        <v>10</v>
      </c>
      <c r="EY122" s="13">
        <f t="shared" si="89"/>
        <v>500</v>
      </c>
      <c r="EZ122" s="13" t="str">
        <f t="shared" si="102"/>
        <v>Block</v>
      </c>
      <c r="FA122" s="13">
        <f t="shared" si="91"/>
        <v>1.0999999999999999E-2</v>
      </c>
      <c r="FB122" s="13">
        <f t="shared" si="103"/>
        <v>0.03</v>
      </c>
    </row>
    <row r="123" spans="71:158" ht="16.5" x14ac:dyDescent="0.2">
      <c r="CM123" s="13">
        <v>119</v>
      </c>
      <c r="CN123" s="14">
        <f t="shared" si="58"/>
        <v>15</v>
      </c>
      <c r="CO123" s="14">
        <f t="shared" si="59"/>
        <v>1</v>
      </c>
      <c r="CP123" s="14">
        <f t="shared" si="60"/>
        <v>7</v>
      </c>
      <c r="CQ123" s="14">
        <f t="shared" si="51"/>
        <v>2</v>
      </c>
      <c r="CR123" s="14">
        <f t="shared" si="52"/>
        <v>2023017</v>
      </c>
      <c r="CS123" s="13" t="str">
        <f t="shared" si="53"/>
        <v>60级寄灵人紫色-项链</v>
      </c>
      <c r="CT123" s="14">
        <f t="shared" si="54"/>
        <v>1</v>
      </c>
      <c r="CU123" s="14">
        <f t="shared" si="55"/>
        <v>3</v>
      </c>
      <c r="CV123" s="14">
        <f t="shared" si="61"/>
        <v>60</v>
      </c>
      <c r="CW123" s="14">
        <f t="shared" si="62"/>
        <v>60</v>
      </c>
      <c r="CX123" s="14">
        <f t="shared" si="63"/>
        <v>7</v>
      </c>
      <c r="CY123" s="14" t="str">
        <f t="shared" si="64"/>
        <v/>
      </c>
      <c r="CZ123" s="14">
        <f t="shared" si="65"/>
        <v>21</v>
      </c>
      <c r="DA123" s="14">
        <f t="shared" si="66"/>
        <v>35</v>
      </c>
      <c r="DB123" s="14">
        <f t="shared" si="67"/>
        <v>22</v>
      </c>
      <c r="DC123" s="14">
        <f t="shared" si="68"/>
        <v>0</v>
      </c>
      <c r="DD123" s="14">
        <f t="shared" si="69"/>
        <v>1.92</v>
      </c>
      <c r="DE123" s="14">
        <f t="shared" si="70"/>
        <v>1.2</v>
      </c>
      <c r="DF123" s="14">
        <f t="shared" si="71"/>
        <v>0</v>
      </c>
      <c r="DG123" s="14">
        <f t="shared" si="72"/>
        <v>7</v>
      </c>
      <c r="DH123" s="14">
        <f t="shared" si="73"/>
        <v>2</v>
      </c>
      <c r="DI123" s="14">
        <f t="shared" si="74"/>
        <v>12</v>
      </c>
      <c r="DL123" s="14">
        <f t="shared" si="56"/>
        <v>1</v>
      </c>
      <c r="DM123" s="14">
        <f t="shared" si="57"/>
        <v>2</v>
      </c>
      <c r="DN123" s="14" t="str">
        <f t="shared" si="75"/>
        <v>AtkExt</v>
      </c>
      <c r="DO123" s="14">
        <f t="shared" si="76"/>
        <v>35</v>
      </c>
      <c r="DP123" s="14">
        <f t="shared" si="77"/>
        <v>1.92</v>
      </c>
      <c r="DQ123" s="14" t="str">
        <f t="shared" si="78"/>
        <v>DefExt</v>
      </c>
      <c r="DR123" s="14">
        <f t="shared" si="79"/>
        <v>22</v>
      </c>
      <c r="DS123" s="14">
        <f t="shared" si="80"/>
        <v>1.2</v>
      </c>
      <c r="DT123" s="14">
        <f t="shared" si="81"/>
        <v>7</v>
      </c>
      <c r="DU123" s="14">
        <f t="shared" si="82"/>
        <v>2</v>
      </c>
      <c r="DV123" s="14">
        <f t="shared" si="83"/>
        <v>12</v>
      </c>
      <c r="DW123" s="29" t="s">
        <v>758</v>
      </c>
      <c r="DX123" s="14">
        <f t="shared" si="84"/>
        <v>50</v>
      </c>
      <c r="ET123" s="13">
        <v>119</v>
      </c>
      <c r="EU123" s="13">
        <f t="shared" si="85"/>
        <v>10</v>
      </c>
      <c r="EV123" s="13" t="str">
        <f t="shared" si="99"/>
        <v>80级守护灵洗练-11</v>
      </c>
      <c r="EW123" s="13">
        <f t="shared" si="100"/>
        <v>24</v>
      </c>
      <c r="EX123" s="13">
        <f t="shared" si="101"/>
        <v>11</v>
      </c>
      <c r="EY123" s="13">
        <f t="shared" si="89"/>
        <v>500</v>
      </c>
      <c r="EZ123" s="13" t="str">
        <f t="shared" si="102"/>
        <v>EffectHit</v>
      </c>
      <c r="FA123" s="13">
        <f t="shared" si="91"/>
        <v>1.7999999999999999E-2</v>
      </c>
      <c r="FB123" s="13">
        <f t="shared" si="103"/>
        <v>0.05</v>
      </c>
    </row>
    <row r="124" spans="71:158" ht="16.5" x14ac:dyDescent="0.2">
      <c r="CM124" s="13">
        <v>120</v>
      </c>
      <c r="CN124" s="14">
        <f t="shared" si="58"/>
        <v>15</v>
      </c>
      <c r="CO124" s="14">
        <f t="shared" si="59"/>
        <v>1</v>
      </c>
      <c r="CP124" s="14">
        <f t="shared" si="60"/>
        <v>8</v>
      </c>
      <c r="CQ124" s="14">
        <f t="shared" si="51"/>
        <v>2</v>
      </c>
      <c r="CR124" s="14">
        <f t="shared" si="52"/>
        <v>2023018</v>
      </c>
      <c r="CS124" s="13" t="str">
        <f t="shared" si="53"/>
        <v>60级寄灵人紫色-戒指</v>
      </c>
      <c r="CT124" s="14">
        <f t="shared" si="54"/>
        <v>1</v>
      </c>
      <c r="CU124" s="14">
        <f t="shared" si="55"/>
        <v>3</v>
      </c>
      <c r="CV124" s="14">
        <f t="shared" si="61"/>
        <v>60</v>
      </c>
      <c r="CW124" s="14">
        <f t="shared" si="62"/>
        <v>60</v>
      </c>
      <c r="CX124" s="14">
        <f t="shared" si="63"/>
        <v>8</v>
      </c>
      <c r="CY124" s="14" t="str">
        <f t="shared" si="64"/>
        <v/>
      </c>
      <c r="CZ124" s="14">
        <f t="shared" si="65"/>
        <v>16</v>
      </c>
      <c r="DA124" s="14">
        <f t="shared" si="66"/>
        <v>35</v>
      </c>
      <c r="DB124" s="14">
        <f t="shared" si="67"/>
        <v>0</v>
      </c>
      <c r="DC124" s="14">
        <f t="shared" si="68"/>
        <v>130</v>
      </c>
      <c r="DD124" s="14">
        <f t="shared" si="69"/>
        <v>1.92</v>
      </c>
      <c r="DE124" s="14">
        <f t="shared" si="70"/>
        <v>0</v>
      </c>
      <c r="DF124" s="14">
        <f t="shared" si="71"/>
        <v>7.2</v>
      </c>
      <c r="DG124" s="14">
        <f t="shared" si="72"/>
        <v>7</v>
      </c>
      <c r="DH124" s="14">
        <f t="shared" si="73"/>
        <v>2</v>
      </c>
      <c r="DI124" s="14">
        <f t="shared" si="74"/>
        <v>12</v>
      </c>
      <c r="DL124" s="14">
        <f t="shared" si="56"/>
        <v>1</v>
      </c>
      <c r="DM124" s="14">
        <f t="shared" si="57"/>
        <v>3</v>
      </c>
      <c r="DN124" s="14" t="str">
        <f t="shared" si="75"/>
        <v>AtkExt</v>
      </c>
      <c r="DO124" s="14">
        <f t="shared" si="76"/>
        <v>35</v>
      </c>
      <c r="DP124" s="14">
        <f t="shared" si="77"/>
        <v>1.92</v>
      </c>
      <c r="DQ124" s="14" t="str">
        <f t="shared" si="78"/>
        <v>HPExt</v>
      </c>
      <c r="DR124" s="14">
        <f t="shared" si="79"/>
        <v>130</v>
      </c>
      <c r="DS124" s="14">
        <f t="shared" si="80"/>
        <v>7.2</v>
      </c>
      <c r="DT124" s="14">
        <f t="shared" si="81"/>
        <v>7</v>
      </c>
      <c r="DU124" s="14">
        <f t="shared" si="82"/>
        <v>2</v>
      </c>
      <c r="DV124" s="14">
        <f t="shared" si="83"/>
        <v>12</v>
      </c>
      <c r="DW124" s="29" t="s">
        <v>758</v>
      </c>
      <c r="DX124" s="14">
        <f t="shared" si="84"/>
        <v>50</v>
      </c>
      <c r="ET124" s="13">
        <v>120</v>
      </c>
      <c r="EU124" s="13">
        <f t="shared" si="85"/>
        <v>10</v>
      </c>
      <c r="EV124" s="13" t="str">
        <f t="shared" si="99"/>
        <v>80级守护灵洗练-12</v>
      </c>
      <c r="EW124" s="13">
        <f t="shared" si="100"/>
        <v>24</v>
      </c>
      <c r="EX124" s="13">
        <f t="shared" si="101"/>
        <v>12</v>
      </c>
      <c r="EY124" s="13">
        <f t="shared" si="89"/>
        <v>500</v>
      </c>
      <c r="EZ124" s="13" t="str">
        <f t="shared" si="102"/>
        <v>EffectResist</v>
      </c>
      <c r="FA124" s="13">
        <f t="shared" si="91"/>
        <v>1.7999999999999999E-2</v>
      </c>
      <c r="FB124" s="13">
        <f t="shared" si="103"/>
        <v>0.05</v>
      </c>
    </row>
    <row r="125" spans="71:158" ht="16.5" x14ac:dyDescent="0.2">
      <c r="CM125" s="13">
        <v>121</v>
      </c>
      <c r="CN125" s="14">
        <f t="shared" si="58"/>
        <v>16</v>
      </c>
      <c r="CO125" s="14">
        <f t="shared" si="59"/>
        <v>2</v>
      </c>
      <c r="CP125" s="14">
        <f t="shared" si="60"/>
        <v>1</v>
      </c>
      <c r="CQ125" s="14">
        <f t="shared" si="51"/>
        <v>2</v>
      </c>
      <c r="CR125" s="14">
        <f t="shared" si="52"/>
        <v>2023021</v>
      </c>
      <c r="CS125" s="13" t="str">
        <f t="shared" si="53"/>
        <v>60级守护灵紫色-武器</v>
      </c>
      <c r="CT125" s="14">
        <f t="shared" si="54"/>
        <v>2</v>
      </c>
      <c r="CU125" s="14">
        <f t="shared" si="55"/>
        <v>3</v>
      </c>
      <c r="CV125" s="14">
        <f t="shared" si="61"/>
        <v>60</v>
      </c>
      <c r="CW125" s="14">
        <f t="shared" si="62"/>
        <v>60</v>
      </c>
      <c r="CX125" s="14">
        <f t="shared" si="63"/>
        <v>1</v>
      </c>
      <c r="CY125" s="14" t="str">
        <f t="shared" si="64"/>
        <v/>
      </c>
      <c r="CZ125" s="14">
        <f t="shared" si="65"/>
        <v>28</v>
      </c>
      <c r="DA125" s="14">
        <f t="shared" si="66"/>
        <v>96</v>
      </c>
      <c r="DB125" s="14">
        <f t="shared" si="67"/>
        <v>0</v>
      </c>
      <c r="DC125" s="14">
        <f t="shared" si="68"/>
        <v>0</v>
      </c>
      <c r="DD125" s="14">
        <f t="shared" si="69"/>
        <v>5.76</v>
      </c>
      <c r="DE125" s="14">
        <f t="shared" si="70"/>
        <v>0</v>
      </c>
      <c r="DF125" s="14">
        <f t="shared" si="71"/>
        <v>0</v>
      </c>
      <c r="DG125" s="14">
        <f t="shared" si="72"/>
        <v>7</v>
      </c>
      <c r="DH125" s="14">
        <f t="shared" si="73"/>
        <v>2</v>
      </c>
      <c r="DI125" s="14">
        <f t="shared" si="74"/>
        <v>22</v>
      </c>
      <c r="DL125" s="14">
        <f t="shared" si="56"/>
        <v>1</v>
      </c>
      <c r="DM125" s="14">
        <f t="shared" si="57"/>
        <v>0</v>
      </c>
      <c r="DN125" s="14" t="str">
        <f t="shared" si="75"/>
        <v>AtkExt</v>
      </c>
      <c r="DO125" s="14">
        <f t="shared" si="76"/>
        <v>96</v>
      </c>
      <c r="DP125" s="14">
        <f t="shared" si="77"/>
        <v>5.76</v>
      </c>
      <c r="DQ125" s="14" t="str">
        <f t="shared" si="78"/>
        <v/>
      </c>
      <c r="DR125" s="14" t="str">
        <f t="shared" si="79"/>
        <v/>
      </c>
      <c r="DS125" s="14" t="str">
        <f t="shared" si="80"/>
        <v/>
      </c>
      <c r="DT125" s="14">
        <f t="shared" si="81"/>
        <v>7</v>
      </c>
      <c r="DU125" s="14">
        <f t="shared" si="82"/>
        <v>2</v>
      </c>
      <c r="DV125" s="14">
        <f t="shared" si="83"/>
        <v>22</v>
      </c>
      <c r="DW125" s="29" t="s">
        <v>758</v>
      </c>
      <c r="DX125" s="14">
        <f t="shared" si="84"/>
        <v>50</v>
      </c>
      <c r="ET125" s="13">
        <v>121</v>
      </c>
      <c r="EU125" s="13">
        <f t="shared" si="85"/>
        <v>11</v>
      </c>
      <c r="EV125" s="13" t="str">
        <f t="shared" si="99"/>
        <v>100级守护灵洗练-1</v>
      </c>
      <c r="EW125" s="13">
        <f t="shared" si="100"/>
        <v>25</v>
      </c>
      <c r="EX125" s="13">
        <f t="shared" si="101"/>
        <v>1</v>
      </c>
      <c r="EY125" s="13">
        <f t="shared" si="89"/>
        <v>1800</v>
      </c>
      <c r="EZ125" s="13" t="str">
        <f t="shared" si="102"/>
        <v>AtkExt</v>
      </c>
      <c r="FA125" s="13">
        <f t="shared" si="91"/>
        <v>228</v>
      </c>
      <c r="FB125" s="13">
        <f t="shared" si="103"/>
        <v>654</v>
      </c>
    </row>
    <row r="126" spans="71:158" ht="16.5" x14ac:dyDescent="0.2">
      <c r="CM126" s="13">
        <v>122</v>
      </c>
      <c r="CN126" s="14">
        <f t="shared" si="58"/>
        <v>16</v>
      </c>
      <c r="CO126" s="14">
        <f t="shared" si="59"/>
        <v>2</v>
      </c>
      <c r="CP126" s="14">
        <f t="shared" si="60"/>
        <v>2</v>
      </c>
      <c r="CQ126" s="14">
        <f t="shared" si="51"/>
        <v>2</v>
      </c>
      <c r="CR126" s="14">
        <f t="shared" si="52"/>
        <v>2023022</v>
      </c>
      <c r="CS126" s="13" t="str">
        <f t="shared" si="53"/>
        <v>60级守护灵紫色-头盔</v>
      </c>
      <c r="CT126" s="14">
        <f t="shared" si="54"/>
        <v>2</v>
      </c>
      <c r="CU126" s="14">
        <f t="shared" si="55"/>
        <v>3</v>
      </c>
      <c r="CV126" s="14">
        <f t="shared" si="61"/>
        <v>60</v>
      </c>
      <c r="CW126" s="14">
        <f t="shared" si="62"/>
        <v>60</v>
      </c>
      <c r="CX126" s="14">
        <f t="shared" si="63"/>
        <v>2</v>
      </c>
      <c r="CY126" s="14" t="str">
        <f t="shared" si="64"/>
        <v/>
      </c>
      <c r="CZ126" s="14">
        <f t="shared" si="65"/>
        <v>14</v>
      </c>
      <c r="DA126" s="14">
        <f t="shared" si="66"/>
        <v>0</v>
      </c>
      <c r="DB126" s="14">
        <f t="shared" si="67"/>
        <v>24</v>
      </c>
      <c r="DC126" s="14">
        <f t="shared" si="68"/>
        <v>0</v>
      </c>
      <c r="DD126" s="14">
        <f t="shared" si="69"/>
        <v>0</v>
      </c>
      <c r="DE126" s="14">
        <f t="shared" si="70"/>
        <v>1.44</v>
      </c>
      <c r="DF126" s="14">
        <f t="shared" si="71"/>
        <v>0</v>
      </c>
      <c r="DG126" s="14">
        <f t="shared" si="72"/>
        <v>7</v>
      </c>
      <c r="DH126" s="14">
        <f t="shared" si="73"/>
        <v>2</v>
      </c>
      <c r="DI126" s="14">
        <f t="shared" si="74"/>
        <v>22</v>
      </c>
      <c r="DL126" s="14">
        <f t="shared" si="56"/>
        <v>2</v>
      </c>
      <c r="DM126" s="14">
        <f t="shared" si="57"/>
        <v>0</v>
      </c>
      <c r="DN126" s="14" t="str">
        <f t="shared" si="75"/>
        <v>DefExt</v>
      </c>
      <c r="DO126" s="14">
        <f t="shared" si="76"/>
        <v>24</v>
      </c>
      <c r="DP126" s="14">
        <f t="shared" si="77"/>
        <v>1.44</v>
      </c>
      <c r="DQ126" s="14" t="str">
        <f t="shared" si="78"/>
        <v/>
      </c>
      <c r="DR126" s="14" t="str">
        <f t="shared" si="79"/>
        <v/>
      </c>
      <c r="DS126" s="14" t="str">
        <f t="shared" si="80"/>
        <v/>
      </c>
      <c r="DT126" s="14">
        <f t="shared" si="81"/>
        <v>7</v>
      </c>
      <c r="DU126" s="14">
        <f t="shared" si="82"/>
        <v>2</v>
      </c>
      <c r="DV126" s="14">
        <f t="shared" si="83"/>
        <v>22</v>
      </c>
      <c r="DW126" s="29" t="s">
        <v>758</v>
      </c>
      <c r="DX126" s="14">
        <f t="shared" si="84"/>
        <v>50</v>
      </c>
      <c r="ET126" s="13">
        <v>122</v>
      </c>
      <c r="EU126" s="13">
        <f t="shared" si="85"/>
        <v>11</v>
      </c>
      <c r="EV126" s="13" t="str">
        <f t="shared" si="99"/>
        <v>100级守护灵洗练-2</v>
      </c>
      <c r="EW126" s="13">
        <f t="shared" si="100"/>
        <v>25</v>
      </c>
      <c r="EX126" s="13">
        <f t="shared" si="101"/>
        <v>2</v>
      </c>
      <c r="EY126" s="13">
        <f t="shared" si="89"/>
        <v>1800</v>
      </c>
      <c r="EZ126" s="13" t="str">
        <f t="shared" si="102"/>
        <v>DefExt</v>
      </c>
      <c r="FA126" s="13">
        <f t="shared" si="91"/>
        <v>95</v>
      </c>
      <c r="FB126" s="13">
        <f t="shared" si="103"/>
        <v>272</v>
      </c>
    </row>
    <row r="127" spans="71:158" ht="16.5" x14ac:dyDescent="0.2">
      <c r="CM127" s="13">
        <v>123</v>
      </c>
      <c r="CN127" s="14">
        <f t="shared" si="58"/>
        <v>16</v>
      </c>
      <c r="CO127" s="14">
        <f t="shared" si="59"/>
        <v>2</v>
      </c>
      <c r="CP127" s="14">
        <f t="shared" si="60"/>
        <v>3</v>
      </c>
      <c r="CQ127" s="14">
        <f t="shared" si="51"/>
        <v>2</v>
      </c>
      <c r="CR127" s="14">
        <f t="shared" si="52"/>
        <v>2023023</v>
      </c>
      <c r="CS127" s="13" t="str">
        <f t="shared" si="53"/>
        <v>60级守护灵紫色-肩甲</v>
      </c>
      <c r="CT127" s="14">
        <f t="shared" si="54"/>
        <v>2</v>
      </c>
      <c r="CU127" s="14">
        <f t="shared" si="55"/>
        <v>3</v>
      </c>
      <c r="CV127" s="14">
        <f t="shared" si="61"/>
        <v>60</v>
      </c>
      <c r="CW127" s="14">
        <f t="shared" si="62"/>
        <v>60</v>
      </c>
      <c r="CX127" s="14">
        <f t="shared" si="63"/>
        <v>3</v>
      </c>
      <c r="CY127" s="14" t="str">
        <f t="shared" si="64"/>
        <v/>
      </c>
      <c r="CZ127" s="14">
        <f t="shared" si="65"/>
        <v>17</v>
      </c>
      <c r="DA127" s="14">
        <f t="shared" si="66"/>
        <v>0</v>
      </c>
      <c r="DB127" s="14">
        <f t="shared" si="67"/>
        <v>12</v>
      </c>
      <c r="DC127" s="14">
        <f t="shared" si="68"/>
        <v>180</v>
      </c>
      <c r="DD127" s="14">
        <f t="shared" si="69"/>
        <v>0</v>
      </c>
      <c r="DE127" s="14">
        <f t="shared" si="70"/>
        <v>0.72</v>
      </c>
      <c r="DF127" s="14">
        <f t="shared" si="71"/>
        <v>10.199999999999999</v>
      </c>
      <c r="DG127" s="14">
        <f t="shared" si="72"/>
        <v>7</v>
      </c>
      <c r="DH127" s="14">
        <f t="shared" si="73"/>
        <v>2</v>
      </c>
      <c r="DI127" s="14">
        <f t="shared" si="74"/>
        <v>22</v>
      </c>
      <c r="DL127" s="14">
        <f t="shared" si="56"/>
        <v>2</v>
      </c>
      <c r="DM127" s="14">
        <f t="shared" si="57"/>
        <v>3</v>
      </c>
      <c r="DN127" s="14" t="str">
        <f t="shared" si="75"/>
        <v>DefExt</v>
      </c>
      <c r="DO127" s="14">
        <f t="shared" si="76"/>
        <v>12</v>
      </c>
      <c r="DP127" s="14">
        <f t="shared" si="77"/>
        <v>0.72</v>
      </c>
      <c r="DQ127" s="14" t="str">
        <f t="shared" si="78"/>
        <v>HPExt</v>
      </c>
      <c r="DR127" s="14">
        <f t="shared" si="79"/>
        <v>180</v>
      </c>
      <c r="DS127" s="14">
        <f t="shared" si="80"/>
        <v>10.199999999999999</v>
      </c>
      <c r="DT127" s="14">
        <f t="shared" si="81"/>
        <v>7</v>
      </c>
      <c r="DU127" s="14">
        <f t="shared" si="82"/>
        <v>2</v>
      </c>
      <c r="DV127" s="14">
        <f t="shared" si="83"/>
        <v>22</v>
      </c>
      <c r="DW127" s="29" t="s">
        <v>758</v>
      </c>
      <c r="DX127" s="14">
        <f t="shared" si="84"/>
        <v>50</v>
      </c>
      <c r="ET127" s="13">
        <v>123</v>
      </c>
      <c r="EU127" s="13">
        <f t="shared" si="85"/>
        <v>11</v>
      </c>
      <c r="EV127" s="13" t="str">
        <f t="shared" si="99"/>
        <v>100级守护灵洗练-3</v>
      </c>
      <c r="EW127" s="13">
        <f t="shared" si="100"/>
        <v>25</v>
      </c>
      <c r="EX127" s="13">
        <f t="shared" si="101"/>
        <v>3</v>
      </c>
      <c r="EY127" s="13">
        <f t="shared" si="89"/>
        <v>2000</v>
      </c>
      <c r="EZ127" s="13" t="str">
        <f t="shared" si="102"/>
        <v>HPExt</v>
      </c>
      <c r="FA127" s="13">
        <f t="shared" si="91"/>
        <v>1017</v>
      </c>
      <c r="FB127" s="13">
        <f t="shared" si="103"/>
        <v>2907</v>
      </c>
    </row>
    <row r="128" spans="71:158" ht="16.5" x14ac:dyDescent="0.2">
      <c r="CM128" s="13">
        <v>124</v>
      </c>
      <c r="CN128" s="14">
        <f t="shared" si="58"/>
        <v>16</v>
      </c>
      <c r="CO128" s="14">
        <f t="shared" si="59"/>
        <v>2</v>
      </c>
      <c r="CP128" s="14">
        <f t="shared" si="60"/>
        <v>4</v>
      </c>
      <c r="CQ128" s="14">
        <f t="shared" si="51"/>
        <v>2</v>
      </c>
      <c r="CR128" s="14">
        <f t="shared" si="52"/>
        <v>2023024</v>
      </c>
      <c r="CS128" s="13" t="str">
        <f t="shared" si="53"/>
        <v>60级守护灵紫色-衣服</v>
      </c>
      <c r="CT128" s="14">
        <f t="shared" si="54"/>
        <v>2</v>
      </c>
      <c r="CU128" s="14">
        <f t="shared" si="55"/>
        <v>3</v>
      </c>
      <c r="CV128" s="14">
        <f t="shared" si="61"/>
        <v>60</v>
      </c>
      <c r="CW128" s="14">
        <f t="shared" si="62"/>
        <v>60</v>
      </c>
      <c r="CX128" s="14">
        <f t="shared" si="63"/>
        <v>4</v>
      </c>
      <c r="CY128" s="14" t="str">
        <f t="shared" si="64"/>
        <v/>
      </c>
      <c r="CZ128" s="14">
        <f t="shared" si="65"/>
        <v>14</v>
      </c>
      <c r="DA128" s="14">
        <f t="shared" si="66"/>
        <v>0</v>
      </c>
      <c r="DB128" s="14">
        <f t="shared" si="67"/>
        <v>24</v>
      </c>
      <c r="DC128" s="14">
        <f t="shared" si="68"/>
        <v>0</v>
      </c>
      <c r="DD128" s="14">
        <f t="shared" si="69"/>
        <v>0</v>
      </c>
      <c r="DE128" s="14">
        <f t="shared" si="70"/>
        <v>1.44</v>
      </c>
      <c r="DF128" s="14">
        <f t="shared" si="71"/>
        <v>0</v>
      </c>
      <c r="DG128" s="14">
        <f t="shared" si="72"/>
        <v>7</v>
      </c>
      <c r="DH128" s="14">
        <f t="shared" si="73"/>
        <v>2</v>
      </c>
      <c r="DI128" s="14">
        <f t="shared" si="74"/>
        <v>22</v>
      </c>
      <c r="DL128" s="14">
        <f t="shared" si="56"/>
        <v>2</v>
      </c>
      <c r="DM128" s="14">
        <f t="shared" si="57"/>
        <v>0</v>
      </c>
      <c r="DN128" s="14" t="str">
        <f t="shared" si="75"/>
        <v>DefExt</v>
      </c>
      <c r="DO128" s="14">
        <f t="shared" si="76"/>
        <v>24</v>
      </c>
      <c r="DP128" s="14">
        <f t="shared" si="77"/>
        <v>1.44</v>
      </c>
      <c r="DQ128" s="14" t="str">
        <f t="shared" si="78"/>
        <v/>
      </c>
      <c r="DR128" s="14" t="str">
        <f t="shared" si="79"/>
        <v/>
      </c>
      <c r="DS128" s="14" t="str">
        <f t="shared" si="80"/>
        <v/>
      </c>
      <c r="DT128" s="14">
        <f t="shared" si="81"/>
        <v>7</v>
      </c>
      <c r="DU128" s="14">
        <f t="shared" si="82"/>
        <v>2</v>
      </c>
      <c r="DV128" s="14">
        <f t="shared" si="83"/>
        <v>22</v>
      </c>
      <c r="DW128" s="29" t="s">
        <v>758</v>
      </c>
      <c r="DX128" s="14">
        <f t="shared" si="84"/>
        <v>50</v>
      </c>
      <c r="ET128" s="13">
        <v>124</v>
      </c>
      <c r="EU128" s="13">
        <f t="shared" si="85"/>
        <v>11</v>
      </c>
      <c r="EV128" s="13" t="str">
        <f t="shared" si="99"/>
        <v>100级守护灵洗练-4</v>
      </c>
      <c r="EW128" s="13">
        <f t="shared" si="100"/>
        <v>25</v>
      </c>
      <c r="EX128" s="13">
        <f t="shared" si="101"/>
        <v>4</v>
      </c>
      <c r="EY128" s="13">
        <f t="shared" si="89"/>
        <v>500</v>
      </c>
      <c r="EZ128" s="13" t="str">
        <f t="shared" si="102"/>
        <v>AtkRate</v>
      </c>
      <c r="FA128" s="13">
        <f t="shared" si="91"/>
        <v>1.4E-2</v>
      </c>
      <c r="FB128" s="13">
        <f t="shared" si="103"/>
        <v>0.04</v>
      </c>
    </row>
    <row r="129" spans="91:158" ht="16.5" x14ac:dyDescent="0.2">
      <c r="CM129" s="13">
        <v>125</v>
      </c>
      <c r="CN129" s="14">
        <f t="shared" si="58"/>
        <v>16</v>
      </c>
      <c r="CO129" s="14">
        <f t="shared" si="59"/>
        <v>2</v>
      </c>
      <c r="CP129" s="14">
        <f t="shared" si="60"/>
        <v>5</v>
      </c>
      <c r="CQ129" s="14">
        <f t="shared" si="51"/>
        <v>2</v>
      </c>
      <c r="CR129" s="14">
        <f t="shared" si="52"/>
        <v>2023025</v>
      </c>
      <c r="CS129" s="13" t="str">
        <f t="shared" si="53"/>
        <v>60级守护灵紫色-鞋子</v>
      </c>
      <c r="CT129" s="14">
        <f t="shared" si="54"/>
        <v>2</v>
      </c>
      <c r="CU129" s="14">
        <f t="shared" si="55"/>
        <v>3</v>
      </c>
      <c r="CV129" s="14">
        <f t="shared" si="61"/>
        <v>60</v>
      </c>
      <c r="CW129" s="14">
        <f t="shared" si="62"/>
        <v>60</v>
      </c>
      <c r="CX129" s="14">
        <f t="shared" si="63"/>
        <v>5</v>
      </c>
      <c r="CY129" s="14" t="str">
        <f t="shared" si="64"/>
        <v/>
      </c>
      <c r="CZ129" s="14">
        <f t="shared" si="65"/>
        <v>20</v>
      </c>
      <c r="DA129" s="14">
        <f t="shared" si="66"/>
        <v>0</v>
      </c>
      <c r="DB129" s="14">
        <f t="shared" si="67"/>
        <v>0</v>
      </c>
      <c r="DC129" s="14">
        <f t="shared" si="68"/>
        <v>360</v>
      </c>
      <c r="DD129" s="14">
        <f t="shared" si="69"/>
        <v>0</v>
      </c>
      <c r="DE129" s="14">
        <f t="shared" si="70"/>
        <v>0</v>
      </c>
      <c r="DF129" s="14">
        <f t="shared" si="71"/>
        <v>20.399999999999999</v>
      </c>
      <c r="DG129" s="14">
        <f t="shared" si="72"/>
        <v>7</v>
      </c>
      <c r="DH129" s="14">
        <f t="shared" si="73"/>
        <v>2</v>
      </c>
      <c r="DI129" s="14">
        <f t="shared" si="74"/>
        <v>22</v>
      </c>
      <c r="DL129" s="14">
        <f t="shared" si="56"/>
        <v>3</v>
      </c>
      <c r="DM129" s="14">
        <f t="shared" si="57"/>
        <v>0</v>
      </c>
      <c r="DN129" s="14" t="str">
        <f t="shared" si="75"/>
        <v>HPExt</v>
      </c>
      <c r="DO129" s="14">
        <f t="shared" si="76"/>
        <v>360</v>
      </c>
      <c r="DP129" s="14">
        <f t="shared" si="77"/>
        <v>20.399999999999999</v>
      </c>
      <c r="DQ129" s="14" t="str">
        <f t="shared" si="78"/>
        <v/>
      </c>
      <c r="DR129" s="14" t="str">
        <f t="shared" si="79"/>
        <v/>
      </c>
      <c r="DS129" s="14" t="str">
        <f t="shared" si="80"/>
        <v/>
      </c>
      <c r="DT129" s="14">
        <f t="shared" si="81"/>
        <v>7</v>
      </c>
      <c r="DU129" s="14">
        <f t="shared" si="82"/>
        <v>2</v>
      </c>
      <c r="DV129" s="14">
        <f t="shared" si="83"/>
        <v>22</v>
      </c>
      <c r="DW129" s="29" t="s">
        <v>758</v>
      </c>
      <c r="DX129" s="14">
        <f t="shared" si="84"/>
        <v>50</v>
      </c>
      <c r="ET129" s="13">
        <v>125</v>
      </c>
      <c r="EU129" s="13">
        <f t="shared" si="85"/>
        <v>11</v>
      </c>
      <c r="EV129" s="13" t="str">
        <f t="shared" si="99"/>
        <v>100级守护灵洗练-5</v>
      </c>
      <c r="EW129" s="13">
        <f t="shared" si="100"/>
        <v>25</v>
      </c>
      <c r="EX129" s="13">
        <f t="shared" si="101"/>
        <v>5</v>
      </c>
      <c r="EY129" s="13">
        <f t="shared" si="89"/>
        <v>400</v>
      </c>
      <c r="EZ129" s="13" t="str">
        <f t="shared" si="102"/>
        <v>DefRate</v>
      </c>
      <c r="FA129" s="13">
        <f t="shared" si="91"/>
        <v>1.4E-2</v>
      </c>
      <c r="FB129" s="13">
        <f t="shared" si="103"/>
        <v>0.04</v>
      </c>
    </row>
    <row r="130" spans="91:158" ht="16.5" x14ac:dyDescent="0.2">
      <c r="CM130" s="13">
        <v>126</v>
      </c>
      <c r="CN130" s="14">
        <f t="shared" si="58"/>
        <v>16</v>
      </c>
      <c r="CO130" s="14">
        <f t="shared" si="59"/>
        <v>2</v>
      </c>
      <c r="CP130" s="14">
        <f t="shared" si="60"/>
        <v>6</v>
      </c>
      <c r="CQ130" s="14">
        <f t="shared" si="51"/>
        <v>2</v>
      </c>
      <c r="CR130" s="14">
        <f t="shared" si="52"/>
        <v>2023026</v>
      </c>
      <c r="CS130" s="13" t="str">
        <f t="shared" si="53"/>
        <v>60级守护灵紫色-护手</v>
      </c>
      <c r="CT130" s="14">
        <f t="shared" si="54"/>
        <v>2</v>
      </c>
      <c r="CU130" s="14">
        <f t="shared" si="55"/>
        <v>3</v>
      </c>
      <c r="CV130" s="14">
        <f t="shared" si="61"/>
        <v>60</v>
      </c>
      <c r="CW130" s="14">
        <f t="shared" si="62"/>
        <v>60</v>
      </c>
      <c r="CX130" s="14">
        <f t="shared" si="63"/>
        <v>6</v>
      </c>
      <c r="CY130" s="14" t="str">
        <f t="shared" si="64"/>
        <v/>
      </c>
      <c r="CZ130" s="14">
        <f t="shared" si="65"/>
        <v>20</v>
      </c>
      <c r="DA130" s="14">
        <f t="shared" si="66"/>
        <v>0</v>
      </c>
      <c r="DB130" s="14">
        <f t="shared" si="67"/>
        <v>0</v>
      </c>
      <c r="DC130" s="14">
        <f t="shared" si="68"/>
        <v>360</v>
      </c>
      <c r="DD130" s="14">
        <f t="shared" si="69"/>
        <v>0</v>
      </c>
      <c r="DE130" s="14">
        <f t="shared" si="70"/>
        <v>0</v>
      </c>
      <c r="DF130" s="14">
        <f t="shared" si="71"/>
        <v>20.399999999999999</v>
      </c>
      <c r="DG130" s="14">
        <f t="shared" si="72"/>
        <v>7</v>
      </c>
      <c r="DH130" s="14">
        <f t="shared" si="73"/>
        <v>2</v>
      </c>
      <c r="DI130" s="14">
        <f t="shared" si="74"/>
        <v>22</v>
      </c>
      <c r="DL130" s="14">
        <f t="shared" si="56"/>
        <v>3</v>
      </c>
      <c r="DM130" s="14">
        <f t="shared" si="57"/>
        <v>0</v>
      </c>
      <c r="DN130" s="14" t="str">
        <f t="shared" si="75"/>
        <v>HPExt</v>
      </c>
      <c r="DO130" s="14">
        <f t="shared" si="76"/>
        <v>360</v>
      </c>
      <c r="DP130" s="14">
        <f t="shared" si="77"/>
        <v>20.399999999999999</v>
      </c>
      <c r="DQ130" s="14" t="str">
        <f t="shared" si="78"/>
        <v/>
      </c>
      <c r="DR130" s="14" t="str">
        <f t="shared" si="79"/>
        <v/>
      </c>
      <c r="DS130" s="14" t="str">
        <f t="shared" si="80"/>
        <v/>
      </c>
      <c r="DT130" s="14">
        <f t="shared" si="81"/>
        <v>7</v>
      </c>
      <c r="DU130" s="14">
        <f t="shared" si="82"/>
        <v>2</v>
      </c>
      <c r="DV130" s="14">
        <f t="shared" si="83"/>
        <v>22</v>
      </c>
      <c r="DW130" s="29" t="s">
        <v>758</v>
      </c>
      <c r="DX130" s="14">
        <f t="shared" si="84"/>
        <v>50</v>
      </c>
      <c r="ET130" s="13">
        <v>126</v>
      </c>
      <c r="EU130" s="13">
        <f t="shared" si="85"/>
        <v>11</v>
      </c>
      <c r="EV130" s="13" t="str">
        <f t="shared" si="99"/>
        <v>100级守护灵洗练-6</v>
      </c>
      <c r="EW130" s="13">
        <f t="shared" si="100"/>
        <v>25</v>
      </c>
      <c r="EX130" s="13">
        <f t="shared" si="101"/>
        <v>6</v>
      </c>
      <c r="EY130" s="13">
        <f t="shared" si="89"/>
        <v>500</v>
      </c>
      <c r="EZ130" s="13" t="str">
        <f t="shared" si="102"/>
        <v>HPRate</v>
      </c>
      <c r="FA130" s="13">
        <f t="shared" si="91"/>
        <v>1.4E-2</v>
      </c>
      <c r="FB130" s="13">
        <f t="shared" si="103"/>
        <v>0.04</v>
      </c>
    </row>
    <row r="131" spans="91:158" ht="16.5" x14ac:dyDescent="0.2">
      <c r="CM131" s="13">
        <v>127</v>
      </c>
      <c r="CN131" s="14">
        <f t="shared" si="58"/>
        <v>16</v>
      </c>
      <c r="CO131" s="14">
        <f t="shared" si="59"/>
        <v>2</v>
      </c>
      <c r="CP131" s="14">
        <f t="shared" si="60"/>
        <v>7</v>
      </c>
      <c r="CQ131" s="14">
        <f t="shared" si="51"/>
        <v>2</v>
      </c>
      <c r="CR131" s="14">
        <f t="shared" si="52"/>
        <v>2023027</v>
      </c>
      <c r="CS131" s="13" t="str">
        <f t="shared" si="53"/>
        <v>60级守护灵紫色-项链</v>
      </c>
      <c r="CT131" s="14">
        <f t="shared" si="54"/>
        <v>2</v>
      </c>
      <c r="CU131" s="14">
        <f t="shared" si="55"/>
        <v>3</v>
      </c>
      <c r="CV131" s="14">
        <f t="shared" si="61"/>
        <v>60</v>
      </c>
      <c r="CW131" s="14">
        <f t="shared" si="62"/>
        <v>60</v>
      </c>
      <c r="CX131" s="14">
        <f t="shared" si="63"/>
        <v>7</v>
      </c>
      <c r="CY131" s="14" t="str">
        <f t="shared" si="64"/>
        <v/>
      </c>
      <c r="CZ131" s="14">
        <f t="shared" si="65"/>
        <v>21</v>
      </c>
      <c r="DA131" s="14">
        <f t="shared" si="66"/>
        <v>32</v>
      </c>
      <c r="DB131" s="14">
        <f t="shared" si="67"/>
        <v>20</v>
      </c>
      <c r="DC131" s="14">
        <f t="shared" si="68"/>
        <v>0</v>
      </c>
      <c r="DD131" s="14">
        <f t="shared" si="69"/>
        <v>1.92</v>
      </c>
      <c r="DE131" s="14">
        <f t="shared" si="70"/>
        <v>1.2</v>
      </c>
      <c r="DF131" s="14">
        <f t="shared" si="71"/>
        <v>0</v>
      </c>
      <c r="DG131" s="14">
        <f t="shared" si="72"/>
        <v>7</v>
      </c>
      <c r="DH131" s="14">
        <f t="shared" si="73"/>
        <v>2</v>
      </c>
      <c r="DI131" s="14">
        <f t="shared" si="74"/>
        <v>22</v>
      </c>
      <c r="DL131" s="14">
        <f t="shared" si="56"/>
        <v>1</v>
      </c>
      <c r="DM131" s="14">
        <f t="shared" si="57"/>
        <v>2</v>
      </c>
      <c r="DN131" s="14" t="str">
        <f t="shared" si="75"/>
        <v>AtkExt</v>
      </c>
      <c r="DO131" s="14">
        <f t="shared" si="76"/>
        <v>32</v>
      </c>
      <c r="DP131" s="14">
        <f t="shared" si="77"/>
        <v>1.92</v>
      </c>
      <c r="DQ131" s="14" t="str">
        <f t="shared" si="78"/>
        <v>DefExt</v>
      </c>
      <c r="DR131" s="14">
        <f t="shared" si="79"/>
        <v>20</v>
      </c>
      <c r="DS131" s="14">
        <f t="shared" si="80"/>
        <v>1.2</v>
      </c>
      <c r="DT131" s="14">
        <f t="shared" si="81"/>
        <v>7</v>
      </c>
      <c r="DU131" s="14">
        <f t="shared" si="82"/>
        <v>2</v>
      </c>
      <c r="DV131" s="14">
        <f t="shared" si="83"/>
        <v>22</v>
      </c>
      <c r="DW131" s="29" t="s">
        <v>758</v>
      </c>
      <c r="DX131" s="14">
        <f t="shared" si="84"/>
        <v>50</v>
      </c>
      <c r="ET131" s="13">
        <v>127</v>
      </c>
      <c r="EU131" s="13">
        <f t="shared" si="85"/>
        <v>11</v>
      </c>
      <c r="EV131" s="13" t="str">
        <f t="shared" si="99"/>
        <v>100级守护灵洗练-7</v>
      </c>
      <c r="EW131" s="13">
        <f t="shared" si="100"/>
        <v>25</v>
      </c>
      <c r="EX131" s="13">
        <f t="shared" si="101"/>
        <v>7</v>
      </c>
      <c r="EY131" s="13">
        <f t="shared" si="89"/>
        <v>500</v>
      </c>
      <c r="EZ131" s="13" t="str">
        <f t="shared" si="102"/>
        <v>Crit</v>
      </c>
      <c r="FA131" s="13">
        <f t="shared" si="91"/>
        <v>1.0999999999999999E-2</v>
      </c>
      <c r="FB131" s="13">
        <f t="shared" si="103"/>
        <v>0.03</v>
      </c>
    </row>
    <row r="132" spans="91:158" ht="16.5" x14ac:dyDescent="0.2">
      <c r="CM132" s="13">
        <v>128</v>
      </c>
      <c r="CN132" s="14">
        <f t="shared" si="58"/>
        <v>16</v>
      </c>
      <c r="CO132" s="14">
        <f t="shared" si="59"/>
        <v>2</v>
      </c>
      <c r="CP132" s="14">
        <f t="shared" si="60"/>
        <v>8</v>
      </c>
      <c r="CQ132" s="14">
        <f t="shared" si="51"/>
        <v>2</v>
      </c>
      <c r="CR132" s="14">
        <f t="shared" si="52"/>
        <v>2023028</v>
      </c>
      <c r="CS132" s="13" t="str">
        <f t="shared" si="53"/>
        <v>60级守护灵紫色-戒指</v>
      </c>
      <c r="CT132" s="14">
        <f t="shared" si="54"/>
        <v>2</v>
      </c>
      <c r="CU132" s="14">
        <f t="shared" si="55"/>
        <v>3</v>
      </c>
      <c r="CV132" s="14">
        <f t="shared" si="61"/>
        <v>60</v>
      </c>
      <c r="CW132" s="14">
        <f t="shared" si="62"/>
        <v>60</v>
      </c>
      <c r="CX132" s="14">
        <f t="shared" si="63"/>
        <v>8</v>
      </c>
      <c r="CY132" s="14" t="str">
        <f t="shared" si="64"/>
        <v/>
      </c>
      <c r="CZ132" s="14">
        <f t="shared" si="65"/>
        <v>26</v>
      </c>
      <c r="DA132" s="14">
        <f t="shared" si="66"/>
        <v>32</v>
      </c>
      <c r="DB132" s="14">
        <f t="shared" si="67"/>
        <v>0</v>
      </c>
      <c r="DC132" s="14">
        <f t="shared" si="68"/>
        <v>300</v>
      </c>
      <c r="DD132" s="14">
        <f t="shared" si="69"/>
        <v>1.92</v>
      </c>
      <c r="DE132" s="14">
        <f t="shared" si="70"/>
        <v>0</v>
      </c>
      <c r="DF132" s="14">
        <f t="shared" si="71"/>
        <v>17</v>
      </c>
      <c r="DG132" s="14">
        <f t="shared" si="72"/>
        <v>7</v>
      </c>
      <c r="DH132" s="14">
        <f t="shared" si="73"/>
        <v>2</v>
      </c>
      <c r="DI132" s="14">
        <f t="shared" si="74"/>
        <v>22</v>
      </c>
      <c r="DL132" s="14">
        <f t="shared" si="56"/>
        <v>1</v>
      </c>
      <c r="DM132" s="14">
        <f t="shared" si="57"/>
        <v>3</v>
      </c>
      <c r="DN132" s="14" t="str">
        <f t="shared" si="75"/>
        <v>AtkExt</v>
      </c>
      <c r="DO132" s="14">
        <f t="shared" si="76"/>
        <v>32</v>
      </c>
      <c r="DP132" s="14">
        <f t="shared" si="77"/>
        <v>1.92</v>
      </c>
      <c r="DQ132" s="14" t="str">
        <f t="shared" si="78"/>
        <v>HPExt</v>
      </c>
      <c r="DR132" s="14">
        <f t="shared" si="79"/>
        <v>300</v>
      </c>
      <c r="DS132" s="14">
        <f t="shared" si="80"/>
        <v>17</v>
      </c>
      <c r="DT132" s="14">
        <f t="shared" si="81"/>
        <v>7</v>
      </c>
      <c r="DU132" s="14">
        <f t="shared" si="82"/>
        <v>2</v>
      </c>
      <c r="DV132" s="14">
        <f t="shared" si="83"/>
        <v>22</v>
      </c>
      <c r="DW132" s="29" t="s">
        <v>758</v>
      </c>
      <c r="DX132" s="14">
        <f t="shared" si="84"/>
        <v>50</v>
      </c>
      <c r="ET132" s="13">
        <v>128</v>
      </c>
      <c r="EU132" s="13">
        <f t="shared" si="85"/>
        <v>11</v>
      </c>
      <c r="EV132" s="13" t="str">
        <f t="shared" si="99"/>
        <v>100级守护灵洗练-8</v>
      </c>
      <c r="EW132" s="13">
        <f t="shared" si="100"/>
        <v>25</v>
      </c>
      <c r="EX132" s="13">
        <f t="shared" si="101"/>
        <v>8</v>
      </c>
      <c r="EY132" s="13">
        <f t="shared" si="89"/>
        <v>500</v>
      </c>
      <c r="EZ132" s="13" t="str">
        <f t="shared" si="102"/>
        <v>CritRate</v>
      </c>
      <c r="FA132" s="13">
        <f t="shared" si="91"/>
        <v>2.8000000000000001E-2</v>
      </c>
      <c r="FB132" s="13">
        <f t="shared" si="103"/>
        <v>0.08</v>
      </c>
    </row>
    <row r="133" spans="91:158" ht="16.5" x14ac:dyDescent="0.2">
      <c r="CM133" s="13">
        <v>129</v>
      </c>
      <c r="CN133" s="14">
        <f t="shared" si="58"/>
        <v>17</v>
      </c>
      <c r="CO133" s="14">
        <f t="shared" si="59"/>
        <v>1</v>
      </c>
      <c r="CP133" s="14">
        <f t="shared" si="60"/>
        <v>1</v>
      </c>
      <c r="CQ133" s="14">
        <f t="shared" ref="CQ133:CQ196" si="104">INDEX($BS$6:$BS$81,CN133)</f>
        <v>2</v>
      </c>
      <c r="CR133" s="14">
        <f t="shared" ref="CR133:CR196" si="105">INDEX($BX$6:$BX$81,CN133)+CX133</f>
        <v>2024011</v>
      </c>
      <c r="CS133" s="13" t="str">
        <f t="shared" ref="CS133:CS196" si="106">INDEX($BY$6:$BY$81,CN133)&amp;"-"&amp;INDEX($CC$3:$CJ$3,CX133)</f>
        <v>60级寄灵人橙色-武器</v>
      </c>
      <c r="CT133" s="14">
        <f t="shared" ref="CT133:CT196" si="107">INDEX($BV$6:$BV$81,CN133)</f>
        <v>1</v>
      </c>
      <c r="CU133" s="14">
        <f t="shared" ref="CU133:CU196" si="108">INDEX($BU$6:$BU$81,CN133)</f>
        <v>4</v>
      </c>
      <c r="CV133" s="14">
        <f t="shared" si="61"/>
        <v>60</v>
      </c>
      <c r="CW133" s="14">
        <f t="shared" si="62"/>
        <v>60</v>
      </c>
      <c r="CX133" s="14">
        <f t="shared" si="63"/>
        <v>1</v>
      </c>
      <c r="CY133" s="14" t="str">
        <f t="shared" si="64"/>
        <v/>
      </c>
      <c r="CZ133" s="14">
        <f t="shared" si="65"/>
        <v>36</v>
      </c>
      <c r="DA133" s="14">
        <f t="shared" si="66"/>
        <v>132</v>
      </c>
      <c r="DB133" s="14">
        <f t="shared" si="67"/>
        <v>0</v>
      </c>
      <c r="DC133" s="14">
        <f t="shared" si="68"/>
        <v>0</v>
      </c>
      <c r="DD133" s="14">
        <f t="shared" si="69"/>
        <v>7.2</v>
      </c>
      <c r="DE133" s="14">
        <f t="shared" si="70"/>
        <v>0</v>
      </c>
      <c r="DF133" s="14">
        <f t="shared" si="71"/>
        <v>0</v>
      </c>
      <c r="DG133" s="14">
        <f t="shared" si="72"/>
        <v>8</v>
      </c>
      <c r="DH133" s="14">
        <f t="shared" si="73"/>
        <v>3</v>
      </c>
      <c r="DI133" s="14">
        <f t="shared" si="74"/>
        <v>12</v>
      </c>
      <c r="DL133" s="14">
        <f t="shared" ref="DL133:DL196" si="109">INDEX(AF$5:AF$12,$CX133)</f>
        <v>1</v>
      </c>
      <c r="DM133" s="14">
        <f t="shared" ref="DM133:DM196" si="110">INDEX(AG$5:AG$12,$CX133)</f>
        <v>0</v>
      </c>
      <c r="DN133" s="14" t="str">
        <f t="shared" si="75"/>
        <v>AtkExt</v>
      </c>
      <c r="DO133" s="14">
        <f t="shared" si="76"/>
        <v>132</v>
      </c>
      <c r="DP133" s="14">
        <f t="shared" si="77"/>
        <v>7.2</v>
      </c>
      <c r="DQ133" s="14" t="str">
        <f t="shared" si="78"/>
        <v/>
      </c>
      <c r="DR133" s="14" t="str">
        <f t="shared" si="79"/>
        <v/>
      </c>
      <c r="DS133" s="14" t="str">
        <f t="shared" si="80"/>
        <v/>
      </c>
      <c r="DT133" s="14">
        <f t="shared" si="81"/>
        <v>8</v>
      </c>
      <c r="DU133" s="14">
        <f t="shared" si="82"/>
        <v>3</v>
      </c>
      <c r="DV133" s="14">
        <f t="shared" si="83"/>
        <v>12</v>
      </c>
      <c r="DW133" s="29" t="s">
        <v>758</v>
      </c>
      <c r="DX133" s="14">
        <f t="shared" si="84"/>
        <v>100</v>
      </c>
      <c r="ET133" s="13">
        <v>129</v>
      </c>
      <c r="EU133" s="13">
        <f t="shared" si="85"/>
        <v>11</v>
      </c>
      <c r="EV133" s="13" t="str">
        <f t="shared" si="99"/>
        <v>100级守护灵洗练-9</v>
      </c>
      <c r="EW133" s="13">
        <f t="shared" si="100"/>
        <v>25</v>
      </c>
      <c r="EX133" s="13">
        <f t="shared" si="101"/>
        <v>9</v>
      </c>
      <c r="EY133" s="13">
        <f t="shared" si="89"/>
        <v>500</v>
      </c>
      <c r="EZ133" s="13" t="str">
        <f t="shared" si="102"/>
        <v>DefIgnor</v>
      </c>
      <c r="FA133" s="13">
        <f t="shared" si="91"/>
        <v>1.0999999999999999E-2</v>
      </c>
      <c r="FB133" s="13">
        <f t="shared" si="103"/>
        <v>0.03</v>
      </c>
    </row>
    <row r="134" spans="91:158" ht="16.5" x14ac:dyDescent="0.2">
      <c r="CM134" s="13">
        <v>130</v>
      </c>
      <c r="CN134" s="14">
        <f t="shared" ref="CN134:CN197" si="111">MATCH(CM134-1,$CB$5:$CB$81,1)</f>
        <v>17</v>
      </c>
      <c r="CO134" s="14">
        <f t="shared" ref="CO134:CO197" si="112">INDEX($BW$6:$BW$81,CN134)</f>
        <v>1</v>
      </c>
      <c r="CP134" s="14">
        <f t="shared" ref="CP134:CP197" si="113">CM134-INDEX($CB$5:$CB$81,CN134)</f>
        <v>2</v>
      </c>
      <c r="CQ134" s="14">
        <f t="shared" si="104"/>
        <v>2</v>
      </c>
      <c r="CR134" s="14">
        <f t="shared" si="105"/>
        <v>2024012</v>
      </c>
      <c r="CS134" s="13" t="str">
        <f t="shared" si="106"/>
        <v>60级寄灵人橙色-头盔</v>
      </c>
      <c r="CT134" s="14">
        <f t="shared" si="107"/>
        <v>1</v>
      </c>
      <c r="CU134" s="14">
        <f t="shared" si="108"/>
        <v>4</v>
      </c>
      <c r="CV134" s="14">
        <f t="shared" ref="CV134:CV197" si="114">INDEX($D$5:$D$16,(CT134-1)*6+CQ134)</f>
        <v>60</v>
      </c>
      <c r="CW134" s="14">
        <f t="shared" ref="CW134:CW197" si="115">INDEX($D$5:$D$16,(CT134-1)*6+CQ134)</f>
        <v>60</v>
      </c>
      <c r="CX134" s="14">
        <f t="shared" ref="CX134:CX197" si="116">INDEX($CC$6:$CJ$81,CN134,CP134)</f>
        <v>2</v>
      </c>
      <c r="CY134" s="14" t="str">
        <f t="shared" ref="CY134:CY197" si="117">IF(INDEX($BZ$6:$BZ$81,CN134)&gt;0,INDEX($BZ$6:$BZ$81,CN134),"")</f>
        <v/>
      </c>
      <c r="CZ134" s="14">
        <f t="shared" ref="CZ134:CZ197" si="118">INT(SUMPRODUCT($DD$3:$DF$3,DD134:DF134))</f>
        <v>18</v>
      </c>
      <c r="DA134" s="14">
        <f t="shared" ref="DA134:DA197" si="119">ROUND(INDEX(O$5:O$16,($CT134-1)*6+$CQ134)*INDEX(AC$5:AC$12,$CX134)*INDEX($AL$5:$AL$8,$CU134),0)</f>
        <v>0</v>
      </c>
      <c r="DB134" s="14">
        <f t="shared" ref="DB134:DB197" si="120">ROUND(INDEX(P$5:P$16,($CT134-1)*6+$CQ134)*INDEX(AD$5:AD$12,$CX134)*INDEX($AL$5:$AL$8,$CU134),0)</f>
        <v>33</v>
      </c>
      <c r="DC134" s="14">
        <f t="shared" ref="DC134:DC197" si="121">ROUND(INDEX(Q$5:Q$16,($CT134-1)*6+$CQ134)*INDEX(AE$5:AE$12,$CX134)*INDEX($AL$5:$AL$8,$CU134),0)</f>
        <v>0</v>
      </c>
      <c r="DD134" s="14">
        <f t="shared" ref="DD134:DD197" si="122">ROUND(INDEX(H$5:H$16,($CT134-1)*6+$CQ134)*INDEX(AC$5:AC$12,$CX134) * INDEX($AL$5:$AL$8,$CU134),2)</f>
        <v>0</v>
      </c>
      <c r="DE134" s="14">
        <f t="shared" ref="DE134:DE197" si="123">ROUND(INDEX(I$5:I$16,($CT134-1)*6+$CQ134)*INDEX(AD$5:AD$12,$CX134) * INDEX($AL$5:$AL$8,$CU134),2)</f>
        <v>1.8</v>
      </c>
      <c r="DF134" s="14">
        <f t="shared" ref="DF134:DF197" si="124">ROUND(INDEX(J$5:J$16,($CT134-1)*6+$CQ134)*INDEX(AE$5:AE$12,$CX134) * INDEX($AL$5:$AL$8,$CU134),2)</f>
        <v>0</v>
      </c>
      <c r="DG134" s="14">
        <f t="shared" ref="DG134:DG197" si="125">(CQ134-1)*4+CU134</f>
        <v>8</v>
      </c>
      <c r="DH134" s="14">
        <f t="shared" ref="DH134:DH197" si="126">INDEX($BM$5:$BP$16,CQ134,CU134)</f>
        <v>3</v>
      </c>
      <c r="DI134" s="14">
        <f t="shared" ref="DI134:DI197" si="127">CT134*10+CQ134</f>
        <v>12</v>
      </c>
      <c r="DL134" s="14">
        <f t="shared" si="109"/>
        <v>2</v>
      </c>
      <c r="DM134" s="14">
        <f t="shared" si="110"/>
        <v>0</v>
      </c>
      <c r="DN134" s="14" t="str">
        <f t="shared" ref="DN134:DN197" si="128">INDEX($AA$3:$AC$3,DL134)</f>
        <v>DefExt</v>
      </c>
      <c r="DO134" s="14">
        <f t="shared" ref="DO134:DO197" si="129">INDEX(DA134:DC134,DL134)</f>
        <v>33</v>
      </c>
      <c r="DP134" s="14">
        <f t="shared" ref="DP134:DP197" si="130">INDEX(DD134:DF134,DL134)</f>
        <v>1.8</v>
      </c>
      <c r="DQ134" s="14" t="str">
        <f t="shared" ref="DQ134:DQ197" si="131">IF(DM134&gt;0,INDEX($AA$3:$AC$3,DM134),"")</f>
        <v/>
      </c>
      <c r="DR134" s="14" t="str">
        <f t="shared" ref="DR134:DR197" si="132">IF(DM134&gt;0,INDEX(DA134:DC134,DM134),"")</f>
        <v/>
      </c>
      <c r="DS134" s="14" t="str">
        <f t="shared" ref="DS134:DS197" si="133">IF(DM134&gt;0,INDEX(DD134:DF134,DM134),"")</f>
        <v/>
      </c>
      <c r="DT134" s="14">
        <f t="shared" ref="DT134:DT197" si="134">(CQ134-1)*4+CU134</f>
        <v>8</v>
      </c>
      <c r="DU134" s="14">
        <f t="shared" ref="DU134:DU197" si="135">INDEX($BM$5:$BP$16,CQ134,CU134)</f>
        <v>3</v>
      </c>
      <c r="DV134" s="14">
        <f t="shared" ref="DV134:DV197" si="136">CT134*10+CQ134</f>
        <v>12</v>
      </c>
      <c r="DW134" s="29" t="s">
        <v>758</v>
      </c>
      <c r="DX134" s="14">
        <f t="shared" ref="DX134:DX197" si="137">INDEX($T$5:$Y$8,CU134,CQ134)</f>
        <v>100</v>
      </c>
      <c r="ET134" s="13">
        <v>130</v>
      </c>
      <c r="EU134" s="13">
        <f t="shared" ref="EU134:EU148" si="138">INT((ET134-1)/12)+1</f>
        <v>11</v>
      </c>
      <c r="EV134" s="13" t="str">
        <f t="shared" si="99"/>
        <v>100级守护灵洗练-10</v>
      </c>
      <c r="EW134" s="13">
        <f t="shared" si="100"/>
        <v>25</v>
      </c>
      <c r="EX134" s="13">
        <f t="shared" si="101"/>
        <v>10</v>
      </c>
      <c r="EY134" s="13">
        <f t="shared" ref="EY134:EY148" si="139">INDEX($AY$2:$BJ$2,EX134)</f>
        <v>500</v>
      </c>
      <c r="EZ134" s="13" t="str">
        <f t="shared" si="102"/>
        <v>Block</v>
      </c>
      <c r="FA134" s="13">
        <f t="shared" ref="FA134:FA148" si="140">IF(FB134&gt;1,INT(FB134*0.35),ROUND(FB134*0.35,3))</f>
        <v>1.0999999999999999E-2</v>
      </c>
      <c r="FB134" s="13">
        <f t="shared" si="103"/>
        <v>0.03</v>
      </c>
    </row>
    <row r="135" spans="91:158" ht="16.5" x14ac:dyDescent="0.2">
      <c r="CM135" s="13">
        <v>131</v>
      </c>
      <c r="CN135" s="14">
        <f t="shared" si="111"/>
        <v>17</v>
      </c>
      <c r="CO135" s="14">
        <f t="shared" si="112"/>
        <v>1</v>
      </c>
      <c r="CP135" s="14">
        <f t="shared" si="113"/>
        <v>3</v>
      </c>
      <c r="CQ135" s="14">
        <f t="shared" si="104"/>
        <v>2</v>
      </c>
      <c r="CR135" s="14">
        <f t="shared" si="105"/>
        <v>2024013</v>
      </c>
      <c r="CS135" s="13" t="str">
        <f t="shared" si="106"/>
        <v>60级寄灵人橙色-肩甲</v>
      </c>
      <c r="CT135" s="14">
        <f t="shared" si="107"/>
        <v>1</v>
      </c>
      <c r="CU135" s="14">
        <f t="shared" si="108"/>
        <v>4</v>
      </c>
      <c r="CV135" s="14">
        <f t="shared" si="114"/>
        <v>60</v>
      </c>
      <c r="CW135" s="14">
        <f t="shared" si="115"/>
        <v>60</v>
      </c>
      <c r="CX135" s="14">
        <f t="shared" si="116"/>
        <v>3</v>
      </c>
      <c r="CY135" s="14" t="str">
        <f t="shared" si="117"/>
        <v/>
      </c>
      <c r="CZ135" s="14">
        <f t="shared" si="118"/>
        <v>14</v>
      </c>
      <c r="DA135" s="14">
        <f t="shared" si="119"/>
        <v>0</v>
      </c>
      <c r="DB135" s="14">
        <f t="shared" si="120"/>
        <v>17</v>
      </c>
      <c r="DC135" s="14">
        <f t="shared" si="121"/>
        <v>98</v>
      </c>
      <c r="DD135" s="14">
        <f t="shared" si="122"/>
        <v>0</v>
      </c>
      <c r="DE135" s="14">
        <f t="shared" si="123"/>
        <v>0.9</v>
      </c>
      <c r="DF135" s="14">
        <f t="shared" si="124"/>
        <v>5.4</v>
      </c>
      <c r="DG135" s="14">
        <f t="shared" si="125"/>
        <v>8</v>
      </c>
      <c r="DH135" s="14">
        <f t="shared" si="126"/>
        <v>3</v>
      </c>
      <c r="DI135" s="14">
        <f t="shared" si="127"/>
        <v>12</v>
      </c>
      <c r="DL135" s="14">
        <f t="shared" si="109"/>
        <v>2</v>
      </c>
      <c r="DM135" s="14">
        <f t="shared" si="110"/>
        <v>3</v>
      </c>
      <c r="DN135" s="14" t="str">
        <f t="shared" si="128"/>
        <v>DefExt</v>
      </c>
      <c r="DO135" s="14">
        <f t="shared" si="129"/>
        <v>17</v>
      </c>
      <c r="DP135" s="14">
        <f t="shared" si="130"/>
        <v>0.9</v>
      </c>
      <c r="DQ135" s="14" t="str">
        <f t="shared" si="131"/>
        <v>HPExt</v>
      </c>
      <c r="DR135" s="14">
        <f t="shared" si="132"/>
        <v>98</v>
      </c>
      <c r="DS135" s="14">
        <f t="shared" si="133"/>
        <v>5.4</v>
      </c>
      <c r="DT135" s="14">
        <f t="shared" si="134"/>
        <v>8</v>
      </c>
      <c r="DU135" s="14">
        <f t="shared" si="135"/>
        <v>3</v>
      </c>
      <c r="DV135" s="14">
        <f t="shared" si="136"/>
        <v>12</v>
      </c>
      <c r="DW135" s="29" t="s">
        <v>758</v>
      </c>
      <c r="DX135" s="14">
        <f t="shared" si="137"/>
        <v>100</v>
      </c>
      <c r="ET135" s="13">
        <v>131</v>
      </c>
      <c r="EU135" s="13">
        <f t="shared" si="138"/>
        <v>11</v>
      </c>
      <c r="EV135" s="13" t="str">
        <f t="shared" si="99"/>
        <v>100级守护灵洗练-11</v>
      </c>
      <c r="EW135" s="13">
        <f t="shared" si="100"/>
        <v>25</v>
      </c>
      <c r="EX135" s="13">
        <f t="shared" si="101"/>
        <v>11</v>
      </c>
      <c r="EY135" s="13">
        <f t="shared" si="139"/>
        <v>500</v>
      </c>
      <c r="EZ135" s="13" t="str">
        <f t="shared" si="102"/>
        <v>EffectHit</v>
      </c>
      <c r="FA135" s="13">
        <f t="shared" si="140"/>
        <v>1.7999999999999999E-2</v>
      </c>
      <c r="FB135" s="13">
        <f t="shared" si="103"/>
        <v>0.05</v>
      </c>
    </row>
    <row r="136" spans="91:158" ht="16.5" x14ac:dyDescent="0.2">
      <c r="CM136" s="13">
        <v>132</v>
      </c>
      <c r="CN136" s="14">
        <f t="shared" si="111"/>
        <v>17</v>
      </c>
      <c r="CO136" s="14">
        <f t="shared" si="112"/>
        <v>1</v>
      </c>
      <c r="CP136" s="14">
        <f t="shared" si="113"/>
        <v>4</v>
      </c>
      <c r="CQ136" s="14">
        <f t="shared" si="104"/>
        <v>2</v>
      </c>
      <c r="CR136" s="14">
        <f t="shared" si="105"/>
        <v>2024014</v>
      </c>
      <c r="CS136" s="13" t="str">
        <f t="shared" si="106"/>
        <v>60级寄灵人橙色-衣服</v>
      </c>
      <c r="CT136" s="14">
        <f t="shared" si="107"/>
        <v>1</v>
      </c>
      <c r="CU136" s="14">
        <f t="shared" si="108"/>
        <v>4</v>
      </c>
      <c r="CV136" s="14">
        <f t="shared" si="114"/>
        <v>60</v>
      </c>
      <c r="CW136" s="14">
        <f t="shared" si="115"/>
        <v>60</v>
      </c>
      <c r="CX136" s="14">
        <f t="shared" si="116"/>
        <v>4</v>
      </c>
      <c r="CY136" s="14" t="str">
        <f t="shared" si="117"/>
        <v/>
      </c>
      <c r="CZ136" s="14">
        <f t="shared" si="118"/>
        <v>18</v>
      </c>
      <c r="DA136" s="14">
        <f t="shared" si="119"/>
        <v>0</v>
      </c>
      <c r="DB136" s="14">
        <f t="shared" si="120"/>
        <v>33</v>
      </c>
      <c r="DC136" s="14">
        <f t="shared" si="121"/>
        <v>0</v>
      </c>
      <c r="DD136" s="14">
        <f t="shared" si="122"/>
        <v>0</v>
      </c>
      <c r="DE136" s="14">
        <f t="shared" si="123"/>
        <v>1.8</v>
      </c>
      <c r="DF136" s="14">
        <f t="shared" si="124"/>
        <v>0</v>
      </c>
      <c r="DG136" s="14">
        <f t="shared" si="125"/>
        <v>8</v>
      </c>
      <c r="DH136" s="14">
        <f t="shared" si="126"/>
        <v>3</v>
      </c>
      <c r="DI136" s="14">
        <f t="shared" si="127"/>
        <v>12</v>
      </c>
      <c r="DL136" s="14">
        <f t="shared" si="109"/>
        <v>2</v>
      </c>
      <c r="DM136" s="14">
        <f t="shared" si="110"/>
        <v>0</v>
      </c>
      <c r="DN136" s="14" t="str">
        <f t="shared" si="128"/>
        <v>DefExt</v>
      </c>
      <c r="DO136" s="14">
        <f t="shared" si="129"/>
        <v>33</v>
      </c>
      <c r="DP136" s="14">
        <f t="shared" si="130"/>
        <v>1.8</v>
      </c>
      <c r="DQ136" s="14" t="str">
        <f t="shared" si="131"/>
        <v/>
      </c>
      <c r="DR136" s="14" t="str">
        <f t="shared" si="132"/>
        <v/>
      </c>
      <c r="DS136" s="14" t="str">
        <f t="shared" si="133"/>
        <v/>
      </c>
      <c r="DT136" s="14">
        <f t="shared" si="134"/>
        <v>8</v>
      </c>
      <c r="DU136" s="14">
        <f t="shared" si="135"/>
        <v>3</v>
      </c>
      <c r="DV136" s="14">
        <f t="shared" si="136"/>
        <v>12</v>
      </c>
      <c r="DW136" s="29" t="s">
        <v>758</v>
      </c>
      <c r="DX136" s="14">
        <f t="shared" si="137"/>
        <v>100</v>
      </c>
      <c r="ET136" s="13">
        <v>132</v>
      </c>
      <c r="EU136" s="13">
        <f t="shared" si="138"/>
        <v>11</v>
      </c>
      <c r="EV136" s="13" t="str">
        <f t="shared" si="99"/>
        <v>100级守护灵洗练-12</v>
      </c>
      <c r="EW136" s="13">
        <f t="shared" si="100"/>
        <v>25</v>
      </c>
      <c r="EX136" s="13">
        <f t="shared" si="101"/>
        <v>12</v>
      </c>
      <c r="EY136" s="13">
        <f t="shared" si="139"/>
        <v>500</v>
      </c>
      <c r="EZ136" s="13" t="str">
        <f t="shared" si="102"/>
        <v>EffectResist</v>
      </c>
      <c r="FA136" s="13">
        <f t="shared" si="140"/>
        <v>1.7999999999999999E-2</v>
      </c>
      <c r="FB136" s="13">
        <f t="shared" si="103"/>
        <v>0.05</v>
      </c>
    </row>
    <row r="137" spans="91:158" ht="16.5" x14ac:dyDescent="0.2">
      <c r="CM137" s="13">
        <v>133</v>
      </c>
      <c r="CN137" s="14">
        <f t="shared" si="111"/>
        <v>17</v>
      </c>
      <c r="CO137" s="14">
        <f t="shared" si="112"/>
        <v>1</v>
      </c>
      <c r="CP137" s="14">
        <f t="shared" si="113"/>
        <v>5</v>
      </c>
      <c r="CQ137" s="14">
        <f t="shared" si="104"/>
        <v>2</v>
      </c>
      <c r="CR137" s="14">
        <f t="shared" si="105"/>
        <v>2024015</v>
      </c>
      <c r="CS137" s="13" t="str">
        <f t="shared" si="106"/>
        <v>60级寄灵人橙色-鞋子</v>
      </c>
      <c r="CT137" s="14">
        <f t="shared" si="107"/>
        <v>1</v>
      </c>
      <c r="CU137" s="14">
        <f t="shared" si="108"/>
        <v>4</v>
      </c>
      <c r="CV137" s="14">
        <f t="shared" si="114"/>
        <v>60</v>
      </c>
      <c r="CW137" s="14">
        <f t="shared" si="115"/>
        <v>60</v>
      </c>
      <c r="CX137" s="14">
        <f t="shared" si="116"/>
        <v>5</v>
      </c>
      <c r="CY137" s="14" t="str">
        <f t="shared" si="117"/>
        <v/>
      </c>
      <c r="CZ137" s="14">
        <f t="shared" si="118"/>
        <v>10</v>
      </c>
      <c r="DA137" s="14">
        <f t="shared" si="119"/>
        <v>0</v>
      </c>
      <c r="DB137" s="14">
        <f t="shared" si="120"/>
        <v>0</v>
      </c>
      <c r="DC137" s="14">
        <f t="shared" si="121"/>
        <v>195</v>
      </c>
      <c r="DD137" s="14">
        <f t="shared" si="122"/>
        <v>0</v>
      </c>
      <c r="DE137" s="14">
        <f t="shared" si="123"/>
        <v>0</v>
      </c>
      <c r="DF137" s="14">
        <f t="shared" si="124"/>
        <v>10.8</v>
      </c>
      <c r="DG137" s="14">
        <f t="shared" si="125"/>
        <v>8</v>
      </c>
      <c r="DH137" s="14">
        <f t="shared" si="126"/>
        <v>3</v>
      </c>
      <c r="DI137" s="14">
        <f t="shared" si="127"/>
        <v>12</v>
      </c>
      <c r="DL137" s="14">
        <f t="shared" si="109"/>
        <v>3</v>
      </c>
      <c r="DM137" s="14">
        <f t="shared" si="110"/>
        <v>0</v>
      </c>
      <c r="DN137" s="14" t="str">
        <f t="shared" si="128"/>
        <v>HPExt</v>
      </c>
      <c r="DO137" s="14">
        <f t="shared" si="129"/>
        <v>195</v>
      </c>
      <c r="DP137" s="14">
        <f t="shared" si="130"/>
        <v>10.8</v>
      </c>
      <c r="DQ137" s="14" t="str">
        <f t="shared" si="131"/>
        <v/>
      </c>
      <c r="DR137" s="14" t="str">
        <f t="shared" si="132"/>
        <v/>
      </c>
      <c r="DS137" s="14" t="str">
        <f t="shared" si="133"/>
        <v/>
      </c>
      <c r="DT137" s="14">
        <f t="shared" si="134"/>
        <v>8</v>
      </c>
      <c r="DU137" s="14">
        <f t="shared" si="135"/>
        <v>3</v>
      </c>
      <c r="DV137" s="14">
        <f t="shared" si="136"/>
        <v>12</v>
      </c>
      <c r="DW137" s="29" t="s">
        <v>758</v>
      </c>
      <c r="DX137" s="14">
        <f t="shared" si="137"/>
        <v>100</v>
      </c>
      <c r="ET137" s="13">
        <v>133</v>
      </c>
      <c r="EU137" s="13">
        <f t="shared" si="138"/>
        <v>12</v>
      </c>
      <c r="EV137" s="13" t="str">
        <f t="shared" si="99"/>
        <v>120级守护灵洗练-1</v>
      </c>
      <c r="EW137" s="13">
        <f t="shared" si="100"/>
        <v>26</v>
      </c>
      <c r="EX137" s="13">
        <f t="shared" si="101"/>
        <v>1</v>
      </c>
      <c r="EY137" s="13">
        <f t="shared" si="139"/>
        <v>1800</v>
      </c>
      <c r="EZ137" s="13" t="str">
        <f t="shared" si="102"/>
        <v>AtkExt</v>
      </c>
      <c r="FA137" s="13">
        <f t="shared" si="140"/>
        <v>427</v>
      </c>
      <c r="FB137" s="13">
        <f t="shared" si="103"/>
        <v>1221</v>
      </c>
    </row>
    <row r="138" spans="91:158" ht="16.5" x14ac:dyDescent="0.2">
      <c r="CM138" s="13">
        <v>134</v>
      </c>
      <c r="CN138" s="14">
        <f t="shared" si="111"/>
        <v>17</v>
      </c>
      <c r="CO138" s="14">
        <f t="shared" si="112"/>
        <v>1</v>
      </c>
      <c r="CP138" s="14">
        <f t="shared" si="113"/>
        <v>6</v>
      </c>
      <c r="CQ138" s="14">
        <f t="shared" si="104"/>
        <v>2</v>
      </c>
      <c r="CR138" s="14">
        <f t="shared" si="105"/>
        <v>2024016</v>
      </c>
      <c r="CS138" s="13" t="str">
        <f t="shared" si="106"/>
        <v>60级寄灵人橙色-护手</v>
      </c>
      <c r="CT138" s="14">
        <f t="shared" si="107"/>
        <v>1</v>
      </c>
      <c r="CU138" s="14">
        <f t="shared" si="108"/>
        <v>4</v>
      </c>
      <c r="CV138" s="14">
        <f t="shared" si="114"/>
        <v>60</v>
      </c>
      <c r="CW138" s="14">
        <f t="shared" si="115"/>
        <v>60</v>
      </c>
      <c r="CX138" s="14">
        <f t="shared" si="116"/>
        <v>6</v>
      </c>
      <c r="CY138" s="14" t="str">
        <f t="shared" si="117"/>
        <v/>
      </c>
      <c r="CZ138" s="14">
        <f t="shared" si="118"/>
        <v>10</v>
      </c>
      <c r="DA138" s="14">
        <f t="shared" si="119"/>
        <v>0</v>
      </c>
      <c r="DB138" s="14">
        <f t="shared" si="120"/>
        <v>0</v>
      </c>
      <c r="DC138" s="14">
        <f t="shared" si="121"/>
        <v>195</v>
      </c>
      <c r="DD138" s="14">
        <f t="shared" si="122"/>
        <v>0</v>
      </c>
      <c r="DE138" s="14">
        <f t="shared" si="123"/>
        <v>0</v>
      </c>
      <c r="DF138" s="14">
        <f t="shared" si="124"/>
        <v>10.8</v>
      </c>
      <c r="DG138" s="14">
        <f t="shared" si="125"/>
        <v>8</v>
      </c>
      <c r="DH138" s="14">
        <f t="shared" si="126"/>
        <v>3</v>
      </c>
      <c r="DI138" s="14">
        <f t="shared" si="127"/>
        <v>12</v>
      </c>
      <c r="DL138" s="14">
        <f t="shared" si="109"/>
        <v>3</v>
      </c>
      <c r="DM138" s="14">
        <f t="shared" si="110"/>
        <v>0</v>
      </c>
      <c r="DN138" s="14" t="str">
        <f t="shared" si="128"/>
        <v>HPExt</v>
      </c>
      <c r="DO138" s="14">
        <f t="shared" si="129"/>
        <v>195</v>
      </c>
      <c r="DP138" s="14">
        <f t="shared" si="130"/>
        <v>10.8</v>
      </c>
      <c r="DQ138" s="14" t="str">
        <f t="shared" si="131"/>
        <v/>
      </c>
      <c r="DR138" s="14" t="str">
        <f t="shared" si="132"/>
        <v/>
      </c>
      <c r="DS138" s="14" t="str">
        <f t="shared" si="133"/>
        <v/>
      </c>
      <c r="DT138" s="14">
        <f t="shared" si="134"/>
        <v>8</v>
      </c>
      <c r="DU138" s="14">
        <f t="shared" si="135"/>
        <v>3</v>
      </c>
      <c r="DV138" s="14">
        <f t="shared" si="136"/>
        <v>12</v>
      </c>
      <c r="DW138" s="29" t="s">
        <v>758</v>
      </c>
      <c r="DX138" s="14">
        <f t="shared" si="137"/>
        <v>100</v>
      </c>
      <c r="ET138" s="13">
        <v>134</v>
      </c>
      <c r="EU138" s="13">
        <f t="shared" si="138"/>
        <v>12</v>
      </c>
      <c r="EV138" s="13" t="str">
        <f t="shared" si="99"/>
        <v>120级守护灵洗练-2</v>
      </c>
      <c r="EW138" s="13">
        <f t="shared" si="100"/>
        <v>26</v>
      </c>
      <c r="EX138" s="13">
        <f t="shared" si="101"/>
        <v>2</v>
      </c>
      <c r="EY138" s="13">
        <f t="shared" si="139"/>
        <v>1800</v>
      </c>
      <c r="EZ138" s="13" t="str">
        <f t="shared" si="102"/>
        <v>DefExt</v>
      </c>
      <c r="FA138" s="13">
        <f t="shared" si="140"/>
        <v>213</v>
      </c>
      <c r="FB138" s="13">
        <f t="shared" si="103"/>
        <v>610</v>
      </c>
    </row>
    <row r="139" spans="91:158" ht="16.5" x14ac:dyDescent="0.2">
      <c r="CM139" s="13">
        <v>135</v>
      </c>
      <c r="CN139" s="14">
        <f t="shared" si="111"/>
        <v>17</v>
      </c>
      <c r="CO139" s="14">
        <f t="shared" si="112"/>
        <v>1</v>
      </c>
      <c r="CP139" s="14">
        <f t="shared" si="113"/>
        <v>7</v>
      </c>
      <c r="CQ139" s="14">
        <f t="shared" si="104"/>
        <v>2</v>
      </c>
      <c r="CR139" s="14">
        <f t="shared" si="105"/>
        <v>2024017</v>
      </c>
      <c r="CS139" s="13" t="str">
        <f t="shared" si="106"/>
        <v>60级寄灵人橙色-项链</v>
      </c>
      <c r="CT139" s="14">
        <f t="shared" si="107"/>
        <v>1</v>
      </c>
      <c r="CU139" s="14">
        <f t="shared" si="108"/>
        <v>4</v>
      </c>
      <c r="CV139" s="14">
        <f t="shared" si="114"/>
        <v>60</v>
      </c>
      <c r="CW139" s="14">
        <f t="shared" si="115"/>
        <v>60</v>
      </c>
      <c r="CX139" s="14">
        <f t="shared" si="116"/>
        <v>7</v>
      </c>
      <c r="CY139" s="14" t="str">
        <f t="shared" si="117"/>
        <v/>
      </c>
      <c r="CZ139" s="14">
        <f t="shared" si="118"/>
        <v>27</v>
      </c>
      <c r="DA139" s="14">
        <f t="shared" si="119"/>
        <v>44</v>
      </c>
      <c r="DB139" s="14">
        <f t="shared" si="120"/>
        <v>28</v>
      </c>
      <c r="DC139" s="14">
        <f t="shared" si="121"/>
        <v>0</v>
      </c>
      <c r="DD139" s="14">
        <f t="shared" si="122"/>
        <v>2.4</v>
      </c>
      <c r="DE139" s="14">
        <f t="shared" si="123"/>
        <v>1.5</v>
      </c>
      <c r="DF139" s="14">
        <f t="shared" si="124"/>
        <v>0</v>
      </c>
      <c r="DG139" s="14">
        <f t="shared" si="125"/>
        <v>8</v>
      </c>
      <c r="DH139" s="14">
        <f t="shared" si="126"/>
        <v>3</v>
      </c>
      <c r="DI139" s="14">
        <f t="shared" si="127"/>
        <v>12</v>
      </c>
      <c r="DL139" s="14">
        <f t="shared" si="109"/>
        <v>1</v>
      </c>
      <c r="DM139" s="14">
        <f t="shared" si="110"/>
        <v>2</v>
      </c>
      <c r="DN139" s="14" t="str">
        <f t="shared" si="128"/>
        <v>AtkExt</v>
      </c>
      <c r="DO139" s="14">
        <f t="shared" si="129"/>
        <v>44</v>
      </c>
      <c r="DP139" s="14">
        <f t="shared" si="130"/>
        <v>2.4</v>
      </c>
      <c r="DQ139" s="14" t="str">
        <f t="shared" si="131"/>
        <v>DefExt</v>
      </c>
      <c r="DR139" s="14">
        <f t="shared" si="132"/>
        <v>28</v>
      </c>
      <c r="DS139" s="14">
        <f t="shared" si="133"/>
        <v>1.5</v>
      </c>
      <c r="DT139" s="14">
        <f t="shared" si="134"/>
        <v>8</v>
      </c>
      <c r="DU139" s="14">
        <f t="shared" si="135"/>
        <v>3</v>
      </c>
      <c r="DV139" s="14">
        <f t="shared" si="136"/>
        <v>12</v>
      </c>
      <c r="DW139" s="29" t="s">
        <v>758</v>
      </c>
      <c r="DX139" s="14">
        <f t="shared" si="137"/>
        <v>100</v>
      </c>
      <c r="ET139" s="13">
        <v>135</v>
      </c>
      <c r="EU139" s="13">
        <f t="shared" si="138"/>
        <v>12</v>
      </c>
      <c r="EV139" s="13" t="str">
        <f t="shared" si="99"/>
        <v>120级守护灵洗练-3</v>
      </c>
      <c r="EW139" s="13">
        <f t="shared" si="100"/>
        <v>26</v>
      </c>
      <c r="EX139" s="13">
        <f t="shared" si="101"/>
        <v>3</v>
      </c>
      <c r="EY139" s="13">
        <f t="shared" si="139"/>
        <v>2000</v>
      </c>
      <c r="EZ139" s="13" t="str">
        <f t="shared" si="102"/>
        <v>HPExt</v>
      </c>
      <c r="FA139" s="13">
        <f t="shared" si="140"/>
        <v>2296</v>
      </c>
      <c r="FB139" s="13">
        <f t="shared" si="103"/>
        <v>6560</v>
      </c>
    </row>
    <row r="140" spans="91:158" ht="16.5" x14ac:dyDescent="0.2">
      <c r="CM140" s="13">
        <v>136</v>
      </c>
      <c r="CN140" s="14">
        <f t="shared" si="111"/>
        <v>17</v>
      </c>
      <c r="CO140" s="14">
        <f t="shared" si="112"/>
        <v>1</v>
      </c>
      <c r="CP140" s="14">
        <f t="shared" si="113"/>
        <v>8</v>
      </c>
      <c r="CQ140" s="14">
        <f t="shared" si="104"/>
        <v>2</v>
      </c>
      <c r="CR140" s="14">
        <f t="shared" si="105"/>
        <v>2024018</v>
      </c>
      <c r="CS140" s="13" t="str">
        <f t="shared" si="106"/>
        <v>60级寄灵人橙色-戒指</v>
      </c>
      <c r="CT140" s="14">
        <f t="shared" si="107"/>
        <v>1</v>
      </c>
      <c r="CU140" s="14">
        <f t="shared" si="108"/>
        <v>4</v>
      </c>
      <c r="CV140" s="14">
        <f t="shared" si="114"/>
        <v>60</v>
      </c>
      <c r="CW140" s="14">
        <f t="shared" si="115"/>
        <v>60</v>
      </c>
      <c r="CX140" s="14">
        <f t="shared" si="116"/>
        <v>8</v>
      </c>
      <c r="CY140" s="14" t="str">
        <f t="shared" si="117"/>
        <v/>
      </c>
      <c r="CZ140" s="14">
        <f t="shared" si="118"/>
        <v>21</v>
      </c>
      <c r="DA140" s="14">
        <f t="shared" si="119"/>
        <v>44</v>
      </c>
      <c r="DB140" s="14">
        <f t="shared" si="120"/>
        <v>0</v>
      </c>
      <c r="DC140" s="14">
        <f t="shared" si="121"/>
        <v>163</v>
      </c>
      <c r="DD140" s="14">
        <f t="shared" si="122"/>
        <v>2.4</v>
      </c>
      <c r="DE140" s="14">
        <f t="shared" si="123"/>
        <v>0</v>
      </c>
      <c r="DF140" s="14">
        <f t="shared" si="124"/>
        <v>9</v>
      </c>
      <c r="DG140" s="14">
        <f t="shared" si="125"/>
        <v>8</v>
      </c>
      <c r="DH140" s="14">
        <f t="shared" si="126"/>
        <v>3</v>
      </c>
      <c r="DI140" s="14">
        <f t="shared" si="127"/>
        <v>12</v>
      </c>
      <c r="DL140" s="14">
        <f t="shared" si="109"/>
        <v>1</v>
      </c>
      <c r="DM140" s="14">
        <f t="shared" si="110"/>
        <v>3</v>
      </c>
      <c r="DN140" s="14" t="str">
        <f t="shared" si="128"/>
        <v>AtkExt</v>
      </c>
      <c r="DO140" s="14">
        <f t="shared" si="129"/>
        <v>44</v>
      </c>
      <c r="DP140" s="14">
        <f t="shared" si="130"/>
        <v>2.4</v>
      </c>
      <c r="DQ140" s="14" t="str">
        <f t="shared" si="131"/>
        <v>HPExt</v>
      </c>
      <c r="DR140" s="14">
        <f t="shared" si="132"/>
        <v>163</v>
      </c>
      <c r="DS140" s="14">
        <f t="shared" si="133"/>
        <v>9</v>
      </c>
      <c r="DT140" s="14">
        <f t="shared" si="134"/>
        <v>8</v>
      </c>
      <c r="DU140" s="14">
        <f t="shared" si="135"/>
        <v>3</v>
      </c>
      <c r="DV140" s="14">
        <f t="shared" si="136"/>
        <v>12</v>
      </c>
      <c r="DW140" s="29" t="s">
        <v>758</v>
      </c>
      <c r="DX140" s="14">
        <f t="shared" si="137"/>
        <v>100</v>
      </c>
      <c r="ET140" s="13">
        <v>136</v>
      </c>
      <c r="EU140" s="13">
        <f t="shared" si="138"/>
        <v>12</v>
      </c>
      <c r="EV140" s="13" t="str">
        <f t="shared" si="99"/>
        <v>120级守护灵洗练-4</v>
      </c>
      <c r="EW140" s="13">
        <f t="shared" si="100"/>
        <v>26</v>
      </c>
      <c r="EX140" s="13">
        <f t="shared" si="101"/>
        <v>4</v>
      </c>
      <c r="EY140" s="13">
        <f t="shared" si="139"/>
        <v>500</v>
      </c>
      <c r="EZ140" s="13" t="str">
        <f t="shared" si="102"/>
        <v>AtkRate</v>
      </c>
      <c r="FA140" s="13">
        <f t="shared" si="140"/>
        <v>1.4E-2</v>
      </c>
      <c r="FB140" s="13">
        <f t="shared" si="103"/>
        <v>0.04</v>
      </c>
    </row>
    <row r="141" spans="91:158" ht="16.5" x14ac:dyDescent="0.2">
      <c r="CM141" s="13">
        <v>137</v>
      </c>
      <c r="CN141" s="14">
        <f t="shared" si="111"/>
        <v>18</v>
      </c>
      <c r="CO141" s="14">
        <f t="shared" si="112"/>
        <v>2</v>
      </c>
      <c r="CP141" s="14">
        <f t="shared" si="113"/>
        <v>1</v>
      </c>
      <c r="CQ141" s="14">
        <f t="shared" si="104"/>
        <v>2</v>
      </c>
      <c r="CR141" s="14">
        <f t="shared" si="105"/>
        <v>2024021</v>
      </c>
      <c r="CS141" s="13" t="str">
        <f t="shared" si="106"/>
        <v>60级守护灵橙色-武器</v>
      </c>
      <c r="CT141" s="14">
        <f t="shared" si="107"/>
        <v>2</v>
      </c>
      <c r="CU141" s="14">
        <f t="shared" si="108"/>
        <v>4</v>
      </c>
      <c r="CV141" s="14">
        <f t="shared" si="114"/>
        <v>60</v>
      </c>
      <c r="CW141" s="14">
        <f t="shared" si="115"/>
        <v>60</v>
      </c>
      <c r="CX141" s="14">
        <f t="shared" si="116"/>
        <v>1</v>
      </c>
      <c r="CY141" s="14" t="str">
        <f t="shared" si="117"/>
        <v/>
      </c>
      <c r="CZ141" s="14">
        <f t="shared" si="118"/>
        <v>36</v>
      </c>
      <c r="DA141" s="14">
        <f t="shared" si="119"/>
        <v>120</v>
      </c>
      <c r="DB141" s="14">
        <f t="shared" si="120"/>
        <v>0</v>
      </c>
      <c r="DC141" s="14">
        <f t="shared" si="121"/>
        <v>0</v>
      </c>
      <c r="DD141" s="14">
        <f t="shared" si="122"/>
        <v>7.2</v>
      </c>
      <c r="DE141" s="14">
        <f t="shared" si="123"/>
        <v>0</v>
      </c>
      <c r="DF141" s="14">
        <f t="shared" si="124"/>
        <v>0</v>
      </c>
      <c r="DG141" s="14">
        <f t="shared" si="125"/>
        <v>8</v>
      </c>
      <c r="DH141" s="14">
        <f t="shared" si="126"/>
        <v>3</v>
      </c>
      <c r="DI141" s="14">
        <f t="shared" si="127"/>
        <v>22</v>
      </c>
      <c r="DL141" s="14">
        <f t="shared" si="109"/>
        <v>1</v>
      </c>
      <c r="DM141" s="14">
        <f t="shared" si="110"/>
        <v>0</v>
      </c>
      <c r="DN141" s="14" t="str">
        <f t="shared" si="128"/>
        <v>AtkExt</v>
      </c>
      <c r="DO141" s="14">
        <f t="shared" si="129"/>
        <v>120</v>
      </c>
      <c r="DP141" s="14">
        <f t="shared" si="130"/>
        <v>7.2</v>
      </c>
      <c r="DQ141" s="14" t="str">
        <f t="shared" si="131"/>
        <v/>
      </c>
      <c r="DR141" s="14" t="str">
        <f t="shared" si="132"/>
        <v/>
      </c>
      <c r="DS141" s="14" t="str">
        <f t="shared" si="133"/>
        <v/>
      </c>
      <c r="DT141" s="14">
        <f t="shared" si="134"/>
        <v>8</v>
      </c>
      <c r="DU141" s="14">
        <f t="shared" si="135"/>
        <v>3</v>
      </c>
      <c r="DV141" s="14">
        <f t="shared" si="136"/>
        <v>22</v>
      </c>
      <c r="DW141" s="29" t="s">
        <v>758</v>
      </c>
      <c r="DX141" s="14">
        <f t="shared" si="137"/>
        <v>100</v>
      </c>
      <c r="ET141" s="13">
        <v>137</v>
      </c>
      <c r="EU141" s="13">
        <f t="shared" si="138"/>
        <v>12</v>
      </c>
      <c r="EV141" s="13" t="str">
        <f t="shared" si="99"/>
        <v>120级守护灵洗练-5</v>
      </c>
      <c r="EW141" s="13">
        <f t="shared" si="100"/>
        <v>26</v>
      </c>
      <c r="EX141" s="13">
        <f t="shared" si="101"/>
        <v>5</v>
      </c>
      <c r="EY141" s="13">
        <f t="shared" si="139"/>
        <v>400</v>
      </c>
      <c r="EZ141" s="13" t="str">
        <f t="shared" si="102"/>
        <v>DefRate</v>
      </c>
      <c r="FA141" s="13">
        <f t="shared" si="140"/>
        <v>1.4E-2</v>
      </c>
      <c r="FB141" s="13">
        <f t="shared" si="103"/>
        <v>0.04</v>
      </c>
    </row>
    <row r="142" spans="91:158" ht="16.5" x14ac:dyDescent="0.2">
      <c r="CM142" s="13">
        <v>138</v>
      </c>
      <c r="CN142" s="14">
        <f t="shared" si="111"/>
        <v>18</v>
      </c>
      <c r="CO142" s="14">
        <f t="shared" si="112"/>
        <v>2</v>
      </c>
      <c r="CP142" s="14">
        <f t="shared" si="113"/>
        <v>2</v>
      </c>
      <c r="CQ142" s="14">
        <f t="shared" si="104"/>
        <v>2</v>
      </c>
      <c r="CR142" s="14">
        <f t="shared" si="105"/>
        <v>2024022</v>
      </c>
      <c r="CS142" s="13" t="str">
        <f t="shared" si="106"/>
        <v>60级守护灵橙色-头盔</v>
      </c>
      <c r="CT142" s="14">
        <f t="shared" si="107"/>
        <v>2</v>
      </c>
      <c r="CU142" s="14">
        <f t="shared" si="108"/>
        <v>4</v>
      </c>
      <c r="CV142" s="14">
        <f t="shared" si="114"/>
        <v>60</v>
      </c>
      <c r="CW142" s="14">
        <f t="shared" si="115"/>
        <v>60</v>
      </c>
      <c r="CX142" s="14">
        <f t="shared" si="116"/>
        <v>2</v>
      </c>
      <c r="CY142" s="14" t="str">
        <f t="shared" si="117"/>
        <v/>
      </c>
      <c r="CZ142" s="14">
        <f t="shared" si="118"/>
        <v>18</v>
      </c>
      <c r="DA142" s="14">
        <f t="shared" si="119"/>
        <v>0</v>
      </c>
      <c r="DB142" s="14">
        <f t="shared" si="120"/>
        <v>30</v>
      </c>
      <c r="DC142" s="14">
        <f t="shared" si="121"/>
        <v>0</v>
      </c>
      <c r="DD142" s="14">
        <f t="shared" si="122"/>
        <v>0</v>
      </c>
      <c r="DE142" s="14">
        <f t="shared" si="123"/>
        <v>1.8</v>
      </c>
      <c r="DF142" s="14">
        <f t="shared" si="124"/>
        <v>0</v>
      </c>
      <c r="DG142" s="14">
        <f t="shared" si="125"/>
        <v>8</v>
      </c>
      <c r="DH142" s="14">
        <f t="shared" si="126"/>
        <v>3</v>
      </c>
      <c r="DI142" s="14">
        <f t="shared" si="127"/>
        <v>22</v>
      </c>
      <c r="DL142" s="14">
        <f t="shared" si="109"/>
        <v>2</v>
      </c>
      <c r="DM142" s="14">
        <f t="shared" si="110"/>
        <v>0</v>
      </c>
      <c r="DN142" s="14" t="str">
        <f t="shared" si="128"/>
        <v>DefExt</v>
      </c>
      <c r="DO142" s="14">
        <f t="shared" si="129"/>
        <v>30</v>
      </c>
      <c r="DP142" s="14">
        <f t="shared" si="130"/>
        <v>1.8</v>
      </c>
      <c r="DQ142" s="14" t="str">
        <f t="shared" si="131"/>
        <v/>
      </c>
      <c r="DR142" s="14" t="str">
        <f t="shared" si="132"/>
        <v/>
      </c>
      <c r="DS142" s="14" t="str">
        <f t="shared" si="133"/>
        <v/>
      </c>
      <c r="DT142" s="14">
        <f t="shared" si="134"/>
        <v>8</v>
      </c>
      <c r="DU142" s="14">
        <f t="shared" si="135"/>
        <v>3</v>
      </c>
      <c r="DV142" s="14">
        <f t="shared" si="136"/>
        <v>22</v>
      </c>
      <c r="DW142" s="29" t="s">
        <v>758</v>
      </c>
      <c r="DX142" s="14">
        <f t="shared" si="137"/>
        <v>100</v>
      </c>
      <c r="ET142" s="13">
        <v>138</v>
      </c>
      <c r="EU142" s="13">
        <f t="shared" si="138"/>
        <v>12</v>
      </c>
      <c r="EV142" s="13" t="str">
        <f t="shared" si="99"/>
        <v>120级守护灵洗练-6</v>
      </c>
      <c r="EW142" s="13">
        <f t="shared" si="100"/>
        <v>26</v>
      </c>
      <c r="EX142" s="13">
        <f t="shared" si="101"/>
        <v>6</v>
      </c>
      <c r="EY142" s="13">
        <f t="shared" si="139"/>
        <v>500</v>
      </c>
      <c r="EZ142" s="13" t="str">
        <f t="shared" si="102"/>
        <v>HPRate</v>
      </c>
      <c r="FA142" s="13">
        <f t="shared" si="140"/>
        <v>1.4E-2</v>
      </c>
      <c r="FB142" s="13">
        <f t="shared" si="103"/>
        <v>0.04</v>
      </c>
    </row>
    <row r="143" spans="91:158" ht="16.5" x14ac:dyDescent="0.2">
      <c r="CM143" s="13">
        <v>139</v>
      </c>
      <c r="CN143" s="14">
        <f t="shared" si="111"/>
        <v>18</v>
      </c>
      <c r="CO143" s="14">
        <f t="shared" si="112"/>
        <v>2</v>
      </c>
      <c r="CP143" s="14">
        <f t="shared" si="113"/>
        <v>3</v>
      </c>
      <c r="CQ143" s="14">
        <f t="shared" si="104"/>
        <v>2</v>
      </c>
      <c r="CR143" s="14">
        <f t="shared" si="105"/>
        <v>2024023</v>
      </c>
      <c r="CS143" s="13" t="str">
        <f t="shared" si="106"/>
        <v>60级守护灵橙色-肩甲</v>
      </c>
      <c r="CT143" s="14">
        <f t="shared" si="107"/>
        <v>2</v>
      </c>
      <c r="CU143" s="14">
        <f t="shared" si="108"/>
        <v>4</v>
      </c>
      <c r="CV143" s="14">
        <f t="shared" si="114"/>
        <v>60</v>
      </c>
      <c r="CW143" s="14">
        <f t="shared" si="115"/>
        <v>60</v>
      </c>
      <c r="CX143" s="14">
        <f t="shared" si="116"/>
        <v>3</v>
      </c>
      <c r="CY143" s="14" t="str">
        <f t="shared" si="117"/>
        <v/>
      </c>
      <c r="CZ143" s="14">
        <f t="shared" si="118"/>
        <v>21</v>
      </c>
      <c r="DA143" s="14">
        <f t="shared" si="119"/>
        <v>0</v>
      </c>
      <c r="DB143" s="14">
        <f t="shared" si="120"/>
        <v>15</v>
      </c>
      <c r="DC143" s="14">
        <f t="shared" si="121"/>
        <v>225</v>
      </c>
      <c r="DD143" s="14">
        <f t="shared" si="122"/>
        <v>0</v>
      </c>
      <c r="DE143" s="14">
        <f t="shared" si="123"/>
        <v>0.9</v>
      </c>
      <c r="DF143" s="14">
        <f t="shared" si="124"/>
        <v>12.75</v>
      </c>
      <c r="DG143" s="14">
        <f t="shared" si="125"/>
        <v>8</v>
      </c>
      <c r="DH143" s="14">
        <f t="shared" si="126"/>
        <v>3</v>
      </c>
      <c r="DI143" s="14">
        <f t="shared" si="127"/>
        <v>22</v>
      </c>
      <c r="DL143" s="14">
        <f t="shared" si="109"/>
        <v>2</v>
      </c>
      <c r="DM143" s="14">
        <f t="shared" si="110"/>
        <v>3</v>
      </c>
      <c r="DN143" s="14" t="str">
        <f t="shared" si="128"/>
        <v>DefExt</v>
      </c>
      <c r="DO143" s="14">
        <f t="shared" si="129"/>
        <v>15</v>
      </c>
      <c r="DP143" s="14">
        <f t="shared" si="130"/>
        <v>0.9</v>
      </c>
      <c r="DQ143" s="14" t="str">
        <f t="shared" si="131"/>
        <v>HPExt</v>
      </c>
      <c r="DR143" s="14">
        <f t="shared" si="132"/>
        <v>225</v>
      </c>
      <c r="DS143" s="14">
        <f t="shared" si="133"/>
        <v>12.75</v>
      </c>
      <c r="DT143" s="14">
        <f t="shared" si="134"/>
        <v>8</v>
      </c>
      <c r="DU143" s="14">
        <f t="shared" si="135"/>
        <v>3</v>
      </c>
      <c r="DV143" s="14">
        <f t="shared" si="136"/>
        <v>22</v>
      </c>
      <c r="DW143" s="29" t="s">
        <v>758</v>
      </c>
      <c r="DX143" s="14">
        <f t="shared" si="137"/>
        <v>100</v>
      </c>
      <c r="ET143" s="13">
        <v>139</v>
      </c>
      <c r="EU143" s="13">
        <f t="shared" si="138"/>
        <v>12</v>
      </c>
      <c r="EV143" s="13" t="str">
        <f t="shared" si="99"/>
        <v>120级守护灵洗练-7</v>
      </c>
      <c r="EW143" s="13">
        <f t="shared" si="100"/>
        <v>26</v>
      </c>
      <c r="EX143" s="13">
        <f t="shared" si="101"/>
        <v>7</v>
      </c>
      <c r="EY143" s="13">
        <f t="shared" si="139"/>
        <v>500</v>
      </c>
      <c r="EZ143" s="13" t="str">
        <f t="shared" si="102"/>
        <v>Crit</v>
      </c>
      <c r="FA143" s="13">
        <f t="shared" si="140"/>
        <v>1.0999999999999999E-2</v>
      </c>
      <c r="FB143" s="13">
        <f t="shared" si="103"/>
        <v>0.03</v>
      </c>
    </row>
    <row r="144" spans="91:158" ht="16.5" x14ac:dyDescent="0.2">
      <c r="CM144" s="13">
        <v>140</v>
      </c>
      <c r="CN144" s="14">
        <f t="shared" si="111"/>
        <v>18</v>
      </c>
      <c r="CO144" s="14">
        <f t="shared" si="112"/>
        <v>2</v>
      </c>
      <c r="CP144" s="14">
        <f t="shared" si="113"/>
        <v>4</v>
      </c>
      <c r="CQ144" s="14">
        <f t="shared" si="104"/>
        <v>2</v>
      </c>
      <c r="CR144" s="14">
        <f t="shared" si="105"/>
        <v>2024024</v>
      </c>
      <c r="CS144" s="13" t="str">
        <f t="shared" si="106"/>
        <v>60级守护灵橙色-衣服</v>
      </c>
      <c r="CT144" s="14">
        <f t="shared" si="107"/>
        <v>2</v>
      </c>
      <c r="CU144" s="14">
        <f t="shared" si="108"/>
        <v>4</v>
      </c>
      <c r="CV144" s="14">
        <f t="shared" si="114"/>
        <v>60</v>
      </c>
      <c r="CW144" s="14">
        <f t="shared" si="115"/>
        <v>60</v>
      </c>
      <c r="CX144" s="14">
        <f t="shared" si="116"/>
        <v>4</v>
      </c>
      <c r="CY144" s="14" t="str">
        <f t="shared" si="117"/>
        <v/>
      </c>
      <c r="CZ144" s="14">
        <f t="shared" si="118"/>
        <v>18</v>
      </c>
      <c r="DA144" s="14">
        <f t="shared" si="119"/>
        <v>0</v>
      </c>
      <c r="DB144" s="14">
        <f t="shared" si="120"/>
        <v>30</v>
      </c>
      <c r="DC144" s="14">
        <f t="shared" si="121"/>
        <v>0</v>
      </c>
      <c r="DD144" s="14">
        <f t="shared" si="122"/>
        <v>0</v>
      </c>
      <c r="DE144" s="14">
        <f t="shared" si="123"/>
        <v>1.8</v>
      </c>
      <c r="DF144" s="14">
        <f t="shared" si="124"/>
        <v>0</v>
      </c>
      <c r="DG144" s="14">
        <f t="shared" si="125"/>
        <v>8</v>
      </c>
      <c r="DH144" s="14">
        <f t="shared" si="126"/>
        <v>3</v>
      </c>
      <c r="DI144" s="14">
        <f t="shared" si="127"/>
        <v>22</v>
      </c>
      <c r="DL144" s="14">
        <f t="shared" si="109"/>
        <v>2</v>
      </c>
      <c r="DM144" s="14">
        <f t="shared" si="110"/>
        <v>0</v>
      </c>
      <c r="DN144" s="14" t="str">
        <f t="shared" si="128"/>
        <v>DefExt</v>
      </c>
      <c r="DO144" s="14">
        <f t="shared" si="129"/>
        <v>30</v>
      </c>
      <c r="DP144" s="14">
        <f t="shared" si="130"/>
        <v>1.8</v>
      </c>
      <c r="DQ144" s="14" t="str">
        <f t="shared" si="131"/>
        <v/>
      </c>
      <c r="DR144" s="14" t="str">
        <f t="shared" si="132"/>
        <v/>
      </c>
      <c r="DS144" s="14" t="str">
        <f t="shared" si="133"/>
        <v/>
      </c>
      <c r="DT144" s="14">
        <f t="shared" si="134"/>
        <v>8</v>
      </c>
      <c r="DU144" s="14">
        <f t="shared" si="135"/>
        <v>3</v>
      </c>
      <c r="DV144" s="14">
        <f t="shared" si="136"/>
        <v>22</v>
      </c>
      <c r="DW144" s="29" t="s">
        <v>758</v>
      </c>
      <c r="DX144" s="14">
        <f t="shared" si="137"/>
        <v>100</v>
      </c>
      <c r="ET144" s="13">
        <v>140</v>
      </c>
      <c r="EU144" s="13">
        <f t="shared" si="138"/>
        <v>12</v>
      </c>
      <c r="EV144" s="13" t="str">
        <f t="shared" si="99"/>
        <v>120级守护灵洗练-8</v>
      </c>
      <c r="EW144" s="13">
        <f t="shared" si="100"/>
        <v>26</v>
      </c>
      <c r="EX144" s="13">
        <f t="shared" si="101"/>
        <v>8</v>
      </c>
      <c r="EY144" s="13">
        <f t="shared" si="139"/>
        <v>500</v>
      </c>
      <c r="EZ144" s="13" t="str">
        <f t="shared" si="102"/>
        <v>CritRate</v>
      </c>
      <c r="FA144" s="13">
        <f t="shared" si="140"/>
        <v>2.8000000000000001E-2</v>
      </c>
      <c r="FB144" s="13">
        <f t="shared" si="103"/>
        <v>0.08</v>
      </c>
    </row>
    <row r="145" spans="91:158" ht="16.5" x14ac:dyDescent="0.2">
      <c r="CM145" s="13">
        <v>141</v>
      </c>
      <c r="CN145" s="14">
        <f t="shared" si="111"/>
        <v>18</v>
      </c>
      <c r="CO145" s="14">
        <f t="shared" si="112"/>
        <v>2</v>
      </c>
      <c r="CP145" s="14">
        <f t="shared" si="113"/>
        <v>5</v>
      </c>
      <c r="CQ145" s="14">
        <f t="shared" si="104"/>
        <v>2</v>
      </c>
      <c r="CR145" s="14">
        <f t="shared" si="105"/>
        <v>2024025</v>
      </c>
      <c r="CS145" s="13" t="str">
        <f t="shared" si="106"/>
        <v>60级守护灵橙色-鞋子</v>
      </c>
      <c r="CT145" s="14">
        <f t="shared" si="107"/>
        <v>2</v>
      </c>
      <c r="CU145" s="14">
        <f t="shared" si="108"/>
        <v>4</v>
      </c>
      <c r="CV145" s="14">
        <f t="shared" si="114"/>
        <v>60</v>
      </c>
      <c r="CW145" s="14">
        <f t="shared" si="115"/>
        <v>60</v>
      </c>
      <c r="CX145" s="14">
        <f t="shared" si="116"/>
        <v>5</v>
      </c>
      <c r="CY145" s="14" t="str">
        <f t="shared" si="117"/>
        <v/>
      </c>
      <c r="CZ145" s="14">
        <f t="shared" si="118"/>
        <v>25</v>
      </c>
      <c r="DA145" s="14">
        <f t="shared" si="119"/>
        <v>0</v>
      </c>
      <c r="DB145" s="14">
        <f t="shared" si="120"/>
        <v>0</v>
      </c>
      <c r="DC145" s="14">
        <f t="shared" si="121"/>
        <v>450</v>
      </c>
      <c r="DD145" s="14">
        <f t="shared" si="122"/>
        <v>0</v>
      </c>
      <c r="DE145" s="14">
        <f t="shared" si="123"/>
        <v>0</v>
      </c>
      <c r="DF145" s="14">
        <f t="shared" si="124"/>
        <v>25.5</v>
      </c>
      <c r="DG145" s="14">
        <f t="shared" si="125"/>
        <v>8</v>
      </c>
      <c r="DH145" s="14">
        <f t="shared" si="126"/>
        <v>3</v>
      </c>
      <c r="DI145" s="14">
        <f t="shared" si="127"/>
        <v>22</v>
      </c>
      <c r="DL145" s="14">
        <f t="shared" si="109"/>
        <v>3</v>
      </c>
      <c r="DM145" s="14">
        <f t="shared" si="110"/>
        <v>0</v>
      </c>
      <c r="DN145" s="14" t="str">
        <f t="shared" si="128"/>
        <v>HPExt</v>
      </c>
      <c r="DO145" s="14">
        <f t="shared" si="129"/>
        <v>450</v>
      </c>
      <c r="DP145" s="14">
        <f t="shared" si="130"/>
        <v>25.5</v>
      </c>
      <c r="DQ145" s="14" t="str">
        <f t="shared" si="131"/>
        <v/>
      </c>
      <c r="DR145" s="14" t="str">
        <f t="shared" si="132"/>
        <v/>
      </c>
      <c r="DS145" s="14" t="str">
        <f t="shared" si="133"/>
        <v/>
      </c>
      <c r="DT145" s="14">
        <f t="shared" si="134"/>
        <v>8</v>
      </c>
      <c r="DU145" s="14">
        <f t="shared" si="135"/>
        <v>3</v>
      </c>
      <c r="DV145" s="14">
        <f t="shared" si="136"/>
        <v>22</v>
      </c>
      <c r="DW145" s="29" t="s">
        <v>758</v>
      </c>
      <c r="DX145" s="14">
        <f t="shared" si="137"/>
        <v>100</v>
      </c>
      <c r="ET145" s="13">
        <v>141</v>
      </c>
      <c r="EU145" s="13">
        <f t="shared" si="138"/>
        <v>12</v>
      </c>
      <c r="EV145" s="13" t="str">
        <f t="shared" si="99"/>
        <v>120级守护灵洗练-9</v>
      </c>
      <c r="EW145" s="13">
        <f t="shared" si="100"/>
        <v>26</v>
      </c>
      <c r="EX145" s="13">
        <f t="shared" si="101"/>
        <v>9</v>
      </c>
      <c r="EY145" s="13">
        <f t="shared" si="139"/>
        <v>500</v>
      </c>
      <c r="EZ145" s="13" t="str">
        <f t="shared" si="102"/>
        <v>DefIgnor</v>
      </c>
      <c r="FA145" s="13">
        <f t="shared" si="140"/>
        <v>1.0999999999999999E-2</v>
      </c>
      <c r="FB145" s="13">
        <f t="shared" si="103"/>
        <v>0.03</v>
      </c>
    </row>
    <row r="146" spans="91:158" ht="16.5" x14ac:dyDescent="0.2">
      <c r="CM146" s="13">
        <v>142</v>
      </c>
      <c r="CN146" s="14">
        <f t="shared" si="111"/>
        <v>18</v>
      </c>
      <c r="CO146" s="14">
        <f t="shared" si="112"/>
        <v>2</v>
      </c>
      <c r="CP146" s="14">
        <f t="shared" si="113"/>
        <v>6</v>
      </c>
      <c r="CQ146" s="14">
        <f t="shared" si="104"/>
        <v>2</v>
      </c>
      <c r="CR146" s="14">
        <f t="shared" si="105"/>
        <v>2024026</v>
      </c>
      <c r="CS146" s="13" t="str">
        <f t="shared" si="106"/>
        <v>60级守护灵橙色-护手</v>
      </c>
      <c r="CT146" s="14">
        <f t="shared" si="107"/>
        <v>2</v>
      </c>
      <c r="CU146" s="14">
        <f t="shared" si="108"/>
        <v>4</v>
      </c>
      <c r="CV146" s="14">
        <f t="shared" si="114"/>
        <v>60</v>
      </c>
      <c r="CW146" s="14">
        <f t="shared" si="115"/>
        <v>60</v>
      </c>
      <c r="CX146" s="14">
        <f t="shared" si="116"/>
        <v>6</v>
      </c>
      <c r="CY146" s="14" t="str">
        <f t="shared" si="117"/>
        <v/>
      </c>
      <c r="CZ146" s="14">
        <f t="shared" si="118"/>
        <v>25</v>
      </c>
      <c r="DA146" s="14">
        <f t="shared" si="119"/>
        <v>0</v>
      </c>
      <c r="DB146" s="14">
        <f t="shared" si="120"/>
        <v>0</v>
      </c>
      <c r="DC146" s="14">
        <f t="shared" si="121"/>
        <v>450</v>
      </c>
      <c r="DD146" s="14">
        <f t="shared" si="122"/>
        <v>0</v>
      </c>
      <c r="DE146" s="14">
        <f t="shared" si="123"/>
        <v>0</v>
      </c>
      <c r="DF146" s="14">
        <f t="shared" si="124"/>
        <v>25.5</v>
      </c>
      <c r="DG146" s="14">
        <f t="shared" si="125"/>
        <v>8</v>
      </c>
      <c r="DH146" s="14">
        <f t="shared" si="126"/>
        <v>3</v>
      </c>
      <c r="DI146" s="14">
        <f t="shared" si="127"/>
        <v>22</v>
      </c>
      <c r="DL146" s="14">
        <f t="shared" si="109"/>
        <v>3</v>
      </c>
      <c r="DM146" s="14">
        <f t="shared" si="110"/>
        <v>0</v>
      </c>
      <c r="DN146" s="14" t="str">
        <f t="shared" si="128"/>
        <v>HPExt</v>
      </c>
      <c r="DO146" s="14">
        <f t="shared" si="129"/>
        <v>450</v>
      </c>
      <c r="DP146" s="14">
        <f t="shared" si="130"/>
        <v>25.5</v>
      </c>
      <c r="DQ146" s="14" t="str">
        <f t="shared" si="131"/>
        <v/>
      </c>
      <c r="DR146" s="14" t="str">
        <f t="shared" si="132"/>
        <v/>
      </c>
      <c r="DS146" s="14" t="str">
        <f t="shared" si="133"/>
        <v/>
      </c>
      <c r="DT146" s="14">
        <f t="shared" si="134"/>
        <v>8</v>
      </c>
      <c r="DU146" s="14">
        <f t="shared" si="135"/>
        <v>3</v>
      </c>
      <c r="DV146" s="14">
        <f t="shared" si="136"/>
        <v>22</v>
      </c>
      <c r="DW146" s="29" t="s">
        <v>758</v>
      </c>
      <c r="DX146" s="14">
        <f t="shared" si="137"/>
        <v>100</v>
      </c>
      <c r="ET146" s="13">
        <v>142</v>
      </c>
      <c r="EU146" s="13">
        <f t="shared" si="138"/>
        <v>12</v>
      </c>
      <c r="EV146" s="13" t="str">
        <f t="shared" si="99"/>
        <v>120级守护灵洗练-10</v>
      </c>
      <c r="EW146" s="13">
        <f t="shared" si="100"/>
        <v>26</v>
      </c>
      <c r="EX146" s="13">
        <f t="shared" si="101"/>
        <v>10</v>
      </c>
      <c r="EY146" s="13">
        <f t="shared" si="139"/>
        <v>500</v>
      </c>
      <c r="EZ146" s="13" t="str">
        <f t="shared" si="102"/>
        <v>Block</v>
      </c>
      <c r="FA146" s="13">
        <f t="shared" si="140"/>
        <v>1.0999999999999999E-2</v>
      </c>
      <c r="FB146" s="13">
        <f t="shared" si="103"/>
        <v>0.03</v>
      </c>
    </row>
    <row r="147" spans="91:158" ht="16.5" x14ac:dyDescent="0.2">
      <c r="CM147" s="13">
        <v>143</v>
      </c>
      <c r="CN147" s="14">
        <f t="shared" si="111"/>
        <v>18</v>
      </c>
      <c r="CO147" s="14">
        <f t="shared" si="112"/>
        <v>2</v>
      </c>
      <c r="CP147" s="14">
        <f t="shared" si="113"/>
        <v>7</v>
      </c>
      <c r="CQ147" s="14">
        <f t="shared" si="104"/>
        <v>2</v>
      </c>
      <c r="CR147" s="14">
        <f t="shared" si="105"/>
        <v>2024027</v>
      </c>
      <c r="CS147" s="13" t="str">
        <f t="shared" si="106"/>
        <v>60级守护灵橙色-项链</v>
      </c>
      <c r="CT147" s="14">
        <f t="shared" si="107"/>
        <v>2</v>
      </c>
      <c r="CU147" s="14">
        <f t="shared" si="108"/>
        <v>4</v>
      </c>
      <c r="CV147" s="14">
        <f t="shared" si="114"/>
        <v>60</v>
      </c>
      <c r="CW147" s="14">
        <f t="shared" si="115"/>
        <v>60</v>
      </c>
      <c r="CX147" s="14">
        <f t="shared" si="116"/>
        <v>7</v>
      </c>
      <c r="CY147" s="14" t="str">
        <f t="shared" si="117"/>
        <v/>
      </c>
      <c r="CZ147" s="14">
        <f t="shared" si="118"/>
        <v>27</v>
      </c>
      <c r="DA147" s="14">
        <f t="shared" si="119"/>
        <v>40</v>
      </c>
      <c r="DB147" s="14">
        <f t="shared" si="120"/>
        <v>25</v>
      </c>
      <c r="DC147" s="14">
        <f t="shared" si="121"/>
        <v>0</v>
      </c>
      <c r="DD147" s="14">
        <f t="shared" si="122"/>
        <v>2.4</v>
      </c>
      <c r="DE147" s="14">
        <f t="shared" si="123"/>
        <v>1.5</v>
      </c>
      <c r="DF147" s="14">
        <f t="shared" si="124"/>
        <v>0</v>
      </c>
      <c r="DG147" s="14">
        <f t="shared" si="125"/>
        <v>8</v>
      </c>
      <c r="DH147" s="14">
        <f t="shared" si="126"/>
        <v>3</v>
      </c>
      <c r="DI147" s="14">
        <f t="shared" si="127"/>
        <v>22</v>
      </c>
      <c r="DL147" s="14">
        <f t="shared" si="109"/>
        <v>1</v>
      </c>
      <c r="DM147" s="14">
        <f t="shared" si="110"/>
        <v>2</v>
      </c>
      <c r="DN147" s="14" t="str">
        <f t="shared" si="128"/>
        <v>AtkExt</v>
      </c>
      <c r="DO147" s="14">
        <f t="shared" si="129"/>
        <v>40</v>
      </c>
      <c r="DP147" s="14">
        <f t="shared" si="130"/>
        <v>2.4</v>
      </c>
      <c r="DQ147" s="14" t="str">
        <f t="shared" si="131"/>
        <v>DefExt</v>
      </c>
      <c r="DR147" s="14">
        <f t="shared" si="132"/>
        <v>25</v>
      </c>
      <c r="DS147" s="14">
        <f t="shared" si="133"/>
        <v>1.5</v>
      </c>
      <c r="DT147" s="14">
        <f t="shared" si="134"/>
        <v>8</v>
      </c>
      <c r="DU147" s="14">
        <f t="shared" si="135"/>
        <v>3</v>
      </c>
      <c r="DV147" s="14">
        <f t="shared" si="136"/>
        <v>22</v>
      </c>
      <c r="DW147" s="29" t="s">
        <v>758</v>
      </c>
      <c r="DX147" s="14">
        <f t="shared" si="137"/>
        <v>100</v>
      </c>
      <c r="ET147" s="13">
        <v>143</v>
      </c>
      <c r="EU147" s="13">
        <f t="shared" si="138"/>
        <v>12</v>
      </c>
      <c r="EV147" s="13" t="str">
        <f t="shared" si="99"/>
        <v>120级守护灵洗练-11</v>
      </c>
      <c r="EW147" s="13">
        <f t="shared" si="100"/>
        <v>26</v>
      </c>
      <c r="EX147" s="13">
        <f t="shared" si="101"/>
        <v>11</v>
      </c>
      <c r="EY147" s="13">
        <f t="shared" si="139"/>
        <v>500</v>
      </c>
      <c r="EZ147" s="13" t="str">
        <f t="shared" si="102"/>
        <v>EffectHit</v>
      </c>
      <c r="FA147" s="13">
        <f t="shared" si="140"/>
        <v>1.7999999999999999E-2</v>
      </c>
      <c r="FB147" s="13">
        <f t="shared" si="103"/>
        <v>0.05</v>
      </c>
    </row>
    <row r="148" spans="91:158" ht="16.5" x14ac:dyDescent="0.2">
      <c r="CM148" s="13">
        <v>144</v>
      </c>
      <c r="CN148" s="14">
        <f t="shared" si="111"/>
        <v>18</v>
      </c>
      <c r="CO148" s="14">
        <f t="shared" si="112"/>
        <v>2</v>
      </c>
      <c r="CP148" s="14">
        <f t="shared" si="113"/>
        <v>8</v>
      </c>
      <c r="CQ148" s="14">
        <f t="shared" si="104"/>
        <v>2</v>
      </c>
      <c r="CR148" s="14">
        <f t="shared" si="105"/>
        <v>2024028</v>
      </c>
      <c r="CS148" s="13" t="str">
        <f t="shared" si="106"/>
        <v>60级守护灵橙色-戒指</v>
      </c>
      <c r="CT148" s="14">
        <f t="shared" si="107"/>
        <v>2</v>
      </c>
      <c r="CU148" s="14">
        <f t="shared" si="108"/>
        <v>4</v>
      </c>
      <c r="CV148" s="14">
        <f t="shared" si="114"/>
        <v>60</v>
      </c>
      <c r="CW148" s="14">
        <f t="shared" si="115"/>
        <v>60</v>
      </c>
      <c r="CX148" s="14">
        <f t="shared" si="116"/>
        <v>8</v>
      </c>
      <c r="CY148" s="14" t="str">
        <f t="shared" si="117"/>
        <v/>
      </c>
      <c r="CZ148" s="14">
        <f t="shared" si="118"/>
        <v>33</v>
      </c>
      <c r="DA148" s="14">
        <f t="shared" si="119"/>
        <v>40</v>
      </c>
      <c r="DB148" s="14">
        <f t="shared" si="120"/>
        <v>0</v>
      </c>
      <c r="DC148" s="14">
        <f t="shared" si="121"/>
        <v>375</v>
      </c>
      <c r="DD148" s="14">
        <f t="shared" si="122"/>
        <v>2.4</v>
      </c>
      <c r="DE148" s="14">
        <f t="shared" si="123"/>
        <v>0</v>
      </c>
      <c r="DF148" s="14">
        <f t="shared" si="124"/>
        <v>21.25</v>
      </c>
      <c r="DG148" s="14">
        <f t="shared" si="125"/>
        <v>8</v>
      </c>
      <c r="DH148" s="14">
        <f t="shared" si="126"/>
        <v>3</v>
      </c>
      <c r="DI148" s="14">
        <f t="shared" si="127"/>
        <v>22</v>
      </c>
      <c r="DL148" s="14">
        <f t="shared" si="109"/>
        <v>1</v>
      </c>
      <c r="DM148" s="14">
        <f t="shared" si="110"/>
        <v>3</v>
      </c>
      <c r="DN148" s="14" t="str">
        <f t="shared" si="128"/>
        <v>AtkExt</v>
      </c>
      <c r="DO148" s="14">
        <f t="shared" si="129"/>
        <v>40</v>
      </c>
      <c r="DP148" s="14">
        <f t="shared" si="130"/>
        <v>2.4</v>
      </c>
      <c r="DQ148" s="14" t="str">
        <f t="shared" si="131"/>
        <v>HPExt</v>
      </c>
      <c r="DR148" s="14">
        <f t="shared" si="132"/>
        <v>375</v>
      </c>
      <c r="DS148" s="14">
        <f t="shared" si="133"/>
        <v>21.25</v>
      </c>
      <c r="DT148" s="14">
        <f t="shared" si="134"/>
        <v>8</v>
      </c>
      <c r="DU148" s="14">
        <f t="shared" si="135"/>
        <v>3</v>
      </c>
      <c r="DV148" s="14">
        <f t="shared" si="136"/>
        <v>22</v>
      </c>
      <c r="DW148" s="29" t="s">
        <v>758</v>
      </c>
      <c r="DX148" s="14">
        <f t="shared" si="137"/>
        <v>100</v>
      </c>
      <c r="ET148" s="13">
        <v>144</v>
      </c>
      <c r="EU148" s="13">
        <f t="shared" si="138"/>
        <v>12</v>
      </c>
      <c r="EV148" s="13" t="str">
        <f t="shared" si="99"/>
        <v>120级守护灵洗练-12</v>
      </c>
      <c r="EW148" s="13">
        <f t="shared" si="100"/>
        <v>26</v>
      </c>
      <c r="EX148" s="13">
        <f t="shared" si="101"/>
        <v>12</v>
      </c>
      <c r="EY148" s="13">
        <f t="shared" si="139"/>
        <v>500</v>
      </c>
      <c r="EZ148" s="13" t="str">
        <f t="shared" si="102"/>
        <v>EffectResist</v>
      </c>
      <c r="FA148" s="13">
        <f t="shared" si="140"/>
        <v>1.7999999999999999E-2</v>
      </c>
      <c r="FB148" s="13">
        <f t="shared" si="103"/>
        <v>0.05</v>
      </c>
    </row>
    <row r="149" spans="91:158" ht="16.5" x14ac:dyDescent="0.2">
      <c r="CM149" s="13">
        <v>145</v>
      </c>
      <c r="CN149" s="14">
        <f t="shared" si="111"/>
        <v>19</v>
      </c>
      <c r="CO149" s="14">
        <f t="shared" si="112"/>
        <v>3</v>
      </c>
      <c r="CP149" s="14">
        <f t="shared" si="113"/>
        <v>1</v>
      </c>
      <c r="CQ149" s="14">
        <f t="shared" si="104"/>
        <v>2</v>
      </c>
      <c r="CR149" s="14">
        <f t="shared" si="105"/>
        <v>2024031</v>
      </c>
      <c r="CS149" s="13" t="str">
        <f t="shared" si="106"/>
        <v>60级寄灵人橙色套1-武器</v>
      </c>
      <c r="CT149" s="14">
        <f t="shared" si="107"/>
        <v>1</v>
      </c>
      <c r="CU149" s="14">
        <f t="shared" si="108"/>
        <v>4</v>
      </c>
      <c r="CV149" s="14">
        <f t="shared" si="114"/>
        <v>60</v>
      </c>
      <c r="CW149" s="14">
        <f t="shared" si="115"/>
        <v>60</v>
      </c>
      <c r="CX149" s="14">
        <f t="shared" si="116"/>
        <v>1</v>
      </c>
      <c r="CY149" s="14">
        <f t="shared" si="117"/>
        <v>1021</v>
      </c>
      <c r="CZ149" s="14">
        <f t="shared" si="118"/>
        <v>36</v>
      </c>
      <c r="DA149" s="14">
        <f t="shared" si="119"/>
        <v>132</v>
      </c>
      <c r="DB149" s="14">
        <f t="shared" si="120"/>
        <v>0</v>
      </c>
      <c r="DC149" s="14">
        <f t="shared" si="121"/>
        <v>0</v>
      </c>
      <c r="DD149" s="14">
        <f t="shared" si="122"/>
        <v>7.2</v>
      </c>
      <c r="DE149" s="14">
        <f t="shared" si="123"/>
        <v>0</v>
      </c>
      <c r="DF149" s="14">
        <f t="shared" si="124"/>
        <v>0</v>
      </c>
      <c r="DG149" s="14">
        <f t="shared" si="125"/>
        <v>8</v>
      </c>
      <c r="DH149" s="14">
        <f t="shared" si="126"/>
        <v>3</v>
      </c>
      <c r="DI149" s="14">
        <f t="shared" si="127"/>
        <v>12</v>
      </c>
      <c r="DL149" s="14">
        <f t="shared" si="109"/>
        <v>1</v>
      </c>
      <c r="DM149" s="14">
        <f t="shared" si="110"/>
        <v>0</v>
      </c>
      <c r="DN149" s="14" t="str">
        <f t="shared" si="128"/>
        <v>AtkExt</v>
      </c>
      <c r="DO149" s="14">
        <f t="shared" si="129"/>
        <v>132</v>
      </c>
      <c r="DP149" s="14">
        <f t="shared" si="130"/>
        <v>7.2</v>
      </c>
      <c r="DQ149" s="14" t="str">
        <f t="shared" si="131"/>
        <v/>
      </c>
      <c r="DR149" s="14" t="str">
        <f t="shared" si="132"/>
        <v/>
      </c>
      <c r="DS149" s="14" t="str">
        <f t="shared" si="133"/>
        <v/>
      </c>
      <c r="DT149" s="14">
        <f t="shared" si="134"/>
        <v>8</v>
      </c>
      <c r="DU149" s="14">
        <f t="shared" si="135"/>
        <v>3</v>
      </c>
      <c r="DV149" s="14">
        <f t="shared" si="136"/>
        <v>12</v>
      </c>
      <c r="DW149" s="29" t="s">
        <v>758</v>
      </c>
      <c r="DX149" s="14">
        <f t="shared" si="137"/>
        <v>100</v>
      </c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 spans="91:158" ht="16.5" x14ac:dyDescent="0.2">
      <c r="CM150" s="13">
        <v>146</v>
      </c>
      <c r="CN150" s="14">
        <f t="shared" si="111"/>
        <v>19</v>
      </c>
      <c r="CO150" s="14">
        <f t="shared" si="112"/>
        <v>3</v>
      </c>
      <c r="CP150" s="14">
        <f t="shared" si="113"/>
        <v>2</v>
      </c>
      <c r="CQ150" s="14">
        <f t="shared" si="104"/>
        <v>2</v>
      </c>
      <c r="CR150" s="14">
        <f t="shared" si="105"/>
        <v>2024032</v>
      </c>
      <c r="CS150" s="13" t="str">
        <f t="shared" si="106"/>
        <v>60级寄灵人橙色套1-头盔</v>
      </c>
      <c r="CT150" s="14">
        <f t="shared" si="107"/>
        <v>1</v>
      </c>
      <c r="CU150" s="14">
        <f t="shared" si="108"/>
        <v>4</v>
      </c>
      <c r="CV150" s="14">
        <f t="shared" si="114"/>
        <v>60</v>
      </c>
      <c r="CW150" s="14">
        <f t="shared" si="115"/>
        <v>60</v>
      </c>
      <c r="CX150" s="14">
        <f t="shared" si="116"/>
        <v>2</v>
      </c>
      <c r="CY150" s="14">
        <f t="shared" si="117"/>
        <v>1021</v>
      </c>
      <c r="CZ150" s="14">
        <f t="shared" si="118"/>
        <v>18</v>
      </c>
      <c r="DA150" s="14">
        <f t="shared" si="119"/>
        <v>0</v>
      </c>
      <c r="DB150" s="14">
        <f t="shared" si="120"/>
        <v>33</v>
      </c>
      <c r="DC150" s="14">
        <f t="shared" si="121"/>
        <v>0</v>
      </c>
      <c r="DD150" s="14">
        <f t="shared" si="122"/>
        <v>0</v>
      </c>
      <c r="DE150" s="14">
        <f t="shared" si="123"/>
        <v>1.8</v>
      </c>
      <c r="DF150" s="14">
        <f t="shared" si="124"/>
        <v>0</v>
      </c>
      <c r="DG150" s="14">
        <f t="shared" si="125"/>
        <v>8</v>
      </c>
      <c r="DH150" s="14">
        <f t="shared" si="126"/>
        <v>3</v>
      </c>
      <c r="DI150" s="14">
        <f t="shared" si="127"/>
        <v>12</v>
      </c>
      <c r="DL150" s="14">
        <f t="shared" si="109"/>
        <v>2</v>
      </c>
      <c r="DM150" s="14">
        <f t="shared" si="110"/>
        <v>0</v>
      </c>
      <c r="DN150" s="14" t="str">
        <f t="shared" si="128"/>
        <v>DefExt</v>
      </c>
      <c r="DO150" s="14">
        <f t="shared" si="129"/>
        <v>33</v>
      </c>
      <c r="DP150" s="14">
        <f t="shared" si="130"/>
        <v>1.8</v>
      </c>
      <c r="DQ150" s="14" t="str">
        <f t="shared" si="131"/>
        <v/>
      </c>
      <c r="DR150" s="14" t="str">
        <f t="shared" si="132"/>
        <v/>
      </c>
      <c r="DS150" s="14" t="str">
        <f t="shared" si="133"/>
        <v/>
      </c>
      <c r="DT150" s="14">
        <f t="shared" si="134"/>
        <v>8</v>
      </c>
      <c r="DU150" s="14">
        <f t="shared" si="135"/>
        <v>3</v>
      </c>
      <c r="DV150" s="14">
        <f t="shared" si="136"/>
        <v>12</v>
      </c>
      <c r="DW150" s="29" t="s">
        <v>758</v>
      </c>
      <c r="DX150" s="14">
        <f t="shared" si="137"/>
        <v>100</v>
      </c>
    </row>
    <row r="151" spans="91:158" ht="16.5" x14ac:dyDescent="0.2">
      <c r="CM151" s="13">
        <v>147</v>
      </c>
      <c r="CN151" s="14">
        <f t="shared" si="111"/>
        <v>19</v>
      </c>
      <c r="CO151" s="14">
        <f t="shared" si="112"/>
        <v>3</v>
      </c>
      <c r="CP151" s="14">
        <f t="shared" si="113"/>
        <v>3</v>
      </c>
      <c r="CQ151" s="14">
        <f t="shared" si="104"/>
        <v>2</v>
      </c>
      <c r="CR151" s="14">
        <f t="shared" si="105"/>
        <v>2024033</v>
      </c>
      <c r="CS151" s="13" t="str">
        <f t="shared" si="106"/>
        <v>60级寄灵人橙色套1-肩甲</v>
      </c>
      <c r="CT151" s="14">
        <f t="shared" si="107"/>
        <v>1</v>
      </c>
      <c r="CU151" s="14">
        <f t="shared" si="108"/>
        <v>4</v>
      </c>
      <c r="CV151" s="14">
        <f t="shared" si="114"/>
        <v>60</v>
      </c>
      <c r="CW151" s="14">
        <f t="shared" si="115"/>
        <v>60</v>
      </c>
      <c r="CX151" s="14">
        <f t="shared" si="116"/>
        <v>3</v>
      </c>
      <c r="CY151" s="14">
        <f t="shared" si="117"/>
        <v>1021</v>
      </c>
      <c r="CZ151" s="14">
        <f t="shared" si="118"/>
        <v>14</v>
      </c>
      <c r="DA151" s="14">
        <f t="shared" si="119"/>
        <v>0</v>
      </c>
      <c r="DB151" s="14">
        <f t="shared" si="120"/>
        <v>17</v>
      </c>
      <c r="DC151" s="14">
        <f t="shared" si="121"/>
        <v>98</v>
      </c>
      <c r="DD151" s="14">
        <f t="shared" si="122"/>
        <v>0</v>
      </c>
      <c r="DE151" s="14">
        <f t="shared" si="123"/>
        <v>0.9</v>
      </c>
      <c r="DF151" s="14">
        <f t="shared" si="124"/>
        <v>5.4</v>
      </c>
      <c r="DG151" s="14">
        <f t="shared" si="125"/>
        <v>8</v>
      </c>
      <c r="DH151" s="14">
        <f t="shared" si="126"/>
        <v>3</v>
      </c>
      <c r="DI151" s="14">
        <f t="shared" si="127"/>
        <v>12</v>
      </c>
      <c r="DL151" s="14">
        <f t="shared" si="109"/>
        <v>2</v>
      </c>
      <c r="DM151" s="14">
        <f t="shared" si="110"/>
        <v>3</v>
      </c>
      <c r="DN151" s="14" t="str">
        <f t="shared" si="128"/>
        <v>DefExt</v>
      </c>
      <c r="DO151" s="14">
        <f t="shared" si="129"/>
        <v>17</v>
      </c>
      <c r="DP151" s="14">
        <f t="shared" si="130"/>
        <v>0.9</v>
      </c>
      <c r="DQ151" s="14" t="str">
        <f t="shared" si="131"/>
        <v>HPExt</v>
      </c>
      <c r="DR151" s="14">
        <f t="shared" si="132"/>
        <v>98</v>
      </c>
      <c r="DS151" s="14">
        <f t="shared" si="133"/>
        <v>5.4</v>
      </c>
      <c r="DT151" s="14">
        <f t="shared" si="134"/>
        <v>8</v>
      </c>
      <c r="DU151" s="14">
        <f t="shared" si="135"/>
        <v>3</v>
      </c>
      <c r="DV151" s="14">
        <f t="shared" si="136"/>
        <v>12</v>
      </c>
      <c r="DW151" s="29" t="s">
        <v>758</v>
      </c>
      <c r="DX151" s="14">
        <f t="shared" si="137"/>
        <v>100</v>
      </c>
    </row>
    <row r="152" spans="91:158" ht="16.5" x14ac:dyDescent="0.2">
      <c r="CM152" s="13">
        <v>148</v>
      </c>
      <c r="CN152" s="14">
        <f t="shared" si="111"/>
        <v>19</v>
      </c>
      <c r="CO152" s="14">
        <f t="shared" si="112"/>
        <v>3</v>
      </c>
      <c r="CP152" s="14">
        <f t="shared" si="113"/>
        <v>4</v>
      </c>
      <c r="CQ152" s="14">
        <f t="shared" si="104"/>
        <v>2</v>
      </c>
      <c r="CR152" s="14">
        <f t="shared" si="105"/>
        <v>2024034</v>
      </c>
      <c r="CS152" s="13" t="str">
        <f t="shared" si="106"/>
        <v>60级寄灵人橙色套1-衣服</v>
      </c>
      <c r="CT152" s="14">
        <f t="shared" si="107"/>
        <v>1</v>
      </c>
      <c r="CU152" s="14">
        <f t="shared" si="108"/>
        <v>4</v>
      </c>
      <c r="CV152" s="14">
        <f t="shared" si="114"/>
        <v>60</v>
      </c>
      <c r="CW152" s="14">
        <f t="shared" si="115"/>
        <v>60</v>
      </c>
      <c r="CX152" s="14">
        <f t="shared" si="116"/>
        <v>4</v>
      </c>
      <c r="CY152" s="14">
        <f t="shared" si="117"/>
        <v>1021</v>
      </c>
      <c r="CZ152" s="14">
        <f t="shared" si="118"/>
        <v>18</v>
      </c>
      <c r="DA152" s="14">
        <f t="shared" si="119"/>
        <v>0</v>
      </c>
      <c r="DB152" s="14">
        <f t="shared" si="120"/>
        <v>33</v>
      </c>
      <c r="DC152" s="14">
        <f t="shared" si="121"/>
        <v>0</v>
      </c>
      <c r="DD152" s="14">
        <f t="shared" si="122"/>
        <v>0</v>
      </c>
      <c r="DE152" s="14">
        <f t="shared" si="123"/>
        <v>1.8</v>
      </c>
      <c r="DF152" s="14">
        <f t="shared" si="124"/>
        <v>0</v>
      </c>
      <c r="DG152" s="14">
        <f t="shared" si="125"/>
        <v>8</v>
      </c>
      <c r="DH152" s="14">
        <f t="shared" si="126"/>
        <v>3</v>
      </c>
      <c r="DI152" s="14">
        <f t="shared" si="127"/>
        <v>12</v>
      </c>
      <c r="DL152" s="14">
        <f t="shared" si="109"/>
        <v>2</v>
      </c>
      <c r="DM152" s="14">
        <f t="shared" si="110"/>
        <v>0</v>
      </c>
      <c r="DN152" s="14" t="str">
        <f t="shared" si="128"/>
        <v>DefExt</v>
      </c>
      <c r="DO152" s="14">
        <f t="shared" si="129"/>
        <v>33</v>
      </c>
      <c r="DP152" s="14">
        <f t="shared" si="130"/>
        <v>1.8</v>
      </c>
      <c r="DQ152" s="14" t="str">
        <f t="shared" si="131"/>
        <v/>
      </c>
      <c r="DR152" s="14" t="str">
        <f t="shared" si="132"/>
        <v/>
      </c>
      <c r="DS152" s="14" t="str">
        <f t="shared" si="133"/>
        <v/>
      </c>
      <c r="DT152" s="14">
        <f t="shared" si="134"/>
        <v>8</v>
      </c>
      <c r="DU152" s="14">
        <f t="shared" si="135"/>
        <v>3</v>
      </c>
      <c r="DV152" s="14">
        <f t="shared" si="136"/>
        <v>12</v>
      </c>
      <c r="DW152" s="29" t="s">
        <v>758</v>
      </c>
      <c r="DX152" s="14">
        <f t="shared" si="137"/>
        <v>100</v>
      </c>
    </row>
    <row r="153" spans="91:158" ht="16.5" x14ac:dyDescent="0.2">
      <c r="CM153" s="13">
        <v>149</v>
      </c>
      <c r="CN153" s="14">
        <f t="shared" si="111"/>
        <v>20</v>
      </c>
      <c r="CO153" s="14">
        <f t="shared" si="112"/>
        <v>4</v>
      </c>
      <c r="CP153" s="14">
        <f t="shared" si="113"/>
        <v>1</v>
      </c>
      <c r="CQ153" s="14">
        <f t="shared" si="104"/>
        <v>2</v>
      </c>
      <c r="CR153" s="14">
        <f t="shared" si="105"/>
        <v>2024041</v>
      </c>
      <c r="CS153" s="13" t="str">
        <f t="shared" si="106"/>
        <v>60级守护灵橙色套1-武器</v>
      </c>
      <c r="CT153" s="14">
        <f t="shared" si="107"/>
        <v>2</v>
      </c>
      <c r="CU153" s="14">
        <f t="shared" si="108"/>
        <v>4</v>
      </c>
      <c r="CV153" s="14">
        <f t="shared" si="114"/>
        <v>60</v>
      </c>
      <c r="CW153" s="14">
        <f t="shared" si="115"/>
        <v>60</v>
      </c>
      <c r="CX153" s="14">
        <f t="shared" si="116"/>
        <v>1</v>
      </c>
      <c r="CY153" s="14">
        <f t="shared" si="117"/>
        <v>2021</v>
      </c>
      <c r="CZ153" s="14">
        <f t="shared" si="118"/>
        <v>36</v>
      </c>
      <c r="DA153" s="14">
        <f t="shared" si="119"/>
        <v>120</v>
      </c>
      <c r="DB153" s="14">
        <f t="shared" si="120"/>
        <v>0</v>
      </c>
      <c r="DC153" s="14">
        <f t="shared" si="121"/>
        <v>0</v>
      </c>
      <c r="DD153" s="14">
        <f t="shared" si="122"/>
        <v>7.2</v>
      </c>
      <c r="DE153" s="14">
        <f t="shared" si="123"/>
        <v>0</v>
      </c>
      <c r="DF153" s="14">
        <f t="shared" si="124"/>
        <v>0</v>
      </c>
      <c r="DG153" s="14">
        <f t="shared" si="125"/>
        <v>8</v>
      </c>
      <c r="DH153" s="14">
        <f t="shared" si="126"/>
        <v>3</v>
      </c>
      <c r="DI153" s="14">
        <f t="shared" si="127"/>
        <v>22</v>
      </c>
      <c r="DL153" s="14">
        <f t="shared" si="109"/>
        <v>1</v>
      </c>
      <c r="DM153" s="14">
        <f t="shared" si="110"/>
        <v>0</v>
      </c>
      <c r="DN153" s="14" t="str">
        <f t="shared" si="128"/>
        <v>AtkExt</v>
      </c>
      <c r="DO153" s="14">
        <f t="shared" si="129"/>
        <v>120</v>
      </c>
      <c r="DP153" s="14">
        <f t="shared" si="130"/>
        <v>7.2</v>
      </c>
      <c r="DQ153" s="14" t="str">
        <f t="shared" si="131"/>
        <v/>
      </c>
      <c r="DR153" s="14" t="str">
        <f t="shared" si="132"/>
        <v/>
      </c>
      <c r="DS153" s="14" t="str">
        <f t="shared" si="133"/>
        <v/>
      </c>
      <c r="DT153" s="14">
        <f t="shared" si="134"/>
        <v>8</v>
      </c>
      <c r="DU153" s="14">
        <f t="shared" si="135"/>
        <v>3</v>
      </c>
      <c r="DV153" s="14">
        <f t="shared" si="136"/>
        <v>22</v>
      </c>
      <c r="DW153" s="29" t="s">
        <v>758</v>
      </c>
      <c r="DX153" s="14">
        <f t="shared" si="137"/>
        <v>100</v>
      </c>
    </row>
    <row r="154" spans="91:158" ht="16.5" x14ac:dyDescent="0.2">
      <c r="CM154" s="13">
        <v>150</v>
      </c>
      <c r="CN154" s="14">
        <f t="shared" si="111"/>
        <v>20</v>
      </c>
      <c r="CO154" s="14">
        <f t="shared" si="112"/>
        <v>4</v>
      </c>
      <c r="CP154" s="14">
        <f t="shared" si="113"/>
        <v>2</v>
      </c>
      <c r="CQ154" s="14">
        <f t="shared" si="104"/>
        <v>2</v>
      </c>
      <c r="CR154" s="14">
        <f t="shared" si="105"/>
        <v>2024042</v>
      </c>
      <c r="CS154" s="13" t="str">
        <f t="shared" si="106"/>
        <v>60级守护灵橙色套1-头盔</v>
      </c>
      <c r="CT154" s="14">
        <f t="shared" si="107"/>
        <v>2</v>
      </c>
      <c r="CU154" s="14">
        <f t="shared" si="108"/>
        <v>4</v>
      </c>
      <c r="CV154" s="14">
        <f t="shared" si="114"/>
        <v>60</v>
      </c>
      <c r="CW154" s="14">
        <f t="shared" si="115"/>
        <v>60</v>
      </c>
      <c r="CX154" s="14">
        <f t="shared" si="116"/>
        <v>2</v>
      </c>
      <c r="CY154" s="14">
        <f t="shared" si="117"/>
        <v>2021</v>
      </c>
      <c r="CZ154" s="14">
        <f t="shared" si="118"/>
        <v>18</v>
      </c>
      <c r="DA154" s="14">
        <f t="shared" si="119"/>
        <v>0</v>
      </c>
      <c r="DB154" s="14">
        <f t="shared" si="120"/>
        <v>30</v>
      </c>
      <c r="DC154" s="14">
        <f t="shared" si="121"/>
        <v>0</v>
      </c>
      <c r="DD154" s="14">
        <f t="shared" si="122"/>
        <v>0</v>
      </c>
      <c r="DE154" s="14">
        <f t="shared" si="123"/>
        <v>1.8</v>
      </c>
      <c r="DF154" s="14">
        <f t="shared" si="124"/>
        <v>0</v>
      </c>
      <c r="DG154" s="14">
        <f t="shared" si="125"/>
        <v>8</v>
      </c>
      <c r="DH154" s="14">
        <f t="shared" si="126"/>
        <v>3</v>
      </c>
      <c r="DI154" s="14">
        <f t="shared" si="127"/>
        <v>22</v>
      </c>
      <c r="DL154" s="14">
        <f t="shared" si="109"/>
        <v>2</v>
      </c>
      <c r="DM154" s="14">
        <f t="shared" si="110"/>
        <v>0</v>
      </c>
      <c r="DN154" s="14" t="str">
        <f t="shared" si="128"/>
        <v>DefExt</v>
      </c>
      <c r="DO154" s="14">
        <f t="shared" si="129"/>
        <v>30</v>
      </c>
      <c r="DP154" s="14">
        <f t="shared" si="130"/>
        <v>1.8</v>
      </c>
      <c r="DQ154" s="14" t="str">
        <f t="shared" si="131"/>
        <v/>
      </c>
      <c r="DR154" s="14" t="str">
        <f t="shared" si="132"/>
        <v/>
      </c>
      <c r="DS154" s="14" t="str">
        <f t="shared" si="133"/>
        <v/>
      </c>
      <c r="DT154" s="14">
        <f t="shared" si="134"/>
        <v>8</v>
      </c>
      <c r="DU154" s="14">
        <f t="shared" si="135"/>
        <v>3</v>
      </c>
      <c r="DV154" s="14">
        <f t="shared" si="136"/>
        <v>22</v>
      </c>
      <c r="DW154" s="29" t="s">
        <v>758</v>
      </c>
      <c r="DX154" s="14">
        <f t="shared" si="137"/>
        <v>100</v>
      </c>
    </row>
    <row r="155" spans="91:158" ht="16.5" x14ac:dyDescent="0.2">
      <c r="CM155" s="13">
        <v>151</v>
      </c>
      <c r="CN155" s="14">
        <f t="shared" si="111"/>
        <v>20</v>
      </c>
      <c r="CO155" s="14">
        <f t="shared" si="112"/>
        <v>4</v>
      </c>
      <c r="CP155" s="14">
        <f t="shared" si="113"/>
        <v>3</v>
      </c>
      <c r="CQ155" s="14">
        <f t="shared" si="104"/>
        <v>2</v>
      </c>
      <c r="CR155" s="14">
        <f t="shared" si="105"/>
        <v>2024043</v>
      </c>
      <c r="CS155" s="13" t="str">
        <f t="shared" si="106"/>
        <v>60级守护灵橙色套1-肩甲</v>
      </c>
      <c r="CT155" s="14">
        <f t="shared" si="107"/>
        <v>2</v>
      </c>
      <c r="CU155" s="14">
        <f t="shared" si="108"/>
        <v>4</v>
      </c>
      <c r="CV155" s="14">
        <f t="shared" si="114"/>
        <v>60</v>
      </c>
      <c r="CW155" s="14">
        <f t="shared" si="115"/>
        <v>60</v>
      </c>
      <c r="CX155" s="14">
        <f t="shared" si="116"/>
        <v>3</v>
      </c>
      <c r="CY155" s="14">
        <f t="shared" si="117"/>
        <v>2021</v>
      </c>
      <c r="CZ155" s="14">
        <f t="shared" si="118"/>
        <v>21</v>
      </c>
      <c r="DA155" s="14">
        <f t="shared" si="119"/>
        <v>0</v>
      </c>
      <c r="DB155" s="14">
        <f t="shared" si="120"/>
        <v>15</v>
      </c>
      <c r="DC155" s="14">
        <f t="shared" si="121"/>
        <v>225</v>
      </c>
      <c r="DD155" s="14">
        <f t="shared" si="122"/>
        <v>0</v>
      </c>
      <c r="DE155" s="14">
        <f t="shared" si="123"/>
        <v>0.9</v>
      </c>
      <c r="DF155" s="14">
        <f t="shared" si="124"/>
        <v>12.75</v>
      </c>
      <c r="DG155" s="14">
        <f t="shared" si="125"/>
        <v>8</v>
      </c>
      <c r="DH155" s="14">
        <f t="shared" si="126"/>
        <v>3</v>
      </c>
      <c r="DI155" s="14">
        <f t="shared" si="127"/>
        <v>22</v>
      </c>
      <c r="DL155" s="14">
        <f t="shared" si="109"/>
        <v>2</v>
      </c>
      <c r="DM155" s="14">
        <f t="shared" si="110"/>
        <v>3</v>
      </c>
      <c r="DN155" s="14" t="str">
        <f t="shared" si="128"/>
        <v>DefExt</v>
      </c>
      <c r="DO155" s="14">
        <f t="shared" si="129"/>
        <v>15</v>
      </c>
      <c r="DP155" s="14">
        <f t="shared" si="130"/>
        <v>0.9</v>
      </c>
      <c r="DQ155" s="14" t="str">
        <f t="shared" si="131"/>
        <v>HPExt</v>
      </c>
      <c r="DR155" s="14">
        <f t="shared" si="132"/>
        <v>225</v>
      </c>
      <c r="DS155" s="14">
        <f t="shared" si="133"/>
        <v>12.75</v>
      </c>
      <c r="DT155" s="14">
        <f t="shared" si="134"/>
        <v>8</v>
      </c>
      <c r="DU155" s="14">
        <f t="shared" si="135"/>
        <v>3</v>
      </c>
      <c r="DV155" s="14">
        <f t="shared" si="136"/>
        <v>22</v>
      </c>
      <c r="DW155" s="29" t="s">
        <v>758</v>
      </c>
      <c r="DX155" s="14">
        <f t="shared" si="137"/>
        <v>100</v>
      </c>
    </row>
    <row r="156" spans="91:158" ht="16.5" x14ac:dyDescent="0.2">
      <c r="CM156" s="13">
        <v>152</v>
      </c>
      <c r="CN156" s="14">
        <f t="shared" si="111"/>
        <v>20</v>
      </c>
      <c r="CO156" s="14">
        <f t="shared" si="112"/>
        <v>4</v>
      </c>
      <c r="CP156" s="14">
        <f t="shared" si="113"/>
        <v>4</v>
      </c>
      <c r="CQ156" s="14">
        <f t="shared" si="104"/>
        <v>2</v>
      </c>
      <c r="CR156" s="14">
        <f t="shared" si="105"/>
        <v>2024044</v>
      </c>
      <c r="CS156" s="13" t="str">
        <f t="shared" si="106"/>
        <v>60级守护灵橙色套1-衣服</v>
      </c>
      <c r="CT156" s="14">
        <f t="shared" si="107"/>
        <v>2</v>
      </c>
      <c r="CU156" s="14">
        <f t="shared" si="108"/>
        <v>4</v>
      </c>
      <c r="CV156" s="14">
        <f t="shared" si="114"/>
        <v>60</v>
      </c>
      <c r="CW156" s="14">
        <f t="shared" si="115"/>
        <v>60</v>
      </c>
      <c r="CX156" s="14">
        <f t="shared" si="116"/>
        <v>4</v>
      </c>
      <c r="CY156" s="14">
        <f t="shared" si="117"/>
        <v>2021</v>
      </c>
      <c r="CZ156" s="14">
        <f t="shared" si="118"/>
        <v>18</v>
      </c>
      <c r="DA156" s="14">
        <f t="shared" si="119"/>
        <v>0</v>
      </c>
      <c r="DB156" s="14">
        <f t="shared" si="120"/>
        <v>30</v>
      </c>
      <c r="DC156" s="14">
        <f t="shared" si="121"/>
        <v>0</v>
      </c>
      <c r="DD156" s="14">
        <f t="shared" si="122"/>
        <v>0</v>
      </c>
      <c r="DE156" s="14">
        <f t="shared" si="123"/>
        <v>1.8</v>
      </c>
      <c r="DF156" s="14">
        <f t="shared" si="124"/>
        <v>0</v>
      </c>
      <c r="DG156" s="14">
        <f t="shared" si="125"/>
        <v>8</v>
      </c>
      <c r="DH156" s="14">
        <f t="shared" si="126"/>
        <v>3</v>
      </c>
      <c r="DI156" s="14">
        <f t="shared" si="127"/>
        <v>22</v>
      </c>
      <c r="DL156" s="14">
        <f t="shared" si="109"/>
        <v>2</v>
      </c>
      <c r="DM156" s="14">
        <f t="shared" si="110"/>
        <v>0</v>
      </c>
      <c r="DN156" s="14" t="str">
        <f t="shared" si="128"/>
        <v>DefExt</v>
      </c>
      <c r="DO156" s="14">
        <f t="shared" si="129"/>
        <v>30</v>
      </c>
      <c r="DP156" s="14">
        <f t="shared" si="130"/>
        <v>1.8</v>
      </c>
      <c r="DQ156" s="14" t="str">
        <f t="shared" si="131"/>
        <v/>
      </c>
      <c r="DR156" s="14" t="str">
        <f t="shared" si="132"/>
        <v/>
      </c>
      <c r="DS156" s="14" t="str">
        <f t="shared" si="133"/>
        <v/>
      </c>
      <c r="DT156" s="14">
        <f t="shared" si="134"/>
        <v>8</v>
      </c>
      <c r="DU156" s="14">
        <f t="shared" si="135"/>
        <v>3</v>
      </c>
      <c r="DV156" s="14">
        <f t="shared" si="136"/>
        <v>22</v>
      </c>
      <c r="DW156" s="29" t="s">
        <v>758</v>
      </c>
      <c r="DX156" s="14">
        <f t="shared" si="137"/>
        <v>100</v>
      </c>
    </row>
    <row r="157" spans="91:158" ht="16.5" x14ac:dyDescent="0.2">
      <c r="CM157" s="13">
        <v>153</v>
      </c>
      <c r="CN157" s="14">
        <f t="shared" si="111"/>
        <v>21</v>
      </c>
      <c r="CO157" s="14">
        <f t="shared" si="112"/>
        <v>5</v>
      </c>
      <c r="CP157" s="14">
        <f t="shared" si="113"/>
        <v>1</v>
      </c>
      <c r="CQ157" s="14">
        <f t="shared" si="104"/>
        <v>2</v>
      </c>
      <c r="CR157" s="14">
        <f t="shared" si="105"/>
        <v>2024055</v>
      </c>
      <c r="CS157" s="13" t="str">
        <f t="shared" si="106"/>
        <v>60级寄灵人橙色套2-鞋子</v>
      </c>
      <c r="CT157" s="14">
        <f t="shared" si="107"/>
        <v>1</v>
      </c>
      <c r="CU157" s="14">
        <f t="shared" si="108"/>
        <v>4</v>
      </c>
      <c r="CV157" s="14">
        <f t="shared" si="114"/>
        <v>60</v>
      </c>
      <c r="CW157" s="14">
        <f t="shared" si="115"/>
        <v>60</v>
      </c>
      <c r="CX157" s="14">
        <f t="shared" si="116"/>
        <v>5</v>
      </c>
      <c r="CY157" s="14">
        <f t="shared" si="117"/>
        <v>1022</v>
      </c>
      <c r="CZ157" s="14">
        <f t="shared" si="118"/>
        <v>10</v>
      </c>
      <c r="DA157" s="14">
        <f t="shared" si="119"/>
        <v>0</v>
      </c>
      <c r="DB157" s="14">
        <f t="shared" si="120"/>
        <v>0</v>
      </c>
      <c r="DC157" s="14">
        <f t="shared" si="121"/>
        <v>195</v>
      </c>
      <c r="DD157" s="14">
        <f t="shared" si="122"/>
        <v>0</v>
      </c>
      <c r="DE157" s="14">
        <f t="shared" si="123"/>
        <v>0</v>
      </c>
      <c r="DF157" s="14">
        <f t="shared" si="124"/>
        <v>10.8</v>
      </c>
      <c r="DG157" s="14">
        <f t="shared" si="125"/>
        <v>8</v>
      </c>
      <c r="DH157" s="14">
        <f t="shared" si="126"/>
        <v>3</v>
      </c>
      <c r="DI157" s="14">
        <f t="shared" si="127"/>
        <v>12</v>
      </c>
      <c r="DL157" s="14">
        <f t="shared" si="109"/>
        <v>3</v>
      </c>
      <c r="DM157" s="14">
        <f t="shared" si="110"/>
        <v>0</v>
      </c>
      <c r="DN157" s="14" t="str">
        <f t="shared" si="128"/>
        <v>HPExt</v>
      </c>
      <c r="DO157" s="14">
        <f t="shared" si="129"/>
        <v>195</v>
      </c>
      <c r="DP157" s="14">
        <f t="shared" si="130"/>
        <v>10.8</v>
      </c>
      <c r="DQ157" s="14" t="str">
        <f t="shared" si="131"/>
        <v/>
      </c>
      <c r="DR157" s="14" t="str">
        <f t="shared" si="132"/>
        <v/>
      </c>
      <c r="DS157" s="14" t="str">
        <f t="shared" si="133"/>
        <v/>
      </c>
      <c r="DT157" s="14">
        <f t="shared" si="134"/>
        <v>8</v>
      </c>
      <c r="DU157" s="14">
        <f t="shared" si="135"/>
        <v>3</v>
      </c>
      <c r="DV157" s="14">
        <f t="shared" si="136"/>
        <v>12</v>
      </c>
      <c r="DW157" s="29" t="s">
        <v>758</v>
      </c>
      <c r="DX157" s="14">
        <f t="shared" si="137"/>
        <v>100</v>
      </c>
    </row>
    <row r="158" spans="91:158" ht="16.5" x14ac:dyDescent="0.2">
      <c r="CM158" s="13">
        <v>154</v>
      </c>
      <c r="CN158" s="14">
        <f t="shared" si="111"/>
        <v>21</v>
      </c>
      <c r="CO158" s="14">
        <f t="shared" si="112"/>
        <v>5</v>
      </c>
      <c r="CP158" s="14">
        <f t="shared" si="113"/>
        <v>2</v>
      </c>
      <c r="CQ158" s="14">
        <f t="shared" si="104"/>
        <v>2</v>
      </c>
      <c r="CR158" s="14">
        <f t="shared" si="105"/>
        <v>2024056</v>
      </c>
      <c r="CS158" s="13" t="str">
        <f t="shared" si="106"/>
        <v>60级寄灵人橙色套2-护手</v>
      </c>
      <c r="CT158" s="14">
        <f t="shared" si="107"/>
        <v>1</v>
      </c>
      <c r="CU158" s="14">
        <f t="shared" si="108"/>
        <v>4</v>
      </c>
      <c r="CV158" s="14">
        <f t="shared" si="114"/>
        <v>60</v>
      </c>
      <c r="CW158" s="14">
        <f t="shared" si="115"/>
        <v>60</v>
      </c>
      <c r="CX158" s="14">
        <f t="shared" si="116"/>
        <v>6</v>
      </c>
      <c r="CY158" s="14">
        <f t="shared" si="117"/>
        <v>1022</v>
      </c>
      <c r="CZ158" s="14">
        <f t="shared" si="118"/>
        <v>10</v>
      </c>
      <c r="DA158" s="14">
        <f t="shared" si="119"/>
        <v>0</v>
      </c>
      <c r="DB158" s="14">
        <f t="shared" si="120"/>
        <v>0</v>
      </c>
      <c r="DC158" s="14">
        <f t="shared" si="121"/>
        <v>195</v>
      </c>
      <c r="DD158" s="14">
        <f t="shared" si="122"/>
        <v>0</v>
      </c>
      <c r="DE158" s="14">
        <f t="shared" si="123"/>
        <v>0</v>
      </c>
      <c r="DF158" s="14">
        <f t="shared" si="124"/>
        <v>10.8</v>
      </c>
      <c r="DG158" s="14">
        <f t="shared" si="125"/>
        <v>8</v>
      </c>
      <c r="DH158" s="14">
        <f t="shared" si="126"/>
        <v>3</v>
      </c>
      <c r="DI158" s="14">
        <f t="shared" si="127"/>
        <v>12</v>
      </c>
      <c r="DL158" s="14">
        <f t="shared" si="109"/>
        <v>3</v>
      </c>
      <c r="DM158" s="14">
        <f t="shared" si="110"/>
        <v>0</v>
      </c>
      <c r="DN158" s="14" t="str">
        <f t="shared" si="128"/>
        <v>HPExt</v>
      </c>
      <c r="DO158" s="14">
        <f t="shared" si="129"/>
        <v>195</v>
      </c>
      <c r="DP158" s="14">
        <f t="shared" si="130"/>
        <v>10.8</v>
      </c>
      <c r="DQ158" s="14" t="str">
        <f t="shared" si="131"/>
        <v/>
      </c>
      <c r="DR158" s="14" t="str">
        <f t="shared" si="132"/>
        <v/>
      </c>
      <c r="DS158" s="14" t="str">
        <f t="shared" si="133"/>
        <v/>
      </c>
      <c r="DT158" s="14">
        <f t="shared" si="134"/>
        <v>8</v>
      </c>
      <c r="DU158" s="14">
        <f t="shared" si="135"/>
        <v>3</v>
      </c>
      <c r="DV158" s="14">
        <f t="shared" si="136"/>
        <v>12</v>
      </c>
      <c r="DW158" s="29" t="s">
        <v>758</v>
      </c>
      <c r="DX158" s="14">
        <f t="shared" si="137"/>
        <v>100</v>
      </c>
    </row>
    <row r="159" spans="91:158" ht="16.5" x14ac:dyDescent="0.2">
      <c r="CM159" s="13">
        <v>155</v>
      </c>
      <c r="CN159" s="14">
        <f t="shared" si="111"/>
        <v>21</v>
      </c>
      <c r="CO159" s="14">
        <f t="shared" si="112"/>
        <v>5</v>
      </c>
      <c r="CP159" s="14">
        <f t="shared" si="113"/>
        <v>3</v>
      </c>
      <c r="CQ159" s="14">
        <f t="shared" si="104"/>
        <v>2</v>
      </c>
      <c r="CR159" s="14">
        <f t="shared" si="105"/>
        <v>2024057</v>
      </c>
      <c r="CS159" s="13" t="str">
        <f t="shared" si="106"/>
        <v>60级寄灵人橙色套2-项链</v>
      </c>
      <c r="CT159" s="14">
        <f t="shared" si="107"/>
        <v>1</v>
      </c>
      <c r="CU159" s="14">
        <f t="shared" si="108"/>
        <v>4</v>
      </c>
      <c r="CV159" s="14">
        <f t="shared" si="114"/>
        <v>60</v>
      </c>
      <c r="CW159" s="14">
        <f t="shared" si="115"/>
        <v>60</v>
      </c>
      <c r="CX159" s="14">
        <f t="shared" si="116"/>
        <v>7</v>
      </c>
      <c r="CY159" s="14">
        <f t="shared" si="117"/>
        <v>1022</v>
      </c>
      <c r="CZ159" s="14">
        <f t="shared" si="118"/>
        <v>27</v>
      </c>
      <c r="DA159" s="14">
        <f t="shared" si="119"/>
        <v>44</v>
      </c>
      <c r="DB159" s="14">
        <f t="shared" si="120"/>
        <v>28</v>
      </c>
      <c r="DC159" s="14">
        <f t="shared" si="121"/>
        <v>0</v>
      </c>
      <c r="DD159" s="14">
        <f t="shared" si="122"/>
        <v>2.4</v>
      </c>
      <c r="DE159" s="14">
        <f t="shared" si="123"/>
        <v>1.5</v>
      </c>
      <c r="DF159" s="14">
        <f t="shared" si="124"/>
        <v>0</v>
      </c>
      <c r="DG159" s="14">
        <f t="shared" si="125"/>
        <v>8</v>
      </c>
      <c r="DH159" s="14">
        <f t="shared" si="126"/>
        <v>3</v>
      </c>
      <c r="DI159" s="14">
        <f t="shared" si="127"/>
        <v>12</v>
      </c>
      <c r="DL159" s="14">
        <f t="shared" si="109"/>
        <v>1</v>
      </c>
      <c r="DM159" s="14">
        <f t="shared" si="110"/>
        <v>2</v>
      </c>
      <c r="DN159" s="14" t="str">
        <f t="shared" si="128"/>
        <v>AtkExt</v>
      </c>
      <c r="DO159" s="14">
        <f t="shared" si="129"/>
        <v>44</v>
      </c>
      <c r="DP159" s="14">
        <f t="shared" si="130"/>
        <v>2.4</v>
      </c>
      <c r="DQ159" s="14" t="str">
        <f t="shared" si="131"/>
        <v>DefExt</v>
      </c>
      <c r="DR159" s="14">
        <f t="shared" si="132"/>
        <v>28</v>
      </c>
      <c r="DS159" s="14">
        <f t="shared" si="133"/>
        <v>1.5</v>
      </c>
      <c r="DT159" s="14">
        <f t="shared" si="134"/>
        <v>8</v>
      </c>
      <c r="DU159" s="14">
        <f t="shared" si="135"/>
        <v>3</v>
      </c>
      <c r="DV159" s="14">
        <f t="shared" si="136"/>
        <v>12</v>
      </c>
      <c r="DW159" s="29" t="s">
        <v>758</v>
      </c>
      <c r="DX159" s="14">
        <f t="shared" si="137"/>
        <v>100</v>
      </c>
    </row>
    <row r="160" spans="91:158" ht="16.5" x14ac:dyDescent="0.2">
      <c r="CM160" s="13">
        <v>156</v>
      </c>
      <c r="CN160" s="14">
        <f t="shared" si="111"/>
        <v>21</v>
      </c>
      <c r="CO160" s="14">
        <f t="shared" si="112"/>
        <v>5</v>
      </c>
      <c r="CP160" s="14">
        <f t="shared" si="113"/>
        <v>4</v>
      </c>
      <c r="CQ160" s="14">
        <f t="shared" si="104"/>
        <v>2</v>
      </c>
      <c r="CR160" s="14">
        <f t="shared" si="105"/>
        <v>2024058</v>
      </c>
      <c r="CS160" s="13" t="str">
        <f t="shared" si="106"/>
        <v>60级寄灵人橙色套2-戒指</v>
      </c>
      <c r="CT160" s="14">
        <f t="shared" si="107"/>
        <v>1</v>
      </c>
      <c r="CU160" s="14">
        <f t="shared" si="108"/>
        <v>4</v>
      </c>
      <c r="CV160" s="14">
        <f t="shared" si="114"/>
        <v>60</v>
      </c>
      <c r="CW160" s="14">
        <f t="shared" si="115"/>
        <v>60</v>
      </c>
      <c r="CX160" s="14">
        <f t="shared" si="116"/>
        <v>8</v>
      </c>
      <c r="CY160" s="14">
        <f t="shared" si="117"/>
        <v>1022</v>
      </c>
      <c r="CZ160" s="14">
        <f t="shared" si="118"/>
        <v>21</v>
      </c>
      <c r="DA160" s="14">
        <f t="shared" si="119"/>
        <v>44</v>
      </c>
      <c r="DB160" s="14">
        <f t="shared" si="120"/>
        <v>0</v>
      </c>
      <c r="DC160" s="14">
        <f t="shared" si="121"/>
        <v>163</v>
      </c>
      <c r="DD160" s="14">
        <f t="shared" si="122"/>
        <v>2.4</v>
      </c>
      <c r="DE160" s="14">
        <f t="shared" si="123"/>
        <v>0</v>
      </c>
      <c r="DF160" s="14">
        <f t="shared" si="124"/>
        <v>9</v>
      </c>
      <c r="DG160" s="14">
        <f t="shared" si="125"/>
        <v>8</v>
      </c>
      <c r="DH160" s="14">
        <f t="shared" si="126"/>
        <v>3</v>
      </c>
      <c r="DI160" s="14">
        <f t="shared" si="127"/>
        <v>12</v>
      </c>
      <c r="DL160" s="14">
        <f t="shared" si="109"/>
        <v>1</v>
      </c>
      <c r="DM160" s="14">
        <f t="shared" si="110"/>
        <v>3</v>
      </c>
      <c r="DN160" s="14" t="str">
        <f t="shared" si="128"/>
        <v>AtkExt</v>
      </c>
      <c r="DO160" s="14">
        <f t="shared" si="129"/>
        <v>44</v>
      </c>
      <c r="DP160" s="14">
        <f t="shared" si="130"/>
        <v>2.4</v>
      </c>
      <c r="DQ160" s="14" t="str">
        <f t="shared" si="131"/>
        <v>HPExt</v>
      </c>
      <c r="DR160" s="14">
        <f t="shared" si="132"/>
        <v>163</v>
      </c>
      <c r="DS160" s="14">
        <f t="shared" si="133"/>
        <v>9</v>
      </c>
      <c r="DT160" s="14">
        <f t="shared" si="134"/>
        <v>8</v>
      </c>
      <c r="DU160" s="14">
        <f t="shared" si="135"/>
        <v>3</v>
      </c>
      <c r="DV160" s="14">
        <f t="shared" si="136"/>
        <v>12</v>
      </c>
      <c r="DW160" s="29" t="s">
        <v>758</v>
      </c>
      <c r="DX160" s="14">
        <f t="shared" si="137"/>
        <v>100</v>
      </c>
    </row>
    <row r="161" spans="91:128" ht="16.5" x14ac:dyDescent="0.2">
      <c r="CM161" s="13">
        <v>157</v>
      </c>
      <c r="CN161" s="14">
        <f t="shared" si="111"/>
        <v>22</v>
      </c>
      <c r="CO161" s="14">
        <f t="shared" si="112"/>
        <v>6</v>
      </c>
      <c r="CP161" s="14">
        <f t="shared" si="113"/>
        <v>1</v>
      </c>
      <c r="CQ161" s="14">
        <f t="shared" si="104"/>
        <v>2</v>
      </c>
      <c r="CR161" s="14">
        <f t="shared" si="105"/>
        <v>2024065</v>
      </c>
      <c r="CS161" s="13" t="str">
        <f t="shared" si="106"/>
        <v>60级守护灵橙色套2-鞋子</v>
      </c>
      <c r="CT161" s="14">
        <f t="shared" si="107"/>
        <v>2</v>
      </c>
      <c r="CU161" s="14">
        <f t="shared" si="108"/>
        <v>4</v>
      </c>
      <c r="CV161" s="14">
        <f t="shared" si="114"/>
        <v>60</v>
      </c>
      <c r="CW161" s="14">
        <f t="shared" si="115"/>
        <v>60</v>
      </c>
      <c r="CX161" s="14">
        <f t="shared" si="116"/>
        <v>5</v>
      </c>
      <c r="CY161" s="14">
        <f t="shared" si="117"/>
        <v>2022</v>
      </c>
      <c r="CZ161" s="14">
        <f t="shared" si="118"/>
        <v>25</v>
      </c>
      <c r="DA161" s="14">
        <f t="shared" si="119"/>
        <v>0</v>
      </c>
      <c r="DB161" s="14">
        <f t="shared" si="120"/>
        <v>0</v>
      </c>
      <c r="DC161" s="14">
        <f t="shared" si="121"/>
        <v>450</v>
      </c>
      <c r="DD161" s="14">
        <f t="shared" si="122"/>
        <v>0</v>
      </c>
      <c r="DE161" s="14">
        <f t="shared" si="123"/>
        <v>0</v>
      </c>
      <c r="DF161" s="14">
        <f t="shared" si="124"/>
        <v>25.5</v>
      </c>
      <c r="DG161" s="14">
        <f t="shared" si="125"/>
        <v>8</v>
      </c>
      <c r="DH161" s="14">
        <f t="shared" si="126"/>
        <v>3</v>
      </c>
      <c r="DI161" s="14">
        <f t="shared" si="127"/>
        <v>22</v>
      </c>
      <c r="DL161" s="14">
        <f t="shared" si="109"/>
        <v>3</v>
      </c>
      <c r="DM161" s="14">
        <f t="shared" si="110"/>
        <v>0</v>
      </c>
      <c r="DN161" s="14" t="str">
        <f t="shared" si="128"/>
        <v>HPExt</v>
      </c>
      <c r="DO161" s="14">
        <f t="shared" si="129"/>
        <v>450</v>
      </c>
      <c r="DP161" s="14">
        <f t="shared" si="130"/>
        <v>25.5</v>
      </c>
      <c r="DQ161" s="14" t="str">
        <f t="shared" si="131"/>
        <v/>
      </c>
      <c r="DR161" s="14" t="str">
        <f t="shared" si="132"/>
        <v/>
      </c>
      <c r="DS161" s="14" t="str">
        <f t="shared" si="133"/>
        <v/>
      </c>
      <c r="DT161" s="14">
        <f t="shared" si="134"/>
        <v>8</v>
      </c>
      <c r="DU161" s="14">
        <f t="shared" si="135"/>
        <v>3</v>
      </c>
      <c r="DV161" s="14">
        <f t="shared" si="136"/>
        <v>22</v>
      </c>
      <c r="DW161" s="29" t="s">
        <v>758</v>
      </c>
      <c r="DX161" s="14">
        <f t="shared" si="137"/>
        <v>100</v>
      </c>
    </row>
    <row r="162" spans="91:128" ht="16.5" x14ac:dyDescent="0.2">
      <c r="CM162" s="13">
        <v>158</v>
      </c>
      <c r="CN162" s="14">
        <f t="shared" si="111"/>
        <v>22</v>
      </c>
      <c r="CO162" s="14">
        <f t="shared" si="112"/>
        <v>6</v>
      </c>
      <c r="CP162" s="14">
        <f t="shared" si="113"/>
        <v>2</v>
      </c>
      <c r="CQ162" s="14">
        <f t="shared" si="104"/>
        <v>2</v>
      </c>
      <c r="CR162" s="14">
        <f t="shared" si="105"/>
        <v>2024066</v>
      </c>
      <c r="CS162" s="13" t="str">
        <f t="shared" si="106"/>
        <v>60级守护灵橙色套2-护手</v>
      </c>
      <c r="CT162" s="14">
        <f t="shared" si="107"/>
        <v>2</v>
      </c>
      <c r="CU162" s="14">
        <f t="shared" si="108"/>
        <v>4</v>
      </c>
      <c r="CV162" s="14">
        <f t="shared" si="114"/>
        <v>60</v>
      </c>
      <c r="CW162" s="14">
        <f t="shared" si="115"/>
        <v>60</v>
      </c>
      <c r="CX162" s="14">
        <f t="shared" si="116"/>
        <v>6</v>
      </c>
      <c r="CY162" s="14">
        <f t="shared" si="117"/>
        <v>2022</v>
      </c>
      <c r="CZ162" s="14">
        <f t="shared" si="118"/>
        <v>25</v>
      </c>
      <c r="DA162" s="14">
        <f t="shared" si="119"/>
        <v>0</v>
      </c>
      <c r="DB162" s="14">
        <f t="shared" si="120"/>
        <v>0</v>
      </c>
      <c r="DC162" s="14">
        <f t="shared" si="121"/>
        <v>450</v>
      </c>
      <c r="DD162" s="14">
        <f t="shared" si="122"/>
        <v>0</v>
      </c>
      <c r="DE162" s="14">
        <f t="shared" si="123"/>
        <v>0</v>
      </c>
      <c r="DF162" s="14">
        <f t="shared" si="124"/>
        <v>25.5</v>
      </c>
      <c r="DG162" s="14">
        <f t="shared" si="125"/>
        <v>8</v>
      </c>
      <c r="DH162" s="14">
        <f t="shared" si="126"/>
        <v>3</v>
      </c>
      <c r="DI162" s="14">
        <f t="shared" si="127"/>
        <v>22</v>
      </c>
      <c r="DL162" s="14">
        <f t="shared" si="109"/>
        <v>3</v>
      </c>
      <c r="DM162" s="14">
        <f t="shared" si="110"/>
        <v>0</v>
      </c>
      <c r="DN162" s="14" t="str">
        <f t="shared" si="128"/>
        <v>HPExt</v>
      </c>
      <c r="DO162" s="14">
        <f t="shared" si="129"/>
        <v>450</v>
      </c>
      <c r="DP162" s="14">
        <f t="shared" si="130"/>
        <v>25.5</v>
      </c>
      <c r="DQ162" s="14" t="str">
        <f t="shared" si="131"/>
        <v/>
      </c>
      <c r="DR162" s="14" t="str">
        <f t="shared" si="132"/>
        <v/>
      </c>
      <c r="DS162" s="14" t="str">
        <f t="shared" si="133"/>
        <v/>
      </c>
      <c r="DT162" s="14">
        <f t="shared" si="134"/>
        <v>8</v>
      </c>
      <c r="DU162" s="14">
        <f t="shared" si="135"/>
        <v>3</v>
      </c>
      <c r="DV162" s="14">
        <f t="shared" si="136"/>
        <v>22</v>
      </c>
      <c r="DW162" s="29" t="s">
        <v>758</v>
      </c>
      <c r="DX162" s="14">
        <f t="shared" si="137"/>
        <v>100</v>
      </c>
    </row>
    <row r="163" spans="91:128" ht="16.5" x14ac:dyDescent="0.2">
      <c r="CM163" s="13">
        <v>159</v>
      </c>
      <c r="CN163" s="14">
        <f t="shared" si="111"/>
        <v>22</v>
      </c>
      <c r="CO163" s="14">
        <f t="shared" si="112"/>
        <v>6</v>
      </c>
      <c r="CP163" s="14">
        <f t="shared" si="113"/>
        <v>3</v>
      </c>
      <c r="CQ163" s="14">
        <f t="shared" si="104"/>
        <v>2</v>
      </c>
      <c r="CR163" s="14">
        <f t="shared" si="105"/>
        <v>2024067</v>
      </c>
      <c r="CS163" s="13" t="str">
        <f t="shared" si="106"/>
        <v>60级守护灵橙色套2-项链</v>
      </c>
      <c r="CT163" s="14">
        <f t="shared" si="107"/>
        <v>2</v>
      </c>
      <c r="CU163" s="14">
        <f t="shared" si="108"/>
        <v>4</v>
      </c>
      <c r="CV163" s="14">
        <f t="shared" si="114"/>
        <v>60</v>
      </c>
      <c r="CW163" s="14">
        <f t="shared" si="115"/>
        <v>60</v>
      </c>
      <c r="CX163" s="14">
        <f t="shared" si="116"/>
        <v>7</v>
      </c>
      <c r="CY163" s="14">
        <f t="shared" si="117"/>
        <v>2022</v>
      </c>
      <c r="CZ163" s="14">
        <f t="shared" si="118"/>
        <v>27</v>
      </c>
      <c r="DA163" s="14">
        <f t="shared" si="119"/>
        <v>40</v>
      </c>
      <c r="DB163" s="14">
        <f t="shared" si="120"/>
        <v>25</v>
      </c>
      <c r="DC163" s="14">
        <f t="shared" si="121"/>
        <v>0</v>
      </c>
      <c r="DD163" s="14">
        <f t="shared" si="122"/>
        <v>2.4</v>
      </c>
      <c r="DE163" s="14">
        <f t="shared" si="123"/>
        <v>1.5</v>
      </c>
      <c r="DF163" s="14">
        <f t="shared" si="124"/>
        <v>0</v>
      </c>
      <c r="DG163" s="14">
        <f t="shared" si="125"/>
        <v>8</v>
      </c>
      <c r="DH163" s="14">
        <f t="shared" si="126"/>
        <v>3</v>
      </c>
      <c r="DI163" s="14">
        <f t="shared" si="127"/>
        <v>22</v>
      </c>
      <c r="DL163" s="14">
        <f t="shared" si="109"/>
        <v>1</v>
      </c>
      <c r="DM163" s="14">
        <f t="shared" si="110"/>
        <v>2</v>
      </c>
      <c r="DN163" s="14" t="str">
        <f t="shared" si="128"/>
        <v>AtkExt</v>
      </c>
      <c r="DO163" s="14">
        <f t="shared" si="129"/>
        <v>40</v>
      </c>
      <c r="DP163" s="14">
        <f t="shared" si="130"/>
        <v>2.4</v>
      </c>
      <c r="DQ163" s="14" t="str">
        <f t="shared" si="131"/>
        <v>DefExt</v>
      </c>
      <c r="DR163" s="14">
        <f t="shared" si="132"/>
        <v>25</v>
      </c>
      <c r="DS163" s="14">
        <f t="shared" si="133"/>
        <v>1.5</v>
      </c>
      <c r="DT163" s="14">
        <f t="shared" si="134"/>
        <v>8</v>
      </c>
      <c r="DU163" s="14">
        <f t="shared" si="135"/>
        <v>3</v>
      </c>
      <c r="DV163" s="14">
        <f t="shared" si="136"/>
        <v>22</v>
      </c>
      <c r="DW163" s="29" t="s">
        <v>758</v>
      </c>
      <c r="DX163" s="14">
        <f t="shared" si="137"/>
        <v>100</v>
      </c>
    </row>
    <row r="164" spans="91:128" ht="16.5" x14ac:dyDescent="0.2">
      <c r="CM164" s="13">
        <v>160</v>
      </c>
      <c r="CN164" s="14">
        <f t="shared" si="111"/>
        <v>22</v>
      </c>
      <c r="CO164" s="14">
        <f t="shared" si="112"/>
        <v>6</v>
      </c>
      <c r="CP164" s="14">
        <f t="shared" si="113"/>
        <v>4</v>
      </c>
      <c r="CQ164" s="14">
        <f t="shared" si="104"/>
        <v>2</v>
      </c>
      <c r="CR164" s="14">
        <f t="shared" si="105"/>
        <v>2024068</v>
      </c>
      <c r="CS164" s="13" t="str">
        <f t="shared" si="106"/>
        <v>60级守护灵橙色套2-戒指</v>
      </c>
      <c r="CT164" s="14">
        <f t="shared" si="107"/>
        <v>2</v>
      </c>
      <c r="CU164" s="14">
        <f t="shared" si="108"/>
        <v>4</v>
      </c>
      <c r="CV164" s="14">
        <f t="shared" si="114"/>
        <v>60</v>
      </c>
      <c r="CW164" s="14">
        <f t="shared" si="115"/>
        <v>60</v>
      </c>
      <c r="CX164" s="14">
        <f t="shared" si="116"/>
        <v>8</v>
      </c>
      <c r="CY164" s="14">
        <f t="shared" si="117"/>
        <v>2022</v>
      </c>
      <c r="CZ164" s="14">
        <f t="shared" si="118"/>
        <v>33</v>
      </c>
      <c r="DA164" s="14">
        <f t="shared" si="119"/>
        <v>40</v>
      </c>
      <c r="DB164" s="14">
        <f t="shared" si="120"/>
        <v>0</v>
      </c>
      <c r="DC164" s="14">
        <f t="shared" si="121"/>
        <v>375</v>
      </c>
      <c r="DD164" s="14">
        <f t="shared" si="122"/>
        <v>2.4</v>
      </c>
      <c r="DE164" s="14">
        <f t="shared" si="123"/>
        <v>0</v>
      </c>
      <c r="DF164" s="14">
        <f t="shared" si="124"/>
        <v>21.25</v>
      </c>
      <c r="DG164" s="14">
        <f t="shared" si="125"/>
        <v>8</v>
      </c>
      <c r="DH164" s="14">
        <f t="shared" si="126"/>
        <v>3</v>
      </c>
      <c r="DI164" s="14">
        <f t="shared" si="127"/>
        <v>22</v>
      </c>
      <c r="DL164" s="14">
        <f t="shared" si="109"/>
        <v>1</v>
      </c>
      <c r="DM164" s="14">
        <f t="shared" si="110"/>
        <v>3</v>
      </c>
      <c r="DN164" s="14" t="str">
        <f t="shared" si="128"/>
        <v>AtkExt</v>
      </c>
      <c r="DO164" s="14">
        <f t="shared" si="129"/>
        <v>40</v>
      </c>
      <c r="DP164" s="14">
        <f t="shared" si="130"/>
        <v>2.4</v>
      </c>
      <c r="DQ164" s="14" t="str">
        <f t="shared" si="131"/>
        <v>HPExt</v>
      </c>
      <c r="DR164" s="14">
        <f t="shared" si="132"/>
        <v>375</v>
      </c>
      <c r="DS164" s="14">
        <f t="shared" si="133"/>
        <v>21.25</v>
      </c>
      <c r="DT164" s="14">
        <f t="shared" si="134"/>
        <v>8</v>
      </c>
      <c r="DU164" s="14">
        <f t="shared" si="135"/>
        <v>3</v>
      </c>
      <c r="DV164" s="14">
        <f t="shared" si="136"/>
        <v>22</v>
      </c>
      <c r="DW164" s="29" t="s">
        <v>758</v>
      </c>
      <c r="DX164" s="14">
        <f t="shared" si="137"/>
        <v>100</v>
      </c>
    </row>
    <row r="165" spans="91:128" ht="16.5" x14ac:dyDescent="0.2">
      <c r="CM165" s="13">
        <v>161</v>
      </c>
      <c r="CN165" s="14">
        <f t="shared" si="111"/>
        <v>23</v>
      </c>
      <c r="CO165" s="14">
        <f t="shared" si="112"/>
        <v>1</v>
      </c>
      <c r="CP165" s="14">
        <f t="shared" si="113"/>
        <v>1</v>
      </c>
      <c r="CQ165" s="14">
        <f t="shared" si="104"/>
        <v>3</v>
      </c>
      <c r="CR165" s="14">
        <f t="shared" si="105"/>
        <v>2031011</v>
      </c>
      <c r="CS165" s="13" t="str">
        <f t="shared" si="106"/>
        <v>90级寄灵人绿色-武器</v>
      </c>
      <c r="CT165" s="14">
        <f t="shared" si="107"/>
        <v>1</v>
      </c>
      <c r="CU165" s="14">
        <f t="shared" si="108"/>
        <v>1</v>
      </c>
      <c r="CV165" s="14">
        <f t="shared" si="114"/>
        <v>90</v>
      </c>
      <c r="CW165" s="14">
        <f t="shared" si="115"/>
        <v>90</v>
      </c>
      <c r="CX165" s="14">
        <f t="shared" si="116"/>
        <v>1</v>
      </c>
      <c r="CY165" s="14" t="str">
        <f t="shared" si="117"/>
        <v/>
      </c>
      <c r="CZ165" s="14">
        <f t="shared" si="118"/>
        <v>30</v>
      </c>
      <c r="DA165" s="14">
        <f t="shared" si="119"/>
        <v>135</v>
      </c>
      <c r="DB165" s="14">
        <f t="shared" si="120"/>
        <v>0</v>
      </c>
      <c r="DC165" s="14">
        <f t="shared" si="121"/>
        <v>0</v>
      </c>
      <c r="DD165" s="14">
        <f t="shared" si="122"/>
        <v>6</v>
      </c>
      <c r="DE165" s="14">
        <f t="shared" si="123"/>
        <v>0</v>
      </c>
      <c r="DF165" s="14">
        <f t="shared" si="124"/>
        <v>0</v>
      </c>
      <c r="DG165" s="14">
        <f t="shared" si="125"/>
        <v>9</v>
      </c>
      <c r="DH165" s="14">
        <f t="shared" si="126"/>
        <v>0</v>
      </c>
      <c r="DI165" s="14">
        <f t="shared" si="127"/>
        <v>13</v>
      </c>
      <c r="DL165" s="14">
        <f t="shared" si="109"/>
        <v>1</v>
      </c>
      <c r="DM165" s="14">
        <f t="shared" si="110"/>
        <v>0</v>
      </c>
      <c r="DN165" s="14" t="str">
        <f t="shared" si="128"/>
        <v>AtkExt</v>
      </c>
      <c r="DO165" s="14">
        <f t="shared" si="129"/>
        <v>135</v>
      </c>
      <c r="DP165" s="14">
        <f t="shared" si="130"/>
        <v>6</v>
      </c>
      <c r="DQ165" s="14" t="str">
        <f t="shared" si="131"/>
        <v/>
      </c>
      <c r="DR165" s="14" t="str">
        <f t="shared" si="132"/>
        <v/>
      </c>
      <c r="DS165" s="14" t="str">
        <f t="shared" si="133"/>
        <v/>
      </c>
      <c r="DT165" s="14">
        <f t="shared" si="134"/>
        <v>9</v>
      </c>
      <c r="DU165" s="14">
        <f t="shared" si="135"/>
        <v>0</v>
      </c>
      <c r="DV165" s="14">
        <f t="shared" si="136"/>
        <v>13</v>
      </c>
      <c r="DW165" s="29" t="s">
        <v>758</v>
      </c>
      <c r="DX165" s="14">
        <f t="shared" si="137"/>
        <v>15</v>
      </c>
    </row>
    <row r="166" spans="91:128" ht="16.5" x14ac:dyDescent="0.2">
      <c r="CM166" s="13">
        <v>162</v>
      </c>
      <c r="CN166" s="14">
        <f t="shared" si="111"/>
        <v>23</v>
      </c>
      <c r="CO166" s="14">
        <f t="shared" si="112"/>
        <v>1</v>
      </c>
      <c r="CP166" s="14">
        <f t="shared" si="113"/>
        <v>2</v>
      </c>
      <c r="CQ166" s="14">
        <f t="shared" si="104"/>
        <v>3</v>
      </c>
      <c r="CR166" s="14">
        <f t="shared" si="105"/>
        <v>2031012</v>
      </c>
      <c r="CS166" s="13" t="str">
        <f t="shared" si="106"/>
        <v>90级寄灵人绿色-头盔</v>
      </c>
      <c r="CT166" s="14">
        <f t="shared" si="107"/>
        <v>1</v>
      </c>
      <c r="CU166" s="14">
        <f t="shared" si="108"/>
        <v>1</v>
      </c>
      <c r="CV166" s="14">
        <f t="shared" si="114"/>
        <v>90</v>
      </c>
      <c r="CW166" s="14">
        <f t="shared" si="115"/>
        <v>90</v>
      </c>
      <c r="CX166" s="14">
        <f t="shared" si="116"/>
        <v>2</v>
      </c>
      <c r="CY166" s="14" t="str">
        <f t="shared" si="117"/>
        <v/>
      </c>
      <c r="CZ166" s="14">
        <f t="shared" si="118"/>
        <v>15</v>
      </c>
      <c r="DA166" s="14">
        <f t="shared" si="119"/>
        <v>0</v>
      </c>
      <c r="DB166" s="14">
        <f t="shared" si="120"/>
        <v>34</v>
      </c>
      <c r="DC166" s="14">
        <f t="shared" si="121"/>
        <v>0</v>
      </c>
      <c r="DD166" s="14">
        <f t="shared" si="122"/>
        <v>0</v>
      </c>
      <c r="DE166" s="14">
        <f t="shared" si="123"/>
        <v>1.5</v>
      </c>
      <c r="DF166" s="14">
        <f t="shared" si="124"/>
        <v>0</v>
      </c>
      <c r="DG166" s="14">
        <f t="shared" si="125"/>
        <v>9</v>
      </c>
      <c r="DH166" s="14">
        <f t="shared" si="126"/>
        <v>0</v>
      </c>
      <c r="DI166" s="14">
        <f t="shared" si="127"/>
        <v>13</v>
      </c>
      <c r="DL166" s="14">
        <f t="shared" si="109"/>
        <v>2</v>
      </c>
      <c r="DM166" s="14">
        <f t="shared" si="110"/>
        <v>0</v>
      </c>
      <c r="DN166" s="14" t="str">
        <f t="shared" si="128"/>
        <v>DefExt</v>
      </c>
      <c r="DO166" s="14">
        <f t="shared" si="129"/>
        <v>34</v>
      </c>
      <c r="DP166" s="14">
        <f t="shared" si="130"/>
        <v>1.5</v>
      </c>
      <c r="DQ166" s="14" t="str">
        <f t="shared" si="131"/>
        <v/>
      </c>
      <c r="DR166" s="14" t="str">
        <f t="shared" si="132"/>
        <v/>
      </c>
      <c r="DS166" s="14" t="str">
        <f t="shared" si="133"/>
        <v/>
      </c>
      <c r="DT166" s="14">
        <f t="shared" si="134"/>
        <v>9</v>
      </c>
      <c r="DU166" s="14">
        <f t="shared" si="135"/>
        <v>0</v>
      </c>
      <c r="DV166" s="14">
        <f t="shared" si="136"/>
        <v>13</v>
      </c>
      <c r="DW166" s="29" t="s">
        <v>758</v>
      </c>
      <c r="DX166" s="14">
        <f t="shared" si="137"/>
        <v>15</v>
      </c>
    </row>
    <row r="167" spans="91:128" ht="16.5" x14ac:dyDescent="0.2">
      <c r="CM167" s="13">
        <v>163</v>
      </c>
      <c r="CN167" s="14">
        <f t="shared" si="111"/>
        <v>23</v>
      </c>
      <c r="CO167" s="14">
        <f t="shared" si="112"/>
        <v>1</v>
      </c>
      <c r="CP167" s="14">
        <f t="shared" si="113"/>
        <v>3</v>
      </c>
      <c r="CQ167" s="14">
        <f t="shared" si="104"/>
        <v>3</v>
      </c>
      <c r="CR167" s="14">
        <f t="shared" si="105"/>
        <v>2031013</v>
      </c>
      <c r="CS167" s="13" t="str">
        <f t="shared" si="106"/>
        <v>90级寄灵人绿色-肩甲</v>
      </c>
      <c r="CT167" s="14">
        <f t="shared" si="107"/>
        <v>1</v>
      </c>
      <c r="CU167" s="14">
        <f t="shared" si="108"/>
        <v>1</v>
      </c>
      <c r="CV167" s="14">
        <f t="shared" si="114"/>
        <v>90</v>
      </c>
      <c r="CW167" s="14">
        <f t="shared" si="115"/>
        <v>90</v>
      </c>
      <c r="CX167" s="14">
        <f t="shared" si="116"/>
        <v>3</v>
      </c>
      <c r="CY167" s="14" t="str">
        <f t="shared" si="117"/>
        <v/>
      </c>
      <c r="CZ167" s="14">
        <f t="shared" si="118"/>
        <v>12</v>
      </c>
      <c r="DA167" s="14">
        <f t="shared" si="119"/>
        <v>0</v>
      </c>
      <c r="DB167" s="14">
        <f t="shared" si="120"/>
        <v>17</v>
      </c>
      <c r="DC167" s="14">
        <f t="shared" si="121"/>
        <v>105</v>
      </c>
      <c r="DD167" s="14">
        <f t="shared" si="122"/>
        <v>0</v>
      </c>
      <c r="DE167" s="14">
        <f t="shared" si="123"/>
        <v>0.75</v>
      </c>
      <c r="DF167" s="14">
        <f t="shared" si="124"/>
        <v>4.5</v>
      </c>
      <c r="DG167" s="14">
        <f t="shared" si="125"/>
        <v>9</v>
      </c>
      <c r="DH167" s="14">
        <f t="shared" si="126"/>
        <v>0</v>
      </c>
      <c r="DI167" s="14">
        <f t="shared" si="127"/>
        <v>13</v>
      </c>
      <c r="DL167" s="14">
        <f t="shared" si="109"/>
        <v>2</v>
      </c>
      <c r="DM167" s="14">
        <f t="shared" si="110"/>
        <v>3</v>
      </c>
      <c r="DN167" s="14" t="str">
        <f t="shared" si="128"/>
        <v>DefExt</v>
      </c>
      <c r="DO167" s="14">
        <f t="shared" si="129"/>
        <v>17</v>
      </c>
      <c r="DP167" s="14">
        <f t="shared" si="130"/>
        <v>0.75</v>
      </c>
      <c r="DQ167" s="14" t="str">
        <f t="shared" si="131"/>
        <v>HPExt</v>
      </c>
      <c r="DR167" s="14">
        <f t="shared" si="132"/>
        <v>105</v>
      </c>
      <c r="DS167" s="14">
        <f t="shared" si="133"/>
        <v>4.5</v>
      </c>
      <c r="DT167" s="14">
        <f t="shared" si="134"/>
        <v>9</v>
      </c>
      <c r="DU167" s="14">
        <f t="shared" si="135"/>
        <v>0</v>
      </c>
      <c r="DV167" s="14">
        <f t="shared" si="136"/>
        <v>13</v>
      </c>
      <c r="DW167" s="29" t="s">
        <v>758</v>
      </c>
      <c r="DX167" s="14">
        <f t="shared" si="137"/>
        <v>15</v>
      </c>
    </row>
    <row r="168" spans="91:128" ht="16.5" x14ac:dyDescent="0.2">
      <c r="CM168" s="13">
        <v>164</v>
      </c>
      <c r="CN168" s="14">
        <f t="shared" si="111"/>
        <v>23</v>
      </c>
      <c r="CO168" s="14">
        <f t="shared" si="112"/>
        <v>1</v>
      </c>
      <c r="CP168" s="14">
        <f t="shared" si="113"/>
        <v>4</v>
      </c>
      <c r="CQ168" s="14">
        <f t="shared" si="104"/>
        <v>3</v>
      </c>
      <c r="CR168" s="14">
        <f t="shared" si="105"/>
        <v>2031014</v>
      </c>
      <c r="CS168" s="13" t="str">
        <f t="shared" si="106"/>
        <v>90级寄灵人绿色-衣服</v>
      </c>
      <c r="CT168" s="14">
        <f t="shared" si="107"/>
        <v>1</v>
      </c>
      <c r="CU168" s="14">
        <f t="shared" si="108"/>
        <v>1</v>
      </c>
      <c r="CV168" s="14">
        <f t="shared" si="114"/>
        <v>90</v>
      </c>
      <c r="CW168" s="14">
        <f t="shared" si="115"/>
        <v>90</v>
      </c>
      <c r="CX168" s="14">
        <f t="shared" si="116"/>
        <v>4</v>
      </c>
      <c r="CY168" s="14" t="str">
        <f t="shared" si="117"/>
        <v/>
      </c>
      <c r="CZ168" s="14">
        <f t="shared" si="118"/>
        <v>15</v>
      </c>
      <c r="DA168" s="14">
        <f t="shared" si="119"/>
        <v>0</v>
      </c>
      <c r="DB168" s="14">
        <f t="shared" si="120"/>
        <v>34</v>
      </c>
      <c r="DC168" s="14">
        <f t="shared" si="121"/>
        <v>0</v>
      </c>
      <c r="DD168" s="14">
        <f t="shared" si="122"/>
        <v>0</v>
      </c>
      <c r="DE168" s="14">
        <f t="shared" si="123"/>
        <v>1.5</v>
      </c>
      <c r="DF168" s="14">
        <f t="shared" si="124"/>
        <v>0</v>
      </c>
      <c r="DG168" s="14">
        <f t="shared" si="125"/>
        <v>9</v>
      </c>
      <c r="DH168" s="14">
        <f t="shared" si="126"/>
        <v>0</v>
      </c>
      <c r="DI168" s="14">
        <f t="shared" si="127"/>
        <v>13</v>
      </c>
      <c r="DL168" s="14">
        <f t="shared" si="109"/>
        <v>2</v>
      </c>
      <c r="DM168" s="14">
        <f t="shared" si="110"/>
        <v>0</v>
      </c>
      <c r="DN168" s="14" t="str">
        <f t="shared" si="128"/>
        <v>DefExt</v>
      </c>
      <c r="DO168" s="14">
        <f t="shared" si="129"/>
        <v>34</v>
      </c>
      <c r="DP168" s="14">
        <f t="shared" si="130"/>
        <v>1.5</v>
      </c>
      <c r="DQ168" s="14" t="str">
        <f t="shared" si="131"/>
        <v/>
      </c>
      <c r="DR168" s="14" t="str">
        <f t="shared" si="132"/>
        <v/>
      </c>
      <c r="DS168" s="14" t="str">
        <f t="shared" si="133"/>
        <v/>
      </c>
      <c r="DT168" s="14">
        <f t="shared" si="134"/>
        <v>9</v>
      </c>
      <c r="DU168" s="14">
        <f t="shared" si="135"/>
        <v>0</v>
      </c>
      <c r="DV168" s="14">
        <f t="shared" si="136"/>
        <v>13</v>
      </c>
      <c r="DW168" s="29" t="s">
        <v>758</v>
      </c>
      <c r="DX168" s="14">
        <f t="shared" si="137"/>
        <v>15</v>
      </c>
    </row>
    <row r="169" spans="91:128" ht="16.5" x14ac:dyDescent="0.2">
      <c r="CM169" s="13">
        <v>165</v>
      </c>
      <c r="CN169" s="14">
        <f t="shared" si="111"/>
        <v>23</v>
      </c>
      <c r="CO169" s="14">
        <f t="shared" si="112"/>
        <v>1</v>
      </c>
      <c r="CP169" s="14">
        <f t="shared" si="113"/>
        <v>5</v>
      </c>
      <c r="CQ169" s="14">
        <f t="shared" si="104"/>
        <v>3</v>
      </c>
      <c r="CR169" s="14">
        <f t="shared" si="105"/>
        <v>2031015</v>
      </c>
      <c r="CS169" s="13" t="str">
        <f t="shared" si="106"/>
        <v>90级寄灵人绿色-鞋子</v>
      </c>
      <c r="CT169" s="14">
        <f t="shared" si="107"/>
        <v>1</v>
      </c>
      <c r="CU169" s="14">
        <f t="shared" si="108"/>
        <v>1</v>
      </c>
      <c r="CV169" s="14">
        <f t="shared" si="114"/>
        <v>90</v>
      </c>
      <c r="CW169" s="14">
        <f t="shared" si="115"/>
        <v>90</v>
      </c>
      <c r="CX169" s="14">
        <f t="shared" si="116"/>
        <v>5</v>
      </c>
      <c r="CY169" s="14" t="str">
        <f t="shared" si="117"/>
        <v/>
      </c>
      <c r="CZ169" s="14">
        <f t="shared" si="118"/>
        <v>9</v>
      </c>
      <c r="DA169" s="14">
        <f t="shared" si="119"/>
        <v>0</v>
      </c>
      <c r="DB169" s="14">
        <f t="shared" si="120"/>
        <v>0</v>
      </c>
      <c r="DC169" s="14">
        <f t="shared" si="121"/>
        <v>210</v>
      </c>
      <c r="DD169" s="14">
        <f t="shared" si="122"/>
        <v>0</v>
      </c>
      <c r="DE169" s="14">
        <f t="shared" si="123"/>
        <v>0</v>
      </c>
      <c r="DF169" s="14">
        <f t="shared" si="124"/>
        <v>9</v>
      </c>
      <c r="DG169" s="14">
        <f t="shared" si="125"/>
        <v>9</v>
      </c>
      <c r="DH169" s="14">
        <f t="shared" si="126"/>
        <v>0</v>
      </c>
      <c r="DI169" s="14">
        <f t="shared" si="127"/>
        <v>13</v>
      </c>
      <c r="DL169" s="14">
        <f t="shared" si="109"/>
        <v>3</v>
      </c>
      <c r="DM169" s="14">
        <f t="shared" si="110"/>
        <v>0</v>
      </c>
      <c r="DN169" s="14" t="str">
        <f t="shared" si="128"/>
        <v>HPExt</v>
      </c>
      <c r="DO169" s="14">
        <f t="shared" si="129"/>
        <v>210</v>
      </c>
      <c r="DP169" s="14">
        <f t="shared" si="130"/>
        <v>9</v>
      </c>
      <c r="DQ169" s="14" t="str">
        <f t="shared" si="131"/>
        <v/>
      </c>
      <c r="DR169" s="14" t="str">
        <f t="shared" si="132"/>
        <v/>
      </c>
      <c r="DS169" s="14" t="str">
        <f t="shared" si="133"/>
        <v/>
      </c>
      <c r="DT169" s="14">
        <f t="shared" si="134"/>
        <v>9</v>
      </c>
      <c r="DU169" s="14">
        <f t="shared" si="135"/>
        <v>0</v>
      </c>
      <c r="DV169" s="14">
        <f t="shared" si="136"/>
        <v>13</v>
      </c>
      <c r="DW169" s="29" t="s">
        <v>758</v>
      </c>
      <c r="DX169" s="14">
        <f t="shared" si="137"/>
        <v>15</v>
      </c>
    </row>
    <row r="170" spans="91:128" ht="16.5" x14ac:dyDescent="0.2">
      <c r="CM170" s="13">
        <v>166</v>
      </c>
      <c r="CN170" s="14">
        <f t="shared" si="111"/>
        <v>23</v>
      </c>
      <c r="CO170" s="14">
        <f t="shared" si="112"/>
        <v>1</v>
      </c>
      <c r="CP170" s="14">
        <f t="shared" si="113"/>
        <v>6</v>
      </c>
      <c r="CQ170" s="14">
        <f t="shared" si="104"/>
        <v>3</v>
      </c>
      <c r="CR170" s="14">
        <f t="shared" si="105"/>
        <v>2031016</v>
      </c>
      <c r="CS170" s="13" t="str">
        <f t="shared" si="106"/>
        <v>90级寄灵人绿色-护手</v>
      </c>
      <c r="CT170" s="14">
        <f t="shared" si="107"/>
        <v>1</v>
      </c>
      <c r="CU170" s="14">
        <f t="shared" si="108"/>
        <v>1</v>
      </c>
      <c r="CV170" s="14">
        <f t="shared" si="114"/>
        <v>90</v>
      </c>
      <c r="CW170" s="14">
        <f t="shared" si="115"/>
        <v>90</v>
      </c>
      <c r="CX170" s="14">
        <f t="shared" si="116"/>
        <v>6</v>
      </c>
      <c r="CY170" s="14" t="str">
        <f t="shared" si="117"/>
        <v/>
      </c>
      <c r="CZ170" s="14">
        <f t="shared" si="118"/>
        <v>9</v>
      </c>
      <c r="DA170" s="14">
        <f t="shared" si="119"/>
        <v>0</v>
      </c>
      <c r="DB170" s="14">
        <f t="shared" si="120"/>
        <v>0</v>
      </c>
      <c r="DC170" s="14">
        <f t="shared" si="121"/>
        <v>210</v>
      </c>
      <c r="DD170" s="14">
        <f t="shared" si="122"/>
        <v>0</v>
      </c>
      <c r="DE170" s="14">
        <f t="shared" si="123"/>
        <v>0</v>
      </c>
      <c r="DF170" s="14">
        <f t="shared" si="124"/>
        <v>9</v>
      </c>
      <c r="DG170" s="14">
        <f t="shared" si="125"/>
        <v>9</v>
      </c>
      <c r="DH170" s="14">
        <f t="shared" si="126"/>
        <v>0</v>
      </c>
      <c r="DI170" s="14">
        <f t="shared" si="127"/>
        <v>13</v>
      </c>
      <c r="DL170" s="14">
        <f t="shared" si="109"/>
        <v>3</v>
      </c>
      <c r="DM170" s="14">
        <f t="shared" si="110"/>
        <v>0</v>
      </c>
      <c r="DN170" s="14" t="str">
        <f t="shared" si="128"/>
        <v>HPExt</v>
      </c>
      <c r="DO170" s="14">
        <f t="shared" si="129"/>
        <v>210</v>
      </c>
      <c r="DP170" s="14">
        <f t="shared" si="130"/>
        <v>9</v>
      </c>
      <c r="DQ170" s="14" t="str">
        <f t="shared" si="131"/>
        <v/>
      </c>
      <c r="DR170" s="14" t="str">
        <f t="shared" si="132"/>
        <v/>
      </c>
      <c r="DS170" s="14" t="str">
        <f t="shared" si="133"/>
        <v/>
      </c>
      <c r="DT170" s="14">
        <f t="shared" si="134"/>
        <v>9</v>
      </c>
      <c r="DU170" s="14">
        <f t="shared" si="135"/>
        <v>0</v>
      </c>
      <c r="DV170" s="14">
        <f t="shared" si="136"/>
        <v>13</v>
      </c>
      <c r="DW170" s="29" t="s">
        <v>758</v>
      </c>
      <c r="DX170" s="14">
        <f t="shared" si="137"/>
        <v>15</v>
      </c>
    </row>
    <row r="171" spans="91:128" ht="16.5" x14ac:dyDescent="0.2">
      <c r="CM171" s="13">
        <v>167</v>
      </c>
      <c r="CN171" s="14">
        <f t="shared" si="111"/>
        <v>23</v>
      </c>
      <c r="CO171" s="14">
        <f t="shared" si="112"/>
        <v>1</v>
      </c>
      <c r="CP171" s="14">
        <f t="shared" si="113"/>
        <v>7</v>
      </c>
      <c r="CQ171" s="14">
        <f t="shared" si="104"/>
        <v>3</v>
      </c>
      <c r="CR171" s="14">
        <f t="shared" si="105"/>
        <v>2031017</v>
      </c>
      <c r="CS171" s="13" t="str">
        <f t="shared" si="106"/>
        <v>90级寄灵人绿色-项链</v>
      </c>
      <c r="CT171" s="14">
        <f t="shared" si="107"/>
        <v>1</v>
      </c>
      <c r="CU171" s="14">
        <f t="shared" si="108"/>
        <v>1</v>
      </c>
      <c r="CV171" s="14">
        <f t="shared" si="114"/>
        <v>90</v>
      </c>
      <c r="CW171" s="14">
        <f t="shared" si="115"/>
        <v>90</v>
      </c>
      <c r="CX171" s="14">
        <f t="shared" si="116"/>
        <v>7</v>
      </c>
      <c r="CY171" s="14" t="str">
        <f t="shared" si="117"/>
        <v/>
      </c>
      <c r="CZ171" s="14">
        <f t="shared" si="118"/>
        <v>22</v>
      </c>
      <c r="DA171" s="14">
        <f t="shared" si="119"/>
        <v>45</v>
      </c>
      <c r="DB171" s="14">
        <f t="shared" si="120"/>
        <v>28</v>
      </c>
      <c r="DC171" s="14">
        <f t="shared" si="121"/>
        <v>0</v>
      </c>
      <c r="DD171" s="14">
        <f t="shared" si="122"/>
        <v>2</v>
      </c>
      <c r="DE171" s="14">
        <f t="shared" si="123"/>
        <v>1.25</v>
      </c>
      <c r="DF171" s="14">
        <f t="shared" si="124"/>
        <v>0</v>
      </c>
      <c r="DG171" s="14">
        <f t="shared" si="125"/>
        <v>9</v>
      </c>
      <c r="DH171" s="14">
        <f t="shared" si="126"/>
        <v>0</v>
      </c>
      <c r="DI171" s="14">
        <f t="shared" si="127"/>
        <v>13</v>
      </c>
      <c r="DL171" s="14">
        <f t="shared" si="109"/>
        <v>1</v>
      </c>
      <c r="DM171" s="14">
        <f t="shared" si="110"/>
        <v>2</v>
      </c>
      <c r="DN171" s="14" t="str">
        <f t="shared" si="128"/>
        <v>AtkExt</v>
      </c>
      <c r="DO171" s="14">
        <f t="shared" si="129"/>
        <v>45</v>
      </c>
      <c r="DP171" s="14">
        <f t="shared" si="130"/>
        <v>2</v>
      </c>
      <c r="DQ171" s="14" t="str">
        <f t="shared" si="131"/>
        <v>DefExt</v>
      </c>
      <c r="DR171" s="14">
        <f t="shared" si="132"/>
        <v>28</v>
      </c>
      <c r="DS171" s="14">
        <f t="shared" si="133"/>
        <v>1.25</v>
      </c>
      <c r="DT171" s="14">
        <f t="shared" si="134"/>
        <v>9</v>
      </c>
      <c r="DU171" s="14">
        <f t="shared" si="135"/>
        <v>0</v>
      </c>
      <c r="DV171" s="14">
        <f t="shared" si="136"/>
        <v>13</v>
      </c>
      <c r="DW171" s="29" t="s">
        <v>758</v>
      </c>
      <c r="DX171" s="14">
        <f t="shared" si="137"/>
        <v>15</v>
      </c>
    </row>
    <row r="172" spans="91:128" ht="16.5" x14ac:dyDescent="0.2">
      <c r="CM172" s="13">
        <v>168</v>
      </c>
      <c r="CN172" s="14">
        <f t="shared" si="111"/>
        <v>23</v>
      </c>
      <c r="CO172" s="14">
        <f t="shared" si="112"/>
        <v>1</v>
      </c>
      <c r="CP172" s="14">
        <f t="shared" si="113"/>
        <v>8</v>
      </c>
      <c r="CQ172" s="14">
        <f t="shared" si="104"/>
        <v>3</v>
      </c>
      <c r="CR172" s="14">
        <f t="shared" si="105"/>
        <v>2031018</v>
      </c>
      <c r="CS172" s="13" t="str">
        <f t="shared" si="106"/>
        <v>90级寄灵人绿色-戒指</v>
      </c>
      <c r="CT172" s="14">
        <f t="shared" si="107"/>
        <v>1</v>
      </c>
      <c r="CU172" s="14">
        <f t="shared" si="108"/>
        <v>1</v>
      </c>
      <c r="CV172" s="14">
        <f t="shared" si="114"/>
        <v>90</v>
      </c>
      <c r="CW172" s="14">
        <f t="shared" si="115"/>
        <v>90</v>
      </c>
      <c r="CX172" s="14">
        <f t="shared" si="116"/>
        <v>8</v>
      </c>
      <c r="CY172" s="14" t="str">
        <f t="shared" si="117"/>
        <v/>
      </c>
      <c r="CZ172" s="14">
        <f t="shared" si="118"/>
        <v>17</v>
      </c>
      <c r="DA172" s="14">
        <f t="shared" si="119"/>
        <v>45</v>
      </c>
      <c r="DB172" s="14">
        <f t="shared" si="120"/>
        <v>0</v>
      </c>
      <c r="DC172" s="14">
        <f t="shared" si="121"/>
        <v>175</v>
      </c>
      <c r="DD172" s="14">
        <f t="shared" si="122"/>
        <v>2</v>
      </c>
      <c r="DE172" s="14">
        <f t="shared" si="123"/>
        <v>0</v>
      </c>
      <c r="DF172" s="14">
        <f t="shared" si="124"/>
        <v>7.5</v>
      </c>
      <c r="DG172" s="14">
        <f t="shared" si="125"/>
        <v>9</v>
      </c>
      <c r="DH172" s="14">
        <f t="shared" si="126"/>
        <v>0</v>
      </c>
      <c r="DI172" s="14">
        <f t="shared" si="127"/>
        <v>13</v>
      </c>
      <c r="DL172" s="14">
        <f t="shared" si="109"/>
        <v>1</v>
      </c>
      <c r="DM172" s="14">
        <f t="shared" si="110"/>
        <v>3</v>
      </c>
      <c r="DN172" s="14" t="str">
        <f t="shared" si="128"/>
        <v>AtkExt</v>
      </c>
      <c r="DO172" s="14">
        <f t="shared" si="129"/>
        <v>45</v>
      </c>
      <c r="DP172" s="14">
        <f t="shared" si="130"/>
        <v>2</v>
      </c>
      <c r="DQ172" s="14" t="str">
        <f t="shared" si="131"/>
        <v>HPExt</v>
      </c>
      <c r="DR172" s="14">
        <f t="shared" si="132"/>
        <v>175</v>
      </c>
      <c r="DS172" s="14">
        <f t="shared" si="133"/>
        <v>7.5</v>
      </c>
      <c r="DT172" s="14">
        <f t="shared" si="134"/>
        <v>9</v>
      </c>
      <c r="DU172" s="14">
        <f t="shared" si="135"/>
        <v>0</v>
      </c>
      <c r="DV172" s="14">
        <f t="shared" si="136"/>
        <v>13</v>
      </c>
      <c r="DW172" s="29" t="s">
        <v>758</v>
      </c>
      <c r="DX172" s="14">
        <f t="shared" si="137"/>
        <v>15</v>
      </c>
    </row>
    <row r="173" spans="91:128" ht="16.5" x14ac:dyDescent="0.2">
      <c r="CM173" s="13">
        <v>169</v>
      </c>
      <c r="CN173" s="14">
        <f t="shared" si="111"/>
        <v>24</v>
      </c>
      <c r="CO173" s="14">
        <f t="shared" si="112"/>
        <v>2</v>
      </c>
      <c r="CP173" s="14">
        <f t="shared" si="113"/>
        <v>1</v>
      </c>
      <c r="CQ173" s="14">
        <f t="shared" si="104"/>
        <v>3</v>
      </c>
      <c r="CR173" s="14">
        <f t="shared" si="105"/>
        <v>2031021</v>
      </c>
      <c r="CS173" s="13" t="str">
        <f t="shared" si="106"/>
        <v>90级守护灵绿色-武器</v>
      </c>
      <c r="CT173" s="14">
        <f t="shared" si="107"/>
        <v>2</v>
      </c>
      <c r="CU173" s="14">
        <f t="shared" si="108"/>
        <v>1</v>
      </c>
      <c r="CV173" s="14">
        <f t="shared" si="114"/>
        <v>90</v>
      </c>
      <c r="CW173" s="14">
        <f t="shared" si="115"/>
        <v>90</v>
      </c>
      <c r="CX173" s="14">
        <f t="shared" si="116"/>
        <v>1</v>
      </c>
      <c r="CY173" s="14" t="str">
        <f t="shared" si="117"/>
        <v/>
      </c>
      <c r="CZ173" s="14">
        <f t="shared" si="118"/>
        <v>30</v>
      </c>
      <c r="DA173" s="14">
        <f t="shared" si="119"/>
        <v>150</v>
      </c>
      <c r="DB173" s="14">
        <f t="shared" si="120"/>
        <v>0</v>
      </c>
      <c r="DC173" s="14">
        <f t="shared" si="121"/>
        <v>0</v>
      </c>
      <c r="DD173" s="14">
        <f t="shared" si="122"/>
        <v>6</v>
      </c>
      <c r="DE173" s="14">
        <f t="shared" si="123"/>
        <v>0</v>
      </c>
      <c r="DF173" s="14">
        <f t="shared" si="124"/>
        <v>0</v>
      </c>
      <c r="DG173" s="14">
        <f t="shared" si="125"/>
        <v>9</v>
      </c>
      <c r="DH173" s="14">
        <f t="shared" si="126"/>
        <v>0</v>
      </c>
      <c r="DI173" s="14">
        <f t="shared" si="127"/>
        <v>23</v>
      </c>
      <c r="DL173" s="14">
        <f t="shared" si="109"/>
        <v>1</v>
      </c>
      <c r="DM173" s="14">
        <f t="shared" si="110"/>
        <v>0</v>
      </c>
      <c r="DN173" s="14" t="str">
        <f t="shared" si="128"/>
        <v>AtkExt</v>
      </c>
      <c r="DO173" s="14">
        <f t="shared" si="129"/>
        <v>150</v>
      </c>
      <c r="DP173" s="14">
        <f t="shared" si="130"/>
        <v>6</v>
      </c>
      <c r="DQ173" s="14" t="str">
        <f t="shared" si="131"/>
        <v/>
      </c>
      <c r="DR173" s="14" t="str">
        <f t="shared" si="132"/>
        <v/>
      </c>
      <c r="DS173" s="14" t="str">
        <f t="shared" si="133"/>
        <v/>
      </c>
      <c r="DT173" s="14">
        <f t="shared" si="134"/>
        <v>9</v>
      </c>
      <c r="DU173" s="14">
        <f t="shared" si="135"/>
        <v>0</v>
      </c>
      <c r="DV173" s="14">
        <f t="shared" si="136"/>
        <v>23</v>
      </c>
      <c r="DW173" s="29" t="s">
        <v>758</v>
      </c>
      <c r="DX173" s="14">
        <f t="shared" si="137"/>
        <v>15</v>
      </c>
    </row>
    <row r="174" spans="91:128" ht="16.5" x14ac:dyDescent="0.2">
      <c r="CM174" s="13">
        <v>170</v>
      </c>
      <c r="CN174" s="14">
        <f t="shared" si="111"/>
        <v>24</v>
      </c>
      <c r="CO174" s="14">
        <f t="shared" si="112"/>
        <v>2</v>
      </c>
      <c r="CP174" s="14">
        <f t="shared" si="113"/>
        <v>2</v>
      </c>
      <c r="CQ174" s="14">
        <f t="shared" si="104"/>
        <v>3</v>
      </c>
      <c r="CR174" s="14">
        <f t="shared" si="105"/>
        <v>2031022</v>
      </c>
      <c r="CS174" s="13" t="str">
        <f t="shared" si="106"/>
        <v>90级守护灵绿色-头盔</v>
      </c>
      <c r="CT174" s="14">
        <f t="shared" si="107"/>
        <v>2</v>
      </c>
      <c r="CU174" s="14">
        <f t="shared" si="108"/>
        <v>1</v>
      </c>
      <c r="CV174" s="14">
        <f t="shared" si="114"/>
        <v>90</v>
      </c>
      <c r="CW174" s="14">
        <f t="shared" si="115"/>
        <v>90</v>
      </c>
      <c r="CX174" s="14">
        <f t="shared" si="116"/>
        <v>2</v>
      </c>
      <c r="CY174" s="14" t="str">
        <f t="shared" si="117"/>
        <v/>
      </c>
      <c r="CZ174" s="14">
        <f t="shared" si="118"/>
        <v>15</v>
      </c>
      <c r="DA174" s="14">
        <f t="shared" si="119"/>
        <v>0</v>
      </c>
      <c r="DB174" s="14">
        <f t="shared" si="120"/>
        <v>38</v>
      </c>
      <c r="DC174" s="14">
        <f t="shared" si="121"/>
        <v>0</v>
      </c>
      <c r="DD174" s="14">
        <f t="shared" si="122"/>
        <v>0</v>
      </c>
      <c r="DE174" s="14">
        <f t="shared" si="123"/>
        <v>1.5</v>
      </c>
      <c r="DF174" s="14">
        <f t="shared" si="124"/>
        <v>0</v>
      </c>
      <c r="DG174" s="14">
        <f t="shared" si="125"/>
        <v>9</v>
      </c>
      <c r="DH174" s="14">
        <f t="shared" si="126"/>
        <v>0</v>
      </c>
      <c r="DI174" s="14">
        <f t="shared" si="127"/>
        <v>23</v>
      </c>
      <c r="DL174" s="14">
        <f t="shared" si="109"/>
        <v>2</v>
      </c>
      <c r="DM174" s="14">
        <f t="shared" si="110"/>
        <v>0</v>
      </c>
      <c r="DN174" s="14" t="str">
        <f t="shared" si="128"/>
        <v>DefExt</v>
      </c>
      <c r="DO174" s="14">
        <f t="shared" si="129"/>
        <v>38</v>
      </c>
      <c r="DP174" s="14">
        <f t="shared" si="130"/>
        <v>1.5</v>
      </c>
      <c r="DQ174" s="14" t="str">
        <f t="shared" si="131"/>
        <v/>
      </c>
      <c r="DR174" s="14" t="str">
        <f t="shared" si="132"/>
        <v/>
      </c>
      <c r="DS174" s="14" t="str">
        <f t="shared" si="133"/>
        <v/>
      </c>
      <c r="DT174" s="14">
        <f t="shared" si="134"/>
        <v>9</v>
      </c>
      <c r="DU174" s="14">
        <f t="shared" si="135"/>
        <v>0</v>
      </c>
      <c r="DV174" s="14">
        <f t="shared" si="136"/>
        <v>23</v>
      </c>
      <c r="DW174" s="29" t="s">
        <v>758</v>
      </c>
      <c r="DX174" s="14">
        <f t="shared" si="137"/>
        <v>15</v>
      </c>
    </row>
    <row r="175" spans="91:128" ht="16.5" x14ac:dyDescent="0.2">
      <c r="CM175" s="13">
        <v>171</v>
      </c>
      <c r="CN175" s="14">
        <f t="shared" si="111"/>
        <v>24</v>
      </c>
      <c r="CO175" s="14">
        <f t="shared" si="112"/>
        <v>2</v>
      </c>
      <c r="CP175" s="14">
        <f t="shared" si="113"/>
        <v>3</v>
      </c>
      <c r="CQ175" s="14">
        <f t="shared" si="104"/>
        <v>3</v>
      </c>
      <c r="CR175" s="14">
        <f t="shared" si="105"/>
        <v>2031023</v>
      </c>
      <c r="CS175" s="13" t="str">
        <f t="shared" si="106"/>
        <v>90级守护灵绿色-肩甲</v>
      </c>
      <c r="CT175" s="14">
        <f t="shared" si="107"/>
        <v>2</v>
      </c>
      <c r="CU175" s="14">
        <f t="shared" si="108"/>
        <v>1</v>
      </c>
      <c r="CV175" s="14">
        <f t="shared" si="114"/>
        <v>90</v>
      </c>
      <c r="CW175" s="14">
        <f t="shared" si="115"/>
        <v>90</v>
      </c>
      <c r="CX175" s="14">
        <f t="shared" si="116"/>
        <v>3</v>
      </c>
      <c r="CY175" s="14" t="str">
        <f t="shared" si="117"/>
        <v/>
      </c>
      <c r="CZ175" s="14">
        <f t="shared" si="118"/>
        <v>16</v>
      </c>
      <c r="DA175" s="14">
        <f t="shared" si="119"/>
        <v>0</v>
      </c>
      <c r="DB175" s="14">
        <f t="shared" si="120"/>
        <v>19</v>
      </c>
      <c r="DC175" s="14">
        <f t="shared" si="121"/>
        <v>188</v>
      </c>
      <c r="DD175" s="14">
        <f t="shared" si="122"/>
        <v>0</v>
      </c>
      <c r="DE175" s="14">
        <f t="shared" si="123"/>
        <v>0.75</v>
      </c>
      <c r="DF175" s="14">
        <f t="shared" si="124"/>
        <v>9.3800000000000008</v>
      </c>
      <c r="DG175" s="14">
        <f t="shared" si="125"/>
        <v>9</v>
      </c>
      <c r="DH175" s="14">
        <f t="shared" si="126"/>
        <v>0</v>
      </c>
      <c r="DI175" s="14">
        <f t="shared" si="127"/>
        <v>23</v>
      </c>
      <c r="DL175" s="14">
        <f t="shared" si="109"/>
        <v>2</v>
      </c>
      <c r="DM175" s="14">
        <f t="shared" si="110"/>
        <v>3</v>
      </c>
      <c r="DN175" s="14" t="str">
        <f t="shared" si="128"/>
        <v>DefExt</v>
      </c>
      <c r="DO175" s="14">
        <f t="shared" si="129"/>
        <v>19</v>
      </c>
      <c r="DP175" s="14">
        <f t="shared" si="130"/>
        <v>0.75</v>
      </c>
      <c r="DQ175" s="14" t="str">
        <f t="shared" si="131"/>
        <v>HPExt</v>
      </c>
      <c r="DR175" s="14">
        <f t="shared" si="132"/>
        <v>188</v>
      </c>
      <c r="DS175" s="14">
        <f t="shared" si="133"/>
        <v>9.3800000000000008</v>
      </c>
      <c r="DT175" s="14">
        <f t="shared" si="134"/>
        <v>9</v>
      </c>
      <c r="DU175" s="14">
        <f t="shared" si="135"/>
        <v>0</v>
      </c>
      <c r="DV175" s="14">
        <f t="shared" si="136"/>
        <v>23</v>
      </c>
      <c r="DW175" s="29" t="s">
        <v>758</v>
      </c>
      <c r="DX175" s="14">
        <f t="shared" si="137"/>
        <v>15</v>
      </c>
    </row>
    <row r="176" spans="91:128" ht="16.5" x14ac:dyDescent="0.2">
      <c r="CM176" s="13">
        <v>172</v>
      </c>
      <c r="CN176" s="14">
        <f t="shared" si="111"/>
        <v>24</v>
      </c>
      <c r="CO176" s="14">
        <f t="shared" si="112"/>
        <v>2</v>
      </c>
      <c r="CP176" s="14">
        <f t="shared" si="113"/>
        <v>4</v>
      </c>
      <c r="CQ176" s="14">
        <f t="shared" si="104"/>
        <v>3</v>
      </c>
      <c r="CR176" s="14">
        <f t="shared" si="105"/>
        <v>2031024</v>
      </c>
      <c r="CS176" s="13" t="str">
        <f t="shared" si="106"/>
        <v>90级守护灵绿色-衣服</v>
      </c>
      <c r="CT176" s="14">
        <f t="shared" si="107"/>
        <v>2</v>
      </c>
      <c r="CU176" s="14">
        <f t="shared" si="108"/>
        <v>1</v>
      </c>
      <c r="CV176" s="14">
        <f t="shared" si="114"/>
        <v>90</v>
      </c>
      <c r="CW176" s="14">
        <f t="shared" si="115"/>
        <v>90</v>
      </c>
      <c r="CX176" s="14">
        <f t="shared" si="116"/>
        <v>4</v>
      </c>
      <c r="CY176" s="14" t="str">
        <f t="shared" si="117"/>
        <v/>
      </c>
      <c r="CZ176" s="14">
        <f t="shared" si="118"/>
        <v>15</v>
      </c>
      <c r="DA176" s="14">
        <f t="shared" si="119"/>
        <v>0</v>
      </c>
      <c r="DB176" s="14">
        <f t="shared" si="120"/>
        <v>38</v>
      </c>
      <c r="DC176" s="14">
        <f t="shared" si="121"/>
        <v>0</v>
      </c>
      <c r="DD176" s="14">
        <f t="shared" si="122"/>
        <v>0</v>
      </c>
      <c r="DE176" s="14">
        <f t="shared" si="123"/>
        <v>1.5</v>
      </c>
      <c r="DF176" s="14">
        <f t="shared" si="124"/>
        <v>0</v>
      </c>
      <c r="DG176" s="14">
        <f t="shared" si="125"/>
        <v>9</v>
      </c>
      <c r="DH176" s="14">
        <f t="shared" si="126"/>
        <v>0</v>
      </c>
      <c r="DI176" s="14">
        <f t="shared" si="127"/>
        <v>23</v>
      </c>
      <c r="DL176" s="14">
        <f t="shared" si="109"/>
        <v>2</v>
      </c>
      <c r="DM176" s="14">
        <f t="shared" si="110"/>
        <v>0</v>
      </c>
      <c r="DN176" s="14" t="str">
        <f t="shared" si="128"/>
        <v>DefExt</v>
      </c>
      <c r="DO176" s="14">
        <f t="shared" si="129"/>
        <v>38</v>
      </c>
      <c r="DP176" s="14">
        <f t="shared" si="130"/>
        <v>1.5</v>
      </c>
      <c r="DQ176" s="14" t="str">
        <f t="shared" si="131"/>
        <v/>
      </c>
      <c r="DR176" s="14" t="str">
        <f t="shared" si="132"/>
        <v/>
      </c>
      <c r="DS176" s="14" t="str">
        <f t="shared" si="133"/>
        <v/>
      </c>
      <c r="DT176" s="14">
        <f t="shared" si="134"/>
        <v>9</v>
      </c>
      <c r="DU176" s="14">
        <f t="shared" si="135"/>
        <v>0</v>
      </c>
      <c r="DV176" s="14">
        <f t="shared" si="136"/>
        <v>23</v>
      </c>
      <c r="DW176" s="29" t="s">
        <v>758</v>
      </c>
      <c r="DX176" s="14">
        <f t="shared" si="137"/>
        <v>15</v>
      </c>
    </row>
    <row r="177" spans="91:128" ht="16.5" x14ac:dyDescent="0.2">
      <c r="CM177" s="13">
        <v>173</v>
      </c>
      <c r="CN177" s="14">
        <f t="shared" si="111"/>
        <v>24</v>
      </c>
      <c r="CO177" s="14">
        <f t="shared" si="112"/>
        <v>2</v>
      </c>
      <c r="CP177" s="14">
        <f t="shared" si="113"/>
        <v>5</v>
      </c>
      <c r="CQ177" s="14">
        <f t="shared" si="104"/>
        <v>3</v>
      </c>
      <c r="CR177" s="14">
        <f t="shared" si="105"/>
        <v>2031025</v>
      </c>
      <c r="CS177" s="13" t="str">
        <f t="shared" si="106"/>
        <v>90级守护灵绿色-鞋子</v>
      </c>
      <c r="CT177" s="14">
        <f t="shared" si="107"/>
        <v>2</v>
      </c>
      <c r="CU177" s="14">
        <f t="shared" si="108"/>
        <v>1</v>
      </c>
      <c r="CV177" s="14">
        <f t="shared" si="114"/>
        <v>90</v>
      </c>
      <c r="CW177" s="14">
        <f t="shared" si="115"/>
        <v>90</v>
      </c>
      <c r="CX177" s="14">
        <f t="shared" si="116"/>
        <v>5</v>
      </c>
      <c r="CY177" s="14" t="str">
        <f t="shared" si="117"/>
        <v/>
      </c>
      <c r="CZ177" s="14">
        <f t="shared" si="118"/>
        <v>18</v>
      </c>
      <c r="DA177" s="14">
        <f t="shared" si="119"/>
        <v>0</v>
      </c>
      <c r="DB177" s="14">
        <f t="shared" si="120"/>
        <v>0</v>
      </c>
      <c r="DC177" s="14">
        <f t="shared" si="121"/>
        <v>375</v>
      </c>
      <c r="DD177" s="14">
        <f t="shared" si="122"/>
        <v>0</v>
      </c>
      <c r="DE177" s="14">
        <f t="shared" si="123"/>
        <v>0</v>
      </c>
      <c r="DF177" s="14">
        <f t="shared" si="124"/>
        <v>18.75</v>
      </c>
      <c r="DG177" s="14">
        <f t="shared" si="125"/>
        <v>9</v>
      </c>
      <c r="DH177" s="14">
        <f t="shared" si="126"/>
        <v>0</v>
      </c>
      <c r="DI177" s="14">
        <f t="shared" si="127"/>
        <v>23</v>
      </c>
      <c r="DL177" s="14">
        <f t="shared" si="109"/>
        <v>3</v>
      </c>
      <c r="DM177" s="14">
        <f t="shared" si="110"/>
        <v>0</v>
      </c>
      <c r="DN177" s="14" t="str">
        <f t="shared" si="128"/>
        <v>HPExt</v>
      </c>
      <c r="DO177" s="14">
        <f t="shared" si="129"/>
        <v>375</v>
      </c>
      <c r="DP177" s="14">
        <f t="shared" si="130"/>
        <v>18.75</v>
      </c>
      <c r="DQ177" s="14" t="str">
        <f t="shared" si="131"/>
        <v/>
      </c>
      <c r="DR177" s="14" t="str">
        <f t="shared" si="132"/>
        <v/>
      </c>
      <c r="DS177" s="14" t="str">
        <f t="shared" si="133"/>
        <v/>
      </c>
      <c r="DT177" s="14">
        <f t="shared" si="134"/>
        <v>9</v>
      </c>
      <c r="DU177" s="14">
        <f t="shared" si="135"/>
        <v>0</v>
      </c>
      <c r="DV177" s="14">
        <f t="shared" si="136"/>
        <v>23</v>
      </c>
      <c r="DW177" s="29" t="s">
        <v>758</v>
      </c>
      <c r="DX177" s="14">
        <f t="shared" si="137"/>
        <v>15</v>
      </c>
    </row>
    <row r="178" spans="91:128" ht="16.5" x14ac:dyDescent="0.2">
      <c r="CM178" s="13">
        <v>174</v>
      </c>
      <c r="CN178" s="14">
        <f t="shared" si="111"/>
        <v>24</v>
      </c>
      <c r="CO178" s="14">
        <f t="shared" si="112"/>
        <v>2</v>
      </c>
      <c r="CP178" s="14">
        <f t="shared" si="113"/>
        <v>6</v>
      </c>
      <c r="CQ178" s="14">
        <f t="shared" si="104"/>
        <v>3</v>
      </c>
      <c r="CR178" s="14">
        <f t="shared" si="105"/>
        <v>2031026</v>
      </c>
      <c r="CS178" s="13" t="str">
        <f t="shared" si="106"/>
        <v>90级守护灵绿色-护手</v>
      </c>
      <c r="CT178" s="14">
        <f t="shared" si="107"/>
        <v>2</v>
      </c>
      <c r="CU178" s="14">
        <f t="shared" si="108"/>
        <v>1</v>
      </c>
      <c r="CV178" s="14">
        <f t="shared" si="114"/>
        <v>90</v>
      </c>
      <c r="CW178" s="14">
        <f t="shared" si="115"/>
        <v>90</v>
      </c>
      <c r="CX178" s="14">
        <f t="shared" si="116"/>
        <v>6</v>
      </c>
      <c r="CY178" s="14" t="str">
        <f t="shared" si="117"/>
        <v/>
      </c>
      <c r="CZ178" s="14">
        <f t="shared" si="118"/>
        <v>18</v>
      </c>
      <c r="DA178" s="14">
        <f t="shared" si="119"/>
        <v>0</v>
      </c>
      <c r="DB178" s="14">
        <f t="shared" si="120"/>
        <v>0</v>
      </c>
      <c r="DC178" s="14">
        <f t="shared" si="121"/>
        <v>375</v>
      </c>
      <c r="DD178" s="14">
        <f t="shared" si="122"/>
        <v>0</v>
      </c>
      <c r="DE178" s="14">
        <f t="shared" si="123"/>
        <v>0</v>
      </c>
      <c r="DF178" s="14">
        <f t="shared" si="124"/>
        <v>18.75</v>
      </c>
      <c r="DG178" s="14">
        <f t="shared" si="125"/>
        <v>9</v>
      </c>
      <c r="DH178" s="14">
        <f t="shared" si="126"/>
        <v>0</v>
      </c>
      <c r="DI178" s="14">
        <f t="shared" si="127"/>
        <v>23</v>
      </c>
      <c r="DL178" s="14">
        <f t="shared" si="109"/>
        <v>3</v>
      </c>
      <c r="DM178" s="14">
        <f t="shared" si="110"/>
        <v>0</v>
      </c>
      <c r="DN178" s="14" t="str">
        <f t="shared" si="128"/>
        <v>HPExt</v>
      </c>
      <c r="DO178" s="14">
        <f t="shared" si="129"/>
        <v>375</v>
      </c>
      <c r="DP178" s="14">
        <f t="shared" si="130"/>
        <v>18.75</v>
      </c>
      <c r="DQ178" s="14" t="str">
        <f t="shared" si="131"/>
        <v/>
      </c>
      <c r="DR178" s="14" t="str">
        <f t="shared" si="132"/>
        <v/>
      </c>
      <c r="DS178" s="14" t="str">
        <f t="shared" si="133"/>
        <v/>
      </c>
      <c r="DT178" s="14">
        <f t="shared" si="134"/>
        <v>9</v>
      </c>
      <c r="DU178" s="14">
        <f t="shared" si="135"/>
        <v>0</v>
      </c>
      <c r="DV178" s="14">
        <f t="shared" si="136"/>
        <v>23</v>
      </c>
      <c r="DW178" s="29" t="s">
        <v>758</v>
      </c>
      <c r="DX178" s="14">
        <f t="shared" si="137"/>
        <v>15</v>
      </c>
    </row>
    <row r="179" spans="91:128" ht="16.5" x14ac:dyDescent="0.2">
      <c r="CM179" s="13">
        <v>175</v>
      </c>
      <c r="CN179" s="14">
        <f t="shared" si="111"/>
        <v>24</v>
      </c>
      <c r="CO179" s="14">
        <f t="shared" si="112"/>
        <v>2</v>
      </c>
      <c r="CP179" s="14">
        <f t="shared" si="113"/>
        <v>7</v>
      </c>
      <c r="CQ179" s="14">
        <f t="shared" si="104"/>
        <v>3</v>
      </c>
      <c r="CR179" s="14">
        <f t="shared" si="105"/>
        <v>2031027</v>
      </c>
      <c r="CS179" s="13" t="str">
        <f t="shared" si="106"/>
        <v>90级守护灵绿色-项链</v>
      </c>
      <c r="CT179" s="14">
        <f t="shared" si="107"/>
        <v>2</v>
      </c>
      <c r="CU179" s="14">
        <f t="shared" si="108"/>
        <v>1</v>
      </c>
      <c r="CV179" s="14">
        <f t="shared" si="114"/>
        <v>90</v>
      </c>
      <c r="CW179" s="14">
        <f t="shared" si="115"/>
        <v>90</v>
      </c>
      <c r="CX179" s="14">
        <f t="shared" si="116"/>
        <v>7</v>
      </c>
      <c r="CY179" s="14" t="str">
        <f t="shared" si="117"/>
        <v/>
      </c>
      <c r="CZ179" s="14">
        <f t="shared" si="118"/>
        <v>22</v>
      </c>
      <c r="DA179" s="14">
        <f t="shared" si="119"/>
        <v>50</v>
      </c>
      <c r="DB179" s="14">
        <f t="shared" si="120"/>
        <v>31</v>
      </c>
      <c r="DC179" s="14">
        <f t="shared" si="121"/>
        <v>0</v>
      </c>
      <c r="DD179" s="14">
        <f t="shared" si="122"/>
        <v>2</v>
      </c>
      <c r="DE179" s="14">
        <f t="shared" si="123"/>
        <v>1.25</v>
      </c>
      <c r="DF179" s="14">
        <f t="shared" si="124"/>
        <v>0</v>
      </c>
      <c r="DG179" s="14">
        <f t="shared" si="125"/>
        <v>9</v>
      </c>
      <c r="DH179" s="14">
        <f t="shared" si="126"/>
        <v>0</v>
      </c>
      <c r="DI179" s="14">
        <f t="shared" si="127"/>
        <v>23</v>
      </c>
      <c r="DL179" s="14">
        <f t="shared" si="109"/>
        <v>1</v>
      </c>
      <c r="DM179" s="14">
        <f t="shared" si="110"/>
        <v>2</v>
      </c>
      <c r="DN179" s="14" t="str">
        <f t="shared" si="128"/>
        <v>AtkExt</v>
      </c>
      <c r="DO179" s="14">
        <f t="shared" si="129"/>
        <v>50</v>
      </c>
      <c r="DP179" s="14">
        <f t="shared" si="130"/>
        <v>2</v>
      </c>
      <c r="DQ179" s="14" t="str">
        <f t="shared" si="131"/>
        <v>DefExt</v>
      </c>
      <c r="DR179" s="14">
        <f t="shared" si="132"/>
        <v>31</v>
      </c>
      <c r="DS179" s="14">
        <f t="shared" si="133"/>
        <v>1.25</v>
      </c>
      <c r="DT179" s="14">
        <f t="shared" si="134"/>
        <v>9</v>
      </c>
      <c r="DU179" s="14">
        <f t="shared" si="135"/>
        <v>0</v>
      </c>
      <c r="DV179" s="14">
        <f t="shared" si="136"/>
        <v>23</v>
      </c>
      <c r="DW179" s="29" t="s">
        <v>758</v>
      </c>
      <c r="DX179" s="14">
        <f t="shared" si="137"/>
        <v>15</v>
      </c>
    </row>
    <row r="180" spans="91:128" ht="16.5" x14ac:dyDescent="0.2">
      <c r="CM180" s="13">
        <v>176</v>
      </c>
      <c r="CN180" s="14">
        <f t="shared" si="111"/>
        <v>24</v>
      </c>
      <c r="CO180" s="14">
        <f t="shared" si="112"/>
        <v>2</v>
      </c>
      <c r="CP180" s="14">
        <f t="shared" si="113"/>
        <v>8</v>
      </c>
      <c r="CQ180" s="14">
        <f t="shared" si="104"/>
        <v>3</v>
      </c>
      <c r="CR180" s="14">
        <f t="shared" si="105"/>
        <v>2031028</v>
      </c>
      <c r="CS180" s="13" t="str">
        <f t="shared" si="106"/>
        <v>90级守护灵绿色-戒指</v>
      </c>
      <c r="CT180" s="14">
        <f t="shared" si="107"/>
        <v>2</v>
      </c>
      <c r="CU180" s="14">
        <f t="shared" si="108"/>
        <v>1</v>
      </c>
      <c r="CV180" s="14">
        <f t="shared" si="114"/>
        <v>90</v>
      </c>
      <c r="CW180" s="14">
        <f t="shared" si="115"/>
        <v>90</v>
      </c>
      <c r="CX180" s="14">
        <f t="shared" si="116"/>
        <v>8</v>
      </c>
      <c r="CY180" s="14" t="str">
        <f t="shared" si="117"/>
        <v/>
      </c>
      <c r="CZ180" s="14">
        <f t="shared" si="118"/>
        <v>25</v>
      </c>
      <c r="DA180" s="14">
        <f t="shared" si="119"/>
        <v>50</v>
      </c>
      <c r="DB180" s="14">
        <f t="shared" si="120"/>
        <v>0</v>
      </c>
      <c r="DC180" s="14">
        <f t="shared" si="121"/>
        <v>313</v>
      </c>
      <c r="DD180" s="14">
        <f t="shared" si="122"/>
        <v>2</v>
      </c>
      <c r="DE180" s="14">
        <f t="shared" si="123"/>
        <v>0</v>
      </c>
      <c r="DF180" s="14">
        <f t="shared" si="124"/>
        <v>15.63</v>
      </c>
      <c r="DG180" s="14">
        <f t="shared" si="125"/>
        <v>9</v>
      </c>
      <c r="DH180" s="14">
        <f t="shared" si="126"/>
        <v>0</v>
      </c>
      <c r="DI180" s="14">
        <f t="shared" si="127"/>
        <v>23</v>
      </c>
      <c r="DL180" s="14">
        <f t="shared" si="109"/>
        <v>1</v>
      </c>
      <c r="DM180" s="14">
        <f t="shared" si="110"/>
        <v>3</v>
      </c>
      <c r="DN180" s="14" t="str">
        <f t="shared" si="128"/>
        <v>AtkExt</v>
      </c>
      <c r="DO180" s="14">
        <f t="shared" si="129"/>
        <v>50</v>
      </c>
      <c r="DP180" s="14">
        <f t="shared" si="130"/>
        <v>2</v>
      </c>
      <c r="DQ180" s="14" t="str">
        <f t="shared" si="131"/>
        <v>HPExt</v>
      </c>
      <c r="DR180" s="14">
        <f t="shared" si="132"/>
        <v>313</v>
      </c>
      <c r="DS180" s="14">
        <f t="shared" si="133"/>
        <v>15.63</v>
      </c>
      <c r="DT180" s="14">
        <f t="shared" si="134"/>
        <v>9</v>
      </c>
      <c r="DU180" s="14">
        <f t="shared" si="135"/>
        <v>0</v>
      </c>
      <c r="DV180" s="14">
        <f t="shared" si="136"/>
        <v>23</v>
      </c>
      <c r="DW180" s="29" t="s">
        <v>758</v>
      </c>
      <c r="DX180" s="14">
        <f t="shared" si="137"/>
        <v>15</v>
      </c>
    </row>
    <row r="181" spans="91:128" ht="16.5" x14ac:dyDescent="0.2">
      <c r="CM181" s="13">
        <v>177</v>
      </c>
      <c r="CN181" s="14">
        <f t="shared" si="111"/>
        <v>25</v>
      </c>
      <c r="CO181" s="14">
        <f t="shared" si="112"/>
        <v>1</v>
      </c>
      <c r="CP181" s="14">
        <f t="shared" si="113"/>
        <v>1</v>
      </c>
      <c r="CQ181" s="14">
        <f t="shared" si="104"/>
        <v>3</v>
      </c>
      <c r="CR181" s="14">
        <f t="shared" si="105"/>
        <v>2032011</v>
      </c>
      <c r="CS181" s="13" t="str">
        <f t="shared" si="106"/>
        <v>90级寄灵人蓝色-武器</v>
      </c>
      <c r="CT181" s="14">
        <f t="shared" si="107"/>
        <v>1</v>
      </c>
      <c r="CU181" s="14">
        <f t="shared" si="108"/>
        <v>2</v>
      </c>
      <c r="CV181" s="14">
        <f t="shared" si="114"/>
        <v>90</v>
      </c>
      <c r="CW181" s="14">
        <f t="shared" si="115"/>
        <v>90</v>
      </c>
      <c r="CX181" s="14">
        <f t="shared" si="116"/>
        <v>1</v>
      </c>
      <c r="CY181" s="14" t="str">
        <f t="shared" si="117"/>
        <v/>
      </c>
      <c r="CZ181" s="14">
        <f t="shared" si="118"/>
        <v>45</v>
      </c>
      <c r="DA181" s="14">
        <f t="shared" si="119"/>
        <v>203</v>
      </c>
      <c r="DB181" s="14">
        <f t="shared" si="120"/>
        <v>0</v>
      </c>
      <c r="DC181" s="14">
        <f t="shared" si="121"/>
        <v>0</v>
      </c>
      <c r="DD181" s="14">
        <f t="shared" si="122"/>
        <v>9</v>
      </c>
      <c r="DE181" s="14">
        <f t="shared" si="123"/>
        <v>0</v>
      </c>
      <c r="DF181" s="14">
        <f t="shared" si="124"/>
        <v>0</v>
      </c>
      <c r="DG181" s="14">
        <f t="shared" si="125"/>
        <v>10</v>
      </c>
      <c r="DH181" s="14">
        <f t="shared" si="126"/>
        <v>0</v>
      </c>
      <c r="DI181" s="14">
        <f t="shared" si="127"/>
        <v>13</v>
      </c>
      <c r="DL181" s="14">
        <f t="shared" si="109"/>
        <v>1</v>
      </c>
      <c r="DM181" s="14">
        <f t="shared" si="110"/>
        <v>0</v>
      </c>
      <c r="DN181" s="14" t="str">
        <f t="shared" si="128"/>
        <v>AtkExt</v>
      </c>
      <c r="DO181" s="14">
        <f t="shared" si="129"/>
        <v>203</v>
      </c>
      <c r="DP181" s="14">
        <f t="shared" si="130"/>
        <v>9</v>
      </c>
      <c r="DQ181" s="14" t="str">
        <f t="shared" si="131"/>
        <v/>
      </c>
      <c r="DR181" s="14" t="str">
        <f t="shared" si="132"/>
        <v/>
      </c>
      <c r="DS181" s="14" t="str">
        <f t="shared" si="133"/>
        <v/>
      </c>
      <c r="DT181" s="14">
        <f t="shared" si="134"/>
        <v>10</v>
      </c>
      <c r="DU181" s="14">
        <f t="shared" si="135"/>
        <v>0</v>
      </c>
      <c r="DV181" s="14">
        <f t="shared" si="136"/>
        <v>13</v>
      </c>
      <c r="DW181" s="29" t="s">
        <v>758</v>
      </c>
      <c r="DX181" s="14">
        <f t="shared" si="137"/>
        <v>45</v>
      </c>
    </row>
    <row r="182" spans="91:128" ht="16.5" x14ac:dyDescent="0.2">
      <c r="CM182" s="13">
        <v>178</v>
      </c>
      <c r="CN182" s="14">
        <f t="shared" si="111"/>
        <v>25</v>
      </c>
      <c r="CO182" s="14">
        <f t="shared" si="112"/>
        <v>1</v>
      </c>
      <c r="CP182" s="14">
        <f t="shared" si="113"/>
        <v>2</v>
      </c>
      <c r="CQ182" s="14">
        <f t="shared" si="104"/>
        <v>3</v>
      </c>
      <c r="CR182" s="14">
        <f t="shared" si="105"/>
        <v>2032012</v>
      </c>
      <c r="CS182" s="13" t="str">
        <f t="shared" si="106"/>
        <v>90级寄灵人蓝色-头盔</v>
      </c>
      <c r="CT182" s="14">
        <f t="shared" si="107"/>
        <v>1</v>
      </c>
      <c r="CU182" s="14">
        <f t="shared" si="108"/>
        <v>2</v>
      </c>
      <c r="CV182" s="14">
        <f t="shared" si="114"/>
        <v>90</v>
      </c>
      <c r="CW182" s="14">
        <f t="shared" si="115"/>
        <v>90</v>
      </c>
      <c r="CX182" s="14">
        <f t="shared" si="116"/>
        <v>2</v>
      </c>
      <c r="CY182" s="14" t="str">
        <f t="shared" si="117"/>
        <v/>
      </c>
      <c r="CZ182" s="14">
        <f t="shared" si="118"/>
        <v>22</v>
      </c>
      <c r="DA182" s="14">
        <f t="shared" si="119"/>
        <v>0</v>
      </c>
      <c r="DB182" s="14">
        <f t="shared" si="120"/>
        <v>51</v>
      </c>
      <c r="DC182" s="14">
        <f t="shared" si="121"/>
        <v>0</v>
      </c>
      <c r="DD182" s="14">
        <f t="shared" si="122"/>
        <v>0</v>
      </c>
      <c r="DE182" s="14">
        <f t="shared" si="123"/>
        <v>2.25</v>
      </c>
      <c r="DF182" s="14">
        <f t="shared" si="124"/>
        <v>0</v>
      </c>
      <c r="DG182" s="14">
        <f t="shared" si="125"/>
        <v>10</v>
      </c>
      <c r="DH182" s="14">
        <f t="shared" si="126"/>
        <v>0</v>
      </c>
      <c r="DI182" s="14">
        <f t="shared" si="127"/>
        <v>13</v>
      </c>
      <c r="DL182" s="14">
        <f t="shared" si="109"/>
        <v>2</v>
      </c>
      <c r="DM182" s="14">
        <f t="shared" si="110"/>
        <v>0</v>
      </c>
      <c r="DN182" s="14" t="str">
        <f t="shared" si="128"/>
        <v>DefExt</v>
      </c>
      <c r="DO182" s="14">
        <f t="shared" si="129"/>
        <v>51</v>
      </c>
      <c r="DP182" s="14">
        <f t="shared" si="130"/>
        <v>2.25</v>
      </c>
      <c r="DQ182" s="14" t="str">
        <f t="shared" si="131"/>
        <v/>
      </c>
      <c r="DR182" s="14" t="str">
        <f t="shared" si="132"/>
        <v/>
      </c>
      <c r="DS182" s="14" t="str">
        <f t="shared" si="133"/>
        <v/>
      </c>
      <c r="DT182" s="14">
        <f t="shared" si="134"/>
        <v>10</v>
      </c>
      <c r="DU182" s="14">
        <f t="shared" si="135"/>
        <v>0</v>
      </c>
      <c r="DV182" s="14">
        <f t="shared" si="136"/>
        <v>13</v>
      </c>
      <c r="DW182" s="29" t="s">
        <v>758</v>
      </c>
      <c r="DX182" s="14">
        <f t="shared" si="137"/>
        <v>45</v>
      </c>
    </row>
    <row r="183" spans="91:128" ht="16.5" x14ac:dyDescent="0.2">
      <c r="CM183" s="13">
        <v>179</v>
      </c>
      <c r="CN183" s="14">
        <f t="shared" si="111"/>
        <v>25</v>
      </c>
      <c r="CO183" s="14">
        <f t="shared" si="112"/>
        <v>1</v>
      </c>
      <c r="CP183" s="14">
        <f t="shared" si="113"/>
        <v>3</v>
      </c>
      <c r="CQ183" s="14">
        <f t="shared" si="104"/>
        <v>3</v>
      </c>
      <c r="CR183" s="14">
        <f t="shared" si="105"/>
        <v>2032013</v>
      </c>
      <c r="CS183" s="13" t="str">
        <f t="shared" si="106"/>
        <v>90级寄灵人蓝色-肩甲</v>
      </c>
      <c r="CT183" s="14">
        <f t="shared" si="107"/>
        <v>1</v>
      </c>
      <c r="CU183" s="14">
        <f t="shared" si="108"/>
        <v>2</v>
      </c>
      <c r="CV183" s="14">
        <f t="shared" si="114"/>
        <v>90</v>
      </c>
      <c r="CW183" s="14">
        <f t="shared" si="115"/>
        <v>90</v>
      </c>
      <c r="CX183" s="14">
        <f t="shared" si="116"/>
        <v>3</v>
      </c>
      <c r="CY183" s="14" t="str">
        <f t="shared" si="117"/>
        <v/>
      </c>
      <c r="CZ183" s="14">
        <f t="shared" si="118"/>
        <v>18</v>
      </c>
      <c r="DA183" s="14">
        <f t="shared" si="119"/>
        <v>0</v>
      </c>
      <c r="DB183" s="14">
        <f t="shared" si="120"/>
        <v>25</v>
      </c>
      <c r="DC183" s="14">
        <f t="shared" si="121"/>
        <v>158</v>
      </c>
      <c r="DD183" s="14">
        <f t="shared" si="122"/>
        <v>0</v>
      </c>
      <c r="DE183" s="14">
        <f t="shared" si="123"/>
        <v>1.1299999999999999</v>
      </c>
      <c r="DF183" s="14">
        <f t="shared" si="124"/>
        <v>6.75</v>
      </c>
      <c r="DG183" s="14">
        <f t="shared" si="125"/>
        <v>10</v>
      </c>
      <c r="DH183" s="14">
        <f t="shared" si="126"/>
        <v>0</v>
      </c>
      <c r="DI183" s="14">
        <f t="shared" si="127"/>
        <v>13</v>
      </c>
      <c r="DL183" s="14">
        <f t="shared" si="109"/>
        <v>2</v>
      </c>
      <c r="DM183" s="14">
        <f t="shared" si="110"/>
        <v>3</v>
      </c>
      <c r="DN183" s="14" t="str">
        <f t="shared" si="128"/>
        <v>DefExt</v>
      </c>
      <c r="DO183" s="14">
        <f t="shared" si="129"/>
        <v>25</v>
      </c>
      <c r="DP183" s="14">
        <f t="shared" si="130"/>
        <v>1.1299999999999999</v>
      </c>
      <c r="DQ183" s="14" t="str">
        <f t="shared" si="131"/>
        <v>HPExt</v>
      </c>
      <c r="DR183" s="14">
        <f t="shared" si="132"/>
        <v>158</v>
      </c>
      <c r="DS183" s="14">
        <f t="shared" si="133"/>
        <v>6.75</v>
      </c>
      <c r="DT183" s="14">
        <f t="shared" si="134"/>
        <v>10</v>
      </c>
      <c r="DU183" s="14">
        <f t="shared" si="135"/>
        <v>0</v>
      </c>
      <c r="DV183" s="14">
        <f t="shared" si="136"/>
        <v>13</v>
      </c>
      <c r="DW183" s="29" t="s">
        <v>758</v>
      </c>
      <c r="DX183" s="14">
        <f t="shared" si="137"/>
        <v>45</v>
      </c>
    </row>
    <row r="184" spans="91:128" ht="16.5" x14ac:dyDescent="0.2">
      <c r="CM184" s="13">
        <v>180</v>
      </c>
      <c r="CN184" s="14">
        <f t="shared" si="111"/>
        <v>25</v>
      </c>
      <c r="CO184" s="14">
        <f t="shared" si="112"/>
        <v>1</v>
      </c>
      <c r="CP184" s="14">
        <f t="shared" si="113"/>
        <v>4</v>
      </c>
      <c r="CQ184" s="14">
        <f t="shared" si="104"/>
        <v>3</v>
      </c>
      <c r="CR184" s="14">
        <f t="shared" si="105"/>
        <v>2032014</v>
      </c>
      <c r="CS184" s="13" t="str">
        <f t="shared" si="106"/>
        <v>90级寄灵人蓝色-衣服</v>
      </c>
      <c r="CT184" s="14">
        <f t="shared" si="107"/>
        <v>1</v>
      </c>
      <c r="CU184" s="14">
        <f t="shared" si="108"/>
        <v>2</v>
      </c>
      <c r="CV184" s="14">
        <f t="shared" si="114"/>
        <v>90</v>
      </c>
      <c r="CW184" s="14">
        <f t="shared" si="115"/>
        <v>90</v>
      </c>
      <c r="CX184" s="14">
        <f t="shared" si="116"/>
        <v>4</v>
      </c>
      <c r="CY184" s="14" t="str">
        <f t="shared" si="117"/>
        <v/>
      </c>
      <c r="CZ184" s="14">
        <f t="shared" si="118"/>
        <v>22</v>
      </c>
      <c r="DA184" s="14">
        <f t="shared" si="119"/>
        <v>0</v>
      </c>
      <c r="DB184" s="14">
        <f t="shared" si="120"/>
        <v>51</v>
      </c>
      <c r="DC184" s="14">
        <f t="shared" si="121"/>
        <v>0</v>
      </c>
      <c r="DD184" s="14">
        <f t="shared" si="122"/>
        <v>0</v>
      </c>
      <c r="DE184" s="14">
        <f t="shared" si="123"/>
        <v>2.25</v>
      </c>
      <c r="DF184" s="14">
        <f t="shared" si="124"/>
        <v>0</v>
      </c>
      <c r="DG184" s="14">
        <f t="shared" si="125"/>
        <v>10</v>
      </c>
      <c r="DH184" s="14">
        <f t="shared" si="126"/>
        <v>0</v>
      </c>
      <c r="DI184" s="14">
        <f t="shared" si="127"/>
        <v>13</v>
      </c>
      <c r="DL184" s="14">
        <f t="shared" si="109"/>
        <v>2</v>
      </c>
      <c r="DM184" s="14">
        <f t="shared" si="110"/>
        <v>0</v>
      </c>
      <c r="DN184" s="14" t="str">
        <f t="shared" si="128"/>
        <v>DefExt</v>
      </c>
      <c r="DO184" s="14">
        <f t="shared" si="129"/>
        <v>51</v>
      </c>
      <c r="DP184" s="14">
        <f t="shared" si="130"/>
        <v>2.25</v>
      </c>
      <c r="DQ184" s="14" t="str">
        <f t="shared" si="131"/>
        <v/>
      </c>
      <c r="DR184" s="14" t="str">
        <f t="shared" si="132"/>
        <v/>
      </c>
      <c r="DS184" s="14" t="str">
        <f t="shared" si="133"/>
        <v/>
      </c>
      <c r="DT184" s="14">
        <f t="shared" si="134"/>
        <v>10</v>
      </c>
      <c r="DU184" s="14">
        <f t="shared" si="135"/>
        <v>0</v>
      </c>
      <c r="DV184" s="14">
        <f t="shared" si="136"/>
        <v>13</v>
      </c>
      <c r="DW184" s="29" t="s">
        <v>758</v>
      </c>
      <c r="DX184" s="14">
        <f t="shared" si="137"/>
        <v>45</v>
      </c>
    </row>
    <row r="185" spans="91:128" ht="16.5" x14ac:dyDescent="0.2">
      <c r="CM185" s="13">
        <v>181</v>
      </c>
      <c r="CN185" s="14">
        <f t="shared" si="111"/>
        <v>25</v>
      </c>
      <c r="CO185" s="14">
        <f t="shared" si="112"/>
        <v>1</v>
      </c>
      <c r="CP185" s="14">
        <f t="shared" si="113"/>
        <v>5</v>
      </c>
      <c r="CQ185" s="14">
        <f t="shared" si="104"/>
        <v>3</v>
      </c>
      <c r="CR185" s="14">
        <f t="shared" si="105"/>
        <v>2032015</v>
      </c>
      <c r="CS185" s="13" t="str">
        <f t="shared" si="106"/>
        <v>90级寄灵人蓝色-鞋子</v>
      </c>
      <c r="CT185" s="14">
        <f t="shared" si="107"/>
        <v>1</v>
      </c>
      <c r="CU185" s="14">
        <f t="shared" si="108"/>
        <v>2</v>
      </c>
      <c r="CV185" s="14">
        <f t="shared" si="114"/>
        <v>90</v>
      </c>
      <c r="CW185" s="14">
        <f t="shared" si="115"/>
        <v>90</v>
      </c>
      <c r="CX185" s="14">
        <f t="shared" si="116"/>
        <v>5</v>
      </c>
      <c r="CY185" s="14" t="str">
        <f t="shared" si="117"/>
        <v/>
      </c>
      <c r="CZ185" s="14">
        <f t="shared" si="118"/>
        <v>13</v>
      </c>
      <c r="DA185" s="14">
        <f t="shared" si="119"/>
        <v>0</v>
      </c>
      <c r="DB185" s="14">
        <f t="shared" si="120"/>
        <v>0</v>
      </c>
      <c r="DC185" s="14">
        <f t="shared" si="121"/>
        <v>315</v>
      </c>
      <c r="DD185" s="14">
        <f t="shared" si="122"/>
        <v>0</v>
      </c>
      <c r="DE185" s="14">
        <f t="shared" si="123"/>
        <v>0</v>
      </c>
      <c r="DF185" s="14">
        <f t="shared" si="124"/>
        <v>13.5</v>
      </c>
      <c r="DG185" s="14">
        <f t="shared" si="125"/>
        <v>10</v>
      </c>
      <c r="DH185" s="14">
        <f t="shared" si="126"/>
        <v>0</v>
      </c>
      <c r="DI185" s="14">
        <f t="shared" si="127"/>
        <v>13</v>
      </c>
      <c r="DL185" s="14">
        <f t="shared" si="109"/>
        <v>3</v>
      </c>
      <c r="DM185" s="14">
        <f t="shared" si="110"/>
        <v>0</v>
      </c>
      <c r="DN185" s="14" t="str">
        <f t="shared" si="128"/>
        <v>HPExt</v>
      </c>
      <c r="DO185" s="14">
        <f t="shared" si="129"/>
        <v>315</v>
      </c>
      <c r="DP185" s="14">
        <f t="shared" si="130"/>
        <v>13.5</v>
      </c>
      <c r="DQ185" s="14" t="str">
        <f t="shared" si="131"/>
        <v/>
      </c>
      <c r="DR185" s="14" t="str">
        <f t="shared" si="132"/>
        <v/>
      </c>
      <c r="DS185" s="14" t="str">
        <f t="shared" si="133"/>
        <v/>
      </c>
      <c r="DT185" s="14">
        <f t="shared" si="134"/>
        <v>10</v>
      </c>
      <c r="DU185" s="14">
        <f t="shared" si="135"/>
        <v>0</v>
      </c>
      <c r="DV185" s="14">
        <f t="shared" si="136"/>
        <v>13</v>
      </c>
      <c r="DW185" s="29" t="s">
        <v>758</v>
      </c>
      <c r="DX185" s="14">
        <f t="shared" si="137"/>
        <v>45</v>
      </c>
    </row>
    <row r="186" spans="91:128" ht="16.5" x14ac:dyDescent="0.2">
      <c r="CM186" s="13">
        <v>182</v>
      </c>
      <c r="CN186" s="14">
        <f t="shared" si="111"/>
        <v>25</v>
      </c>
      <c r="CO186" s="14">
        <f t="shared" si="112"/>
        <v>1</v>
      </c>
      <c r="CP186" s="14">
        <f t="shared" si="113"/>
        <v>6</v>
      </c>
      <c r="CQ186" s="14">
        <f t="shared" si="104"/>
        <v>3</v>
      </c>
      <c r="CR186" s="14">
        <f t="shared" si="105"/>
        <v>2032016</v>
      </c>
      <c r="CS186" s="13" t="str">
        <f t="shared" si="106"/>
        <v>90级寄灵人蓝色-护手</v>
      </c>
      <c r="CT186" s="14">
        <f t="shared" si="107"/>
        <v>1</v>
      </c>
      <c r="CU186" s="14">
        <f t="shared" si="108"/>
        <v>2</v>
      </c>
      <c r="CV186" s="14">
        <f t="shared" si="114"/>
        <v>90</v>
      </c>
      <c r="CW186" s="14">
        <f t="shared" si="115"/>
        <v>90</v>
      </c>
      <c r="CX186" s="14">
        <f t="shared" si="116"/>
        <v>6</v>
      </c>
      <c r="CY186" s="14" t="str">
        <f t="shared" si="117"/>
        <v/>
      </c>
      <c r="CZ186" s="14">
        <f t="shared" si="118"/>
        <v>13</v>
      </c>
      <c r="DA186" s="14">
        <f t="shared" si="119"/>
        <v>0</v>
      </c>
      <c r="DB186" s="14">
        <f t="shared" si="120"/>
        <v>0</v>
      </c>
      <c r="DC186" s="14">
        <f t="shared" si="121"/>
        <v>315</v>
      </c>
      <c r="DD186" s="14">
        <f t="shared" si="122"/>
        <v>0</v>
      </c>
      <c r="DE186" s="14">
        <f t="shared" si="123"/>
        <v>0</v>
      </c>
      <c r="DF186" s="14">
        <f t="shared" si="124"/>
        <v>13.5</v>
      </c>
      <c r="DG186" s="14">
        <f t="shared" si="125"/>
        <v>10</v>
      </c>
      <c r="DH186" s="14">
        <f t="shared" si="126"/>
        <v>0</v>
      </c>
      <c r="DI186" s="14">
        <f t="shared" si="127"/>
        <v>13</v>
      </c>
      <c r="DL186" s="14">
        <f t="shared" si="109"/>
        <v>3</v>
      </c>
      <c r="DM186" s="14">
        <f t="shared" si="110"/>
        <v>0</v>
      </c>
      <c r="DN186" s="14" t="str">
        <f t="shared" si="128"/>
        <v>HPExt</v>
      </c>
      <c r="DO186" s="14">
        <f t="shared" si="129"/>
        <v>315</v>
      </c>
      <c r="DP186" s="14">
        <f t="shared" si="130"/>
        <v>13.5</v>
      </c>
      <c r="DQ186" s="14" t="str">
        <f t="shared" si="131"/>
        <v/>
      </c>
      <c r="DR186" s="14" t="str">
        <f t="shared" si="132"/>
        <v/>
      </c>
      <c r="DS186" s="14" t="str">
        <f t="shared" si="133"/>
        <v/>
      </c>
      <c r="DT186" s="14">
        <f t="shared" si="134"/>
        <v>10</v>
      </c>
      <c r="DU186" s="14">
        <f t="shared" si="135"/>
        <v>0</v>
      </c>
      <c r="DV186" s="14">
        <f t="shared" si="136"/>
        <v>13</v>
      </c>
      <c r="DW186" s="29" t="s">
        <v>758</v>
      </c>
      <c r="DX186" s="14">
        <f t="shared" si="137"/>
        <v>45</v>
      </c>
    </row>
    <row r="187" spans="91:128" ht="16.5" x14ac:dyDescent="0.2">
      <c r="CM187" s="13">
        <v>183</v>
      </c>
      <c r="CN187" s="14">
        <f t="shared" si="111"/>
        <v>25</v>
      </c>
      <c r="CO187" s="14">
        <f t="shared" si="112"/>
        <v>1</v>
      </c>
      <c r="CP187" s="14">
        <f t="shared" si="113"/>
        <v>7</v>
      </c>
      <c r="CQ187" s="14">
        <f t="shared" si="104"/>
        <v>3</v>
      </c>
      <c r="CR187" s="14">
        <f t="shared" si="105"/>
        <v>2032017</v>
      </c>
      <c r="CS187" s="13" t="str">
        <f t="shared" si="106"/>
        <v>90级寄灵人蓝色-项链</v>
      </c>
      <c r="CT187" s="14">
        <f t="shared" si="107"/>
        <v>1</v>
      </c>
      <c r="CU187" s="14">
        <f t="shared" si="108"/>
        <v>2</v>
      </c>
      <c r="CV187" s="14">
        <f t="shared" si="114"/>
        <v>90</v>
      </c>
      <c r="CW187" s="14">
        <f t="shared" si="115"/>
        <v>90</v>
      </c>
      <c r="CX187" s="14">
        <f t="shared" si="116"/>
        <v>7</v>
      </c>
      <c r="CY187" s="14" t="str">
        <f t="shared" si="117"/>
        <v/>
      </c>
      <c r="CZ187" s="14">
        <f t="shared" si="118"/>
        <v>33</v>
      </c>
      <c r="DA187" s="14">
        <f t="shared" si="119"/>
        <v>68</v>
      </c>
      <c r="DB187" s="14">
        <f t="shared" si="120"/>
        <v>42</v>
      </c>
      <c r="DC187" s="14">
        <f t="shared" si="121"/>
        <v>0</v>
      </c>
      <c r="DD187" s="14">
        <f t="shared" si="122"/>
        <v>3</v>
      </c>
      <c r="DE187" s="14">
        <f t="shared" si="123"/>
        <v>1.88</v>
      </c>
      <c r="DF187" s="14">
        <f t="shared" si="124"/>
        <v>0</v>
      </c>
      <c r="DG187" s="14">
        <f t="shared" si="125"/>
        <v>10</v>
      </c>
      <c r="DH187" s="14">
        <f t="shared" si="126"/>
        <v>0</v>
      </c>
      <c r="DI187" s="14">
        <f t="shared" si="127"/>
        <v>13</v>
      </c>
      <c r="DL187" s="14">
        <f t="shared" si="109"/>
        <v>1</v>
      </c>
      <c r="DM187" s="14">
        <f t="shared" si="110"/>
        <v>2</v>
      </c>
      <c r="DN187" s="14" t="str">
        <f t="shared" si="128"/>
        <v>AtkExt</v>
      </c>
      <c r="DO187" s="14">
        <f t="shared" si="129"/>
        <v>68</v>
      </c>
      <c r="DP187" s="14">
        <f t="shared" si="130"/>
        <v>3</v>
      </c>
      <c r="DQ187" s="14" t="str">
        <f t="shared" si="131"/>
        <v>DefExt</v>
      </c>
      <c r="DR187" s="14">
        <f t="shared" si="132"/>
        <v>42</v>
      </c>
      <c r="DS187" s="14">
        <f t="shared" si="133"/>
        <v>1.88</v>
      </c>
      <c r="DT187" s="14">
        <f t="shared" si="134"/>
        <v>10</v>
      </c>
      <c r="DU187" s="14">
        <f t="shared" si="135"/>
        <v>0</v>
      </c>
      <c r="DV187" s="14">
        <f t="shared" si="136"/>
        <v>13</v>
      </c>
      <c r="DW187" s="29" t="s">
        <v>758</v>
      </c>
      <c r="DX187" s="14">
        <f t="shared" si="137"/>
        <v>45</v>
      </c>
    </row>
    <row r="188" spans="91:128" ht="16.5" x14ac:dyDescent="0.2">
      <c r="CM188" s="13">
        <v>184</v>
      </c>
      <c r="CN188" s="14">
        <f t="shared" si="111"/>
        <v>25</v>
      </c>
      <c r="CO188" s="14">
        <f t="shared" si="112"/>
        <v>1</v>
      </c>
      <c r="CP188" s="14">
        <f t="shared" si="113"/>
        <v>8</v>
      </c>
      <c r="CQ188" s="14">
        <f t="shared" si="104"/>
        <v>3</v>
      </c>
      <c r="CR188" s="14">
        <f t="shared" si="105"/>
        <v>2032018</v>
      </c>
      <c r="CS188" s="13" t="str">
        <f t="shared" si="106"/>
        <v>90级寄灵人蓝色-戒指</v>
      </c>
      <c r="CT188" s="14">
        <f t="shared" si="107"/>
        <v>1</v>
      </c>
      <c r="CU188" s="14">
        <f t="shared" si="108"/>
        <v>2</v>
      </c>
      <c r="CV188" s="14">
        <f t="shared" si="114"/>
        <v>90</v>
      </c>
      <c r="CW188" s="14">
        <f t="shared" si="115"/>
        <v>90</v>
      </c>
      <c r="CX188" s="14">
        <f t="shared" si="116"/>
        <v>8</v>
      </c>
      <c r="CY188" s="14" t="str">
        <f t="shared" si="117"/>
        <v/>
      </c>
      <c r="CZ188" s="14">
        <f t="shared" si="118"/>
        <v>26</v>
      </c>
      <c r="DA188" s="14">
        <f t="shared" si="119"/>
        <v>68</v>
      </c>
      <c r="DB188" s="14">
        <f t="shared" si="120"/>
        <v>0</v>
      </c>
      <c r="DC188" s="14">
        <f t="shared" si="121"/>
        <v>263</v>
      </c>
      <c r="DD188" s="14">
        <f t="shared" si="122"/>
        <v>3</v>
      </c>
      <c r="DE188" s="14">
        <f t="shared" si="123"/>
        <v>0</v>
      </c>
      <c r="DF188" s="14">
        <f t="shared" si="124"/>
        <v>11.25</v>
      </c>
      <c r="DG188" s="14">
        <f t="shared" si="125"/>
        <v>10</v>
      </c>
      <c r="DH188" s="14">
        <f t="shared" si="126"/>
        <v>0</v>
      </c>
      <c r="DI188" s="14">
        <f t="shared" si="127"/>
        <v>13</v>
      </c>
      <c r="DL188" s="14">
        <f t="shared" si="109"/>
        <v>1</v>
      </c>
      <c r="DM188" s="14">
        <f t="shared" si="110"/>
        <v>3</v>
      </c>
      <c r="DN188" s="14" t="str">
        <f t="shared" si="128"/>
        <v>AtkExt</v>
      </c>
      <c r="DO188" s="14">
        <f t="shared" si="129"/>
        <v>68</v>
      </c>
      <c r="DP188" s="14">
        <f t="shared" si="130"/>
        <v>3</v>
      </c>
      <c r="DQ188" s="14" t="str">
        <f t="shared" si="131"/>
        <v>HPExt</v>
      </c>
      <c r="DR188" s="14">
        <f t="shared" si="132"/>
        <v>263</v>
      </c>
      <c r="DS188" s="14">
        <f t="shared" si="133"/>
        <v>11.25</v>
      </c>
      <c r="DT188" s="14">
        <f t="shared" si="134"/>
        <v>10</v>
      </c>
      <c r="DU188" s="14">
        <f t="shared" si="135"/>
        <v>0</v>
      </c>
      <c r="DV188" s="14">
        <f t="shared" si="136"/>
        <v>13</v>
      </c>
      <c r="DW188" s="29" t="s">
        <v>758</v>
      </c>
      <c r="DX188" s="14">
        <f t="shared" si="137"/>
        <v>45</v>
      </c>
    </row>
    <row r="189" spans="91:128" ht="16.5" x14ac:dyDescent="0.2">
      <c r="CM189" s="13">
        <v>185</v>
      </c>
      <c r="CN189" s="14">
        <f t="shared" si="111"/>
        <v>26</v>
      </c>
      <c r="CO189" s="14">
        <f t="shared" si="112"/>
        <v>2</v>
      </c>
      <c r="CP189" s="14">
        <f t="shared" si="113"/>
        <v>1</v>
      </c>
      <c r="CQ189" s="14">
        <f t="shared" si="104"/>
        <v>3</v>
      </c>
      <c r="CR189" s="14">
        <f t="shared" si="105"/>
        <v>2032021</v>
      </c>
      <c r="CS189" s="13" t="str">
        <f t="shared" si="106"/>
        <v>90级守护灵蓝色-武器</v>
      </c>
      <c r="CT189" s="14">
        <f t="shared" si="107"/>
        <v>2</v>
      </c>
      <c r="CU189" s="14">
        <f t="shared" si="108"/>
        <v>2</v>
      </c>
      <c r="CV189" s="14">
        <f t="shared" si="114"/>
        <v>90</v>
      </c>
      <c r="CW189" s="14">
        <f t="shared" si="115"/>
        <v>90</v>
      </c>
      <c r="CX189" s="14">
        <f t="shared" si="116"/>
        <v>1</v>
      </c>
      <c r="CY189" s="14" t="str">
        <f t="shared" si="117"/>
        <v/>
      </c>
      <c r="CZ189" s="14">
        <f t="shared" si="118"/>
        <v>45</v>
      </c>
      <c r="DA189" s="14">
        <f t="shared" si="119"/>
        <v>225</v>
      </c>
      <c r="DB189" s="14">
        <f t="shared" si="120"/>
        <v>0</v>
      </c>
      <c r="DC189" s="14">
        <f t="shared" si="121"/>
        <v>0</v>
      </c>
      <c r="DD189" s="14">
        <f t="shared" si="122"/>
        <v>9</v>
      </c>
      <c r="DE189" s="14">
        <f t="shared" si="123"/>
        <v>0</v>
      </c>
      <c r="DF189" s="14">
        <f t="shared" si="124"/>
        <v>0</v>
      </c>
      <c r="DG189" s="14">
        <f t="shared" si="125"/>
        <v>10</v>
      </c>
      <c r="DH189" s="14">
        <f t="shared" si="126"/>
        <v>0</v>
      </c>
      <c r="DI189" s="14">
        <f t="shared" si="127"/>
        <v>23</v>
      </c>
      <c r="DL189" s="14">
        <f t="shared" si="109"/>
        <v>1</v>
      </c>
      <c r="DM189" s="14">
        <f t="shared" si="110"/>
        <v>0</v>
      </c>
      <c r="DN189" s="14" t="str">
        <f t="shared" si="128"/>
        <v>AtkExt</v>
      </c>
      <c r="DO189" s="14">
        <f t="shared" si="129"/>
        <v>225</v>
      </c>
      <c r="DP189" s="14">
        <f t="shared" si="130"/>
        <v>9</v>
      </c>
      <c r="DQ189" s="14" t="str">
        <f t="shared" si="131"/>
        <v/>
      </c>
      <c r="DR189" s="14" t="str">
        <f t="shared" si="132"/>
        <v/>
      </c>
      <c r="DS189" s="14" t="str">
        <f t="shared" si="133"/>
        <v/>
      </c>
      <c r="DT189" s="14">
        <f t="shared" si="134"/>
        <v>10</v>
      </c>
      <c r="DU189" s="14">
        <f t="shared" si="135"/>
        <v>0</v>
      </c>
      <c r="DV189" s="14">
        <f t="shared" si="136"/>
        <v>23</v>
      </c>
      <c r="DW189" s="29" t="s">
        <v>758</v>
      </c>
      <c r="DX189" s="14">
        <f t="shared" si="137"/>
        <v>45</v>
      </c>
    </row>
    <row r="190" spans="91:128" ht="16.5" x14ac:dyDescent="0.2">
      <c r="CM190" s="13">
        <v>186</v>
      </c>
      <c r="CN190" s="14">
        <f t="shared" si="111"/>
        <v>26</v>
      </c>
      <c r="CO190" s="14">
        <f t="shared" si="112"/>
        <v>2</v>
      </c>
      <c r="CP190" s="14">
        <f t="shared" si="113"/>
        <v>2</v>
      </c>
      <c r="CQ190" s="14">
        <f t="shared" si="104"/>
        <v>3</v>
      </c>
      <c r="CR190" s="14">
        <f t="shared" si="105"/>
        <v>2032022</v>
      </c>
      <c r="CS190" s="13" t="str">
        <f t="shared" si="106"/>
        <v>90级守护灵蓝色-头盔</v>
      </c>
      <c r="CT190" s="14">
        <f t="shared" si="107"/>
        <v>2</v>
      </c>
      <c r="CU190" s="14">
        <f t="shared" si="108"/>
        <v>2</v>
      </c>
      <c r="CV190" s="14">
        <f t="shared" si="114"/>
        <v>90</v>
      </c>
      <c r="CW190" s="14">
        <f t="shared" si="115"/>
        <v>90</v>
      </c>
      <c r="CX190" s="14">
        <f t="shared" si="116"/>
        <v>2</v>
      </c>
      <c r="CY190" s="14" t="str">
        <f t="shared" si="117"/>
        <v/>
      </c>
      <c r="CZ190" s="14">
        <f t="shared" si="118"/>
        <v>22</v>
      </c>
      <c r="DA190" s="14">
        <f t="shared" si="119"/>
        <v>0</v>
      </c>
      <c r="DB190" s="14">
        <f t="shared" si="120"/>
        <v>56</v>
      </c>
      <c r="DC190" s="14">
        <f t="shared" si="121"/>
        <v>0</v>
      </c>
      <c r="DD190" s="14">
        <f t="shared" si="122"/>
        <v>0</v>
      </c>
      <c r="DE190" s="14">
        <f t="shared" si="123"/>
        <v>2.25</v>
      </c>
      <c r="DF190" s="14">
        <f t="shared" si="124"/>
        <v>0</v>
      </c>
      <c r="DG190" s="14">
        <f t="shared" si="125"/>
        <v>10</v>
      </c>
      <c r="DH190" s="14">
        <f t="shared" si="126"/>
        <v>0</v>
      </c>
      <c r="DI190" s="14">
        <f t="shared" si="127"/>
        <v>23</v>
      </c>
      <c r="DL190" s="14">
        <f t="shared" si="109"/>
        <v>2</v>
      </c>
      <c r="DM190" s="14">
        <f t="shared" si="110"/>
        <v>0</v>
      </c>
      <c r="DN190" s="14" t="str">
        <f t="shared" si="128"/>
        <v>DefExt</v>
      </c>
      <c r="DO190" s="14">
        <f t="shared" si="129"/>
        <v>56</v>
      </c>
      <c r="DP190" s="14">
        <f t="shared" si="130"/>
        <v>2.25</v>
      </c>
      <c r="DQ190" s="14" t="str">
        <f t="shared" si="131"/>
        <v/>
      </c>
      <c r="DR190" s="14" t="str">
        <f t="shared" si="132"/>
        <v/>
      </c>
      <c r="DS190" s="14" t="str">
        <f t="shared" si="133"/>
        <v/>
      </c>
      <c r="DT190" s="14">
        <f t="shared" si="134"/>
        <v>10</v>
      </c>
      <c r="DU190" s="14">
        <f t="shared" si="135"/>
        <v>0</v>
      </c>
      <c r="DV190" s="14">
        <f t="shared" si="136"/>
        <v>23</v>
      </c>
      <c r="DW190" s="29" t="s">
        <v>758</v>
      </c>
      <c r="DX190" s="14">
        <f t="shared" si="137"/>
        <v>45</v>
      </c>
    </row>
    <row r="191" spans="91:128" ht="16.5" x14ac:dyDescent="0.2">
      <c r="CM191" s="13">
        <v>187</v>
      </c>
      <c r="CN191" s="14">
        <f t="shared" si="111"/>
        <v>26</v>
      </c>
      <c r="CO191" s="14">
        <f t="shared" si="112"/>
        <v>2</v>
      </c>
      <c r="CP191" s="14">
        <f t="shared" si="113"/>
        <v>3</v>
      </c>
      <c r="CQ191" s="14">
        <f t="shared" si="104"/>
        <v>3</v>
      </c>
      <c r="CR191" s="14">
        <f t="shared" si="105"/>
        <v>2032023</v>
      </c>
      <c r="CS191" s="13" t="str">
        <f t="shared" si="106"/>
        <v>90级守护灵蓝色-肩甲</v>
      </c>
      <c r="CT191" s="14">
        <f t="shared" si="107"/>
        <v>2</v>
      </c>
      <c r="CU191" s="14">
        <f t="shared" si="108"/>
        <v>2</v>
      </c>
      <c r="CV191" s="14">
        <f t="shared" si="114"/>
        <v>90</v>
      </c>
      <c r="CW191" s="14">
        <f t="shared" si="115"/>
        <v>90</v>
      </c>
      <c r="CX191" s="14">
        <f t="shared" si="116"/>
        <v>3</v>
      </c>
      <c r="CY191" s="14" t="str">
        <f t="shared" si="117"/>
        <v/>
      </c>
      <c r="CZ191" s="14">
        <f t="shared" si="118"/>
        <v>25</v>
      </c>
      <c r="DA191" s="14">
        <f t="shared" si="119"/>
        <v>0</v>
      </c>
      <c r="DB191" s="14">
        <f t="shared" si="120"/>
        <v>28</v>
      </c>
      <c r="DC191" s="14">
        <f t="shared" si="121"/>
        <v>281</v>
      </c>
      <c r="DD191" s="14">
        <f t="shared" si="122"/>
        <v>0</v>
      </c>
      <c r="DE191" s="14">
        <f t="shared" si="123"/>
        <v>1.1299999999999999</v>
      </c>
      <c r="DF191" s="14">
        <f t="shared" si="124"/>
        <v>14.06</v>
      </c>
      <c r="DG191" s="14">
        <f t="shared" si="125"/>
        <v>10</v>
      </c>
      <c r="DH191" s="14">
        <f t="shared" si="126"/>
        <v>0</v>
      </c>
      <c r="DI191" s="14">
        <f t="shared" si="127"/>
        <v>23</v>
      </c>
      <c r="DL191" s="14">
        <f t="shared" si="109"/>
        <v>2</v>
      </c>
      <c r="DM191" s="14">
        <f t="shared" si="110"/>
        <v>3</v>
      </c>
      <c r="DN191" s="14" t="str">
        <f t="shared" si="128"/>
        <v>DefExt</v>
      </c>
      <c r="DO191" s="14">
        <f t="shared" si="129"/>
        <v>28</v>
      </c>
      <c r="DP191" s="14">
        <f t="shared" si="130"/>
        <v>1.1299999999999999</v>
      </c>
      <c r="DQ191" s="14" t="str">
        <f t="shared" si="131"/>
        <v>HPExt</v>
      </c>
      <c r="DR191" s="14">
        <f t="shared" si="132"/>
        <v>281</v>
      </c>
      <c r="DS191" s="14">
        <f t="shared" si="133"/>
        <v>14.06</v>
      </c>
      <c r="DT191" s="14">
        <f t="shared" si="134"/>
        <v>10</v>
      </c>
      <c r="DU191" s="14">
        <f t="shared" si="135"/>
        <v>0</v>
      </c>
      <c r="DV191" s="14">
        <f t="shared" si="136"/>
        <v>23</v>
      </c>
      <c r="DW191" s="29" t="s">
        <v>758</v>
      </c>
      <c r="DX191" s="14">
        <f t="shared" si="137"/>
        <v>45</v>
      </c>
    </row>
    <row r="192" spans="91:128" ht="16.5" x14ac:dyDescent="0.2">
      <c r="CM192" s="13">
        <v>188</v>
      </c>
      <c r="CN192" s="14">
        <f t="shared" si="111"/>
        <v>26</v>
      </c>
      <c r="CO192" s="14">
        <f t="shared" si="112"/>
        <v>2</v>
      </c>
      <c r="CP192" s="14">
        <f t="shared" si="113"/>
        <v>4</v>
      </c>
      <c r="CQ192" s="14">
        <f t="shared" si="104"/>
        <v>3</v>
      </c>
      <c r="CR192" s="14">
        <f t="shared" si="105"/>
        <v>2032024</v>
      </c>
      <c r="CS192" s="13" t="str">
        <f t="shared" si="106"/>
        <v>90级守护灵蓝色-衣服</v>
      </c>
      <c r="CT192" s="14">
        <f t="shared" si="107"/>
        <v>2</v>
      </c>
      <c r="CU192" s="14">
        <f t="shared" si="108"/>
        <v>2</v>
      </c>
      <c r="CV192" s="14">
        <f t="shared" si="114"/>
        <v>90</v>
      </c>
      <c r="CW192" s="14">
        <f t="shared" si="115"/>
        <v>90</v>
      </c>
      <c r="CX192" s="14">
        <f t="shared" si="116"/>
        <v>4</v>
      </c>
      <c r="CY192" s="14" t="str">
        <f t="shared" si="117"/>
        <v/>
      </c>
      <c r="CZ192" s="14">
        <f t="shared" si="118"/>
        <v>22</v>
      </c>
      <c r="DA192" s="14">
        <f t="shared" si="119"/>
        <v>0</v>
      </c>
      <c r="DB192" s="14">
        <f t="shared" si="120"/>
        <v>56</v>
      </c>
      <c r="DC192" s="14">
        <f t="shared" si="121"/>
        <v>0</v>
      </c>
      <c r="DD192" s="14">
        <f t="shared" si="122"/>
        <v>0</v>
      </c>
      <c r="DE192" s="14">
        <f t="shared" si="123"/>
        <v>2.25</v>
      </c>
      <c r="DF192" s="14">
        <f t="shared" si="124"/>
        <v>0</v>
      </c>
      <c r="DG192" s="14">
        <f t="shared" si="125"/>
        <v>10</v>
      </c>
      <c r="DH192" s="14">
        <f t="shared" si="126"/>
        <v>0</v>
      </c>
      <c r="DI192" s="14">
        <f t="shared" si="127"/>
        <v>23</v>
      </c>
      <c r="DL192" s="14">
        <f t="shared" si="109"/>
        <v>2</v>
      </c>
      <c r="DM192" s="14">
        <f t="shared" si="110"/>
        <v>0</v>
      </c>
      <c r="DN192" s="14" t="str">
        <f t="shared" si="128"/>
        <v>DefExt</v>
      </c>
      <c r="DO192" s="14">
        <f t="shared" si="129"/>
        <v>56</v>
      </c>
      <c r="DP192" s="14">
        <f t="shared" si="130"/>
        <v>2.25</v>
      </c>
      <c r="DQ192" s="14" t="str">
        <f t="shared" si="131"/>
        <v/>
      </c>
      <c r="DR192" s="14" t="str">
        <f t="shared" si="132"/>
        <v/>
      </c>
      <c r="DS192" s="14" t="str">
        <f t="shared" si="133"/>
        <v/>
      </c>
      <c r="DT192" s="14">
        <f t="shared" si="134"/>
        <v>10</v>
      </c>
      <c r="DU192" s="14">
        <f t="shared" si="135"/>
        <v>0</v>
      </c>
      <c r="DV192" s="14">
        <f t="shared" si="136"/>
        <v>23</v>
      </c>
      <c r="DW192" s="29" t="s">
        <v>758</v>
      </c>
      <c r="DX192" s="14">
        <f t="shared" si="137"/>
        <v>45</v>
      </c>
    </row>
    <row r="193" spans="91:128" ht="16.5" x14ac:dyDescent="0.2">
      <c r="CM193" s="13">
        <v>189</v>
      </c>
      <c r="CN193" s="14">
        <f t="shared" si="111"/>
        <v>26</v>
      </c>
      <c r="CO193" s="14">
        <f t="shared" si="112"/>
        <v>2</v>
      </c>
      <c r="CP193" s="14">
        <f t="shared" si="113"/>
        <v>5</v>
      </c>
      <c r="CQ193" s="14">
        <f t="shared" si="104"/>
        <v>3</v>
      </c>
      <c r="CR193" s="14">
        <f t="shared" si="105"/>
        <v>2032025</v>
      </c>
      <c r="CS193" s="13" t="str">
        <f t="shared" si="106"/>
        <v>90级守护灵蓝色-鞋子</v>
      </c>
      <c r="CT193" s="14">
        <f t="shared" si="107"/>
        <v>2</v>
      </c>
      <c r="CU193" s="14">
        <f t="shared" si="108"/>
        <v>2</v>
      </c>
      <c r="CV193" s="14">
        <f t="shared" si="114"/>
        <v>90</v>
      </c>
      <c r="CW193" s="14">
        <f t="shared" si="115"/>
        <v>90</v>
      </c>
      <c r="CX193" s="14">
        <f t="shared" si="116"/>
        <v>5</v>
      </c>
      <c r="CY193" s="14" t="str">
        <f t="shared" si="117"/>
        <v/>
      </c>
      <c r="CZ193" s="14">
        <f t="shared" si="118"/>
        <v>28</v>
      </c>
      <c r="DA193" s="14">
        <f t="shared" si="119"/>
        <v>0</v>
      </c>
      <c r="DB193" s="14">
        <f t="shared" si="120"/>
        <v>0</v>
      </c>
      <c r="DC193" s="14">
        <f t="shared" si="121"/>
        <v>563</v>
      </c>
      <c r="DD193" s="14">
        <f t="shared" si="122"/>
        <v>0</v>
      </c>
      <c r="DE193" s="14">
        <f t="shared" si="123"/>
        <v>0</v>
      </c>
      <c r="DF193" s="14">
        <f t="shared" si="124"/>
        <v>28.13</v>
      </c>
      <c r="DG193" s="14">
        <f t="shared" si="125"/>
        <v>10</v>
      </c>
      <c r="DH193" s="14">
        <f t="shared" si="126"/>
        <v>0</v>
      </c>
      <c r="DI193" s="14">
        <f t="shared" si="127"/>
        <v>23</v>
      </c>
      <c r="DL193" s="14">
        <f t="shared" si="109"/>
        <v>3</v>
      </c>
      <c r="DM193" s="14">
        <f t="shared" si="110"/>
        <v>0</v>
      </c>
      <c r="DN193" s="14" t="str">
        <f t="shared" si="128"/>
        <v>HPExt</v>
      </c>
      <c r="DO193" s="14">
        <f t="shared" si="129"/>
        <v>563</v>
      </c>
      <c r="DP193" s="14">
        <f t="shared" si="130"/>
        <v>28.13</v>
      </c>
      <c r="DQ193" s="14" t="str">
        <f t="shared" si="131"/>
        <v/>
      </c>
      <c r="DR193" s="14" t="str">
        <f t="shared" si="132"/>
        <v/>
      </c>
      <c r="DS193" s="14" t="str">
        <f t="shared" si="133"/>
        <v/>
      </c>
      <c r="DT193" s="14">
        <f t="shared" si="134"/>
        <v>10</v>
      </c>
      <c r="DU193" s="14">
        <f t="shared" si="135"/>
        <v>0</v>
      </c>
      <c r="DV193" s="14">
        <f t="shared" si="136"/>
        <v>23</v>
      </c>
      <c r="DW193" s="29" t="s">
        <v>758</v>
      </c>
      <c r="DX193" s="14">
        <f t="shared" si="137"/>
        <v>45</v>
      </c>
    </row>
    <row r="194" spans="91:128" ht="16.5" x14ac:dyDescent="0.2">
      <c r="CM194" s="13">
        <v>190</v>
      </c>
      <c r="CN194" s="14">
        <f t="shared" si="111"/>
        <v>26</v>
      </c>
      <c r="CO194" s="14">
        <f t="shared" si="112"/>
        <v>2</v>
      </c>
      <c r="CP194" s="14">
        <f t="shared" si="113"/>
        <v>6</v>
      </c>
      <c r="CQ194" s="14">
        <f t="shared" si="104"/>
        <v>3</v>
      </c>
      <c r="CR194" s="14">
        <f t="shared" si="105"/>
        <v>2032026</v>
      </c>
      <c r="CS194" s="13" t="str">
        <f t="shared" si="106"/>
        <v>90级守护灵蓝色-护手</v>
      </c>
      <c r="CT194" s="14">
        <f t="shared" si="107"/>
        <v>2</v>
      </c>
      <c r="CU194" s="14">
        <f t="shared" si="108"/>
        <v>2</v>
      </c>
      <c r="CV194" s="14">
        <f t="shared" si="114"/>
        <v>90</v>
      </c>
      <c r="CW194" s="14">
        <f t="shared" si="115"/>
        <v>90</v>
      </c>
      <c r="CX194" s="14">
        <f t="shared" si="116"/>
        <v>6</v>
      </c>
      <c r="CY194" s="14" t="str">
        <f t="shared" si="117"/>
        <v/>
      </c>
      <c r="CZ194" s="14">
        <f t="shared" si="118"/>
        <v>28</v>
      </c>
      <c r="DA194" s="14">
        <f t="shared" si="119"/>
        <v>0</v>
      </c>
      <c r="DB194" s="14">
        <f t="shared" si="120"/>
        <v>0</v>
      </c>
      <c r="DC194" s="14">
        <f t="shared" si="121"/>
        <v>563</v>
      </c>
      <c r="DD194" s="14">
        <f t="shared" si="122"/>
        <v>0</v>
      </c>
      <c r="DE194" s="14">
        <f t="shared" si="123"/>
        <v>0</v>
      </c>
      <c r="DF194" s="14">
        <f t="shared" si="124"/>
        <v>28.13</v>
      </c>
      <c r="DG194" s="14">
        <f t="shared" si="125"/>
        <v>10</v>
      </c>
      <c r="DH194" s="14">
        <f t="shared" si="126"/>
        <v>0</v>
      </c>
      <c r="DI194" s="14">
        <f t="shared" si="127"/>
        <v>23</v>
      </c>
      <c r="DL194" s="14">
        <f t="shared" si="109"/>
        <v>3</v>
      </c>
      <c r="DM194" s="14">
        <f t="shared" si="110"/>
        <v>0</v>
      </c>
      <c r="DN194" s="14" t="str">
        <f t="shared" si="128"/>
        <v>HPExt</v>
      </c>
      <c r="DO194" s="14">
        <f t="shared" si="129"/>
        <v>563</v>
      </c>
      <c r="DP194" s="14">
        <f t="shared" si="130"/>
        <v>28.13</v>
      </c>
      <c r="DQ194" s="14" t="str">
        <f t="shared" si="131"/>
        <v/>
      </c>
      <c r="DR194" s="14" t="str">
        <f t="shared" si="132"/>
        <v/>
      </c>
      <c r="DS194" s="14" t="str">
        <f t="shared" si="133"/>
        <v/>
      </c>
      <c r="DT194" s="14">
        <f t="shared" si="134"/>
        <v>10</v>
      </c>
      <c r="DU194" s="14">
        <f t="shared" si="135"/>
        <v>0</v>
      </c>
      <c r="DV194" s="14">
        <f t="shared" si="136"/>
        <v>23</v>
      </c>
      <c r="DW194" s="29" t="s">
        <v>758</v>
      </c>
      <c r="DX194" s="14">
        <f t="shared" si="137"/>
        <v>45</v>
      </c>
    </row>
    <row r="195" spans="91:128" ht="16.5" x14ac:dyDescent="0.2">
      <c r="CM195" s="13">
        <v>191</v>
      </c>
      <c r="CN195" s="14">
        <f t="shared" si="111"/>
        <v>26</v>
      </c>
      <c r="CO195" s="14">
        <f t="shared" si="112"/>
        <v>2</v>
      </c>
      <c r="CP195" s="14">
        <f t="shared" si="113"/>
        <v>7</v>
      </c>
      <c r="CQ195" s="14">
        <f t="shared" si="104"/>
        <v>3</v>
      </c>
      <c r="CR195" s="14">
        <f t="shared" si="105"/>
        <v>2032027</v>
      </c>
      <c r="CS195" s="13" t="str">
        <f t="shared" si="106"/>
        <v>90级守护灵蓝色-项链</v>
      </c>
      <c r="CT195" s="14">
        <f t="shared" si="107"/>
        <v>2</v>
      </c>
      <c r="CU195" s="14">
        <f t="shared" si="108"/>
        <v>2</v>
      </c>
      <c r="CV195" s="14">
        <f t="shared" si="114"/>
        <v>90</v>
      </c>
      <c r="CW195" s="14">
        <f t="shared" si="115"/>
        <v>90</v>
      </c>
      <c r="CX195" s="14">
        <f t="shared" si="116"/>
        <v>7</v>
      </c>
      <c r="CY195" s="14" t="str">
        <f t="shared" si="117"/>
        <v/>
      </c>
      <c r="CZ195" s="14">
        <f t="shared" si="118"/>
        <v>33</v>
      </c>
      <c r="DA195" s="14">
        <f t="shared" si="119"/>
        <v>75</v>
      </c>
      <c r="DB195" s="14">
        <f t="shared" si="120"/>
        <v>47</v>
      </c>
      <c r="DC195" s="14">
        <f t="shared" si="121"/>
        <v>0</v>
      </c>
      <c r="DD195" s="14">
        <f t="shared" si="122"/>
        <v>3</v>
      </c>
      <c r="DE195" s="14">
        <f t="shared" si="123"/>
        <v>1.88</v>
      </c>
      <c r="DF195" s="14">
        <f t="shared" si="124"/>
        <v>0</v>
      </c>
      <c r="DG195" s="14">
        <f t="shared" si="125"/>
        <v>10</v>
      </c>
      <c r="DH195" s="14">
        <f t="shared" si="126"/>
        <v>0</v>
      </c>
      <c r="DI195" s="14">
        <f t="shared" si="127"/>
        <v>23</v>
      </c>
      <c r="DL195" s="14">
        <f t="shared" si="109"/>
        <v>1</v>
      </c>
      <c r="DM195" s="14">
        <f t="shared" si="110"/>
        <v>2</v>
      </c>
      <c r="DN195" s="14" t="str">
        <f t="shared" si="128"/>
        <v>AtkExt</v>
      </c>
      <c r="DO195" s="14">
        <f t="shared" si="129"/>
        <v>75</v>
      </c>
      <c r="DP195" s="14">
        <f t="shared" si="130"/>
        <v>3</v>
      </c>
      <c r="DQ195" s="14" t="str">
        <f t="shared" si="131"/>
        <v>DefExt</v>
      </c>
      <c r="DR195" s="14">
        <f t="shared" si="132"/>
        <v>47</v>
      </c>
      <c r="DS195" s="14">
        <f t="shared" si="133"/>
        <v>1.88</v>
      </c>
      <c r="DT195" s="14">
        <f t="shared" si="134"/>
        <v>10</v>
      </c>
      <c r="DU195" s="14">
        <f t="shared" si="135"/>
        <v>0</v>
      </c>
      <c r="DV195" s="14">
        <f t="shared" si="136"/>
        <v>23</v>
      </c>
      <c r="DW195" s="29" t="s">
        <v>758</v>
      </c>
      <c r="DX195" s="14">
        <f t="shared" si="137"/>
        <v>45</v>
      </c>
    </row>
    <row r="196" spans="91:128" ht="16.5" x14ac:dyDescent="0.2">
      <c r="CM196" s="13">
        <v>192</v>
      </c>
      <c r="CN196" s="14">
        <f t="shared" si="111"/>
        <v>26</v>
      </c>
      <c r="CO196" s="14">
        <f t="shared" si="112"/>
        <v>2</v>
      </c>
      <c r="CP196" s="14">
        <f t="shared" si="113"/>
        <v>8</v>
      </c>
      <c r="CQ196" s="14">
        <f t="shared" si="104"/>
        <v>3</v>
      </c>
      <c r="CR196" s="14">
        <f t="shared" si="105"/>
        <v>2032028</v>
      </c>
      <c r="CS196" s="13" t="str">
        <f t="shared" si="106"/>
        <v>90级守护灵蓝色-戒指</v>
      </c>
      <c r="CT196" s="14">
        <f t="shared" si="107"/>
        <v>2</v>
      </c>
      <c r="CU196" s="14">
        <f t="shared" si="108"/>
        <v>2</v>
      </c>
      <c r="CV196" s="14">
        <f t="shared" si="114"/>
        <v>90</v>
      </c>
      <c r="CW196" s="14">
        <f t="shared" si="115"/>
        <v>90</v>
      </c>
      <c r="CX196" s="14">
        <f t="shared" si="116"/>
        <v>8</v>
      </c>
      <c r="CY196" s="14" t="str">
        <f t="shared" si="117"/>
        <v/>
      </c>
      <c r="CZ196" s="14">
        <f t="shared" si="118"/>
        <v>38</v>
      </c>
      <c r="DA196" s="14">
        <f t="shared" si="119"/>
        <v>75</v>
      </c>
      <c r="DB196" s="14">
        <f t="shared" si="120"/>
        <v>0</v>
      </c>
      <c r="DC196" s="14">
        <f t="shared" si="121"/>
        <v>469</v>
      </c>
      <c r="DD196" s="14">
        <f t="shared" si="122"/>
        <v>3</v>
      </c>
      <c r="DE196" s="14">
        <f t="shared" si="123"/>
        <v>0</v>
      </c>
      <c r="DF196" s="14">
        <f t="shared" si="124"/>
        <v>23.44</v>
      </c>
      <c r="DG196" s="14">
        <f t="shared" si="125"/>
        <v>10</v>
      </c>
      <c r="DH196" s="14">
        <f t="shared" si="126"/>
        <v>0</v>
      </c>
      <c r="DI196" s="14">
        <f t="shared" si="127"/>
        <v>23</v>
      </c>
      <c r="DL196" s="14">
        <f t="shared" si="109"/>
        <v>1</v>
      </c>
      <c r="DM196" s="14">
        <f t="shared" si="110"/>
        <v>3</v>
      </c>
      <c r="DN196" s="14" t="str">
        <f t="shared" si="128"/>
        <v>AtkExt</v>
      </c>
      <c r="DO196" s="14">
        <f t="shared" si="129"/>
        <v>75</v>
      </c>
      <c r="DP196" s="14">
        <f t="shared" si="130"/>
        <v>3</v>
      </c>
      <c r="DQ196" s="14" t="str">
        <f t="shared" si="131"/>
        <v>HPExt</v>
      </c>
      <c r="DR196" s="14">
        <f t="shared" si="132"/>
        <v>469</v>
      </c>
      <c r="DS196" s="14">
        <f t="shared" si="133"/>
        <v>23.44</v>
      </c>
      <c r="DT196" s="14">
        <f t="shared" si="134"/>
        <v>10</v>
      </c>
      <c r="DU196" s="14">
        <f t="shared" si="135"/>
        <v>0</v>
      </c>
      <c r="DV196" s="14">
        <f t="shared" si="136"/>
        <v>23</v>
      </c>
      <c r="DW196" s="29" t="s">
        <v>758</v>
      </c>
      <c r="DX196" s="14">
        <f t="shared" si="137"/>
        <v>45</v>
      </c>
    </row>
    <row r="197" spans="91:128" ht="16.5" x14ac:dyDescent="0.2">
      <c r="CM197" s="13">
        <v>193</v>
      </c>
      <c r="CN197" s="14">
        <f t="shared" si="111"/>
        <v>27</v>
      </c>
      <c r="CO197" s="14">
        <f t="shared" si="112"/>
        <v>1</v>
      </c>
      <c r="CP197" s="14">
        <f t="shared" si="113"/>
        <v>1</v>
      </c>
      <c r="CQ197" s="14">
        <f t="shared" ref="CQ197:CQ260" si="141">INDEX($BS$6:$BS$81,CN197)</f>
        <v>3</v>
      </c>
      <c r="CR197" s="14">
        <f t="shared" ref="CR197:CR260" si="142">INDEX($BX$6:$BX$81,CN197)+CX197</f>
        <v>2033011</v>
      </c>
      <c r="CS197" s="13" t="str">
        <f t="shared" ref="CS197:CS260" si="143">INDEX($BY$6:$BY$81,CN197)&amp;"-"&amp;INDEX($CC$3:$CJ$3,CX197)</f>
        <v>90级寄灵人紫色-武器</v>
      </c>
      <c r="CT197" s="14">
        <f t="shared" ref="CT197:CT260" si="144">INDEX($BV$6:$BV$81,CN197)</f>
        <v>1</v>
      </c>
      <c r="CU197" s="14">
        <f t="shared" ref="CU197:CU260" si="145">INDEX($BU$6:$BU$81,CN197)</f>
        <v>3</v>
      </c>
      <c r="CV197" s="14">
        <f t="shared" si="114"/>
        <v>90</v>
      </c>
      <c r="CW197" s="14">
        <f t="shared" si="115"/>
        <v>90</v>
      </c>
      <c r="CX197" s="14">
        <f t="shared" si="116"/>
        <v>1</v>
      </c>
      <c r="CY197" s="14" t="str">
        <f t="shared" si="117"/>
        <v/>
      </c>
      <c r="CZ197" s="14">
        <f t="shared" si="118"/>
        <v>48</v>
      </c>
      <c r="DA197" s="14">
        <f t="shared" si="119"/>
        <v>216</v>
      </c>
      <c r="DB197" s="14">
        <f t="shared" si="120"/>
        <v>0</v>
      </c>
      <c r="DC197" s="14">
        <f t="shared" si="121"/>
        <v>0</v>
      </c>
      <c r="DD197" s="14">
        <f t="shared" si="122"/>
        <v>9.6</v>
      </c>
      <c r="DE197" s="14">
        <f t="shared" si="123"/>
        <v>0</v>
      </c>
      <c r="DF197" s="14">
        <f t="shared" si="124"/>
        <v>0</v>
      </c>
      <c r="DG197" s="14">
        <f t="shared" si="125"/>
        <v>11</v>
      </c>
      <c r="DH197" s="14">
        <f t="shared" si="126"/>
        <v>2</v>
      </c>
      <c r="DI197" s="14">
        <f t="shared" si="127"/>
        <v>13</v>
      </c>
      <c r="DL197" s="14">
        <f t="shared" ref="DL197:DL260" si="146">INDEX(AF$5:AF$12,$CX197)</f>
        <v>1</v>
      </c>
      <c r="DM197" s="14">
        <f t="shared" ref="DM197:DM260" si="147">INDEX(AG$5:AG$12,$CX197)</f>
        <v>0</v>
      </c>
      <c r="DN197" s="14" t="str">
        <f t="shared" si="128"/>
        <v>AtkExt</v>
      </c>
      <c r="DO197" s="14">
        <f t="shared" si="129"/>
        <v>216</v>
      </c>
      <c r="DP197" s="14">
        <f t="shared" si="130"/>
        <v>9.6</v>
      </c>
      <c r="DQ197" s="14" t="str">
        <f t="shared" si="131"/>
        <v/>
      </c>
      <c r="DR197" s="14" t="str">
        <f t="shared" si="132"/>
        <v/>
      </c>
      <c r="DS197" s="14" t="str">
        <f t="shared" si="133"/>
        <v/>
      </c>
      <c r="DT197" s="14">
        <f t="shared" si="134"/>
        <v>11</v>
      </c>
      <c r="DU197" s="14">
        <f t="shared" si="135"/>
        <v>2</v>
      </c>
      <c r="DV197" s="14">
        <f t="shared" si="136"/>
        <v>13</v>
      </c>
      <c r="DW197" s="29" t="s">
        <v>758</v>
      </c>
      <c r="DX197" s="14">
        <f t="shared" si="137"/>
        <v>75</v>
      </c>
    </row>
    <row r="198" spans="91:128" ht="16.5" x14ac:dyDescent="0.2">
      <c r="CM198" s="13">
        <v>194</v>
      </c>
      <c r="CN198" s="14">
        <f t="shared" ref="CN198:CN261" si="148">MATCH(CM198-1,$CB$5:$CB$81,1)</f>
        <v>27</v>
      </c>
      <c r="CO198" s="14">
        <f t="shared" ref="CO198:CO261" si="149">INDEX($BW$6:$BW$81,CN198)</f>
        <v>1</v>
      </c>
      <c r="CP198" s="14">
        <f t="shared" ref="CP198:CP261" si="150">CM198-INDEX($CB$5:$CB$81,CN198)</f>
        <v>2</v>
      </c>
      <c r="CQ198" s="14">
        <f t="shared" si="141"/>
        <v>3</v>
      </c>
      <c r="CR198" s="14">
        <f t="shared" si="142"/>
        <v>2033012</v>
      </c>
      <c r="CS198" s="13" t="str">
        <f t="shared" si="143"/>
        <v>90级寄灵人紫色-头盔</v>
      </c>
      <c r="CT198" s="14">
        <f t="shared" si="144"/>
        <v>1</v>
      </c>
      <c r="CU198" s="14">
        <f t="shared" si="145"/>
        <v>3</v>
      </c>
      <c r="CV198" s="14">
        <f t="shared" ref="CV198:CV261" si="151">INDEX($D$5:$D$16,(CT198-1)*6+CQ198)</f>
        <v>90</v>
      </c>
      <c r="CW198" s="14">
        <f t="shared" ref="CW198:CW261" si="152">INDEX($D$5:$D$16,(CT198-1)*6+CQ198)</f>
        <v>90</v>
      </c>
      <c r="CX198" s="14">
        <f t="shared" ref="CX198:CX261" si="153">INDEX($CC$6:$CJ$81,CN198,CP198)</f>
        <v>2</v>
      </c>
      <c r="CY198" s="14" t="str">
        <f t="shared" ref="CY198:CY261" si="154">IF(INDEX($BZ$6:$BZ$81,CN198)&gt;0,INDEX($BZ$6:$BZ$81,CN198),"")</f>
        <v/>
      </c>
      <c r="CZ198" s="14">
        <f t="shared" ref="CZ198:CZ261" si="155">INT(SUMPRODUCT($DD$3:$DF$3,DD198:DF198))</f>
        <v>24</v>
      </c>
      <c r="DA198" s="14">
        <f t="shared" ref="DA198:DA261" si="156">ROUND(INDEX(O$5:O$16,($CT198-1)*6+$CQ198)*INDEX(AC$5:AC$12,$CX198)*INDEX($AL$5:$AL$8,$CU198),0)</f>
        <v>0</v>
      </c>
      <c r="DB198" s="14">
        <f t="shared" ref="DB198:DB261" si="157">ROUND(INDEX(P$5:P$16,($CT198-1)*6+$CQ198)*INDEX(AD$5:AD$12,$CX198)*INDEX($AL$5:$AL$8,$CU198),0)</f>
        <v>54</v>
      </c>
      <c r="DC198" s="14">
        <f t="shared" ref="DC198:DC261" si="158">ROUND(INDEX(Q$5:Q$16,($CT198-1)*6+$CQ198)*INDEX(AE$5:AE$12,$CX198)*INDEX($AL$5:$AL$8,$CU198),0)</f>
        <v>0</v>
      </c>
      <c r="DD198" s="14">
        <f t="shared" ref="DD198:DD261" si="159">ROUND(INDEX(H$5:H$16,($CT198-1)*6+$CQ198)*INDEX(AC$5:AC$12,$CX198) * INDEX($AL$5:$AL$8,$CU198),2)</f>
        <v>0</v>
      </c>
      <c r="DE198" s="14">
        <f t="shared" ref="DE198:DE261" si="160">ROUND(INDEX(I$5:I$16,($CT198-1)*6+$CQ198)*INDEX(AD$5:AD$12,$CX198) * INDEX($AL$5:$AL$8,$CU198),2)</f>
        <v>2.4</v>
      </c>
      <c r="DF198" s="14">
        <f t="shared" ref="DF198:DF261" si="161">ROUND(INDEX(J$5:J$16,($CT198-1)*6+$CQ198)*INDEX(AE$5:AE$12,$CX198) * INDEX($AL$5:$AL$8,$CU198),2)</f>
        <v>0</v>
      </c>
      <c r="DG198" s="14">
        <f t="shared" ref="DG198:DG261" si="162">(CQ198-1)*4+CU198</f>
        <v>11</v>
      </c>
      <c r="DH198" s="14">
        <f t="shared" ref="DH198:DH261" si="163">INDEX($BM$5:$BP$16,CQ198,CU198)</f>
        <v>2</v>
      </c>
      <c r="DI198" s="14">
        <f t="shared" ref="DI198:DI261" si="164">CT198*10+CQ198</f>
        <v>13</v>
      </c>
      <c r="DL198" s="14">
        <f t="shared" si="146"/>
        <v>2</v>
      </c>
      <c r="DM198" s="14">
        <f t="shared" si="147"/>
        <v>0</v>
      </c>
      <c r="DN198" s="14" t="str">
        <f t="shared" ref="DN198:DN261" si="165">INDEX($AA$3:$AC$3,DL198)</f>
        <v>DefExt</v>
      </c>
      <c r="DO198" s="14">
        <f t="shared" ref="DO198:DO261" si="166">INDEX(DA198:DC198,DL198)</f>
        <v>54</v>
      </c>
      <c r="DP198" s="14">
        <f t="shared" ref="DP198:DP261" si="167">INDEX(DD198:DF198,DL198)</f>
        <v>2.4</v>
      </c>
      <c r="DQ198" s="14" t="str">
        <f t="shared" ref="DQ198:DQ261" si="168">IF(DM198&gt;0,INDEX($AA$3:$AC$3,DM198),"")</f>
        <v/>
      </c>
      <c r="DR198" s="14" t="str">
        <f t="shared" ref="DR198:DR261" si="169">IF(DM198&gt;0,INDEX(DA198:DC198,DM198),"")</f>
        <v/>
      </c>
      <c r="DS198" s="14" t="str">
        <f t="shared" ref="DS198:DS261" si="170">IF(DM198&gt;0,INDEX(DD198:DF198,DM198),"")</f>
        <v/>
      </c>
      <c r="DT198" s="14">
        <f t="shared" ref="DT198:DT261" si="171">(CQ198-1)*4+CU198</f>
        <v>11</v>
      </c>
      <c r="DU198" s="14">
        <f t="shared" ref="DU198:DU261" si="172">INDEX($BM$5:$BP$16,CQ198,CU198)</f>
        <v>2</v>
      </c>
      <c r="DV198" s="14">
        <f t="shared" ref="DV198:DV261" si="173">CT198*10+CQ198</f>
        <v>13</v>
      </c>
      <c r="DW198" s="29" t="s">
        <v>758</v>
      </c>
      <c r="DX198" s="14">
        <f t="shared" ref="DX198:DX261" si="174">INDEX($T$5:$Y$8,CU198,CQ198)</f>
        <v>75</v>
      </c>
    </row>
    <row r="199" spans="91:128" ht="16.5" x14ac:dyDescent="0.2">
      <c r="CM199" s="13">
        <v>195</v>
      </c>
      <c r="CN199" s="14">
        <f t="shared" si="148"/>
        <v>27</v>
      </c>
      <c r="CO199" s="14">
        <f t="shared" si="149"/>
        <v>1</v>
      </c>
      <c r="CP199" s="14">
        <f t="shared" si="150"/>
        <v>3</v>
      </c>
      <c r="CQ199" s="14">
        <f t="shared" si="141"/>
        <v>3</v>
      </c>
      <c r="CR199" s="14">
        <f t="shared" si="142"/>
        <v>2033013</v>
      </c>
      <c r="CS199" s="13" t="str">
        <f t="shared" si="143"/>
        <v>90级寄灵人紫色-肩甲</v>
      </c>
      <c r="CT199" s="14">
        <f t="shared" si="144"/>
        <v>1</v>
      </c>
      <c r="CU199" s="14">
        <f t="shared" si="145"/>
        <v>3</v>
      </c>
      <c r="CV199" s="14">
        <f t="shared" si="151"/>
        <v>90</v>
      </c>
      <c r="CW199" s="14">
        <f t="shared" si="152"/>
        <v>90</v>
      </c>
      <c r="CX199" s="14">
        <f t="shared" si="153"/>
        <v>3</v>
      </c>
      <c r="CY199" s="14" t="str">
        <f t="shared" si="154"/>
        <v/>
      </c>
      <c r="CZ199" s="14">
        <f t="shared" si="155"/>
        <v>19</v>
      </c>
      <c r="DA199" s="14">
        <f t="shared" si="156"/>
        <v>0</v>
      </c>
      <c r="DB199" s="14">
        <f t="shared" si="157"/>
        <v>27</v>
      </c>
      <c r="DC199" s="14">
        <f t="shared" si="158"/>
        <v>168</v>
      </c>
      <c r="DD199" s="14">
        <f t="shared" si="159"/>
        <v>0</v>
      </c>
      <c r="DE199" s="14">
        <f t="shared" si="160"/>
        <v>1.2</v>
      </c>
      <c r="DF199" s="14">
        <f t="shared" si="161"/>
        <v>7.2</v>
      </c>
      <c r="DG199" s="14">
        <f t="shared" si="162"/>
        <v>11</v>
      </c>
      <c r="DH199" s="14">
        <f t="shared" si="163"/>
        <v>2</v>
      </c>
      <c r="DI199" s="14">
        <f t="shared" si="164"/>
        <v>13</v>
      </c>
      <c r="DL199" s="14">
        <f t="shared" si="146"/>
        <v>2</v>
      </c>
      <c r="DM199" s="14">
        <f t="shared" si="147"/>
        <v>3</v>
      </c>
      <c r="DN199" s="14" t="str">
        <f t="shared" si="165"/>
        <v>DefExt</v>
      </c>
      <c r="DO199" s="14">
        <f t="shared" si="166"/>
        <v>27</v>
      </c>
      <c r="DP199" s="14">
        <f t="shared" si="167"/>
        <v>1.2</v>
      </c>
      <c r="DQ199" s="14" t="str">
        <f t="shared" si="168"/>
        <v>HPExt</v>
      </c>
      <c r="DR199" s="14">
        <f t="shared" si="169"/>
        <v>168</v>
      </c>
      <c r="DS199" s="14">
        <f t="shared" si="170"/>
        <v>7.2</v>
      </c>
      <c r="DT199" s="14">
        <f t="shared" si="171"/>
        <v>11</v>
      </c>
      <c r="DU199" s="14">
        <f t="shared" si="172"/>
        <v>2</v>
      </c>
      <c r="DV199" s="14">
        <f t="shared" si="173"/>
        <v>13</v>
      </c>
      <c r="DW199" s="29" t="s">
        <v>758</v>
      </c>
      <c r="DX199" s="14">
        <f t="shared" si="174"/>
        <v>75</v>
      </c>
    </row>
    <row r="200" spans="91:128" ht="16.5" x14ac:dyDescent="0.2">
      <c r="CM200" s="13">
        <v>196</v>
      </c>
      <c r="CN200" s="14">
        <f t="shared" si="148"/>
        <v>27</v>
      </c>
      <c r="CO200" s="14">
        <f t="shared" si="149"/>
        <v>1</v>
      </c>
      <c r="CP200" s="14">
        <f t="shared" si="150"/>
        <v>4</v>
      </c>
      <c r="CQ200" s="14">
        <f t="shared" si="141"/>
        <v>3</v>
      </c>
      <c r="CR200" s="14">
        <f t="shared" si="142"/>
        <v>2033014</v>
      </c>
      <c r="CS200" s="13" t="str">
        <f t="shared" si="143"/>
        <v>90级寄灵人紫色-衣服</v>
      </c>
      <c r="CT200" s="14">
        <f t="shared" si="144"/>
        <v>1</v>
      </c>
      <c r="CU200" s="14">
        <f t="shared" si="145"/>
        <v>3</v>
      </c>
      <c r="CV200" s="14">
        <f t="shared" si="151"/>
        <v>90</v>
      </c>
      <c r="CW200" s="14">
        <f t="shared" si="152"/>
        <v>90</v>
      </c>
      <c r="CX200" s="14">
        <f t="shared" si="153"/>
        <v>4</v>
      </c>
      <c r="CY200" s="14" t="str">
        <f t="shared" si="154"/>
        <v/>
      </c>
      <c r="CZ200" s="14">
        <f t="shared" si="155"/>
        <v>24</v>
      </c>
      <c r="DA200" s="14">
        <f t="shared" si="156"/>
        <v>0</v>
      </c>
      <c r="DB200" s="14">
        <f t="shared" si="157"/>
        <v>54</v>
      </c>
      <c r="DC200" s="14">
        <f t="shared" si="158"/>
        <v>0</v>
      </c>
      <c r="DD200" s="14">
        <f t="shared" si="159"/>
        <v>0</v>
      </c>
      <c r="DE200" s="14">
        <f t="shared" si="160"/>
        <v>2.4</v>
      </c>
      <c r="DF200" s="14">
        <f t="shared" si="161"/>
        <v>0</v>
      </c>
      <c r="DG200" s="14">
        <f t="shared" si="162"/>
        <v>11</v>
      </c>
      <c r="DH200" s="14">
        <f t="shared" si="163"/>
        <v>2</v>
      </c>
      <c r="DI200" s="14">
        <f t="shared" si="164"/>
        <v>13</v>
      </c>
      <c r="DL200" s="14">
        <f t="shared" si="146"/>
        <v>2</v>
      </c>
      <c r="DM200" s="14">
        <f t="shared" si="147"/>
        <v>0</v>
      </c>
      <c r="DN200" s="14" t="str">
        <f t="shared" si="165"/>
        <v>DefExt</v>
      </c>
      <c r="DO200" s="14">
        <f t="shared" si="166"/>
        <v>54</v>
      </c>
      <c r="DP200" s="14">
        <f t="shared" si="167"/>
        <v>2.4</v>
      </c>
      <c r="DQ200" s="14" t="str">
        <f t="shared" si="168"/>
        <v/>
      </c>
      <c r="DR200" s="14" t="str">
        <f t="shared" si="169"/>
        <v/>
      </c>
      <c r="DS200" s="14" t="str">
        <f t="shared" si="170"/>
        <v/>
      </c>
      <c r="DT200" s="14">
        <f t="shared" si="171"/>
        <v>11</v>
      </c>
      <c r="DU200" s="14">
        <f t="shared" si="172"/>
        <v>2</v>
      </c>
      <c r="DV200" s="14">
        <f t="shared" si="173"/>
        <v>13</v>
      </c>
      <c r="DW200" s="29" t="s">
        <v>758</v>
      </c>
      <c r="DX200" s="14">
        <f t="shared" si="174"/>
        <v>75</v>
      </c>
    </row>
    <row r="201" spans="91:128" ht="16.5" x14ac:dyDescent="0.2">
      <c r="CM201" s="13">
        <v>197</v>
      </c>
      <c r="CN201" s="14">
        <f t="shared" si="148"/>
        <v>27</v>
      </c>
      <c r="CO201" s="14">
        <f t="shared" si="149"/>
        <v>1</v>
      </c>
      <c r="CP201" s="14">
        <f t="shared" si="150"/>
        <v>5</v>
      </c>
      <c r="CQ201" s="14">
        <f t="shared" si="141"/>
        <v>3</v>
      </c>
      <c r="CR201" s="14">
        <f t="shared" si="142"/>
        <v>2033015</v>
      </c>
      <c r="CS201" s="13" t="str">
        <f t="shared" si="143"/>
        <v>90级寄灵人紫色-鞋子</v>
      </c>
      <c r="CT201" s="14">
        <f t="shared" si="144"/>
        <v>1</v>
      </c>
      <c r="CU201" s="14">
        <f t="shared" si="145"/>
        <v>3</v>
      </c>
      <c r="CV201" s="14">
        <f t="shared" si="151"/>
        <v>90</v>
      </c>
      <c r="CW201" s="14">
        <f t="shared" si="152"/>
        <v>90</v>
      </c>
      <c r="CX201" s="14">
        <f t="shared" si="153"/>
        <v>5</v>
      </c>
      <c r="CY201" s="14" t="str">
        <f t="shared" si="154"/>
        <v/>
      </c>
      <c r="CZ201" s="14">
        <f t="shared" si="155"/>
        <v>14</v>
      </c>
      <c r="DA201" s="14">
        <f t="shared" si="156"/>
        <v>0</v>
      </c>
      <c r="DB201" s="14">
        <f t="shared" si="157"/>
        <v>0</v>
      </c>
      <c r="DC201" s="14">
        <f t="shared" si="158"/>
        <v>336</v>
      </c>
      <c r="DD201" s="14">
        <f t="shared" si="159"/>
        <v>0</v>
      </c>
      <c r="DE201" s="14">
        <f t="shared" si="160"/>
        <v>0</v>
      </c>
      <c r="DF201" s="14">
        <f t="shared" si="161"/>
        <v>14.4</v>
      </c>
      <c r="DG201" s="14">
        <f t="shared" si="162"/>
        <v>11</v>
      </c>
      <c r="DH201" s="14">
        <f t="shared" si="163"/>
        <v>2</v>
      </c>
      <c r="DI201" s="14">
        <f t="shared" si="164"/>
        <v>13</v>
      </c>
      <c r="DL201" s="14">
        <f t="shared" si="146"/>
        <v>3</v>
      </c>
      <c r="DM201" s="14">
        <f t="shared" si="147"/>
        <v>0</v>
      </c>
      <c r="DN201" s="14" t="str">
        <f t="shared" si="165"/>
        <v>HPExt</v>
      </c>
      <c r="DO201" s="14">
        <f t="shared" si="166"/>
        <v>336</v>
      </c>
      <c r="DP201" s="14">
        <f t="shared" si="167"/>
        <v>14.4</v>
      </c>
      <c r="DQ201" s="14" t="str">
        <f t="shared" si="168"/>
        <v/>
      </c>
      <c r="DR201" s="14" t="str">
        <f t="shared" si="169"/>
        <v/>
      </c>
      <c r="DS201" s="14" t="str">
        <f t="shared" si="170"/>
        <v/>
      </c>
      <c r="DT201" s="14">
        <f t="shared" si="171"/>
        <v>11</v>
      </c>
      <c r="DU201" s="14">
        <f t="shared" si="172"/>
        <v>2</v>
      </c>
      <c r="DV201" s="14">
        <f t="shared" si="173"/>
        <v>13</v>
      </c>
      <c r="DW201" s="29" t="s">
        <v>758</v>
      </c>
      <c r="DX201" s="14">
        <f t="shared" si="174"/>
        <v>75</v>
      </c>
    </row>
    <row r="202" spans="91:128" ht="16.5" x14ac:dyDescent="0.2">
      <c r="CM202" s="13">
        <v>198</v>
      </c>
      <c r="CN202" s="14">
        <f t="shared" si="148"/>
        <v>27</v>
      </c>
      <c r="CO202" s="14">
        <f t="shared" si="149"/>
        <v>1</v>
      </c>
      <c r="CP202" s="14">
        <f t="shared" si="150"/>
        <v>6</v>
      </c>
      <c r="CQ202" s="14">
        <f t="shared" si="141"/>
        <v>3</v>
      </c>
      <c r="CR202" s="14">
        <f t="shared" si="142"/>
        <v>2033016</v>
      </c>
      <c r="CS202" s="13" t="str">
        <f t="shared" si="143"/>
        <v>90级寄灵人紫色-护手</v>
      </c>
      <c r="CT202" s="14">
        <f t="shared" si="144"/>
        <v>1</v>
      </c>
      <c r="CU202" s="14">
        <f t="shared" si="145"/>
        <v>3</v>
      </c>
      <c r="CV202" s="14">
        <f t="shared" si="151"/>
        <v>90</v>
      </c>
      <c r="CW202" s="14">
        <f t="shared" si="152"/>
        <v>90</v>
      </c>
      <c r="CX202" s="14">
        <f t="shared" si="153"/>
        <v>6</v>
      </c>
      <c r="CY202" s="14" t="str">
        <f t="shared" si="154"/>
        <v/>
      </c>
      <c r="CZ202" s="14">
        <f t="shared" si="155"/>
        <v>14</v>
      </c>
      <c r="DA202" s="14">
        <f t="shared" si="156"/>
        <v>0</v>
      </c>
      <c r="DB202" s="14">
        <f t="shared" si="157"/>
        <v>0</v>
      </c>
      <c r="DC202" s="14">
        <f t="shared" si="158"/>
        <v>336</v>
      </c>
      <c r="DD202" s="14">
        <f t="shared" si="159"/>
        <v>0</v>
      </c>
      <c r="DE202" s="14">
        <f t="shared" si="160"/>
        <v>0</v>
      </c>
      <c r="DF202" s="14">
        <f t="shared" si="161"/>
        <v>14.4</v>
      </c>
      <c r="DG202" s="14">
        <f t="shared" si="162"/>
        <v>11</v>
      </c>
      <c r="DH202" s="14">
        <f t="shared" si="163"/>
        <v>2</v>
      </c>
      <c r="DI202" s="14">
        <f t="shared" si="164"/>
        <v>13</v>
      </c>
      <c r="DL202" s="14">
        <f t="shared" si="146"/>
        <v>3</v>
      </c>
      <c r="DM202" s="14">
        <f t="shared" si="147"/>
        <v>0</v>
      </c>
      <c r="DN202" s="14" t="str">
        <f t="shared" si="165"/>
        <v>HPExt</v>
      </c>
      <c r="DO202" s="14">
        <f t="shared" si="166"/>
        <v>336</v>
      </c>
      <c r="DP202" s="14">
        <f t="shared" si="167"/>
        <v>14.4</v>
      </c>
      <c r="DQ202" s="14" t="str">
        <f t="shared" si="168"/>
        <v/>
      </c>
      <c r="DR202" s="14" t="str">
        <f t="shared" si="169"/>
        <v/>
      </c>
      <c r="DS202" s="14" t="str">
        <f t="shared" si="170"/>
        <v/>
      </c>
      <c r="DT202" s="14">
        <f t="shared" si="171"/>
        <v>11</v>
      </c>
      <c r="DU202" s="14">
        <f t="shared" si="172"/>
        <v>2</v>
      </c>
      <c r="DV202" s="14">
        <f t="shared" si="173"/>
        <v>13</v>
      </c>
      <c r="DW202" s="29" t="s">
        <v>758</v>
      </c>
      <c r="DX202" s="14">
        <f t="shared" si="174"/>
        <v>75</v>
      </c>
    </row>
    <row r="203" spans="91:128" ht="16.5" x14ac:dyDescent="0.2">
      <c r="CM203" s="13">
        <v>199</v>
      </c>
      <c r="CN203" s="14">
        <f t="shared" si="148"/>
        <v>27</v>
      </c>
      <c r="CO203" s="14">
        <f t="shared" si="149"/>
        <v>1</v>
      </c>
      <c r="CP203" s="14">
        <f t="shared" si="150"/>
        <v>7</v>
      </c>
      <c r="CQ203" s="14">
        <f t="shared" si="141"/>
        <v>3</v>
      </c>
      <c r="CR203" s="14">
        <f t="shared" si="142"/>
        <v>2033017</v>
      </c>
      <c r="CS203" s="13" t="str">
        <f t="shared" si="143"/>
        <v>90级寄灵人紫色-项链</v>
      </c>
      <c r="CT203" s="14">
        <f t="shared" si="144"/>
        <v>1</v>
      </c>
      <c r="CU203" s="14">
        <f t="shared" si="145"/>
        <v>3</v>
      </c>
      <c r="CV203" s="14">
        <f t="shared" si="151"/>
        <v>90</v>
      </c>
      <c r="CW203" s="14">
        <f t="shared" si="152"/>
        <v>90</v>
      </c>
      <c r="CX203" s="14">
        <f t="shared" si="153"/>
        <v>7</v>
      </c>
      <c r="CY203" s="14" t="str">
        <f t="shared" si="154"/>
        <v/>
      </c>
      <c r="CZ203" s="14">
        <f t="shared" si="155"/>
        <v>36</v>
      </c>
      <c r="DA203" s="14">
        <f t="shared" si="156"/>
        <v>72</v>
      </c>
      <c r="DB203" s="14">
        <f t="shared" si="157"/>
        <v>45</v>
      </c>
      <c r="DC203" s="14">
        <f t="shared" si="158"/>
        <v>0</v>
      </c>
      <c r="DD203" s="14">
        <f t="shared" si="159"/>
        <v>3.2</v>
      </c>
      <c r="DE203" s="14">
        <f t="shared" si="160"/>
        <v>2</v>
      </c>
      <c r="DF203" s="14">
        <f t="shared" si="161"/>
        <v>0</v>
      </c>
      <c r="DG203" s="14">
        <f t="shared" si="162"/>
        <v>11</v>
      </c>
      <c r="DH203" s="14">
        <f t="shared" si="163"/>
        <v>2</v>
      </c>
      <c r="DI203" s="14">
        <f t="shared" si="164"/>
        <v>13</v>
      </c>
      <c r="DL203" s="14">
        <f t="shared" si="146"/>
        <v>1</v>
      </c>
      <c r="DM203" s="14">
        <f t="shared" si="147"/>
        <v>2</v>
      </c>
      <c r="DN203" s="14" t="str">
        <f t="shared" si="165"/>
        <v>AtkExt</v>
      </c>
      <c r="DO203" s="14">
        <f t="shared" si="166"/>
        <v>72</v>
      </c>
      <c r="DP203" s="14">
        <f t="shared" si="167"/>
        <v>3.2</v>
      </c>
      <c r="DQ203" s="14" t="str">
        <f t="shared" si="168"/>
        <v>DefExt</v>
      </c>
      <c r="DR203" s="14">
        <f t="shared" si="169"/>
        <v>45</v>
      </c>
      <c r="DS203" s="14">
        <f t="shared" si="170"/>
        <v>2</v>
      </c>
      <c r="DT203" s="14">
        <f t="shared" si="171"/>
        <v>11</v>
      </c>
      <c r="DU203" s="14">
        <f t="shared" si="172"/>
        <v>2</v>
      </c>
      <c r="DV203" s="14">
        <f t="shared" si="173"/>
        <v>13</v>
      </c>
      <c r="DW203" s="29" t="s">
        <v>758</v>
      </c>
      <c r="DX203" s="14">
        <f t="shared" si="174"/>
        <v>75</v>
      </c>
    </row>
    <row r="204" spans="91:128" ht="16.5" x14ac:dyDescent="0.2">
      <c r="CM204" s="13">
        <v>200</v>
      </c>
      <c r="CN204" s="14">
        <f t="shared" si="148"/>
        <v>27</v>
      </c>
      <c r="CO204" s="14">
        <f t="shared" si="149"/>
        <v>1</v>
      </c>
      <c r="CP204" s="14">
        <f t="shared" si="150"/>
        <v>8</v>
      </c>
      <c r="CQ204" s="14">
        <f t="shared" si="141"/>
        <v>3</v>
      </c>
      <c r="CR204" s="14">
        <f t="shared" si="142"/>
        <v>2033018</v>
      </c>
      <c r="CS204" s="13" t="str">
        <f t="shared" si="143"/>
        <v>90级寄灵人紫色-戒指</v>
      </c>
      <c r="CT204" s="14">
        <f t="shared" si="144"/>
        <v>1</v>
      </c>
      <c r="CU204" s="14">
        <f t="shared" si="145"/>
        <v>3</v>
      </c>
      <c r="CV204" s="14">
        <f t="shared" si="151"/>
        <v>90</v>
      </c>
      <c r="CW204" s="14">
        <f t="shared" si="152"/>
        <v>90</v>
      </c>
      <c r="CX204" s="14">
        <f t="shared" si="153"/>
        <v>8</v>
      </c>
      <c r="CY204" s="14" t="str">
        <f t="shared" si="154"/>
        <v/>
      </c>
      <c r="CZ204" s="14">
        <f t="shared" si="155"/>
        <v>28</v>
      </c>
      <c r="DA204" s="14">
        <f t="shared" si="156"/>
        <v>72</v>
      </c>
      <c r="DB204" s="14">
        <f t="shared" si="157"/>
        <v>0</v>
      </c>
      <c r="DC204" s="14">
        <f t="shared" si="158"/>
        <v>280</v>
      </c>
      <c r="DD204" s="14">
        <f t="shared" si="159"/>
        <v>3.2</v>
      </c>
      <c r="DE204" s="14">
        <f t="shared" si="160"/>
        <v>0</v>
      </c>
      <c r="DF204" s="14">
        <f t="shared" si="161"/>
        <v>12</v>
      </c>
      <c r="DG204" s="14">
        <f t="shared" si="162"/>
        <v>11</v>
      </c>
      <c r="DH204" s="14">
        <f t="shared" si="163"/>
        <v>2</v>
      </c>
      <c r="DI204" s="14">
        <f t="shared" si="164"/>
        <v>13</v>
      </c>
      <c r="DL204" s="14">
        <f t="shared" si="146"/>
        <v>1</v>
      </c>
      <c r="DM204" s="14">
        <f t="shared" si="147"/>
        <v>3</v>
      </c>
      <c r="DN204" s="14" t="str">
        <f t="shared" si="165"/>
        <v>AtkExt</v>
      </c>
      <c r="DO204" s="14">
        <f t="shared" si="166"/>
        <v>72</v>
      </c>
      <c r="DP204" s="14">
        <f t="shared" si="167"/>
        <v>3.2</v>
      </c>
      <c r="DQ204" s="14" t="str">
        <f t="shared" si="168"/>
        <v>HPExt</v>
      </c>
      <c r="DR204" s="14">
        <f t="shared" si="169"/>
        <v>280</v>
      </c>
      <c r="DS204" s="14">
        <f t="shared" si="170"/>
        <v>12</v>
      </c>
      <c r="DT204" s="14">
        <f t="shared" si="171"/>
        <v>11</v>
      </c>
      <c r="DU204" s="14">
        <f t="shared" si="172"/>
        <v>2</v>
      </c>
      <c r="DV204" s="14">
        <f t="shared" si="173"/>
        <v>13</v>
      </c>
      <c r="DW204" s="29" t="s">
        <v>758</v>
      </c>
      <c r="DX204" s="14">
        <f t="shared" si="174"/>
        <v>75</v>
      </c>
    </row>
    <row r="205" spans="91:128" ht="16.5" x14ac:dyDescent="0.2">
      <c r="CM205" s="13">
        <v>201</v>
      </c>
      <c r="CN205" s="14">
        <f t="shared" si="148"/>
        <v>28</v>
      </c>
      <c r="CO205" s="14">
        <f t="shared" si="149"/>
        <v>2</v>
      </c>
      <c r="CP205" s="14">
        <f t="shared" si="150"/>
        <v>1</v>
      </c>
      <c r="CQ205" s="14">
        <f t="shared" si="141"/>
        <v>3</v>
      </c>
      <c r="CR205" s="14">
        <f t="shared" si="142"/>
        <v>2033021</v>
      </c>
      <c r="CS205" s="13" t="str">
        <f t="shared" si="143"/>
        <v>90级守护灵紫色-武器</v>
      </c>
      <c r="CT205" s="14">
        <f t="shared" si="144"/>
        <v>2</v>
      </c>
      <c r="CU205" s="14">
        <f t="shared" si="145"/>
        <v>3</v>
      </c>
      <c r="CV205" s="14">
        <f t="shared" si="151"/>
        <v>90</v>
      </c>
      <c r="CW205" s="14">
        <f t="shared" si="152"/>
        <v>90</v>
      </c>
      <c r="CX205" s="14">
        <f t="shared" si="153"/>
        <v>1</v>
      </c>
      <c r="CY205" s="14" t="str">
        <f t="shared" si="154"/>
        <v/>
      </c>
      <c r="CZ205" s="14">
        <f t="shared" si="155"/>
        <v>48</v>
      </c>
      <c r="DA205" s="14">
        <f t="shared" si="156"/>
        <v>240</v>
      </c>
      <c r="DB205" s="14">
        <f t="shared" si="157"/>
        <v>0</v>
      </c>
      <c r="DC205" s="14">
        <f t="shared" si="158"/>
        <v>0</v>
      </c>
      <c r="DD205" s="14">
        <f t="shared" si="159"/>
        <v>9.6</v>
      </c>
      <c r="DE205" s="14">
        <f t="shared" si="160"/>
        <v>0</v>
      </c>
      <c r="DF205" s="14">
        <f t="shared" si="161"/>
        <v>0</v>
      </c>
      <c r="DG205" s="14">
        <f t="shared" si="162"/>
        <v>11</v>
      </c>
      <c r="DH205" s="14">
        <f t="shared" si="163"/>
        <v>2</v>
      </c>
      <c r="DI205" s="14">
        <f t="shared" si="164"/>
        <v>23</v>
      </c>
      <c r="DL205" s="14">
        <f t="shared" si="146"/>
        <v>1</v>
      </c>
      <c r="DM205" s="14">
        <f t="shared" si="147"/>
        <v>0</v>
      </c>
      <c r="DN205" s="14" t="str">
        <f t="shared" si="165"/>
        <v>AtkExt</v>
      </c>
      <c r="DO205" s="14">
        <f t="shared" si="166"/>
        <v>240</v>
      </c>
      <c r="DP205" s="14">
        <f t="shared" si="167"/>
        <v>9.6</v>
      </c>
      <c r="DQ205" s="14" t="str">
        <f t="shared" si="168"/>
        <v/>
      </c>
      <c r="DR205" s="14" t="str">
        <f t="shared" si="169"/>
        <v/>
      </c>
      <c r="DS205" s="14" t="str">
        <f t="shared" si="170"/>
        <v/>
      </c>
      <c r="DT205" s="14">
        <f t="shared" si="171"/>
        <v>11</v>
      </c>
      <c r="DU205" s="14">
        <f t="shared" si="172"/>
        <v>2</v>
      </c>
      <c r="DV205" s="14">
        <f t="shared" si="173"/>
        <v>23</v>
      </c>
      <c r="DW205" s="29" t="s">
        <v>758</v>
      </c>
      <c r="DX205" s="14">
        <f t="shared" si="174"/>
        <v>75</v>
      </c>
    </row>
    <row r="206" spans="91:128" ht="16.5" x14ac:dyDescent="0.2">
      <c r="CM206" s="13">
        <v>202</v>
      </c>
      <c r="CN206" s="14">
        <f t="shared" si="148"/>
        <v>28</v>
      </c>
      <c r="CO206" s="14">
        <f t="shared" si="149"/>
        <v>2</v>
      </c>
      <c r="CP206" s="14">
        <f t="shared" si="150"/>
        <v>2</v>
      </c>
      <c r="CQ206" s="14">
        <f t="shared" si="141"/>
        <v>3</v>
      </c>
      <c r="CR206" s="14">
        <f t="shared" si="142"/>
        <v>2033022</v>
      </c>
      <c r="CS206" s="13" t="str">
        <f t="shared" si="143"/>
        <v>90级守护灵紫色-头盔</v>
      </c>
      <c r="CT206" s="14">
        <f t="shared" si="144"/>
        <v>2</v>
      </c>
      <c r="CU206" s="14">
        <f t="shared" si="145"/>
        <v>3</v>
      </c>
      <c r="CV206" s="14">
        <f t="shared" si="151"/>
        <v>90</v>
      </c>
      <c r="CW206" s="14">
        <f t="shared" si="152"/>
        <v>90</v>
      </c>
      <c r="CX206" s="14">
        <f t="shared" si="153"/>
        <v>2</v>
      </c>
      <c r="CY206" s="14" t="str">
        <f t="shared" si="154"/>
        <v/>
      </c>
      <c r="CZ206" s="14">
        <f t="shared" si="155"/>
        <v>24</v>
      </c>
      <c r="DA206" s="14">
        <f t="shared" si="156"/>
        <v>0</v>
      </c>
      <c r="DB206" s="14">
        <f t="shared" si="157"/>
        <v>60</v>
      </c>
      <c r="DC206" s="14">
        <f t="shared" si="158"/>
        <v>0</v>
      </c>
      <c r="DD206" s="14">
        <f t="shared" si="159"/>
        <v>0</v>
      </c>
      <c r="DE206" s="14">
        <f t="shared" si="160"/>
        <v>2.4</v>
      </c>
      <c r="DF206" s="14">
        <f t="shared" si="161"/>
        <v>0</v>
      </c>
      <c r="DG206" s="14">
        <f t="shared" si="162"/>
        <v>11</v>
      </c>
      <c r="DH206" s="14">
        <f t="shared" si="163"/>
        <v>2</v>
      </c>
      <c r="DI206" s="14">
        <f t="shared" si="164"/>
        <v>23</v>
      </c>
      <c r="DL206" s="14">
        <f t="shared" si="146"/>
        <v>2</v>
      </c>
      <c r="DM206" s="14">
        <f t="shared" si="147"/>
        <v>0</v>
      </c>
      <c r="DN206" s="14" t="str">
        <f t="shared" si="165"/>
        <v>DefExt</v>
      </c>
      <c r="DO206" s="14">
        <f t="shared" si="166"/>
        <v>60</v>
      </c>
      <c r="DP206" s="14">
        <f t="shared" si="167"/>
        <v>2.4</v>
      </c>
      <c r="DQ206" s="14" t="str">
        <f t="shared" si="168"/>
        <v/>
      </c>
      <c r="DR206" s="14" t="str">
        <f t="shared" si="169"/>
        <v/>
      </c>
      <c r="DS206" s="14" t="str">
        <f t="shared" si="170"/>
        <v/>
      </c>
      <c r="DT206" s="14">
        <f t="shared" si="171"/>
        <v>11</v>
      </c>
      <c r="DU206" s="14">
        <f t="shared" si="172"/>
        <v>2</v>
      </c>
      <c r="DV206" s="14">
        <f t="shared" si="173"/>
        <v>23</v>
      </c>
      <c r="DW206" s="29" t="s">
        <v>758</v>
      </c>
      <c r="DX206" s="14">
        <f t="shared" si="174"/>
        <v>75</v>
      </c>
    </row>
    <row r="207" spans="91:128" ht="16.5" x14ac:dyDescent="0.2">
      <c r="CM207" s="13">
        <v>203</v>
      </c>
      <c r="CN207" s="14">
        <f t="shared" si="148"/>
        <v>28</v>
      </c>
      <c r="CO207" s="14">
        <f t="shared" si="149"/>
        <v>2</v>
      </c>
      <c r="CP207" s="14">
        <f t="shared" si="150"/>
        <v>3</v>
      </c>
      <c r="CQ207" s="14">
        <f t="shared" si="141"/>
        <v>3</v>
      </c>
      <c r="CR207" s="14">
        <f t="shared" si="142"/>
        <v>2033023</v>
      </c>
      <c r="CS207" s="13" t="str">
        <f t="shared" si="143"/>
        <v>90级守护灵紫色-肩甲</v>
      </c>
      <c r="CT207" s="14">
        <f t="shared" si="144"/>
        <v>2</v>
      </c>
      <c r="CU207" s="14">
        <f t="shared" si="145"/>
        <v>3</v>
      </c>
      <c r="CV207" s="14">
        <f t="shared" si="151"/>
        <v>90</v>
      </c>
      <c r="CW207" s="14">
        <f t="shared" si="152"/>
        <v>90</v>
      </c>
      <c r="CX207" s="14">
        <f t="shared" si="153"/>
        <v>3</v>
      </c>
      <c r="CY207" s="14" t="str">
        <f t="shared" si="154"/>
        <v/>
      </c>
      <c r="CZ207" s="14">
        <f t="shared" si="155"/>
        <v>27</v>
      </c>
      <c r="DA207" s="14">
        <f t="shared" si="156"/>
        <v>0</v>
      </c>
      <c r="DB207" s="14">
        <f t="shared" si="157"/>
        <v>30</v>
      </c>
      <c r="DC207" s="14">
        <f t="shared" si="158"/>
        <v>300</v>
      </c>
      <c r="DD207" s="14">
        <f t="shared" si="159"/>
        <v>0</v>
      </c>
      <c r="DE207" s="14">
        <f t="shared" si="160"/>
        <v>1.2</v>
      </c>
      <c r="DF207" s="14">
        <f t="shared" si="161"/>
        <v>15</v>
      </c>
      <c r="DG207" s="14">
        <f t="shared" si="162"/>
        <v>11</v>
      </c>
      <c r="DH207" s="14">
        <f t="shared" si="163"/>
        <v>2</v>
      </c>
      <c r="DI207" s="14">
        <f t="shared" si="164"/>
        <v>23</v>
      </c>
      <c r="DL207" s="14">
        <f t="shared" si="146"/>
        <v>2</v>
      </c>
      <c r="DM207" s="14">
        <f t="shared" si="147"/>
        <v>3</v>
      </c>
      <c r="DN207" s="14" t="str">
        <f t="shared" si="165"/>
        <v>DefExt</v>
      </c>
      <c r="DO207" s="14">
        <f t="shared" si="166"/>
        <v>30</v>
      </c>
      <c r="DP207" s="14">
        <f t="shared" si="167"/>
        <v>1.2</v>
      </c>
      <c r="DQ207" s="14" t="str">
        <f t="shared" si="168"/>
        <v>HPExt</v>
      </c>
      <c r="DR207" s="14">
        <f t="shared" si="169"/>
        <v>300</v>
      </c>
      <c r="DS207" s="14">
        <f t="shared" si="170"/>
        <v>15</v>
      </c>
      <c r="DT207" s="14">
        <f t="shared" si="171"/>
        <v>11</v>
      </c>
      <c r="DU207" s="14">
        <f t="shared" si="172"/>
        <v>2</v>
      </c>
      <c r="DV207" s="14">
        <f t="shared" si="173"/>
        <v>23</v>
      </c>
      <c r="DW207" s="29" t="s">
        <v>758</v>
      </c>
      <c r="DX207" s="14">
        <f t="shared" si="174"/>
        <v>75</v>
      </c>
    </row>
    <row r="208" spans="91:128" ht="16.5" x14ac:dyDescent="0.2">
      <c r="CM208" s="13">
        <v>204</v>
      </c>
      <c r="CN208" s="14">
        <f t="shared" si="148"/>
        <v>28</v>
      </c>
      <c r="CO208" s="14">
        <f t="shared" si="149"/>
        <v>2</v>
      </c>
      <c r="CP208" s="14">
        <f t="shared" si="150"/>
        <v>4</v>
      </c>
      <c r="CQ208" s="14">
        <f t="shared" si="141"/>
        <v>3</v>
      </c>
      <c r="CR208" s="14">
        <f t="shared" si="142"/>
        <v>2033024</v>
      </c>
      <c r="CS208" s="13" t="str">
        <f t="shared" si="143"/>
        <v>90级守护灵紫色-衣服</v>
      </c>
      <c r="CT208" s="14">
        <f t="shared" si="144"/>
        <v>2</v>
      </c>
      <c r="CU208" s="14">
        <f t="shared" si="145"/>
        <v>3</v>
      </c>
      <c r="CV208" s="14">
        <f t="shared" si="151"/>
        <v>90</v>
      </c>
      <c r="CW208" s="14">
        <f t="shared" si="152"/>
        <v>90</v>
      </c>
      <c r="CX208" s="14">
        <f t="shared" si="153"/>
        <v>4</v>
      </c>
      <c r="CY208" s="14" t="str">
        <f t="shared" si="154"/>
        <v/>
      </c>
      <c r="CZ208" s="14">
        <f t="shared" si="155"/>
        <v>24</v>
      </c>
      <c r="DA208" s="14">
        <f t="shared" si="156"/>
        <v>0</v>
      </c>
      <c r="DB208" s="14">
        <f t="shared" si="157"/>
        <v>60</v>
      </c>
      <c r="DC208" s="14">
        <f t="shared" si="158"/>
        <v>0</v>
      </c>
      <c r="DD208" s="14">
        <f t="shared" si="159"/>
        <v>0</v>
      </c>
      <c r="DE208" s="14">
        <f t="shared" si="160"/>
        <v>2.4</v>
      </c>
      <c r="DF208" s="14">
        <f t="shared" si="161"/>
        <v>0</v>
      </c>
      <c r="DG208" s="14">
        <f t="shared" si="162"/>
        <v>11</v>
      </c>
      <c r="DH208" s="14">
        <f t="shared" si="163"/>
        <v>2</v>
      </c>
      <c r="DI208" s="14">
        <f t="shared" si="164"/>
        <v>23</v>
      </c>
      <c r="DL208" s="14">
        <f t="shared" si="146"/>
        <v>2</v>
      </c>
      <c r="DM208" s="14">
        <f t="shared" si="147"/>
        <v>0</v>
      </c>
      <c r="DN208" s="14" t="str">
        <f t="shared" si="165"/>
        <v>DefExt</v>
      </c>
      <c r="DO208" s="14">
        <f t="shared" si="166"/>
        <v>60</v>
      </c>
      <c r="DP208" s="14">
        <f t="shared" si="167"/>
        <v>2.4</v>
      </c>
      <c r="DQ208" s="14" t="str">
        <f t="shared" si="168"/>
        <v/>
      </c>
      <c r="DR208" s="14" t="str">
        <f t="shared" si="169"/>
        <v/>
      </c>
      <c r="DS208" s="14" t="str">
        <f t="shared" si="170"/>
        <v/>
      </c>
      <c r="DT208" s="14">
        <f t="shared" si="171"/>
        <v>11</v>
      </c>
      <c r="DU208" s="14">
        <f t="shared" si="172"/>
        <v>2</v>
      </c>
      <c r="DV208" s="14">
        <f t="shared" si="173"/>
        <v>23</v>
      </c>
      <c r="DW208" s="29" t="s">
        <v>758</v>
      </c>
      <c r="DX208" s="14">
        <f t="shared" si="174"/>
        <v>75</v>
      </c>
    </row>
    <row r="209" spans="91:128" ht="16.5" x14ac:dyDescent="0.2">
      <c r="CM209" s="13">
        <v>205</v>
      </c>
      <c r="CN209" s="14">
        <f t="shared" si="148"/>
        <v>28</v>
      </c>
      <c r="CO209" s="14">
        <f t="shared" si="149"/>
        <v>2</v>
      </c>
      <c r="CP209" s="14">
        <f t="shared" si="150"/>
        <v>5</v>
      </c>
      <c r="CQ209" s="14">
        <f t="shared" si="141"/>
        <v>3</v>
      </c>
      <c r="CR209" s="14">
        <f t="shared" si="142"/>
        <v>2033025</v>
      </c>
      <c r="CS209" s="13" t="str">
        <f t="shared" si="143"/>
        <v>90级守护灵紫色-鞋子</v>
      </c>
      <c r="CT209" s="14">
        <f t="shared" si="144"/>
        <v>2</v>
      </c>
      <c r="CU209" s="14">
        <f t="shared" si="145"/>
        <v>3</v>
      </c>
      <c r="CV209" s="14">
        <f t="shared" si="151"/>
        <v>90</v>
      </c>
      <c r="CW209" s="14">
        <f t="shared" si="152"/>
        <v>90</v>
      </c>
      <c r="CX209" s="14">
        <f t="shared" si="153"/>
        <v>5</v>
      </c>
      <c r="CY209" s="14" t="str">
        <f t="shared" si="154"/>
        <v/>
      </c>
      <c r="CZ209" s="14">
        <f t="shared" si="155"/>
        <v>30</v>
      </c>
      <c r="DA209" s="14">
        <f t="shared" si="156"/>
        <v>0</v>
      </c>
      <c r="DB209" s="14">
        <f t="shared" si="157"/>
        <v>0</v>
      </c>
      <c r="DC209" s="14">
        <f t="shared" si="158"/>
        <v>600</v>
      </c>
      <c r="DD209" s="14">
        <f t="shared" si="159"/>
        <v>0</v>
      </c>
      <c r="DE209" s="14">
        <f t="shared" si="160"/>
        <v>0</v>
      </c>
      <c r="DF209" s="14">
        <f t="shared" si="161"/>
        <v>30</v>
      </c>
      <c r="DG209" s="14">
        <f t="shared" si="162"/>
        <v>11</v>
      </c>
      <c r="DH209" s="14">
        <f t="shared" si="163"/>
        <v>2</v>
      </c>
      <c r="DI209" s="14">
        <f t="shared" si="164"/>
        <v>23</v>
      </c>
      <c r="DL209" s="14">
        <f t="shared" si="146"/>
        <v>3</v>
      </c>
      <c r="DM209" s="14">
        <f t="shared" si="147"/>
        <v>0</v>
      </c>
      <c r="DN209" s="14" t="str">
        <f t="shared" si="165"/>
        <v>HPExt</v>
      </c>
      <c r="DO209" s="14">
        <f t="shared" si="166"/>
        <v>600</v>
      </c>
      <c r="DP209" s="14">
        <f t="shared" si="167"/>
        <v>30</v>
      </c>
      <c r="DQ209" s="14" t="str">
        <f t="shared" si="168"/>
        <v/>
      </c>
      <c r="DR209" s="14" t="str">
        <f t="shared" si="169"/>
        <v/>
      </c>
      <c r="DS209" s="14" t="str">
        <f t="shared" si="170"/>
        <v/>
      </c>
      <c r="DT209" s="14">
        <f t="shared" si="171"/>
        <v>11</v>
      </c>
      <c r="DU209" s="14">
        <f t="shared" si="172"/>
        <v>2</v>
      </c>
      <c r="DV209" s="14">
        <f t="shared" si="173"/>
        <v>23</v>
      </c>
      <c r="DW209" s="29" t="s">
        <v>758</v>
      </c>
      <c r="DX209" s="14">
        <f t="shared" si="174"/>
        <v>75</v>
      </c>
    </row>
    <row r="210" spans="91:128" ht="16.5" x14ac:dyDescent="0.2">
      <c r="CM210" s="13">
        <v>206</v>
      </c>
      <c r="CN210" s="14">
        <f t="shared" si="148"/>
        <v>28</v>
      </c>
      <c r="CO210" s="14">
        <f t="shared" si="149"/>
        <v>2</v>
      </c>
      <c r="CP210" s="14">
        <f t="shared" si="150"/>
        <v>6</v>
      </c>
      <c r="CQ210" s="14">
        <f t="shared" si="141"/>
        <v>3</v>
      </c>
      <c r="CR210" s="14">
        <f t="shared" si="142"/>
        <v>2033026</v>
      </c>
      <c r="CS210" s="13" t="str">
        <f t="shared" si="143"/>
        <v>90级守护灵紫色-护手</v>
      </c>
      <c r="CT210" s="14">
        <f t="shared" si="144"/>
        <v>2</v>
      </c>
      <c r="CU210" s="14">
        <f t="shared" si="145"/>
        <v>3</v>
      </c>
      <c r="CV210" s="14">
        <f t="shared" si="151"/>
        <v>90</v>
      </c>
      <c r="CW210" s="14">
        <f t="shared" si="152"/>
        <v>90</v>
      </c>
      <c r="CX210" s="14">
        <f t="shared" si="153"/>
        <v>6</v>
      </c>
      <c r="CY210" s="14" t="str">
        <f t="shared" si="154"/>
        <v/>
      </c>
      <c r="CZ210" s="14">
        <f t="shared" si="155"/>
        <v>30</v>
      </c>
      <c r="DA210" s="14">
        <f t="shared" si="156"/>
        <v>0</v>
      </c>
      <c r="DB210" s="14">
        <f t="shared" si="157"/>
        <v>0</v>
      </c>
      <c r="DC210" s="14">
        <f t="shared" si="158"/>
        <v>600</v>
      </c>
      <c r="DD210" s="14">
        <f t="shared" si="159"/>
        <v>0</v>
      </c>
      <c r="DE210" s="14">
        <f t="shared" si="160"/>
        <v>0</v>
      </c>
      <c r="DF210" s="14">
        <f t="shared" si="161"/>
        <v>30</v>
      </c>
      <c r="DG210" s="14">
        <f t="shared" si="162"/>
        <v>11</v>
      </c>
      <c r="DH210" s="14">
        <f t="shared" si="163"/>
        <v>2</v>
      </c>
      <c r="DI210" s="14">
        <f t="shared" si="164"/>
        <v>23</v>
      </c>
      <c r="DL210" s="14">
        <f t="shared" si="146"/>
        <v>3</v>
      </c>
      <c r="DM210" s="14">
        <f t="shared" si="147"/>
        <v>0</v>
      </c>
      <c r="DN210" s="14" t="str">
        <f t="shared" si="165"/>
        <v>HPExt</v>
      </c>
      <c r="DO210" s="14">
        <f t="shared" si="166"/>
        <v>600</v>
      </c>
      <c r="DP210" s="14">
        <f t="shared" si="167"/>
        <v>30</v>
      </c>
      <c r="DQ210" s="14" t="str">
        <f t="shared" si="168"/>
        <v/>
      </c>
      <c r="DR210" s="14" t="str">
        <f t="shared" si="169"/>
        <v/>
      </c>
      <c r="DS210" s="14" t="str">
        <f t="shared" si="170"/>
        <v/>
      </c>
      <c r="DT210" s="14">
        <f t="shared" si="171"/>
        <v>11</v>
      </c>
      <c r="DU210" s="14">
        <f t="shared" si="172"/>
        <v>2</v>
      </c>
      <c r="DV210" s="14">
        <f t="shared" si="173"/>
        <v>23</v>
      </c>
      <c r="DW210" s="29" t="s">
        <v>758</v>
      </c>
      <c r="DX210" s="14">
        <f t="shared" si="174"/>
        <v>75</v>
      </c>
    </row>
    <row r="211" spans="91:128" ht="16.5" x14ac:dyDescent="0.2">
      <c r="CM211" s="13">
        <v>207</v>
      </c>
      <c r="CN211" s="14">
        <f t="shared" si="148"/>
        <v>28</v>
      </c>
      <c r="CO211" s="14">
        <f t="shared" si="149"/>
        <v>2</v>
      </c>
      <c r="CP211" s="14">
        <f t="shared" si="150"/>
        <v>7</v>
      </c>
      <c r="CQ211" s="14">
        <f t="shared" si="141"/>
        <v>3</v>
      </c>
      <c r="CR211" s="14">
        <f t="shared" si="142"/>
        <v>2033027</v>
      </c>
      <c r="CS211" s="13" t="str">
        <f t="shared" si="143"/>
        <v>90级守护灵紫色-项链</v>
      </c>
      <c r="CT211" s="14">
        <f t="shared" si="144"/>
        <v>2</v>
      </c>
      <c r="CU211" s="14">
        <f t="shared" si="145"/>
        <v>3</v>
      </c>
      <c r="CV211" s="14">
        <f t="shared" si="151"/>
        <v>90</v>
      </c>
      <c r="CW211" s="14">
        <f t="shared" si="152"/>
        <v>90</v>
      </c>
      <c r="CX211" s="14">
        <f t="shared" si="153"/>
        <v>7</v>
      </c>
      <c r="CY211" s="14" t="str">
        <f t="shared" si="154"/>
        <v/>
      </c>
      <c r="CZ211" s="14">
        <f t="shared" si="155"/>
        <v>36</v>
      </c>
      <c r="DA211" s="14">
        <f t="shared" si="156"/>
        <v>80</v>
      </c>
      <c r="DB211" s="14">
        <f t="shared" si="157"/>
        <v>50</v>
      </c>
      <c r="DC211" s="14">
        <f t="shared" si="158"/>
        <v>0</v>
      </c>
      <c r="DD211" s="14">
        <f t="shared" si="159"/>
        <v>3.2</v>
      </c>
      <c r="DE211" s="14">
        <f t="shared" si="160"/>
        <v>2</v>
      </c>
      <c r="DF211" s="14">
        <f t="shared" si="161"/>
        <v>0</v>
      </c>
      <c r="DG211" s="14">
        <f t="shared" si="162"/>
        <v>11</v>
      </c>
      <c r="DH211" s="14">
        <f t="shared" si="163"/>
        <v>2</v>
      </c>
      <c r="DI211" s="14">
        <f t="shared" si="164"/>
        <v>23</v>
      </c>
      <c r="DL211" s="14">
        <f t="shared" si="146"/>
        <v>1</v>
      </c>
      <c r="DM211" s="14">
        <f t="shared" si="147"/>
        <v>2</v>
      </c>
      <c r="DN211" s="14" t="str">
        <f t="shared" si="165"/>
        <v>AtkExt</v>
      </c>
      <c r="DO211" s="14">
        <f t="shared" si="166"/>
        <v>80</v>
      </c>
      <c r="DP211" s="14">
        <f t="shared" si="167"/>
        <v>3.2</v>
      </c>
      <c r="DQ211" s="14" t="str">
        <f t="shared" si="168"/>
        <v>DefExt</v>
      </c>
      <c r="DR211" s="14">
        <f t="shared" si="169"/>
        <v>50</v>
      </c>
      <c r="DS211" s="14">
        <f t="shared" si="170"/>
        <v>2</v>
      </c>
      <c r="DT211" s="14">
        <f t="shared" si="171"/>
        <v>11</v>
      </c>
      <c r="DU211" s="14">
        <f t="shared" si="172"/>
        <v>2</v>
      </c>
      <c r="DV211" s="14">
        <f t="shared" si="173"/>
        <v>23</v>
      </c>
      <c r="DW211" s="29" t="s">
        <v>758</v>
      </c>
      <c r="DX211" s="14">
        <f t="shared" si="174"/>
        <v>75</v>
      </c>
    </row>
    <row r="212" spans="91:128" ht="16.5" x14ac:dyDescent="0.2">
      <c r="CM212" s="13">
        <v>208</v>
      </c>
      <c r="CN212" s="14">
        <f t="shared" si="148"/>
        <v>28</v>
      </c>
      <c r="CO212" s="14">
        <f t="shared" si="149"/>
        <v>2</v>
      </c>
      <c r="CP212" s="14">
        <f t="shared" si="150"/>
        <v>8</v>
      </c>
      <c r="CQ212" s="14">
        <f t="shared" si="141"/>
        <v>3</v>
      </c>
      <c r="CR212" s="14">
        <f t="shared" si="142"/>
        <v>2033028</v>
      </c>
      <c r="CS212" s="13" t="str">
        <f t="shared" si="143"/>
        <v>90级守护灵紫色-戒指</v>
      </c>
      <c r="CT212" s="14">
        <f t="shared" si="144"/>
        <v>2</v>
      </c>
      <c r="CU212" s="14">
        <f t="shared" si="145"/>
        <v>3</v>
      </c>
      <c r="CV212" s="14">
        <f t="shared" si="151"/>
        <v>90</v>
      </c>
      <c r="CW212" s="14">
        <f t="shared" si="152"/>
        <v>90</v>
      </c>
      <c r="CX212" s="14">
        <f t="shared" si="153"/>
        <v>8</v>
      </c>
      <c r="CY212" s="14" t="str">
        <f t="shared" si="154"/>
        <v/>
      </c>
      <c r="CZ212" s="14">
        <f t="shared" si="155"/>
        <v>41</v>
      </c>
      <c r="DA212" s="14">
        <f t="shared" si="156"/>
        <v>80</v>
      </c>
      <c r="DB212" s="14">
        <f t="shared" si="157"/>
        <v>0</v>
      </c>
      <c r="DC212" s="14">
        <f t="shared" si="158"/>
        <v>500</v>
      </c>
      <c r="DD212" s="14">
        <f t="shared" si="159"/>
        <v>3.2</v>
      </c>
      <c r="DE212" s="14">
        <f t="shared" si="160"/>
        <v>0</v>
      </c>
      <c r="DF212" s="14">
        <f t="shared" si="161"/>
        <v>25</v>
      </c>
      <c r="DG212" s="14">
        <f t="shared" si="162"/>
        <v>11</v>
      </c>
      <c r="DH212" s="14">
        <f t="shared" si="163"/>
        <v>2</v>
      </c>
      <c r="DI212" s="14">
        <f t="shared" si="164"/>
        <v>23</v>
      </c>
      <c r="DL212" s="14">
        <f t="shared" si="146"/>
        <v>1</v>
      </c>
      <c r="DM212" s="14">
        <f t="shared" si="147"/>
        <v>3</v>
      </c>
      <c r="DN212" s="14" t="str">
        <f t="shared" si="165"/>
        <v>AtkExt</v>
      </c>
      <c r="DO212" s="14">
        <f t="shared" si="166"/>
        <v>80</v>
      </c>
      <c r="DP212" s="14">
        <f t="shared" si="167"/>
        <v>3.2</v>
      </c>
      <c r="DQ212" s="14" t="str">
        <f t="shared" si="168"/>
        <v>HPExt</v>
      </c>
      <c r="DR212" s="14">
        <f t="shared" si="169"/>
        <v>500</v>
      </c>
      <c r="DS212" s="14">
        <f t="shared" si="170"/>
        <v>25</v>
      </c>
      <c r="DT212" s="14">
        <f t="shared" si="171"/>
        <v>11</v>
      </c>
      <c r="DU212" s="14">
        <f t="shared" si="172"/>
        <v>2</v>
      </c>
      <c r="DV212" s="14">
        <f t="shared" si="173"/>
        <v>23</v>
      </c>
      <c r="DW212" s="29" t="s">
        <v>758</v>
      </c>
      <c r="DX212" s="14">
        <f t="shared" si="174"/>
        <v>75</v>
      </c>
    </row>
    <row r="213" spans="91:128" ht="16.5" x14ac:dyDescent="0.2">
      <c r="CM213" s="13">
        <v>209</v>
      </c>
      <c r="CN213" s="14">
        <f t="shared" si="148"/>
        <v>29</v>
      </c>
      <c r="CO213" s="14">
        <f t="shared" si="149"/>
        <v>1</v>
      </c>
      <c r="CP213" s="14">
        <f t="shared" si="150"/>
        <v>1</v>
      </c>
      <c r="CQ213" s="14">
        <f t="shared" si="141"/>
        <v>3</v>
      </c>
      <c r="CR213" s="14">
        <f t="shared" si="142"/>
        <v>2034011</v>
      </c>
      <c r="CS213" s="13" t="str">
        <f t="shared" si="143"/>
        <v>90级寄灵人橙色-武器</v>
      </c>
      <c r="CT213" s="14">
        <f t="shared" si="144"/>
        <v>1</v>
      </c>
      <c r="CU213" s="14">
        <f t="shared" si="145"/>
        <v>4</v>
      </c>
      <c r="CV213" s="14">
        <f t="shared" si="151"/>
        <v>90</v>
      </c>
      <c r="CW213" s="14">
        <f t="shared" si="152"/>
        <v>90</v>
      </c>
      <c r="CX213" s="14">
        <f t="shared" si="153"/>
        <v>1</v>
      </c>
      <c r="CY213" s="14" t="str">
        <f t="shared" si="154"/>
        <v/>
      </c>
      <c r="CZ213" s="14">
        <f t="shared" si="155"/>
        <v>60</v>
      </c>
      <c r="DA213" s="14">
        <f t="shared" si="156"/>
        <v>270</v>
      </c>
      <c r="DB213" s="14">
        <f t="shared" si="157"/>
        <v>0</v>
      </c>
      <c r="DC213" s="14">
        <f t="shared" si="158"/>
        <v>0</v>
      </c>
      <c r="DD213" s="14">
        <f t="shared" si="159"/>
        <v>12</v>
      </c>
      <c r="DE213" s="14">
        <f t="shared" si="160"/>
        <v>0</v>
      </c>
      <c r="DF213" s="14">
        <f t="shared" si="161"/>
        <v>0</v>
      </c>
      <c r="DG213" s="14">
        <f t="shared" si="162"/>
        <v>12</v>
      </c>
      <c r="DH213" s="14">
        <f t="shared" si="163"/>
        <v>3</v>
      </c>
      <c r="DI213" s="14">
        <f t="shared" si="164"/>
        <v>13</v>
      </c>
      <c r="DL213" s="14">
        <f t="shared" si="146"/>
        <v>1</v>
      </c>
      <c r="DM213" s="14">
        <f t="shared" si="147"/>
        <v>0</v>
      </c>
      <c r="DN213" s="14" t="str">
        <f t="shared" si="165"/>
        <v>AtkExt</v>
      </c>
      <c r="DO213" s="14">
        <f t="shared" si="166"/>
        <v>270</v>
      </c>
      <c r="DP213" s="14">
        <f t="shared" si="167"/>
        <v>12</v>
      </c>
      <c r="DQ213" s="14" t="str">
        <f t="shared" si="168"/>
        <v/>
      </c>
      <c r="DR213" s="14" t="str">
        <f t="shared" si="169"/>
        <v/>
      </c>
      <c r="DS213" s="14" t="str">
        <f t="shared" si="170"/>
        <v/>
      </c>
      <c r="DT213" s="14">
        <f t="shared" si="171"/>
        <v>12</v>
      </c>
      <c r="DU213" s="14">
        <f t="shared" si="172"/>
        <v>3</v>
      </c>
      <c r="DV213" s="14">
        <f t="shared" si="173"/>
        <v>13</v>
      </c>
      <c r="DW213" s="29" t="s">
        <v>758</v>
      </c>
      <c r="DX213" s="14">
        <f t="shared" si="174"/>
        <v>150</v>
      </c>
    </row>
    <row r="214" spans="91:128" ht="16.5" x14ac:dyDescent="0.2">
      <c r="CM214" s="13">
        <v>210</v>
      </c>
      <c r="CN214" s="14">
        <f t="shared" si="148"/>
        <v>29</v>
      </c>
      <c r="CO214" s="14">
        <f t="shared" si="149"/>
        <v>1</v>
      </c>
      <c r="CP214" s="14">
        <f t="shared" si="150"/>
        <v>2</v>
      </c>
      <c r="CQ214" s="14">
        <f t="shared" si="141"/>
        <v>3</v>
      </c>
      <c r="CR214" s="14">
        <f t="shared" si="142"/>
        <v>2034012</v>
      </c>
      <c r="CS214" s="13" t="str">
        <f t="shared" si="143"/>
        <v>90级寄灵人橙色-头盔</v>
      </c>
      <c r="CT214" s="14">
        <f t="shared" si="144"/>
        <v>1</v>
      </c>
      <c r="CU214" s="14">
        <f t="shared" si="145"/>
        <v>4</v>
      </c>
      <c r="CV214" s="14">
        <f t="shared" si="151"/>
        <v>90</v>
      </c>
      <c r="CW214" s="14">
        <f t="shared" si="152"/>
        <v>90</v>
      </c>
      <c r="CX214" s="14">
        <f t="shared" si="153"/>
        <v>2</v>
      </c>
      <c r="CY214" s="14" t="str">
        <f t="shared" si="154"/>
        <v/>
      </c>
      <c r="CZ214" s="14">
        <f t="shared" si="155"/>
        <v>30</v>
      </c>
      <c r="DA214" s="14">
        <f t="shared" si="156"/>
        <v>0</v>
      </c>
      <c r="DB214" s="14">
        <f t="shared" si="157"/>
        <v>68</v>
      </c>
      <c r="DC214" s="14">
        <f t="shared" si="158"/>
        <v>0</v>
      </c>
      <c r="DD214" s="14">
        <f t="shared" si="159"/>
        <v>0</v>
      </c>
      <c r="DE214" s="14">
        <f t="shared" si="160"/>
        <v>3</v>
      </c>
      <c r="DF214" s="14">
        <f t="shared" si="161"/>
        <v>0</v>
      </c>
      <c r="DG214" s="14">
        <f t="shared" si="162"/>
        <v>12</v>
      </c>
      <c r="DH214" s="14">
        <f t="shared" si="163"/>
        <v>3</v>
      </c>
      <c r="DI214" s="14">
        <f t="shared" si="164"/>
        <v>13</v>
      </c>
      <c r="DL214" s="14">
        <f t="shared" si="146"/>
        <v>2</v>
      </c>
      <c r="DM214" s="14">
        <f t="shared" si="147"/>
        <v>0</v>
      </c>
      <c r="DN214" s="14" t="str">
        <f t="shared" si="165"/>
        <v>DefExt</v>
      </c>
      <c r="DO214" s="14">
        <f t="shared" si="166"/>
        <v>68</v>
      </c>
      <c r="DP214" s="14">
        <f t="shared" si="167"/>
        <v>3</v>
      </c>
      <c r="DQ214" s="14" t="str">
        <f t="shared" si="168"/>
        <v/>
      </c>
      <c r="DR214" s="14" t="str">
        <f t="shared" si="169"/>
        <v/>
      </c>
      <c r="DS214" s="14" t="str">
        <f t="shared" si="170"/>
        <v/>
      </c>
      <c r="DT214" s="14">
        <f t="shared" si="171"/>
        <v>12</v>
      </c>
      <c r="DU214" s="14">
        <f t="shared" si="172"/>
        <v>3</v>
      </c>
      <c r="DV214" s="14">
        <f t="shared" si="173"/>
        <v>13</v>
      </c>
      <c r="DW214" s="29" t="s">
        <v>758</v>
      </c>
      <c r="DX214" s="14">
        <f t="shared" si="174"/>
        <v>150</v>
      </c>
    </row>
    <row r="215" spans="91:128" ht="16.5" x14ac:dyDescent="0.2">
      <c r="CM215" s="13">
        <v>211</v>
      </c>
      <c r="CN215" s="14">
        <f t="shared" si="148"/>
        <v>29</v>
      </c>
      <c r="CO215" s="14">
        <f t="shared" si="149"/>
        <v>1</v>
      </c>
      <c r="CP215" s="14">
        <f t="shared" si="150"/>
        <v>3</v>
      </c>
      <c r="CQ215" s="14">
        <f t="shared" si="141"/>
        <v>3</v>
      </c>
      <c r="CR215" s="14">
        <f t="shared" si="142"/>
        <v>2034013</v>
      </c>
      <c r="CS215" s="13" t="str">
        <f t="shared" si="143"/>
        <v>90级寄灵人橙色-肩甲</v>
      </c>
      <c r="CT215" s="14">
        <f t="shared" si="144"/>
        <v>1</v>
      </c>
      <c r="CU215" s="14">
        <f t="shared" si="145"/>
        <v>4</v>
      </c>
      <c r="CV215" s="14">
        <f t="shared" si="151"/>
        <v>90</v>
      </c>
      <c r="CW215" s="14">
        <f t="shared" si="152"/>
        <v>90</v>
      </c>
      <c r="CX215" s="14">
        <f t="shared" si="153"/>
        <v>3</v>
      </c>
      <c r="CY215" s="14" t="str">
        <f t="shared" si="154"/>
        <v/>
      </c>
      <c r="CZ215" s="14">
        <f t="shared" si="155"/>
        <v>24</v>
      </c>
      <c r="DA215" s="14">
        <f t="shared" si="156"/>
        <v>0</v>
      </c>
      <c r="DB215" s="14">
        <f t="shared" si="157"/>
        <v>34</v>
      </c>
      <c r="DC215" s="14">
        <f t="shared" si="158"/>
        <v>210</v>
      </c>
      <c r="DD215" s="14">
        <f t="shared" si="159"/>
        <v>0</v>
      </c>
      <c r="DE215" s="14">
        <f t="shared" si="160"/>
        <v>1.5</v>
      </c>
      <c r="DF215" s="14">
        <f t="shared" si="161"/>
        <v>9</v>
      </c>
      <c r="DG215" s="14">
        <f t="shared" si="162"/>
        <v>12</v>
      </c>
      <c r="DH215" s="14">
        <f t="shared" si="163"/>
        <v>3</v>
      </c>
      <c r="DI215" s="14">
        <f t="shared" si="164"/>
        <v>13</v>
      </c>
      <c r="DL215" s="14">
        <f t="shared" si="146"/>
        <v>2</v>
      </c>
      <c r="DM215" s="14">
        <f t="shared" si="147"/>
        <v>3</v>
      </c>
      <c r="DN215" s="14" t="str">
        <f t="shared" si="165"/>
        <v>DefExt</v>
      </c>
      <c r="DO215" s="14">
        <f t="shared" si="166"/>
        <v>34</v>
      </c>
      <c r="DP215" s="14">
        <f t="shared" si="167"/>
        <v>1.5</v>
      </c>
      <c r="DQ215" s="14" t="str">
        <f t="shared" si="168"/>
        <v>HPExt</v>
      </c>
      <c r="DR215" s="14">
        <f t="shared" si="169"/>
        <v>210</v>
      </c>
      <c r="DS215" s="14">
        <f t="shared" si="170"/>
        <v>9</v>
      </c>
      <c r="DT215" s="14">
        <f t="shared" si="171"/>
        <v>12</v>
      </c>
      <c r="DU215" s="14">
        <f t="shared" si="172"/>
        <v>3</v>
      </c>
      <c r="DV215" s="14">
        <f t="shared" si="173"/>
        <v>13</v>
      </c>
      <c r="DW215" s="29" t="s">
        <v>758</v>
      </c>
      <c r="DX215" s="14">
        <f t="shared" si="174"/>
        <v>150</v>
      </c>
    </row>
    <row r="216" spans="91:128" ht="16.5" x14ac:dyDescent="0.2">
      <c r="CM216" s="13">
        <v>212</v>
      </c>
      <c r="CN216" s="14">
        <f t="shared" si="148"/>
        <v>29</v>
      </c>
      <c r="CO216" s="14">
        <f t="shared" si="149"/>
        <v>1</v>
      </c>
      <c r="CP216" s="14">
        <f t="shared" si="150"/>
        <v>4</v>
      </c>
      <c r="CQ216" s="14">
        <f t="shared" si="141"/>
        <v>3</v>
      </c>
      <c r="CR216" s="14">
        <f t="shared" si="142"/>
        <v>2034014</v>
      </c>
      <c r="CS216" s="13" t="str">
        <f t="shared" si="143"/>
        <v>90级寄灵人橙色-衣服</v>
      </c>
      <c r="CT216" s="14">
        <f t="shared" si="144"/>
        <v>1</v>
      </c>
      <c r="CU216" s="14">
        <f t="shared" si="145"/>
        <v>4</v>
      </c>
      <c r="CV216" s="14">
        <f t="shared" si="151"/>
        <v>90</v>
      </c>
      <c r="CW216" s="14">
        <f t="shared" si="152"/>
        <v>90</v>
      </c>
      <c r="CX216" s="14">
        <f t="shared" si="153"/>
        <v>4</v>
      </c>
      <c r="CY216" s="14" t="str">
        <f t="shared" si="154"/>
        <v/>
      </c>
      <c r="CZ216" s="14">
        <f t="shared" si="155"/>
        <v>30</v>
      </c>
      <c r="DA216" s="14">
        <f t="shared" si="156"/>
        <v>0</v>
      </c>
      <c r="DB216" s="14">
        <f t="shared" si="157"/>
        <v>68</v>
      </c>
      <c r="DC216" s="14">
        <f t="shared" si="158"/>
        <v>0</v>
      </c>
      <c r="DD216" s="14">
        <f t="shared" si="159"/>
        <v>0</v>
      </c>
      <c r="DE216" s="14">
        <f t="shared" si="160"/>
        <v>3</v>
      </c>
      <c r="DF216" s="14">
        <f t="shared" si="161"/>
        <v>0</v>
      </c>
      <c r="DG216" s="14">
        <f t="shared" si="162"/>
        <v>12</v>
      </c>
      <c r="DH216" s="14">
        <f t="shared" si="163"/>
        <v>3</v>
      </c>
      <c r="DI216" s="14">
        <f t="shared" si="164"/>
        <v>13</v>
      </c>
      <c r="DL216" s="14">
        <f t="shared" si="146"/>
        <v>2</v>
      </c>
      <c r="DM216" s="14">
        <f t="shared" si="147"/>
        <v>0</v>
      </c>
      <c r="DN216" s="14" t="str">
        <f t="shared" si="165"/>
        <v>DefExt</v>
      </c>
      <c r="DO216" s="14">
        <f t="shared" si="166"/>
        <v>68</v>
      </c>
      <c r="DP216" s="14">
        <f t="shared" si="167"/>
        <v>3</v>
      </c>
      <c r="DQ216" s="14" t="str">
        <f t="shared" si="168"/>
        <v/>
      </c>
      <c r="DR216" s="14" t="str">
        <f t="shared" si="169"/>
        <v/>
      </c>
      <c r="DS216" s="14" t="str">
        <f t="shared" si="170"/>
        <v/>
      </c>
      <c r="DT216" s="14">
        <f t="shared" si="171"/>
        <v>12</v>
      </c>
      <c r="DU216" s="14">
        <f t="shared" si="172"/>
        <v>3</v>
      </c>
      <c r="DV216" s="14">
        <f t="shared" si="173"/>
        <v>13</v>
      </c>
      <c r="DW216" s="29" t="s">
        <v>758</v>
      </c>
      <c r="DX216" s="14">
        <f t="shared" si="174"/>
        <v>150</v>
      </c>
    </row>
    <row r="217" spans="91:128" ht="16.5" x14ac:dyDescent="0.2">
      <c r="CM217" s="13">
        <v>213</v>
      </c>
      <c r="CN217" s="14">
        <f t="shared" si="148"/>
        <v>29</v>
      </c>
      <c r="CO217" s="14">
        <f t="shared" si="149"/>
        <v>1</v>
      </c>
      <c r="CP217" s="14">
        <f t="shared" si="150"/>
        <v>5</v>
      </c>
      <c r="CQ217" s="14">
        <f t="shared" si="141"/>
        <v>3</v>
      </c>
      <c r="CR217" s="14">
        <f t="shared" si="142"/>
        <v>2034015</v>
      </c>
      <c r="CS217" s="13" t="str">
        <f t="shared" si="143"/>
        <v>90级寄灵人橙色-鞋子</v>
      </c>
      <c r="CT217" s="14">
        <f t="shared" si="144"/>
        <v>1</v>
      </c>
      <c r="CU217" s="14">
        <f t="shared" si="145"/>
        <v>4</v>
      </c>
      <c r="CV217" s="14">
        <f t="shared" si="151"/>
        <v>90</v>
      </c>
      <c r="CW217" s="14">
        <f t="shared" si="152"/>
        <v>90</v>
      </c>
      <c r="CX217" s="14">
        <f t="shared" si="153"/>
        <v>5</v>
      </c>
      <c r="CY217" s="14" t="str">
        <f t="shared" si="154"/>
        <v/>
      </c>
      <c r="CZ217" s="14">
        <f t="shared" si="155"/>
        <v>18</v>
      </c>
      <c r="DA217" s="14">
        <f t="shared" si="156"/>
        <v>0</v>
      </c>
      <c r="DB217" s="14">
        <f t="shared" si="157"/>
        <v>0</v>
      </c>
      <c r="DC217" s="14">
        <f t="shared" si="158"/>
        <v>420</v>
      </c>
      <c r="DD217" s="14">
        <f t="shared" si="159"/>
        <v>0</v>
      </c>
      <c r="DE217" s="14">
        <f t="shared" si="160"/>
        <v>0</v>
      </c>
      <c r="DF217" s="14">
        <f t="shared" si="161"/>
        <v>18</v>
      </c>
      <c r="DG217" s="14">
        <f t="shared" si="162"/>
        <v>12</v>
      </c>
      <c r="DH217" s="14">
        <f t="shared" si="163"/>
        <v>3</v>
      </c>
      <c r="DI217" s="14">
        <f t="shared" si="164"/>
        <v>13</v>
      </c>
      <c r="DL217" s="14">
        <f t="shared" si="146"/>
        <v>3</v>
      </c>
      <c r="DM217" s="14">
        <f t="shared" si="147"/>
        <v>0</v>
      </c>
      <c r="DN217" s="14" t="str">
        <f t="shared" si="165"/>
        <v>HPExt</v>
      </c>
      <c r="DO217" s="14">
        <f t="shared" si="166"/>
        <v>420</v>
      </c>
      <c r="DP217" s="14">
        <f t="shared" si="167"/>
        <v>18</v>
      </c>
      <c r="DQ217" s="14" t="str">
        <f t="shared" si="168"/>
        <v/>
      </c>
      <c r="DR217" s="14" t="str">
        <f t="shared" si="169"/>
        <v/>
      </c>
      <c r="DS217" s="14" t="str">
        <f t="shared" si="170"/>
        <v/>
      </c>
      <c r="DT217" s="14">
        <f t="shared" si="171"/>
        <v>12</v>
      </c>
      <c r="DU217" s="14">
        <f t="shared" si="172"/>
        <v>3</v>
      </c>
      <c r="DV217" s="14">
        <f t="shared" si="173"/>
        <v>13</v>
      </c>
      <c r="DW217" s="29" t="s">
        <v>758</v>
      </c>
      <c r="DX217" s="14">
        <f t="shared" si="174"/>
        <v>150</v>
      </c>
    </row>
    <row r="218" spans="91:128" ht="16.5" x14ac:dyDescent="0.2">
      <c r="CM218" s="13">
        <v>214</v>
      </c>
      <c r="CN218" s="14">
        <f t="shared" si="148"/>
        <v>29</v>
      </c>
      <c r="CO218" s="14">
        <f t="shared" si="149"/>
        <v>1</v>
      </c>
      <c r="CP218" s="14">
        <f t="shared" si="150"/>
        <v>6</v>
      </c>
      <c r="CQ218" s="14">
        <f t="shared" si="141"/>
        <v>3</v>
      </c>
      <c r="CR218" s="14">
        <f t="shared" si="142"/>
        <v>2034016</v>
      </c>
      <c r="CS218" s="13" t="str">
        <f t="shared" si="143"/>
        <v>90级寄灵人橙色-护手</v>
      </c>
      <c r="CT218" s="14">
        <f t="shared" si="144"/>
        <v>1</v>
      </c>
      <c r="CU218" s="14">
        <f t="shared" si="145"/>
        <v>4</v>
      </c>
      <c r="CV218" s="14">
        <f t="shared" si="151"/>
        <v>90</v>
      </c>
      <c r="CW218" s="14">
        <f t="shared" si="152"/>
        <v>90</v>
      </c>
      <c r="CX218" s="14">
        <f t="shared" si="153"/>
        <v>6</v>
      </c>
      <c r="CY218" s="14" t="str">
        <f t="shared" si="154"/>
        <v/>
      </c>
      <c r="CZ218" s="14">
        <f t="shared" si="155"/>
        <v>18</v>
      </c>
      <c r="DA218" s="14">
        <f t="shared" si="156"/>
        <v>0</v>
      </c>
      <c r="DB218" s="14">
        <f t="shared" si="157"/>
        <v>0</v>
      </c>
      <c r="DC218" s="14">
        <f t="shared" si="158"/>
        <v>420</v>
      </c>
      <c r="DD218" s="14">
        <f t="shared" si="159"/>
        <v>0</v>
      </c>
      <c r="DE218" s="14">
        <f t="shared" si="160"/>
        <v>0</v>
      </c>
      <c r="DF218" s="14">
        <f t="shared" si="161"/>
        <v>18</v>
      </c>
      <c r="DG218" s="14">
        <f t="shared" si="162"/>
        <v>12</v>
      </c>
      <c r="DH218" s="14">
        <f t="shared" si="163"/>
        <v>3</v>
      </c>
      <c r="DI218" s="14">
        <f t="shared" si="164"/>
        <v>13</v>
      </c>
      <c r="DL218" s="14">
        <f t="shared" si="146"/>
        <v>3</v>
      </c>
      <c r="DM218" s="14">
        <f t="shared" si="147"/>
        <v>0</v>
      </c>
      <c r="DN218" s="14" t="str">
        <f t="shared" si="165"/>
        <v>HPExt</v>
      </c>
      <c r="DO218" s="14">
        <f t="shared" si="166"/>
        <v>420</v>
      </c>
      <c r="DP218" s="14">
        <f t="shared" si="167"/>
        <v>18</v>
      </c>
      <c r="DQ218" s="14" t="str">
        <f t="shared" si="168"/>
        <v/>
      </c>
      <c r="DR218" s="14" t="str">
        <f t="shared" si="169"/>
        <v/>
      </c>
      <c r="DS218" s="14" t="str">
        <f t="shared" si="170"/>
        <v/>
      </c>
      <c r="DT218" s="14">
        <f t="shared" si="171"/>
        <v>12</v>
      </c>
      <c r="DU218" s="14">
        <f t="shared" si="172"/>
        <v>3</v>
      </c>
      <c r="DV218" s="14">
        <f t="shared" si="173"/>
        <v>13</v>
      </c>
      <c r="DW218" s="29" t="s">
        <v>758</v>
      </c>
      <c r="DX218" s="14">
        <f t="shared" si="174"/>
        <v>150</v>
      </c>
    </row>
    <row r="219" spans="91:128" ht="16.5" x14ac:dyDescent="0.2">
      <c r="CM219" s="13">
        <v>215</v>
      </c>
      <c r="CN219" s="14">
        <f t="shared" si="148"/>
        <v>29</v>
      </c>
      <c r="CO219" s="14">
        <f t="shared" si="149"/>
        <v>1</v>
      </c>
      <c r="CP219" s="14">
        <f t="shared" si="150"/>
        <v>7</v>
      </c>
      <c r="CQ219" s="14">
        <f t="shared" si="141"/>
        <v>3</v>
      </c>
      <c r="CR219" s="14">
        <f t="shared" si="142"/>
        <v>2034017</v>
      </c>
      <c r="CS219" s="13" t="str">
        <f t="shared" si="143"/>
        <v>90级寄灵人橙色-项链</v>
      </c>
      <c r="CT219" s="14">
        <f t="shared" si="144"/>
        <v>1</v>
      </c>
      <c r="CU219" s="14">
        <f t="shared" si="145"/>
        <v>4</v>
      </c>
      <c r="CV219" s="14">
        <f t="shared" si="151"/>
        <v>90</v>
      </c>
      <c r="CW219" s="14">
        <f t="shared" si="152"/>
        <v>90</v>
      </c>
      <c r="CX219" s="14">
        <f t="shared" si="153"/>
        <v>7</v>
      </c>
      <c r="CY219" s="14" t="str">
        <f t="shared" si="154"/>
        <v/>
      </c>
      <c r="CZ219" s="14">
        <f t="shared" si="155"/>
        <v>45</v>
      </c>
      <c r="DA219" s="14">
        <f t="shared" si="156"/>
        <v>90</v>
      </c>
      <c r="DB219" s="14">
        <f t="shared" si="157"/>
        <v>56</v>
      </c>
      <c r="DC219" s="14">
        <f t="shared" si="158"/>
        <v>0</v>
      </c>
      <c r="DD219" s="14">
        <f t="shared" si="159"/>
        <v>4</v>
      </c>
      <c r="DE219" s="14">
        <f t="shared" si="160"/>
        <v>2.5</v>
      </c>
      <c r="DF219" s="14">
        <f t="shared" si="161"/>
        <v>0</v>
      </c>
      <c r="DG219" s="14">
        <f t="shared" si="162"/>
        <v>12</v>
      </c>
      <c r="DH219" s="14">
        <f t="shared" si="163"/>
        <v>3</v>
      </c>
      <c r="DI219" s="14">
        <f t="shared" si="164"/>
        <v>13</v>
      </c>
      <c r="DL219" s="14">
        <f t="shared" si="146"/>
        <v>1</v>
      </c>
      <c r="DM219" s="14">
        <f t="shared" si="147"/>
        <v>2</v>
      </c>
      <c r="DN219" s="14" t="str">
        <f t="shared" si="165"/>
        <v>AtkExt</v>
      </c>
      <c r="DO219" s="14">
        <f t="shared" si="166"/>
        <v>90</v>
      </c>
      <c r="DP219" s="14">
        <f t="shared" si="167"/>
        <v>4</v>
      </c>
      <c r="DQ219" s="14" t="str">
        <f t="shared" si="168"/>
        <v>DefExt</v>
      </c>
      <c r="DR219" s="14">
        <f t="shared" si="169"/>
        <v>56</v>
      </c>
      <c r="DS219" s="14">
        <f t="shared" si="170"/>
        <v>2.5</v>
      </c>
      <c r="DT219" s="14">
        <f t="shared" si="171"/>
        <v>12</v>
      </c>
      <c r="DU219" s="14">
        <f t="shared" si="172"/>
        <v>3</v>
      </c>
      <c r="DV219" s="14">
        <f t="shared" si="173"/>
        <v>13</v>
      </c>
      <c r="DW219" s="29" t="s">
        <v>758</v>
      </c>
      <c r="DX219" s="14">
        <f t="shared" si="174"/>
        <v>150</v>
      </c>
    </row>
    <row r="220" spans="91:128" ht="16.5" x14ac:dyDescent="0.2">
      <c r="CM220" s="13">
        <v>216</v>
      </c>
      <c r="CN220" s="14">
        <f t="shared" si="148"/>
        <v>29</v>
      </c>
      <c r="CO220" s="14">
        <f t="shared" si="149"/>
        <v>1</v>
      </c>
      <c r="CP220" s="14">
        <f t="shared" si="150"/>
        <v>8</v>
      </c>
      <c r="CQ220" s="14">
        <f t="shared" si="141"/>
        <v>3</v>
      </c>
      <c r="CR220" s="14">
        <f t="shared" si="142"/>
        <v>2034018</v>
      </c>
      <c r="CS220" s="13" t="str">
        <f t="shared" si="143"/>
        <v>90级寄灵人橙色-戒指</v>
      </c>
      <c r="CT220" s="14">
        <f t="shared" si="144"/>
        <v>1</v>
      </c>
      <c r="CU220" s="14">
        <f t="shared" si="145"/>
        <v>4</v>
      </c>
      <c r="CV220" s="14">
        <f t="shared" si="151"/>
        <v>90</v>
      </c>
      <c r="CW220" s="14">
        <f t="shared" si="152"/>
        <v>90</v>
      </c>
      <c r="CX220" s="14">
        <f t="shared" si="153"/>
        <v>8</v>
      </c>
      <c r="CY220" s="14" t="str">
        <f t="shared" si="154"/>
        <v/>
      </c>
      <c r="CZ220" s="14">
        <f t="shared" si="155"/>
        <v>35</v>
      </c>
      <c r="DA220" s="14">
        <f t="shared" si="156"/>
        <v>90</v>
      </c>
      <c r="DB220" s="14">
        <f t="shared" si="157"/>
        <v>0</v>
      </c>
      <c r="DC220" s="14">
        <f t="shared" si="158"/>
        <v>350</v>
      </c>
      <c r="DD220" s="14">
        <f t="shared" si="159"/>
        <v>4</v>
      </c>
      <c r="DE220" s="14">
        <f t="shared" si="160"/>
        <v>0</v>
      </c>
      <c r="DF220" s="14">
        <f t="shared" si="161"/>
        <v>15</v>
      </c>
      <c r="DG220" s="14">
        <f t="shared" si="162"/>
        <v>12</v>
      </c>
      <c r="DH220" s="14">
        <f t="shared" si="163"/>
        <v>3</v>
      </c>
      <c r="DI220" s="14">
        <f t="shared" si="164"/>
        <v>13</v>
      </c>
      <c r="DL220" s="14">
        <f t="shared" si="146"/>
        <v>1</v>
      </c>
      <c r="DM220" s="14">
        <f t="shared" si="147"/>
        <v>3</v>
      </c>
      <c r="DN220" s="14" t="str">
        <f t="shared" si="165"/>
        <v>AtkExt</v>
      </c>
      <c r="DO220" s="14">
        <f t="shared" si="166"/>
        <v>90</v>
      </c>
      <c r="DP220" s="14">
        <f t="shared" si="167"/>
        <v>4</v>
      </c>
      <c r="DQ220" s="14" t="str">
        <f t="shared" si="168"/>
        <v>HPExt</v>
      </c>
      <c r="DR220" s="14">
        <f t="shared" si="169"/>
        <v>350</v>
      </c>
      <c r="DS220" s="14">
        <f t="shared" si="170"/>
        <v>15</v>
      </c>
      <c r="DT220" s="14">
        <f t="shared" si="171"/>
        <v>12</v>
      </c>
      <c r="DU220" s="14">
        <f t="shared" si="172"/>
        <v>3</v>
      </c>
      <c r="DV220" s="14">
        <f t="shared" si="173"/>
        <v>13</v>
      </c>
      <c r="DW220" s="29" t="s">
        <v>758</v>
      </c>
      <c r="DX220" s="14">
        <f t="shared" si="174"/>
        <v>150</v>
      </c>
    </row>
    <row r="221" spans="91:128" ht="16.5" x14ac:dyDescent="0.2">
      <c r="CM221" s="13">
        <v>217</v>
      </c>
      <c r="CN221" s="14">
        <f t="shared" si="148"/>
        <v>30</v>
      </c>
      <c r="CO221" s="14">
        <f t="shared" si="149"/>
        <v>2</v>
      </c>
      <c r="CP221" s="14">
        <f t="shared" si="150"/>
        <v>1</v>
      </c>
      <c r="CQ221" s="14">
        <f t="shared" si="141"/>
        <v>3</v>
      </c>
      <c r="CR221" s="14">
        <f t="shared" si="142"/>
        <v>2034021</v>
      </c>
      <c r="CS221" s="13" t="str">
        <f t="shared" si="143"/>
        <v>90级守护灵橙色-武器</v>
      </c>
      <c r="CT221" s="14">
        <f t="shared" si="144"/>
        <v>2</v>
      </c>
      <c r="CU221" s="14">
        <f t="shared" si="145"/>
        <v>4</v>
      </c>
      <c r="CV221" s="14">
        <f t="shared" si="151"/>
        <v>90</v>
      </c>
      <c r="CW221" s="14">
        <f t="shared" si="152"/>
        <v>90</v>
      </c>
      <c r="CX221" s="14">
        <f t="shared" si="153"/>
        <v>1</v>
      </c>
      <c r="CY221" s="14" t="str">
        <f t="shared" si="154"/>
        <v/>
      </c>
      <c r="CZ221" s="14">
        <f t="shared" si="155"/>
        <v>60</v>
      </c>
      <c r="DA221" s="14">
        <f t="shared" si="156"/>
        <v>300</v>
      </c>
      <c r="DB221" s="14">
        <f t="shared" si="157"/>
        <v>0</v>
      </c>
      <c r="DC221" s="14">
        <f t="shared" si="158"/>
        <v>0</v>
      </c>
      <c r="DD221" s="14">
        <f t="shared" si="159"/>
        <v>12</v>
      </c>
      <c r="DE221" s="14">
        <f t="shared" si="160"/>
        <v>0</v>
      </c>
      <c r="DF221" s="14">
        <f t="shared" si="161"/>
        <v>0</v>
      </c>
      <c r="DG221" s="14">
        <f t="shared" si="162"/>
        <v>12</v>
      </c>
      <c r="DH221" s="14">
        <f t="shared" si="163"/>
        <v>3</v>
      </c>
      <c r="DI221" s="14">
        <f t="shared" si="164"/>
        <v>23</v>
      </c>
      <c r="DL221" s="14">
        <f t="shared" si="146"/>
        <v>1</v>
      </c>
      <c r="DM221" s="14">
        <f t="shared" si="147"/>
        <v>0</v>
      </c>
      <c r="DN221" s="14" t="str">
        <f t="shared" si="165"/>
        <v>AtkExt</v>
      </c>
      <c r="DO221" s="14">
        <f t="shared" si="166"/>
        <v>300</v>
      </c>
      <c r="DP221" s="14">
        <f t="shared" si="167"/>
        <v>12</v>
      </c>
      <c r="DQ221" s="14" t="str">
        <f t="shared" si="168"/>
        <v/>
      </c>
      <c r="DR221" s="14" t="str">
        <f t="shared" si="169"/>
        <v/>
      </c>
      <c r="DS221" s="14" t="str">
        <f t="shared" si="170"/>
        <v/>
      </c>
      <c r="DT221" s="14">
        <f t="shared" si="171"/>
        <v>12</v>
      </c>
      <c r="DU221" s="14">
        <f t="shared" si="172"/>
        <v>3</v>
      </c>
      <c r="DV221" s="14">
        <f t="shared" si="173"/>
        <v>23</v>
      </c>
      <c r="DW221" s="29" t="s">
        <v>758</v>
      </c>
      <c r="DX221" s="14">
        <f t="shared" si="174"/>
        <v>150</v>
      </c>
    </row>
    <row r="222" spans="91:128" ht="16.5" x14ac:dyDescent="0.2">
      <c r="CM222" s="13">
        <v>218</v>
      </c>
      <c r="CN222" s="14">
        <f t="shared" si="148"/>
        <v>30</v>
      </c>
      <c r="CO222" s="14">
        <f t="shared" si="149"/>
        <v>2</v>
      </c>
      <c r="CP222" s="14">
        <f t="shared" si="150"/>
        <v>2</v>
      </c>
      <c r="CQ222" s="14">
        <f t="shared" si="141"/>
        <v>3</v>
      </c>
      <c r="CR222" s="14">
        <f t="shared" si="142"/>
        <v>2034022</v>
      </c>
      <c r="CS222" s="13" t="str">
        <f t="shared" si="143"/>
        <v>90级守护灵橙色-头盔</v>
      </c>
      <c r="CT222" s="14">
        <f t="shared" si="144"/>
        <v>2</v>
      </c>
      <c r="CU222" s="14">
        <f t="shared" si="145"/>
        <v>4</v>
      </c>
      <c r="CV222" s="14">
        <f t="shared" si="151"/>
        <v>90</v>
      </c>
      <c r="CW222" s="14">
        <f t="shared" si="152"/>
        <v>90</v>
      </c>
      <c r="CX222" s="14">
        <f t="shared" si="153"/>
        <v>2</v>
      </c>
      <c r="CY222" s="14" t="str">
        <f t="shared" si="154"/>
        <v/>
      </c>
      <c r="CZ222" s="14">
        <f t="shared" si="155"/>
        <v>30</v>
      </c>
      <c r="DA222" s="14">
        <f t="shared" si="156"/>
        <v>0</v>
      </c>
      <c r="DB222" s="14">
        <f t="shared" si="157"/>
        <v>75</v>
      </c>
      <c r="DC222" s="14">
        <f t="shared" si="158"/>
        <v>0</v>
      </c>
      <c r="DD222" s="14">
        <f t="shared" si="159"/>
        <v>0</v>
      </c>
      <c r="DE222" s="14">
        <f t="shared" si="160"/>
        <v>3</v>
      </c>
      <c r="DF222" s="14">
        <f t="shared" si="161"/>
        <v>0</v>
      </c>
      <c r="DG222" s="14">
        <f t="shared" si="162"/>
        <v>12</v>
      </c>
      <c r="DH222" s="14">
        <f t="shared" si="163"/>
        <v>3</v>
      </c>
      <c r="DI222" s="14">
        <f t="shared" si="164"/>
        <v>23</v>
      </c>
      <c r="DL222" s="14">
        <f t="shared" si="146"/>
        <v>2</v>
      </c>
      <c r="DM222" s="14">
        <f t="shared" si="147"/>
        <v>0</v>
      </c>
      <c r="DN222" s="14" t="str">
        <f t="shared" si="165"/>
        <v>DefExt</v>
      </c>
      <c r="DO222" s="14">
        <f t="shared" si="166"/>
        <v>75</v>
      </c>
      <c r="DP222" s="14">
        <f t="shared" si="167"/>
        <v>3</v>
      </c>
      <c r="DQ222" s="14" t="str">
        <f t="shared" si="168"/>
        <v/>
      </c>
      <c r="DR222" s="14" t="str">
        <f t="shared" si="169"/>
        <v/>
      </c>
      <c r="DS222" s="14" t="str">
        <f t="shared" si="170"/>
        <v/>
      </c>
      <c r="DT222" s="14">
        <f t="shared" si="171"/>
        <v>12</v>
      </c>
      <c r="DU222" s="14">
        <f t="shared" si="172"/>
        <v>3</v>
      </c>
      <c r="DV222" s="14">
        <f t="shared" si="173"/>
        <v>23</v>
      </c>
      <c r="DW222" s="29" t="s">
        <v>758</v>
      </c>
      <c r="DX222" s="14">
        <f t="shared" si="174"/>
        <v>150</v>
      </c>
    </row>
    <row r="223" spans="91:128" ht="16.5" x14ac:dyDescent="0.2">
      <c r="CM223" s="13">
        <v>219</v>
      </c>
      <c r="CN223" s="14">
        <f t="shared" si="148"/>
        <v>30</v>
      </c>
      <c r="CO223" s="14">
        <f t="shared" si="149"/>
        <v>2</v>
      </c>
      <c r="CP223" s="14">
        <f t="shared" si="150"/>
        <v>3</v>
      </c>
      <c r="CQ223" s="14">
        <f t="shared" si="141"/>
        <v>3</v>
      </c>
      <c r="CR223" s="14">
        <f t="shared" si="142"/>
        <v>2034023</v>
      </c>
      <c r="CS223" s="13" t="str">
        <f t="shared" si="143"/>
        <v>90级守护灵橙色-肩甲</v>
      </c>
      <c r="CT223" s="14">
        <f t="shared" si="144"/>
        <v>2</v>
      </c>
      <c r="CU223" s="14">
        <f t="shared" si="145"/>
        <v>4</v>
      </c>
      <c r="CV223" s="14">
        <f t="shared" si="151"/>
        <v>90</v>
      </c>
      <c r="CW223" s="14">
        <f t="shared" si="152"/>
        <v>90</v>
      </c>
      <c r="CX223" s="14">
        <f t="shared" si="153"/>
        <v>3</v>
      </c>
      <c r="CY223" s="14" t="str">
        <f t="shared" si="154"/>
        <v/>
      </c>
      <c r="CZ223" s="14">
        <f t="shared" si="155"/>
        <v>33</v>
      </c>
      <c r="DA223" s="14">
        <f t="shared" si="156"/>
        <v>0</v>
      </c>
      <c r="DB223" s="14">
        <f t="shared" si="157"/>
        <v>38</v>
      </c>
      <c r="DC223" s="14">
        <f t="shared" si="158"/>
        <v>375</v>
      </c>
      <c r="DD223" s="14">
        <f t="shared" si="159"/>
        <v>0</v>
      </c>
      <c r="DE223" s="14">
        <f t="shared" si="160"/>
        <v>1.5</v>
      </c>
      <c r="DF223" s="14">
        <f t="shared" si="161"/>
        <v>18.75</v>
      </c>
      <c r="DG223" s="14">
        <f t="shared" si="162"/>
        <v>12</v>
      </c>
      <c r="DH223" s="14">
        <f t="shared" si="163"/>
        <v>3</v>
      </c>
      <c r="DI223" s="14">
        <f t="shared" si="164"/>
        <v>23</v>
      </c>
      <c r="DL223" s="14">
        <f t="shared" si="146"/>
        <v>2</v>
      </c>
      <c r="DM223" s="14">
        <f t="shared" si="147"/>
        <v>3</v>
      </c>
      <c r="DN223" s="14" t="str">
        <f t="shared" si="165"/>
        <v>DefExt</v>
      </c>
      <c r="DO223" s="14">
        <f t="shared" si="166"/>
        <v>38</v>
      </c>
      <c r="DP223" s="14">
        <f t="shared" si="167"/>
        <v>1.5</v>
      </c>
      <c r="DQ223" s="14" t="str">
        <f t="shared" si="168"/>
        <v>HPExt</v>
      </c>
      <c r="DR223" s="14">
        <f t="shared" si="169"/>
        <v>375</v>
      </c>
      <c r="DS223" s="14">
        <f t="shared" si="170"/>
        <v>18.75</v>
      </c>
      <c r="DT223" s="14">
        <f t="shared" si="171"/>
        <v>12</v>
      </c>
      <c r="DU223" s="14">
        <f t="shared" si="172"/>
        <v>3</v>
      </c>
      <c r="DV223" s="14">
        <f t="shared" si="173"/>
        <v>23</v>
      </c>
      <c r="DW223" s="29" t="s">
        <v>758</v>
      </c>
      <c r="DX223" s="14">
        <f t="shared" si="174"/>
        <v>150</v>
      </c>
    </row>
    <row r="224" spans="91:128" ht="16.5" x14ac:dyDescent="0.2">
      <c r="CM224" s="13">
        <v>220</v>
      </c>
      <c r="CN224" s="14">
        <f t="shared" si="148"/>
        <v>30</v>
      </c>
      <c r="CO224" s="14">
        <f t="shared" si="149"/>
        <v>2</v>
      </c>
      <c r="CP224" s="14">
        <f t="shared" si="150"/>
        <v>4</v>
      </c>
      <c r="CQ224" s="14">
        <f t="shared" si="141"/>
        <v>3</v>
      </c>
      <c r="CR224" s="14">
        <f t="shared" si="142"/>
        <v>2034024</v>
      </c>
      <c r="CS224" s="13" t="str">
        <f t="shared" si="143"/>
        <v>90级守护灵橙色-衣服</v>
      </c>
      <c r="CT224" s="14">
        <f t="shared" si="144"/>
        <v>2</v>
      </c>
      <c r="CU224" s="14">
        <f t="shared" si="145"/>
        <v>4</v>
      </c>
      <c r="CV224" s="14">
        <f t="shared" si="151"/>
        <v>90</v>
      </c>
      <c r="CW224" s="14">
        <f t="shared" si="152"/>
        <v>90</v>
      </c>
      <c r="CX224" s="14">
        <f t="shared" si="153"/>
        <v>4</v>
      </c>
      <c r="CY224" s="14" t="str">
        <f t="shared" si="154"/>
        <v/>
      </c>
      <c r="CZ224" s="14">
        <f t="shared" si="155"/>
        <v>30</v>
      </c>
      <c r="DA224" s="14">
        <f t="shared" si="156"/>
        <v>0</v>
      </c>
      <c r="DB224" s="14">
        <f t="shared" si="157"/>
        <v>75</v>
      </c>
      <c r="DC224" s="14">
        <f t="shared" si="158"/>
        <v>0</v>
      </c>
      <c r="DD224" s="14">
        <f t="shared" si="159"/>
        <v>0</v>
      </c>
      <c r="DE224" s="14">
        <f t="shared" si="160"/>
        <v>3</v>
      </c>
      <c r="DF224" s="14">
        <f t="shared" si="161"/>
        <v>0</v>
      </c>
      <c r="DG224" s="14">
        <f t="shared" si="162"/>
        <v>12</v>
      </c>
      <c r="DH224" s="14">
        <f t="shared" si="163"/>
        <v>3</v>
      </c>
      <c r="DI224" s="14">
        <f t="shared" si="164"/>
        <v>23</v>
      </c>
      <c r="DL224" s="14">
        <f t="shared" si="146"/>
        <v>2</v>
      </c>
      <c r="DM224" s="14">
        <f t="shared" si="147"/>
        <v>0</v>
      </c>
      <c r="DN224" s="14" t="str">
        <f t="shared" si="165"/>
        <v>DefExt</v>
      </c>
      <c r="DO224" s="14">
        <f t="shared" si="166"/>
        <v>75</v>
      </c>
      <c r="DP224" s="14">
        <f t="shared" si="167"/>
        <v>3</v>
      </c>
      <c r="DQ224" s="14" t="str">
        <f t="shared" si="168"/>
        <v/>
      </c>
      <c r="DR224" s="14" t="str">
        <f t="shared" si="169"/>
        <v/>
      </c>
      <c r="DS224" s="14" t="str">
        <f t="shared" si="170"/>
        <v/>
      </c>
      <c r="DT224" s="14">
        <f t="shared" si="171"/>
        <v>12</v>
      </c>
      <c r="DU224" s="14">
        <f t="shared" si="172"/>
        <v>3</v>
      </c>
      <c r="DV224" s="14">
        <f t="shared" si="173"/>
        <v>23</v>
      </c>
      <c r="DW224" s="29" t="s">
        <v>758</v>
      </c>
      <c r="DX224" s="14">
        <f t="shared" si="174"/>
        <v>150</v>
      </c>
    </row>
    <row r="225" spans="91:128" ht="16.5" x14ac:dyDescent="0.2">
      <c r="CM225" s="13">
        <v>221</v>
      </c>
      <c r="CN225" s="14">
        <f t="shared" si="148"/>
        <v>30</v>
      </c>
      <c r="CO225" s="14">
        <f t="shared" si="149"/>
        <v>2</v>
      </c>
      <c r="CP225" s="14">
        <f t="shared" si="150"/>
        <v>5</v>
      </c>
      <c r="CQ225" s="14">
        <f t="shared" si="141"/>
        <v>3</v>
      </c>
      <c r="CR225" s="14">
        <f t="shared" si="142"/>
        <v>2034025</v>
      </c>
      <c r="CS225" s="13" t="str">
        <f t="shared" si="143"/>
        <v>90级守护灵橙色-鞋子</v>
      </c>
      <c r="CT225" s="14">
        <f t="shared" si="144"/>
        <v>2</v>
      </c>
      <c r="CU225" s="14">
        <f t="shared" si="145"/>
        <v>4</v>
      </c>
      <c r="CV225" s="14">
        <f t="shared" si="151"/>
        <v>90</v>
      </c>
      <c r="CW225" s="14">
        <f t="shared" si="152"/>
        <v>90</v>
      </c>
      <c r="CX225" s="14">
        <f t="shared" si="153"/>
        <v>5</v>
      </c>
      <c r="CY225" s="14" t="str">
        <f t="shared" si="154"/>
        <v/>
      </c>
      <c r="CZ225" s="14">
        <f t="shared" si="155"/>
        <v>37</v>
      </c>
      <c r="DA225" s="14">
        <f t="shared" si="156"/>
        <v>0</v>
      </c>
      <c r="DB225" s="14">
        <f t="shared" si="157"/>
        <v>0</v>
      </c>
      <c r="DC225" s="14">
        <f t="shared" si="158"/>
        <v>750</v>
      </c>
      <c r="DD225" s="14">
        <f t="shared" si="159"/>
        <v>0</v>
      </c>
      <c r="DE225" s="14">
        <f t="shared" si="160"/>
        <v>0</v>
      </c>
      <c r="DF225" s="14">
        <f t="shared" si="161"/>
        <v>37.5</v>
      </c>
      <c r="DG225" s="14">
        <f t="shared" si="162"/>
        <v>12</v>
      </c>
      <c r="DH225" s="14">
        <f t="shared" si="163"/>
        <v>3</v>
      </c>
      <c r="DI225" s="14">
        <f t="shared" si="164"/>
        <v>23</v>
      </c>
      <c r="DL225" s="14">
        <f t="shared" si="146"/>
        <v>3</v>
      </c>
      <c r="DM225" s="14">
        <f t="shared" si="147"/>
        <v>0</v>
      </c>
      <c r="DN225" s="14" t="str">
        <f t="shared" si="165"/>
        <v>HPExt</v>
      </c>
      <c r="DO225" s="14">
        <f t="shared" si="166"/>
        <v>750</v>
      </c>
      <c r="DP225" s="14">
        <f t="shared" si="167"/>
        <v>37.5</v>
      </c>
      <c r="DQ225" s="14" t="str">
        <f t="shared" si="168"/>
        <v/>
      </c>
      <c r="DR225" s="14" t="str">
        <f t="shared" si="169"/>
        <v/>
      </c>
      <c r="DS225" s="14" t="str">
        <f t="shared" si="170"/>
        <v/>
      </c>
      <c r="DT225" s="14">
        <f t="shared" si="171"/>
        <v>12</v>
      </c>
      <c r="DU225" s="14">
        <f t="shared" si="172"/>
        <v>3</v>
      </c>
      <c r="DV225" s="14">
        <f t="shared" si="173"/>
        <v>23</v>
      </c>
      <c r="DW225" s="29" t="s">
        <v>758</v>
      </c>
      <c r="DX225" s="14">
        <f t="shared" si="174"/>
        <v>150</v>
      </c>
    </row>
    <row r="226" spans="91:128" ht="16.5" x14ac:dyDescent="0.2">
      <c r="CM226" s="13">
        <v>222</v>
      </c>
      <c r="CN226" s="14">
        <f t="shared" si="148"/>
        <v>30</v>
      </c>
      <c r="CO226" s="14">
        <f t="shared" si="149"/>
        <v>2</v>
      </c>
      <c r="CP226" s="14">
        <f t="shared" si="150"/>
        <v>6</v>
      </c>
      <c r="CQ226" s="14">
        <f t="shared" si="141"/>
        <v>3</v>
      </c>
      <c r="CR226" s="14">
        <f t="shared" si="142"/>
        <v>2034026</v>
      </c>
      <c r="CS226" s="13" t="str">
        <f t="shared" si="143"/>
        <v>90级守护灵橙色-护手</v>
      </c>
      <c r="CT226" s="14">
        <f t="shared" si="144"/>
        <v>2</v>
      </c>
      <c r="CU226" s="14">
        <f t="shared" si="145"/>
        <v>4</v>
      </c>
      <c r="CV226" s="14">
        <f t="shared" si="151"/>
        <v>90</v>
      </c>
      <c r="CW226" s="14">
        <f t="shared" si="152"/>
        <v>90</v>
      </c>
      <c r="CX226" s="14">
        <f t="shared" si="153"/>
        <v>6</v>
      </c>
      <c r="CY226" s="14" t="str">
        <f t="shared" si="154"/>
        <v/>
      </c>
      <c r="CZ226" s="14">
        <f t="shared" si="155"/>
        <v>37</v>
      </c>
      <c r="DA226" s="14">
        <f t="shared" si="156"/>
        <v>0</v>
      </c>
      <c r="DB226" s="14">
        <f t="shared" si="157"/>
        <v>0</v>
      </c>
      <c r="DC226" s="14">
        <f t="shared" si="158"/>
        <v>750</v>
      </c>
      <c r="DD226" s="14">
        <f t="shared" si="159"/>
        <v>0</v>
      </c>
      <c r="DE226" s="14">
        <f t="shared" si="160"/>
        <v>0</v>
      </c>
      <c r="DF226" s="14">
        <f t="shared" si="161"/>
        <v>37.5</v>
      </c>
      <c r="DG226" s="14">
        <f t="shared" si="162"/>
        <v>12</v>
      </c>
      <c r="DH226" s="14">
        <f t="shared" si="163"/>
        <v>3</v>
      </c>
      <c r="DI226" s="14">
        <f t="shared" si="164"/>
        <v>23</v>
      </c>
      <c r="DL226" s="14">
        <f t="shared" si="146"/>
        <v>3</v>
      </c>
      <c r="DM226" s="14">
        <f t="shared" si="147"/>
        <v>0</v>
      </c>
      <c r="DN226" s="14" t="str">
        <f t="shared" si="165"/>
        <v>HPExt</v>
      </c>
      <c r="DO226" s="14">
        <f t="shared" si="166"/>
        <v>750</v>
      </c>
      <c r="DP226" s="14">
        <f t="shared" si="167"/>
        <v>37.5</v>
      </c>
      <c r="DQ226" s="14" t="str">
        <f t="shared" si="168"/>
        <v/>
      </c>
      <c r="DR226" s="14" t="str">
        <f t="shared" si="169"/>
        <v/>
      </c>
      <c r="DS226" s="14" t="str">
        <f t="shared" si="170"/>
        <v/>
      </c>
      <c r="DT226" s="14">
        <f t="shared" si="171"/>
        <v>12</v>
      </c>
      <c r="DU226" s="14">
        <f t="shared" si="172"/>
        <v>3</v>
      </c>
      <c r="DV226" s="14">
        <f t="shared" si="173"/>
        <v>23</v>
      </c>
      <c r="DW226" s="29" t="s">
        <v>758</v>
      </c>
      <c r="DX226" s="14">
        <f t="shared" si="174"/>
        <v>150</v>
      </c>
    </row>
    <row r="227" spans="91:128" ht="16.5" x14ac:dyDescent="0.2">
      <c r="CM227" s="13">
        <v>223</v>
      </c>
      <c r="CN227" s="14">
        <f t="shared" si="148"/>
        <v>30</v>
      </c>
      <c r="CO227" s="14">
        <f t="shared" si="149"/>
        <v>2</v>
      </c>
      <c r="CP227" s="14">
        <f t="shared" si="150"/>
        <v>7</v>
      </c>
      <c r="CQ227" s="14">
        <f t="shared" si="141"/>
        <v>3</v>
      </c>
      <c r="CR227" s="14">
        <f t="shared" si="142"/>
        <v>2034027</v>
      </c>
      <c r="CS227" s="13" t="str">
        <f t="shared" si="143"/>
        <v>90级守护灵橙色-项链</v>
      </c>
      <c r="CT227" s="14">
        <f t="shared" si="144"/>
        <v>2</v>
      </c>
      <c r="CU227" s="14">
        <f t="shared" si="145"/>
        <v>4</v>
      </c>
      <c r="CV227" s="14">
        <f t="shared" si="151"/>
        <v>90</v>
      </c>
      <c r="CW227" s="14">
        <f t="shared" si="152"/>
        <v>90</v>
      </c>
      <c r="CX227" s="14">
        <f t="shared" si="153"/>
        <v>7</v>
      </c>
      <c r="CY227" s="14" t="str">
        <f t="shared" si="154"/>
        <v/>
      </c>
      <c r="CZ227" s="14">
        <f t="shared" si="155"/>
        <v>45</v>
      </c>
      <c r="DA227" s="14">
        <f t="shared" si="156"/>
        <v>100</v>
      </c>
      <c r="DB227" s="14">
        <f t="shared" si="157"/>
        <v>63</v>
      </c>
      <c r="DC227" s="14">
        <f t="shared" si="158"/>
        <v>0</v>
      </c>
      <c r="DD227" s="14">
        <f t="shared" si="159"/>
        <v>4</v>
      </c>
      <c r="DE227" s="14">
        <f t="shared" si="160"/>
        <v>2.5</v>
      </c>
      <c r="DF227" s="14">
        <f t="shared" si="161"/>
        <v>0</v>
      </c>
      <c r="DG227" s="14">
        <f t="shared" si="162"/>
        <v>12</v>
      </c>
      <c r="DH227" s="14">
        <f t="shared" si="163"/>
        <v>3</v>
      </c>
      <c r="DI227" s="14">
        <f t="shared" si="164"/>
        <v>23</v>
      </c>
      <c r="DL227" s="14">
        <f t="shared" si="146"/>
        <v>1</v>
      </c>
      <c r="DM227" s="14">
        <f t="shared" si="147"/>
        <v>2</v>
      </c>
      <c r="DN227" s="14" t="str">
        <f t="shared" si="165"/>
        <v>AtkExt</v>
      </c>
      <c r="DO227" s="14">
        <f t="shared" si="166"/>
        <v>100</v>
      </c>
      <c r="DP227" s="14">
        <f t="shared" si="167"/>
        <v>4</v>
      </c>
      <c r="DQ227" s="14" t="str">
        <f t="shared" si="168"/>
        <v>DefExt</v>
      </c>
      <c r="DR227" s="14">
        <f t="shared" si="169"/>
        <v>63</v>
      </c>
      <c r="DS227" s="14">
        <f t="shared" si="170"/>
        <v>2.5</v>
      </c>
      <c r="DT227" s="14">
        <f t="shared" si="171"/>
        <v>12</v>
      </c>
      <c r="DU227" s="14">
        <f t="shared" si="172"/>
        <v>3</v>
      </c>
      <c r="DV227" s="14">
        <f t="shared" si="173"/>
        <v>23</v>
      </c>
      <c r="DW227" s="29" t="s">
        <v>758</v>
      </c>
      <c r="DX227" s="14">
        <f t="shared" si="174"/>
        <v>150</v>
      </c>
    </row>
    <row r="228" spans="91:128" ht="16.5" x14ac:dyDescent="0.2">
      <c r="CM228" s="13">
        <v>224</v>
      </c>
      <c r="CN228" s="14">
        <f t="shared" si="148"/>
        <v>30</v>
      </c>
      <c r="CO228" s="14">
        <f t="shared" si="149"/>
        <v>2</v>
      </c>
      <c r="CP228" s="14">
        <f t="shared" si="150"/>
        <v>8</v>
      </c>
      <c r="CQ228" s="14">
        <f t="shared" si="141"/>
        <v>3</v>
      </c>
      <c r="CR228" s="14">
        <f t="shared" si="142"/>
        <v>2034028</v>
      </c>
      <c r="CS228" s="13" t="str">
        <f t="shared" si="143"/>
        <v>90级守护灵橙色-戒指</v>
      </c>
      <c r="CT228" s="14">
        <f t="shared" si="144"/>
        <v>2</v>
      </c>
      <c r="CU228" s="14">
        <f t="shared" si="145"/>
        <v>4</v>
      </c>
      <c r="CV228" s="14">
        <f t="shared" si="151"/>
        <v>90</v>
      </c>
      <c r="CW228" s="14">
        <f t="shared" si="152"/>
        <v>90</v>
      </c>
      <c r="CX228" s="14">
        <f t="shared" si="153"/>
        <v>8</v>
      </c>
      <c r="CY228" s="14" t="str">
        <f t="shared" si="154"/>
        <v/>
      </c>
      <c r="CZ228" s="14">
        <f t="shared" si="155"/>
        <v>51</v>
      </c>
      <c r="DA228" s="14">
        <f t="shared" si="156"/>
        <v>100</v>
      </c>
      <c r="DB228" s="14">
        <f t="shared" si="157"/>
        <v>0</v>
      </c>
      <c r="DC228" s="14">
        <f t="shared" si="158"/>
        <v>625</v>
      </c>
      <c r="DD228" s="14">
        <f t="shared" si="159"/>
        <v>4</v>
      </c>
      <c r="DE228" s="14">
        <f t="shared" si="160"/>
        <v>0</v>
      </c>
      <c r="DF228" s="14">
        <f t="shared" si="161"/>
        <v>31.25</v>
      </c>
      <c r="DG228" s="14">
        <f t="shared" si="162"/>
        <v>12</v>
      </c>
      <c r="DH228" s="14">
        <f t="shared" si="163"/>
        <v>3</v>
      </c>
      <c r="DI228" s="14">
        <f t="shared" si="164"/>
        <v>23</v>
      </c>
      <c r="DL228" s="14">
        <f t="shared" si="146"/>
        <v>1</v>
      </c>
      <c r="DM228" s="14">
        <f t="shared" si="147"/>
        <v>3</v>
      </c>
      <c r="DN228" s="14" t="str">
        <f t="shared" si="165"/>
        <v>AtkExt</v>
      </c>
      <c r="DO228" s="14">
        <f t="shared" si="166"/>
        <v>100</v>
      </c>
      <c r="DP228" s="14">
        <f t="shared" si="167"/>
        <v>4</v>
      </c>
      <c r="DQ228" s="14" t="str">
        <f t="shared" si="168"/>
        <v>HPExt</v>
      </c>
      <c r="DR228" s="14">
        <f t="shared" si="169"/>
        <v>625</v>
      </c>
      <c r="DS228" s="14">
        <f t="shared" si="170"/>
        <v>31.25</v>
      </c>
      <c r="DT228" s="14">
        <f t="shared" si="171"/>
        <v>12</v>
      </c>
      <c r="DU228" s="14">
        <f t="shared" si="172"/>
        <v>3</v>
      </c>
      <c r="DV228" s="14">
        <f t="shared" si="173"/>
        <v>23</v>
      </c>
      <c r="DW228" s="29" t="s">
        <v>758</v>
      </c>
      <c r="DX228" s="14">
        <f t="shared" si="174"/>
        <v>150</v>
      </c>
    </row>
    <row r="229" spans="91:128" ht="16.5" x14ac:dyDescent="0.2">
      <c r="CM229" s="13">
        <v>225</v>
      </c>
      <c r="CN229" s="14">
        <f t="shared" si="148"/>
        <v>31</v>
      </c>
      <c r="CO229" s="14">
        <f t="shared" si="149"/>
        <v>3</v>
      </c>
      <c r="CP229" s="14">
        <f t="shared" si="150"/>
        <v>1</v>
      </c>
      <c r="CQ229" s="14">
        <f t="shared" si="141"/>
        <v>3</v>
      </c>
      <c r="CR229" s="14">
        <f t="shared" si="142"/>
        <v>2034031</v>
      </c>
      <c r="CS229" s="13" t="str">
        <f t="shared" si="143"/>
        <v>90级寄灵人橙色套1-武器</v>
      </c>
      <c r="CT229" s="14">
        <f t="shared" si="144"/>
        <v>1</v>
      </c>
      <c r="CU229" s="14">
        <f t="shared" si="145"/>
        <v>4</v>
      </c>
      <c r="CV229" s="14">
        <f t="shared" si="151"/>
        <v>90</v>
      </c>
      <c r="CW229" s="14">
        <f t="shared" si="152"/>
        <v>90</v>
      </c>
      <c r="CX229" s="14">
        <f t="shared" si="153"/>
        <v>1</v>
      </c>
      <c r="CY229" s="14">
        <f t="shared" si="154"/>
        <v>1031</v>
      </c>
      <c r="CZ229" s="14">
        <f t="shared" si="155"/>
        <v>60</v>
      </c>
      <c r="DA229" s="14">
        <f t="shared" si="156"/>
        <v>270</v>
      </c>
      <c r="DB229" s="14">
        <f t="shared" si="157"/>
        <v>0</v>
      </c>
      <c r="DC229" s="14">
        <f t="shared" si="158"/>
        <v>0</v>
      </c>
      <c r="DD229" s="14">
        <f t="shared" si="159"/>
        <v>12</v>
      </c>
      <c r="DE229" s="14">
        <f t="shared" si="160"/>
        <v>0</v>
      </c>
      <c r="DF229" s="14">
        <f t="shared" si="161"/>
        <v>0</v>
      </c>
      <c r="DG229" s="14">
        <f t="shared" si="162"/>
        <v>12</v>
      </c>
      <c r="DH229" s="14">
        <f t="shared" si="163"/>
        <v>3</v>
      </c>
      <c r="DI229" s="14">
        <f t="shared" si="164"/>
        <v>13</v>
      </c>
      <c r="DL229" s="14">
        <f t="shared" si="146"/>
        <v>1</v>
      </c>
      <c r="DM229" s="14">
        <f t="shared" si="147"/>
        <v>0</v>
      </c>
      <c r="DN229" s="14" t="str">
        <f t="shared" si="165"/>
        <v>AtkExt</v>
      </c>
      <c r="DO229" s="14">
        <f t="shared" si="166"/>
        <v>270</v>
      </c>
      <c r="DP229" s="14">
        <f t="shared" si="167"/>
        <v>12</v>
      </c>
      <c r="DQ229" s="14" t="str">
        <f t="shared" si="168"/>
        <v/>
      </c>
      <c r="DR229" s="14" t="str">
        <f t="shared" si="169"/>
        <v/>
      </c>
      <c r="DS229" s="14" t="str">
        <f t="shared" si="170"/>
        <v/>
      </c>
      <c r="DT229" s="14">
        <f t="shared" si="171"/>
        <v>12</v>
      </c>
      <c r="DU229" s="14">
        <f t="shared" si="172"/>
        <v>3</v>
      </c>
      <c r="DV229" s="14">
        <f t="shared" si="173"/>
        <v>13</v>
      </c>
      <c r="DW229" s="29" t="s">
        <v>758</v>
      </c>
      <c r="DX229" s="14">
        <f t="shared" si="174"/>
        <v>150</v>
      </c>
    </row>
    <row r="230" spans="91:128" ht="16.5" x14ac:dyDescent="0.2">
      <c r="CM230" s="13">
        <v>226</v>
      </c>
      <c r="CN230" s="14">
        <f t="shared" si="148"/>
        <v>31</v>
      </c>
      <c r="CO230" s="14">
        <f t="shared" si="149"/>
        <v>3</v>
      </c>
      <c r="CP230" s="14">
        <f t="shared" si="150"/>
        <v>2</v>
      </c>
      <c r="CQ230" s="14">
        <f t="shared" si="141"/>
        <v>3</v>
      </c>
      <c r="CR230" s="14">
        <f t="shared" si="142"/>
        <v>2034032</v>
      </c>
      <c r="CS230" s="13" t="str">
        <f t="shared" si="143"/>
        <v>90级寄灵人橙色套1-头盔</v>
      </c>
      <c r="CT230" s="14">
        <f t="shared" si="144"/>
        <v>1</v>
      </c>
      <c r="CU230" s="14">
        <f t="shared" si="145"/>
        <v>4</v>
      </c>
      <c r="CV230" s="14">
        <f t="shared" si="151"/>
        <v>90</v>
      </c>
      <c r="CW230" s="14">
        <f t="shared" si="152"/>
        <v>90</v>
      </c>
      <c r="CX230" s="14">
        <f t="shared" si="153"/>
        <v>2</v>
      </c>
      <c r="CY230" s="14">
        <f t="shared" si="154"/>
        <v>1031</v>
      </c>
      <c r="CZ230" s="14">
        <f t="shared" si="155"/>
        <v>30</v>
      </c>
      <c r="DA230" s="14">
        <f t="shared" si="156"/>
        <v>0</v>
      </c>
      <c r="DB230" s="14">
        <f t="shared" si="157"/>
        <v>68</v>
      </c>
      <c r="DC230" s="14">
        <f t="shared" si="158"/>
        <v>0</v>
      </c>
      <c r="DD230" s="14">
        <f t="shared" si="159"/>
        <v>0</v>
      </c>
      <c r="DE230" s="14">
        <f t="shared" si="160"/>
        <v>3</v>
      </c>
      <c r="DF230" s="14">
        <f t="shared" si="161"/>
        <v>0</v>
      </c>
      <c r="DG230" s="14">
        <f t="shared" si="162"/>
        <v>12</v>
      </c>
      <c r="DH230" s="14">
        <f t="shared" si="163"/>
        <v>3</v>
      </c>
      <c r="DI230" s="14">
        <f t="shared" si="164"/>
        <v>13</v>
      </c>
      <c r="DL230" s="14">
        <f t="shared" si="146"/>
        <v>2</v>
      </c>
      <c r="DM230" s="14">
        <f t="shared" si="147"/>
        <v>0</v>
      </c>
      <c r="DN230" s="14" t="str">
        <f t="shared" si="165"/>
        <v>DefExt</v>
      </c>
      <c r="DO230" s="14">
        <f t="shared" si="166"/>
        <v>68</v>
      </c>
      <c r="DP230" s="14">
        <f t="shared" si="167"/>
        <v>3</v>
      </c>
      <c r="DQ230" s="14" t="str">
        <f t="shared" si="168"/>
        <v/>
      </c>
      <c r="DR230" s="14" t="str">
        <f t="shared" si="169"/>
        <v/>
      </c>
      <c r="DS230" s="14" t="str">
        <f t="shared" si="170"/>
        <v/>
      </c>
      <c r="DT230" s="14">
        <f t="shared" si="171"/>
        <v>12</v>
      </c>
      <c r="DU230" s="14">
        <f t="shared" si="172"/>
        <v>3</v>
      </c>
      <c r="DV230" s="14">
        <f t="shared" si="173"/>
        <v>13</v>
      </c>
      <c r="DW230" s="29" t="s">
        <v>758</v>
      </c>
      <c r="DX230" s="14">
        <f t="shared" si="174"/>
        <v>150</v>
      </c>
    </row>
    <row r="231" spans="91:128" ht="16.5" x14ac:dyDescent="0.2">
      <c r="CM231" s="13">
        <v>227</v>
      </c>
      <c r="CN231" s="14">
        <f t="shared" si="148"/>
        <v>31</v>
      </c>
      <c r="CO231" s="14">
        <f t="shared" si="149"/>
        <v>3</v>
      </c>
      <c r="CP231" s="14">
        <f t="shared" si="150"/>
        <v>3</v>
      </c>
      <c r="CQ231" s="14">
        <f t="shared" si="141"/>
        <v>3</v>
      </c>
      <c r="CR231" s="14">
        <f t="shared" si="142"/>
        <v>2034033</v>
      </c>
      <c r="CS231" s="13" t="str">
        <f t="shared" si="143"/>
        <v>90级寄灵人橙色套1-肩甲</v>
      </c>
      <c r="CT231" s="14">
        <f t="shared" si="144"/>
        <v>1</v>
      </c>
      <c r="CU231" s="14">
        <f t="shared" si="145"/>
        <v>4</v>
      </c>
      <c r="CV231" s="14">
        <f t="shared" si="151"/>
        <v>90</v>
      </c>
      <c r="CW231" s="14">
        <f t="shared" si="152"/>
        <v>90</v>
      </c>
      <c r="CX231" s="14">
        <f t="shared" si="153"/>
        <v>3</v>
      </c>
      <c r="CY231" s="14">
        <f t="shared" si="154"/>
        <v>1031</v>
      </c>
      <c r="CZ231" s="14">
        <f t="shared" si="155"/>
        <v>24</v>
      </c>
      <c r="DA231" s="14">
        <f t="shared" si="156"/>
        <v>0</v>
      </c>
      <c r="DB231" s="14">
        <f t="shared" si="157"/>
        <v>34</v>
      </c>
      <c r="DC231" s="14">
        <f t="shared" si="158"/>
        <v>210</v>
      </c>
      <c r="DD231" s="14">
        <f t="shared" si="159"/>
        <v>0</v>
      </c>
      <c r="DE231" s="14">
        <f t="shared" si="160"/>
        <v>1.5</v>
      </c>
      <c r="DF231" s="14">
        <f t="shared" si="161"/>
        <v>9</v>
      </c>
      <c r="DG231" s="14">
        <f t="shared" si="162"/>
        <v>12</v>
      </c>
      <c r="DH231" s="14">
        <f t="shared" si="163"/>
        <v>3</v>
      </c>
      <c r="DI231" s="14">
        <f t="shared" si="164"/>
        <v>13</v>
      </c>
      <c r="DL231" s="14">
        <f t="shared" si="146"/>
        <v>2</v>
      </c>
      <c r="DM231" s="14">
        <f t="shared" si="147"/>
        <v>3</v>
      </c>
      <c r="DN231" s="14" t="str">
        <f t="shared" si="165"/>
        <v>DefExt</v>
      </c>
      <c r="DO231" s="14">
        <f t="shared" si="166"/>
        <v>34</v>
      </c>
      <c r="DP231" s="14">
        <f t="shared" si="167"/>
        <v>1.5</v>
      </c>
      <c r="DQ231" s="14" t="str">
        <f t="shared" si="168"/>
        <v>HPExt</v>
      </c>
      <c r="DR231" s="14">
        <f t="shared" si="169"/>
        <v>210</v>
      </c>
      <c r="DS231" s="14">
        <f t="shared" si="170"/>
        <v>9</v>
      </c>
      <c r="DT231" s="14">
        <f t="shared" si="171"/>
        <v>12</v>
      </c>
      <c r="DU231" s="14">
        <f t="shared" si="172"/>
        <v>3</v>
      </c>
      <c r="DV231" s="14">
        <f t="shared" si="173"/>
        <v>13</v>
      </c>
      <c r="DW231" s="29" t="s">
        <v>758</v>
      </c>
      <c r="DX231" s="14">
        <f t="shared" si="174"/>
        <v>150</v>
      </c>
    </row>
    <row r="232" spans="91:128" ht="16.5" x14ac:dyDescent="0.2">
      <c r="CM232" s="13">
        <v>228</v>
      </c>
      <c r="CN232" s="14">
        <f t="shared" si="148"/>
        <v>31</v>
      </c>
      <c r="CO232" s="14">
        <f t="shared" si="149"/>
        <v>3</v>
      </c>
      <c r="CP232" s="14">
        <f t="shared" si="150"/>
        <v>4</v>
      </c>
      <c r="CQ232" s="14">
        <f t="shared" si="141"/>
        <v>3</v>
      </c>
      <c r="CR232" s="14">
        <f t="shared" si="142"/>
        <v>2034034</v>
      </c>
      <c r="CS232" s="13" t="str">
        <f t="shared" si="143"/>
        <v>90级寄灵人橙色套1-衣服</v>
      </c>
      <c r="CT232" s="14">
        <f t="shared" si="144"/>
        <v>1</v>
      </c>
      <c r="CU232" s="14">
        <f t="shared" si="145"/>
        <v>4</v>
      </c>
      <c r="CV232" s="14">
        <f t="shared" si="151"/>
        <v>90</v>
      </c>
      <c r="CW232" s="14">
        <f t="shared" si="152"/>
        <v>90</v>
      </c>
      <c r="CX232" s="14">
        <f t="shared" si="153"/>
        <v>4</v>
      </c>
      <c r="CY232" s="14">
        <f t="shared" si="154"/>
        <v>1031</v>
      </c>
      <c r="CZ232" s="14">
        <f t="shared" si="155"/>
        <v>30</v>
      </c>
      <c r="DA232" s="14">
        <f t="shared" si="156"/>
        <v>0</v>
      </c>
      <c r="DB232" s="14">
        <f t="shared" si="157"/>
        <v>68</v>
      </c>
      <c r="DC232" s="14">
        <f t="shared" si="158"/>
        <v>0</v>
      </c>
      <c r="DD232" s="14">
        <f t="shared" si="159"/>
        <v>0</v>
      </c>
      <c r="DE232" s="14">
        <f t="shared" si="160"/>
        <v>3</v>
      </c>
      <c r="DF232" s="14">
        <f t="shared" si="161"/>
        <v>0</v>
      </c>
      <c r="DG232" s="14">
        <f t="shared" si="162"/>
        <v>12</v>
      </c>
      <c r="DH232" s="14">
        <f t="shared" si="163"/>
        <v>3</v>
      </c>
      <c r="DI232" s="14">
        <f t="shared" si="164"/>
        <v>13</v>
      </c>
      <c r="DL232" s="14">
        <f t="shared" si="146"/>
        <v>2</v>
      </c>
      <c r="DM232" s="14">
        <f t="shared" si="147"/>
        <v>0</v>
      </c>
      <c r="DN232" s="14" t="str">
        <f t="shared" si="165"/>
        <v>DefExt</v>
      </c>
      <c r="DO232" s="14">
        <f t="shared" si="166"/>
        <v>68</v>
      </c>
      <c r="DP232" s="14">
        <f t="shared" si="167"/>
        <v>3</v>
      </c>
      <c r="DQ232" s="14" t="str">
        <f t="shared" si="168"/>
        <v/>
      </c>
      <c r="DR232" s="14" t="str">
        <f t="shared" si="169"/>
        <v/>
      </c>
      <c r="DS232" s="14" t="str">
        <f t="shared" si="170"/>
        <v/>
      </c>
      <c r="DT232" s="14">
        <f t="shared" si="171"/>
        <v>12</v>
      </c>
      <c r="DU232" s="14">
        <f t="shared" si="172"/>
        <v>3</v>
      </c>
      <c r="DV232" s="14">
        <f t="shared" si="173"/>
        <v>13</v>
      </c>
      <c r="DW232" s="29" t="s">
        <v>758</v>
      </c>
      <c r="DX232" s="14">
        <f t="shared" si="174"/>
        <v>150</v>
      </c>
    </row>
    <row r="233" spans="91:128" ht="16.5" x14ac:dyDescent="0.2">
      <c r="CM233" s="13">
        <v>229</v>
      </c>
      <c r="CN233" s="14">
        <f t="shared" si="148"/>
        <v>31</v>
      </c>
      <c r="CO233" s="14">
        <f t="shared" si="149"/>
        <v>3</v>
      </c>
      <c r="CP233" s="14">
        <f t="shared" si="150"/>
        <v>5</v>
      </c>
      <c r="CQ233" s="14">
        <f t="shared" si="141"/>
        <v>3</v>
      </c>
      <c r="CR233" s="14">
        <f t="shared" si="142"/>
        <v>2034035</v>
      </c>
      <c r="CS233" s="13" t="str">
        <f t="shared" si="143"/>
        <v>90级寄灵人橙色套1-鞋子</v>
      </c>
      <c r="CT233" s="14">
        <f t="shared" si="144"/>
        <v>1</v>
      </c>
      <c r="CU233" s="14">
        <f t="shared" si="145"/>
        <v>4</v>
      </c>
      <c r="CV233" s="14">
        <f t="shared" si="151"/>
        <v>90</v>
      </c>
      <c r="CW233" s="14">
        <f t="shared" si="152"/>
        <v>90</v>
      </c>
      <c r="CX233" s="14">
        <f t="shared" si="153"/>
        <v>5</v>
      </c>
      <c r="CY233" s="14">
        <f t="shared" si="154"/>
        <v>1031</v>
      </c>
      <c r="CZ233" s="14">
        <f t="shared" si="155"/>
        <v>18</v>
      </c>
      <c r="DA233" s="14">
        <f t="shared" si="156"/>
        <v>0</v>
      </c>
      <c r="DB233" s="14">
        <f t="shared" si="157"/>
        <v>0</v>
      </c>
      <c r="DC233" s="14">
        <f t="shared" si="158"/>
        <v>420</v>
      </c>
      <c r="DD233" s="14">
        <f t="shared" si="159"/>
        <v>0</v>
      </c>
      <c r="DE233" s="14">
        <f t="shared" si="160"/>
        <v>0</v>
      </c>
      <c r="DF233" s="14">
        <f t="shared" si="161"/>
        <v>18</v>
      </c>
      <c r="DG233" s="14">
        <f t="shared" si="162"/>
        <v>12</v>
      </c>
      <c r="DH233" s="14">
        <f t="shared" si="163"/>
        <v>3</v>
      </c>
      <c r="DI233" s="14">
        <f t="shared" si="164"/>
        <v>13</v>
      </c>
      <c r="DL233" s="14">
        <f t="shared" si="146"/>
        <v>3</v>
      </c>
      <c r="DM233" s="14">
        <f t="shared" si="147"/>
        <v>0</v>
      </c>
      <c r="DN233" s="14" t="str">
        <f t="shared" si="165"/>
        <v>HPExt</v>
      </c>
      <c r="DO233" s="14">
        <f t="shared" si="166"/>
        <v>420</v>
      </c>
      <c r="DP233" s="14">
        <f t="shared" si="167"/>
        <v>18</v>
      </c>
      <c r="DQ233" s="14" t="str">
        <f t="shared" si="168"/>
        <v/>
      </c>
      <c r="DR233" s="14" t="str">
        <f t="shared" si="169"/>
        <v/>
      </c>
      <c r="DS233" s="14" t="str">
        <f t="shared" si="170"/>
        <v/>
      </c>
      <c r="DT233" s="14">
        <f t="shared" si="171"/>
        <v>12</v>
      </c>
      <c r="DU233" s="14">
        <f t="shared" si="172"/>
        <v>3</v>
      </c>
      <c r="DV233" s="14">
        <f t="shared" si="173"/>
        <v>13</v>
      </c>
      <c r="DW233" s="29" t="s">
        <v>758</v>
      </c>
      <c r="DX233" s="14">
        <f t="shared" si="174"/>
        <v>150</v>
      </c>
    </row>
    <row r="234" spans="91:128" ht="16.5" x14ac:dyDescent="0.2">
      <c r="CM234" s="13">
        <v>230</v>
      </c>
      <c r="CN234" s="14">
        <f t="shared" si="148"/>
        <v>31</v>
      </c>
      <c r="CO234" s="14">
        <f t="shared" si="149"/>
        <v>3</v>
      </c>
      <c r="CP234" s="14">
        <f t="shared" si="150"/>
        <v>6</v>
      </c>
      <c r="CQ234" s="14">
        <f t="shared" si="141"/>
        <v>3</v>
      </c>
      <c r="CR234" s="14">
        <f t="shared" si="142"/>
        <v>2034036</v>
      </c>
      <c r="CS234" s="13" t="str">
        <f t="shared" si="143"/>
        <v>90级寄灵人橙色套1-护手</v>
      </c>
      <c r="CT234" s="14">
        <f t="shared" si="144"/>
        <v>1</v>
      </c>
      <c r="CU234" s="14">
        <f t="shared" si="145"/>
        <v>4</v>
      </c>
      <c r="CV234" s="14">
        <f t="shared" si="151"/>
        <v>90</v>
      </c>
      <c r="CW234" s="14">
        <f t="shared" si="152"/>
        <v>90</v>
      </c>
      <c r="CX234" s="14">
        <f t="shared" si="153"/>
        <v>6</v>
      </c>
      <c r="CY234" s="14">
        <f t="shared" si="154"/>
        <v>1031</v>
      </c>
      <c r="CZ234" s="14">
        <f t="shared" si="155"/>
        <v>18</v>
      </c>
      <c r="DA234" s="14">
        <f t="shared" si="156"/>
        <v>0</v>
      </c>
      <c r="DB234" s="14">
        <f t="shared" si="157"/>
        <v>0</v>
      </c>
      <c r="DC234" s="14">
        <f t="shared" si="158"/>
        <v>420</v>
      </c>
      <c r="DD234" s="14">
        <f t="shared" si="159"/>
        <v>0</v>
      </c>
      <c r="DE234" s="14">
        <f t="shared" si="160"/>
        <v>0</v>
      </c>
      <c r="DF234" s="14">
        <f t="shared" si="161"/>
        <v>18</v>
      </c>
      <c r="DG234" s="14">
        <f t="shared" si="162"/>
        <v>12</v>
      </c>
      <c r="DH234" s="14">
        <f t="shared" si="163"/>
        <v>3</v>
      </c>
      <c r="DI234" s="14">
        <f t="shared" si="164"/>
        <v>13</v>
      </c>
      <c r="DL234" s="14">
        <f t="shared" si="146"/>
        <v>3</v>
      </c>
      <c r="DM234" s="14">
        <f t="shared" si="147"/>
        <v>0</v>
      </c>
      <c r="DN234" s="14" t="str">
        <f t="shared" si="165"/>
        <v>HPExt</v>
      </c>
      <c r="DO234" s="14">
        <f t="shared" si="166"/>
        <v>420</v>
      </c>
      <c r="DP234" s="14">
        <f t="shared" si="167"/>
        <v>18</v>
      </c>
      <c r="DQ234" s="14" t="str">
        <f t="shared" si="168"/>
        <v/>
      </c>
      <c r="DR234" s="14" t="str">
        <f t="shared" si="169"/>
        <v/>
      </c>
      <c r="DS234" s="14" t="str">
        <f t="shared" si="170"/>
        <v/>
      </c>
      <c r="DT234" s="14">
        <f t="shared" si="171"/>
        <v>12</v>
      </c>
      <c r="DU234" s="14">
        <f t="shared" si="172"/>
        <v>3</v>
      </c>
      <c r="DV234" s="14">
        <f t="shared" si="173"/>
        <v>13</v>
      </c>
      <c r="DW234" s="29" t="s">
        <v>758</v>
      </c>
      <c r="DX234" s="14">
        <f t="shared" si="174"/>
        <v>150</v>
      </c>
    </row>
    <row r="235" spans="91:128" ht="16.5" x14ac:dyDescent="0.2">
      <c r="CM235" s="13">
        <v>231</v>
      </c>
      <c r="CN235" s="14">
        <f t="shared" si="148"/>
        <v>32</v>
      </c>
      <c r="CO235" s="14">
        <f t="shared" si="149"/>
        <v>4</v>
      </c>
      <c r="CP235" s="14">
        <f t="shared" si="150"/>
        <v>1</v>
      </c>
      <c r="CQ235" s="14">
        <f t="shared" si="141"/>
        <v>3</v>
      </c>
      <c r="CR235" s="14">
        <f t="shared" si="142"/>
        <v>2034041</v>
      </c>
      <c r="CS235" s="13" t="str">
        <f t="shared" si="143"/>
        <v>90级守护灵橙色套1-武器</v>
      </c>
      <c r="CT235" s="14">
        <f t="shared" si="144"/>
        <v>2</v>
      </c>
      <c r="CU235" s="14">
        <f t="shared" si="145"/>
        <v>4</v>
      </c>
      <c r="CV235" s="14">
        <f t="shared" si="151"/>
        <v>90</v>
      </c>
      <c r="CW235" s="14">
        <f t="shared" si="152"/>
        <v>90</v>
      </c>
      <c r="CX235" s="14">
        <f t="shared" si="153"/>
        <v>1</v>
      </c>
      <c r="CY235" s="14">
        <f t="shared" si="154"/>
        <v>2031</v>
      </c>
      <c r="CZ235" s="14">
        <f t="shared" si="155"/>
        <v>60</v>
      </c>
      <c r="DA235" s="14">
        <f t="shared" si="156"/>
        <v>300</v>
      </c>
      <c r="DB235" s="14">
        <f t="shared" si="157"/>
        <v>0</v>
      </c>
      <c r="DC235" s="14">
        <f t="shared" si="158"/>
        <v>0</v>
      </c>
      <c r="DD235" s="14">
        <f t="shared" si="159"/>
        <v>12</v>
      </c>
      <c r="DE235" s="14">
        <f t="shared" si="160"/>
        <v>0</v>
      </c>
      <c r="DF235" s="14">
        <f t="shared" si="161"/>
        <v>0</v>
      </c>
      <c r="DG235" s="14">
        <f t="shared" si="162"/>
        <v>12</v>
      </c>
      <c r="DH235" s="14">
        <f t="shared" si="163"/>
        <v>3</v>
      </c>
      <c r="DI235" s="14">
        <f t="shared" si="164"/>
        <v>23</v>
      </c>
      <c r="DL235" s="14">
        <f t="shared" si="146"/>
        <v>1</v>
      </c>
      <c r="DM235" s="14">
        <f t="shared" si="147"/>
        <v>0</v>
      </c>
      <c r="DN235" s="14" t="str">
        <f t="shared" si="165"/>
        <v>AtkExt</v>
      </c>
      <c r="DO235" s="14">
        <f t="shared" si="166"/>
        <v>300</v>
      </c>
      <c r="DP235" s="14">
        <f t="shared" si="167"/>
        <v>12</v>
      </c>
      <c r="DQ235" s="14" t="str">
        <f t="shared" si="168"/>
        <v/>
      </c>
      <c r="DR235" s="14" t="str">
        <f t="shared" si="169"/>
        <v/>
      </c>
      <c r="DS235" s="14" t="str">
        <f t="shared" si="170"/>
        <v/>
      </c>
      <c r="DT235" s="14">
        <f t="shared" si="171"/>
        <v>12</v>
      </c>
      <c r="DU235" s="14">
        <f t="shared" si="172"/>
        <v>3</v>
      </c>
      <c r="DV235" s="14">
        <f t="shared" si="173"/>
        <v>23</v>
      </c>
      <c r="DW235" s="29" t="s">
        <v>758</v>
      </c>
      <c r="DX235" s="14">
        <f t="shared" si="174"/>
        <v>150</v>
      </c>
    </row>
    <row r="236" spans="91:128" ht="16.5" x14ac:dyDescent="0.2">
      <c r="CM236" s="13">
        <v>232</v>
      </c>
      <c r="CN236" s="14">
        <f t="shared" si="148"/>
        <v>32</v>
      </c>
      <c r="CO236" s="14">
        <f t="shared" si="149"/>
        <v>4</v>
      </c>
      <c r="CP236" s="14">
        <f t="shared" si="150"/>
        <v>2</v>
      </c>
      <c r="CQ236" s="14">
        <f t="shared" si="141"/>
        <v>3</v>
      </c>
      <c r="CR236" s="14">
        <f t="shared" si="142"/>
        <v>2034042</v>
      </c>
      <c r="CS236" s="13" t="str">
        <f t="shared" si="143"/>
        <v>90级守护灵橙色套1-头盔</v>
      </c>
      <c r="CT236" s="14">
        <f t="shared" si="144"/>
        <v>2</v>
      </c>
      <c r="CU236" s="14">
        <f t="shared" si="145"/>
        <v>4</v>
      </c>
      <c r="CV236" s="14">
        <f t="shared" si="151"/>
        <v>90</v>
      </c>
      <c r="CW236" s="14">
        <f t="shared" si="152"/>
        <v>90</v>
      </c>
      <c r="CX236" s="14">
        <f t="shared" si="153"/>
        <v>2</v>
      </c>
      <c r="CY236" s="14">
        <f t="shared" si="154"/>
        <v>2031</v>
      </c>
      <c r="CZ236" s="14">
        <f t="shared" si="155"/>
        <v>30</v>
      </c>
      <c r="DA236" s="14">
        <f t="shared" si="156"/>
        <v>0</v>
      </c>
      <c r="DB236" s="14">
        <f t="shared" si="157"/>
        <v>75</v>
      </c>
      <c r="DC236" s="14">
        <f t="shared" si="158"/>
        <v>0</v>
      </c>
      <c r="DD236" s="14">
        <f t="shared" si="159"/>
        <v>0</v>
      </c>
      <c r="DE236" s="14">
        <f t="shared" si="160"/>
        <v>3</v>
      </c>
      <c r="DF236" s="14">
        <f t="shared" si="161"/>
        <v>0</v>
      </c>
      <c r="DG236" s="14">
        <f t="shared" si="162"/>
        <v>12</v>
      </c>
      <c r="DH236" s="14">
        <f t="shared" si="163"/>
        <v>3</v>
      </c>
      <c r="DI236" s="14">
        <f t="shared" si="164"/>
        <v>23</v>
      </c>
      <c r="DL236" s="14">
        <f t="shared" si="146"/>
        <v>2</v>
      </c>
      <c r="DM236" s="14">
        <f t="shared" si="147"/>
        <v>0</v>
      </c>
      <c r="DN236" s="14" t="str">
        <f t="shared" si="165"/>
        <v>DefExt</v>
      </c>
      <c r="DO236" s="14">
        <f t="shared" si="166"/>
        <v>75</v>
      </c>
      <c r="DP236" s="14">
        <f t="shared" si="167"/>
        <v>3</v>
      </c>
      <c r="DQ236" s="14" t="str">
        <f t="shared" si="168"/>
        <v/>
      </c>
      <c r="DR236" s="14" t="str">
        <f t="shared" si="169"/>
        <v/>
      </c>
      <c r="DS236" s="14" t="str">
        <f t="shared" si="170"/>
        <v/>
      </c>
      <c r="DT236" s="14">
        <f t="shared" si="171"/>
        <v>12</v>
      </c>
      <c r="DU236" s="14">
        <f t="shared" si="172"/>
        <v>3</v>
      </c>
      <c r="DV236" s="14">
        <f t="shared" si="173"/>
        <v>23</v>
      </c>
      <c r="DW236" s="29" t="s">
        <v>758</v>
      </c>
      <c r="DX236" s="14">
        <f t="shared" si="174"/>
        <v>150</v>
      </c>
    </row>
    <row r="237" spans="91:128" ht="16.5" x14ac:dyDescent="0.2">
      <c r="CM237" s="13">
        <v>233</v>
      </c>
      <c r="CN237" s="14">
        <f t="shared" si="148"/>
        <v>32</v>
      </c>
      <c r="CO237" s="14">
        <f t="shared" si="149"/>
        <v>4</v>
      </c>
      <c r="CP237" s="14">
        <f t="shared" si="150"/>
        <v>3</v>
      </c>
      <c r="CQ237" s="14">
        <f t="shared" si="141"/>
        <v>3</v>
      </c>
      <c r="CR237" s="14">
        <f t="shared" si="142"/>
        <v>2034043</v>
      </c>
      <c r="CS237" s="13" t="str">
        <f t="shared" si="143"/>
        <v>90级守护灵橙色套1-肩甲</v>
      </c>
      <c r="CT237" s="14">
        <f t="shared" si="144"/>
        <v>2</v>
      </c>
      <c r="CU237" s="14">
        <f t="shared" si="145"/>
        <v>4</v>
      </c>
      <c r="CV237" s="14">
        <f t="shared" si="151"/>
        <v>90</v>
      </c>
      <c r="CW237" s="14">
        <f t="shared" si="152"/>
        <v>90</v>
      </c>
      <c r="CX237" s="14">
        <f t="shared" si="153"/>
        <v>3</v>
      </c>
      <c r="CY237" s="14">
        <f t="shared" si="154"/>
        <v>2031</v>
      </c>
      <c r="CZ237" s="14">
        <f t="shared" si="155"/>
        <v>33</v>
      </c>
      <c r="DA237" s="14">
        <f t="shared" si="156"/>
        <v>0</v>
      </c>
      <c r="DB237" s="14">
        <f t="shared" si="157"/>
        <v>38</v>
      </c>
      <c r="DC237" s="14">
        <f t="shared" si="158"/>
        <v>375</v>
      </c>
      <c r="DD237" s="14">
        <f t="shared" si="159"/>
        <v>0</v>
      </c>
      <c r="DE237" s="14">
        <f t="shared" si="160"/>
        <v>1.5</v>
      </c>
      <c r="DF237" s="14">
        <f t="shared" si="161"/>
        <v>18.75</v>
      </c>
      <c r="DG237" s="14">
        <f t="shared" si="162"/>
        <v>12</v>
      </c>
      <c r="DH237" s="14">
        <f t="shared" si="163"/>
        <v>3</v>
      </c>
      <c r="DI237" s="14">
        <f t="shared" si="164"/>
        <v>23</v>
      </c>
      <c r="DL237" s="14">
        <f t="shared" si="146"/>
        <v>2</v>
      </c>
      <c r="DM237" s="14">
        <f t="shared" si="147"/>
        <v>3</v>
      </c>
      <c r="DN237" s="14" t="str">
        <f t="shared" si="165"/>
        <v>DefExt</v>
      </c>
      <c r="DO237" s="14">
        <f t="shared" si="166"/>
        <v>38</v>
      </c>
      <c r="DP237" s="14">
        <f t="shared" si="167"/>
        <v>1.5</v>
      </c>
      <c r="DQ237" s="14" t="str">
        <f t="shared" si="168"/>
        <v>HPExt</v>
      </c>
      <c r="DR237" s="14">
        <f t="shared" si="169"/>
        <v>375</v>
      </c>
      <c r="DS237" s="14">
        <f t="shared" si="170"/>
        <v>18.75</v>
      </c>
      <c r="DT237" s="14">
        <f t="shared" si="171"/>
        <v>12</v>
      </c>
      <c r="DU237" s="14">
        <f t="shared" si="172"/>
        <v>3</v>
      </c>
      <c r="DV237" s="14">
        <f t="shared" si="173"/>
        <v>23</v>
      </c>
      <c r="DW237" s="29" t="s">
        <v>758</v>
      </c>
      <c r="DX237" s="14">
        <f t="shared" si="174"/>
        <v>150</v>
      </c>
    </row>
    <row r="238" spans="91:128" ht="16.5" x14ac:dyDescent="0.2">
      <c r="CM238" s="13">
        <v>234</v>
      </c>
      <c r="CN238" s="14">
        <f t="shared" si="148"/>
        <v>32</v>
      </c>
      <c r="CO238" s="14">
        <f t="shared" si="149"/>
        <v>4</v>
      </c>
      <c r="CP238" s="14">
        <f t="shared" si="150"/>
        <v>4</v>
      </c>
      <c r="CQ238" s="14">
        <f t="shared" si="141"/>
        <v>3</v>
      </c>
      <c r="CR238" s="14">
        <f t="shared" si="142"/>
        <v>2034044</v>
      </c>
      <c r="CS238" s="13" t="str">
        <f t="shared" si="143"/>
        <v>90级守护灵橙色套1-衣服</v>
      </c>
      <c r="CT238" s="14">
        <f t="shared" si="144"/>
        <v>2</v>
      </c>
      <c r="CU238" s="14">
        <f t="shared" si="145"/>
        <v>4</v>
      </c>
      <c r="CV238" s="14">
        <f t="shared" si="151"/>
        <v>90</v>
      </c>
      <c r="CW238" s="14">
        <f t="shared" si="152"/>
        <v>90</v>
      </c>
      <c r="CX238" s="14">
        <f t="shared" si="153"/>
        <v>4</v>
      </c>
      <c r="CY238" s="14">
        <f t="shared" si="154"/>
        <v>2031</v>
      </c>
      <c r="CZ238" s="14">
        <f t="shared" si="155"/>
        <v>30</v>
      </c>
      <c r="DA238" s="14">
        <f t="shared" si="156"/>
        <v>0</v>
      </c>
      <c r="DB238" s="14">
        <f t="shared" si="157"/>
        <v>75</v>
      </c>
      <c r="DC238" s="14">
        <f t="shared" si="158"/>
        <v>0</v>
      </c>
      <c r="DD238" s="14">
        <f t="shared" si="159"/>
        <v>0</v>
      </c>
      <c r="DE238" s="14">
        <f t="shared" si="160"/>
        <v>3</v>
      </c>
      <c r="DF238" s="14">
        <f t="shared" si="161"/>
        <v>0</v>
      </c>
      <c r="DG238" s="14">
        <f t="shared" si="162"/>
        <v>12</v>
      </c>
      <c r="DH238" s="14">
        <f t="shared" si="163"/>
        <v>3</v>
      </c>
      <c r="DI238" s="14">
        <f t="shared" si="164"/>
        <v>23</v>
      </c>
      <c r="DL238" s="14">
        <f t="shared" si="146"/>
        <v>2</v>
      </c>
      <c r="DM238" s="14">
        <f t="shared" si="147"/>
        <v>0</v>
      </c>
      <c r="DN238" s="14" t="str">
        <f t="shared" si="165"/>
        <v>DefExt</v>
      </c>
      <c r="DO238" s="14">
        <f t="shared" si="166"/>
        <v>75</v>
      </c>
      <c r="DP238" s="14">
        <f t="shared" si="167"/>
        <v>3</v>
      </c>
      <c r="DQ238" s="14" t="str">
        <f t="shared" si="168"/>
        <v/>
      </c>
      <c r="DR238" s="14" t="str">
        <f t="shared" si="169"/>
        <v/>
      </c>
      <c r="DS238" s="14" t="str">
        <f t="shared" si="170"/>
        <v/>
      </c>
      <c r="DT238" s="14">
        <f t="shared" si="171"/>
        <v>12</v>
      </c>
      <c r="DU238" s="14">
        <f t="shared" si="172"/>
        <v>3</v>
      </c>
      <c r="DV238" s="14">
        <f t="shared" si="173"/>
        <v>23</v>
      </c>
      <c r="DW238" s="29" t="s">
        <v>758</v>
      </c>
      <c r="DX238" s="14">
        <f t="shared" si="174"/>
        <v>150</v>
      </c>
    </row>
    <row r="239" spans="91:128" ht="16.5" x14ac:dyDescent="0.2">
      <c r="CM239" s="13">
        <v>235</v>
      </c>
      <c r="CN239" s="14">
        <f t="shared" si="148"/>
        <v>32</v>
      </c>
      <c r="CO239" s="14">
        <f t="shared" si="149"/>
        <v>4</v>
      </c>
      <c r="CP239" s="14">
        <f t="shared" si="150"/>
        <v>5</v>
      </c>
      <c r="CQ239" s="14">
        <f t="shared" si="141"/>
        <v>3</v>
      </c>
      <c r="CR239" s="14">
        <f t="shared" si="142"/>
        <v>2034045</v>
      </c>
      <c r="CS239" s="13" t="str">
        <f t="shared" si="143"/>
        <v>90级守护灵橙色套1-鞋子</v>
      </c>
      <c r="CT239" s="14">
        <f t="shared" si="144"/>
        <v>2</v>
      </c>
      <c r="CU239" s="14">
        <f t="shared" si="145"/>
        <v>4</v>
      </c>
      <c r="CV239" s="14">
        <f t="shared" si="151"/>
        <v>90</v>
      </c>
      <c r="CW239" s="14">
        <f t="shared" si="152"/>
        <v>90</v>
      </c>
      <c r="CX239" s="14">
        <f t="shared" si="153"/>
        <v>5</v>
      </c>
      <c r="CY239" s="14">
        <f t="shared" si="154"/>
        <v>2031</v>
      </c>
      <c r="CZ239" s="14">
        <f t="shared" si="155"/>
        <v>37</v>
      </c>
      <c r="DA239" s="14">
        <f t="shared" si="156"/>
        <v>0</v>
      </c>
      <c r="DB239" s="14">
        <f t="shared" si="157"/>
        <v>0</v>
      </c>
      <c r="DC239" s="14">
        <f t="shared" si="158"/>
        <v>750</v>
      </c>
      <c r="DD239" s="14">
        <f t="shared" si="159"/>
        <v>0</v>
      </c>
      <c r="DE239" s="14">
        <f t="shared" si="160"/>
        <v>0</v>
      </c>
      <c r="DF239" s="14">
        <f t="shared" si="161"/>
        <v>37.5</v>
      </c>
      <c r="DG239" s="14">
        <f t="shared" si="162"/>
        <v>12</v>
      </c>
      <c r="DH239" s="14">
        <f t="shared" si="163"/>
        <v>3</v>
      </c>
      <c r="DI239" s="14">
        <f t="shared" si="164"/>
        <v>23</v>
      </c>
      <c r="DL239" s="14">
        <f t="shared" si="146"/>
        <v>3</v>
      </c>
      <c r="DM239" s="14">
        <f t="shared" si="147"/>
        <v>0</v>
      </c>
      <c r="DN239" s="14" t="str">
        <f t="shared" si="165"/>
        <v>HPExt</v>
      </c>
      <c r="DO239" s="14">
        <f t="shared" si="166"/>
        <v>750</v>
      </c>
      <c r="DP239" s="14">
        <f t="shared" si="167"/>
        <v>37.5</v>
      </c>
      <c r="DQ239" s="14" t="str">
        <f t="shared" si="168"/>
        <v/>
      </c>
      <c r="DR239" s="14" t="str">
        <f t="shared" si="169"/>
        <v/>
      </c>
      <c r="DS239" s="14" t="str">
        <f t="shared" si="170"/>
        <v/>
      </c>
      <c r="DT239" s="14">
        <f t="shared" si="171"/>
        <v>12</v>
      </c>
      <c r="DU239" s="14">
        <f t="shared" si="172"/>
        <v>3</v>
      </c>
      <c r="DV239" s="14">
        <f t="shared" si="173"/>
        <v>23</v>
      </c>
      <c r="DW239" s="29" t="s">
        <v>758</v>
      </c>
      <c r="DX239" s="14">
        <f t="shared" si="174"/>
        <v>150</v>
      </c>
    </row>
    <row r="240" spans="91:128" ht="16.5" x14ac:dyDescent="0.2">
      <c r="CM240" s="13">
        <v>236</v>
      </c>
      <c r="CN240" s="14">
        <f t="shared" si="148"/>
        <v>32</v>
      </c>
      <c r="CO240" s="14">
        <f t="shared" si="149"/>
        <v>4</v>
      </c>
      <c r="CP240" s="14">
        <f t="shared" si="150"/>
        <v>6</v>
      </c>
      <c r="CQ240" s="14">
        <f t="shared" si="141"/>
        <v>3</v>
      </c>
      <c r="CR240" s="14">
        <f t="shared" si="142"/>
        <v>2034046</v>
      </c>
      <c r="CS240" s="13" t="str">
        <f t="shared" si="143"/>
        <v>90级守护灵橙色套1-护手</v>
      </c>
      <c r="CT240" s="14">
        <f t="shared" si="144"/>
        <v>2</v>
      </c>
      <c r="CU240" s="14">
        <f t="shared" si="145"/>
        <v>4</v>
      </c>
      <c r="CV240" s="14">
        <f t="shared" si="151"/>
        <v>90</v>
      </c>
      <c r="CW240" s="14">
        <f t="shared" si="152"/>
        <v>90</v>
      </c>
      <c r="CX240" s="14">
        <f t="shared" si="153"/>
        <v>6</v>
      </c>
      <c r="CY240" s="14">
        <f t="shared" si="154"/>
        <v>2031</v>
      </c>
      <c r="CZ240" s="14">
        <f t="shared" si="155"/>
        <v>37</v>
      </c>
      <c r="DA240" s="14">
        <f t="shared" si="156"/>
        <v>0</v>
      </c>
      <c r="DB240" s="14">
        <f t="shared" si="157"/>
        <v>0</v>
      </c>
      <c r="DC240" s="14">
        <f t="shared" si="158"/>
        <v>750</v>
      </c>
      <c r="DD240" s="14">
        <f t="shared" si="159"/>
        <v>0</v>
      </c>
      <c r="DE240" s="14">
        <f t="shared" si="160"/>
        <v>0</v>
      </c>
      <c r="DF240" s="14">
        <f t="shared" si="161"/>
        <v>37.5</v>
      </c>
      <c r="DG240" s="14">
        <f t="shared" si="162"/>
        <v>12</v>
      </c>
      <c r="DH240" s="14">
        <f t="shared" si="163"/>
        <v>3</v>
      </c>
      <c r="DI240" s="14">
        <f t="shared" si="164"/>
        <v>23</v>
      </c>
      <c r="DL240" s="14">
        <f t="shared" si="146"/>
        <v>3</v>
      </c>
      <c r="DM240" s="14">
        <f t="shared" si="147"/>
        <v>0</v>
      </c>
      <c r="DN240" s="14" t="str">
        <f t="shared" si="165"/>
        <v>HPExt</v>
      </c>
      <c r="DO240" s="14">
        <f t="shared" si="166"/>
        <v>750</v>
      </c>
      <c r="DP240" s="14">
        <f t="shared" si="167"/>
        <v>37.5</v>
      </c>
      <c r="DQ240" s="14" t="str">
        <f t="shared" si="168"/>
        <v/>
      </c>
      <c r="DR240" s="14" t="str">
        <f t="shared" si="169"/>
        <v/>
      </c>
      <c r="DS240" s="14" t="str">
        <f t="shared" si="170"/>
        <v/>
      </c>
      <c r="DT240" s="14">
        <f t="shared" si="171"/>
        <v>12</v>
      </c>
      <c r="DU240" s="14">
        <f t="shared" si="172"/>
        <v>3</v>
      </c>
      <c r="DV240" s="14">
        <f t="shared" si="173"/>
        <v>23</v>
      </c>
      <c r="DW240" s="29" t="s">
        <v>758</v>
      </c>
      <c r="DX240" s="14">
        <f t="shared" si="174"/>
        <v>150</v>
      </c>
    </row>
    <row r="241" spans="91:128" ht="16.5" x14ac:dyDescent="0.2">
      <c r="CM241" s="13">
        <v>237</v>
      </c>
      <c r="CN241" s="14">
        <f t="shared" si="148"/>
        <v>33</v>
      </c>
      <c r="CO241" s="14">
        <f t="shared" si="149"/>
        <v>5</v>
      </c>
      <c r="CP241" s="14">
        <f t="shared" si="150"/>
        <v>1</v>
      </c>
      <c r="CQ241" s="14">
        <f t="shared" si="141"/>
        <v>3</v>
      </c>
      <c r="CR241" s="14">
        <f t="shared" si="142"/>
        <v>2034051</v>
      </c>
      <c r="CS241" s="13" t="str">
        <f>INDEX($BY$6:$BY$81,CN241)&amp;"-"&amp;INDEX($CC$3:$CJ$3,CX241)</f>
        <v>90级寄灵人橙色套2-武器</v>
      </c>
      <c r="CT241" s="14">
        <f t="shared" si="144"/>
        <v>1</v>
      </c>
      <c r="CU241" s="14">
        <f t="shared" si="145"/>
        <v>4</v>
      </c>
      <c r="CV241" s="14">
        <f t="shared" si="151"/>
        <v>90</v>
      </c>
      <c r="CW241" s="14">
        <f t="shared" si="152"/>
        <v>90</v>
      </c>
      <c r="CX241" s="14">
        <f t="shared" si="153"/>
        <v>1</v>
      </c>
      <c r="CY241" s="14">
        <f t="shared" si="154"/>
        <v>1032</v>
      </c>
      <c r="CZ241" s="14">
        <f t="shared" si="155"/>
        <v>60</v>
      </c>
      <c r="DA241" s="14">
        <f t="shared" si="156"/>
        <v>270</v>
      </c>
      <c r="DB241" s="14">
        <f t="shared" si="157"/>
        <v>0</v>
      </c>
      <c r="DC241" s="14">
        <f t="shared" si="158"/>
        <v>0</v>
      </c>
      <c r="DD241" s="14">
        <f t="shared" si="159"/>
        <v>12</v>
      </c>
      <c r="DE241" s="14">
        <f t="shared" si="160"/>
        <v>0</v>
      </c>
      <c r="DF241" s="14">
        <f t="shared" si="161"/>
        <v>0</v>
      </c>
      <c r="DG241" s="14">
        <f t="shared" si="162"/>
        <v>12</v>
      </c>
      <c r="DH241" s="14">
        <f t="shared" si="163"/>
        <v>3</v>
      </c>
      <c r="DI241" s="14">
        <f t="shared" si="164"/>
        <v>13</v>
      </c>
      <c r="DL241" s="14">
        <f t="shared" si="146"/>
        <v>1</v>
      </c>
      <c r="DM241" s="14">
        <f t="shared" si="147"/>
        <v>0</v>
      </c>
      <c r="DN241" s="14" t="str">
        <f t="shared" si="165"/>
        <v>AtkExt</v>
      </c>
      <c r="DO241" s="14">
        <f t="shared" si="166"/>
        <v>270</v>
      </c>
      <c r="DP241" s="14">
        <f t="shared" si="167"/>
        <v>12</v>
      </c>
      <c r="DQ241" s="14" t="str">
        <f t="shared" si="168"/>
        <v/>
      </c>
      <c r="DR241" s="14" t="str">
        <f t="shared" si="169"/>
        <v/>
      </c>
      <c r="DS241" s="14" t="str">
        <f t="shared" si="170"/>
        <v/>
      </c>
      <c r="DT241" s="14">
        <f t="shared" si="171"/>
        <v>12</v>
      </c>
      <c r="DU241" s="14">
        <f t="shared" si="172"/>
        <v>3</v>
      </c>
      <c r="DV241" s="14">
        <f t="shared" si="173"/>
        <v>13</v>
      </c>
      <c r="DW241" s="29" t="s">
        <v>758</v>
      </c>
      <c r="DX241" s="14">
        <f t="shared" si="174"/>
        <v>150</v>
      </c>
    </row>
    <row r="242" spans="91:128" ht="16.5" x14ac:dyDescent="0.2">
      <c r="CM242" s="13">
        <v>238</v>
      </c>
      <c r="CN242" s="14">
        <f t="shared" si="148"/>
        <v>33</v>
      </c>
      <c r="CO242" s="14">
        <f t="shared" si="149"/>
        <v>5</v>
      </c>
      <c r="CP242" s="14">
        <f t="shared" si="150"/>
        <v>2</v>
      </c>
      <c r="CQ242" s="14">
        <f t="shared" si="141"/>
        <v>3</v>
      </c>
      <c r="CR242" s="14">
        <f t="shared" si="142"/>
        <v>2034054</v>
      </c>
      <c r="CS242" s="13" t="str">
        <f t="shared" si="143"/>
        <v>90级寄灵人橙色套2-衣服</v>
      </c>
      <c r="CT242" s="14">
        <f t="shared" si="144"/>
        <v>1</v>
      </c>
      <c r="CU242" s="14">
        <f t="shared" si="145"/>
        <v>4</v>
      </c>
      <c r="CV242" s="14">
        <f t="shared" si="151"/>
        <v>90</v>
      </c>
      <c r="CW242" s="14">
        <f t="shared" si="152"/>
        <v>90</v>
      </c>
      <c r="CX242" s="14">
        <f t="shared" si="153"/>
        <v>4</v>
      </c>
      <c r="CY242" s="14">
        <f t="shared" si="154"/>
        <v>1032</v>
      </c>
      <c r="CZ242" s="14">
        <f t="shared" si="155"/>
        <v>30</v>
      </c>
      <c r="DA242" s="14">
        <f t="shared" si="156"/>
        <v>0</v>
      </c>
      <c r="DB242" s="14">
        <f t="shared" si="157"/>
        <v>68</v>
      </c>
      <c r="DC242" s="14">
        <f t="shared" si="158"/>
        <v>0</v>
      </c>
      <c r="DD242" s="14">
        <f t="shared" si="159"/>
        <v>0</v>
      </c>
      <c r="DE242" s="14">
        <f t="shared" si="160"/>
        <v>3</v>
      </c>
      <c r="DF242" s="14">
        <f t="shared" si="161"/>
        <v>0</v>
      </c>
      <c r="DG242" s="14">
        <f t="shared" si="162"/>
        <v>12</v>
      </c>
      <c r="DH242" s="14">
        <f t="shared" si="163"/>
        <v>3</v>
      </c>
      <c r="DI242" s="14">
        <f t="shared" si="164"/>
        <v>13</v>
      </c>
      <c r="DL242" s="14">
        <f t="shared" si="146"/>
        <v>2</v>
      </c>
      <c r="DM242" s="14">
        <f t="shared" si="147"/>
        <v>0</v>
      </c>
      <c r="DN242" s="14" t="str">
        <f t="shared" si="165"/>
        <v>DefExt</v>
      </c>
      <c r="DO242" s="14">
        <f t="shared" si="166"/>
        <v>68</v>
      </c>
      <c r="DP242" s="14">
        <f t="shared" si="167"/>
        <v>3</v>
      </c>
      <c r="DQ242" s="14" t="str">
        <f t="shared" si="168"/>
        <v/>
      </c>
      <c r="DR242" s="14" t="str">
        <f t="shared" si="169"/>
        <v/>
      </c>
      <c r="DS242" s="14" t="str">
        <f t="shared" si="170"/>
        <v/>
      </c>
      <c r="DT242" s="14">
        <f t="shared" si="171"/>
        <v>12</v>
      </c>
      <c r="DU242" s="14">
        <f t="shared" si="172"/>
        <v>3</v>
      </c>
      <c r="DV242" s="14">
        <f t="shared" si="173"/>
        <v>13</v>
      </c>
      <c r="DW242" s="29" t="s">
        <v>758</v>
      </c>
      <c r="DX242" s="14">
        <f t="shared" si="174"/>
        <v>150</v>
      </c>
    </row>
    <row r="243" spans="91:128" ht="16.5" x14ac:dyDescent="0.2">
      <c r="CM243" s="13">
        <v>239</v>
      </c>
      <c r="CN243" s="14">
        <f t="shared" si="148"/>
        <v>33</v>
      </c>
      <c r="CO243" s="14">
        <f t="shared" si="149"/>
        <v>5</v>
      </c>
      <c r="CP243" s="14">
        <f t="shared" si="150"/>
        <v>3</v>
      </c>
      <c r="CQ243" s="14">
        <f t="shared" si="141"/>
        <v>3</v>
      </c>
      <c r="CR243" s="14">
        <f t="shared" si="142"/>
        <v>2034055</v>
      </c>
      <c r="CS243" s="13" t="str">
        <f t="shared" si="143"/>
        <v>90级寄灵人橙色套2-鞋子</v>
      </c>
      <c r="CT243" s="14">
        <f t="shared" si="144"/>
        <v>1</v>
      </c>
      <c r="CU243" s="14">
        <f t="shared" si="145"/>
        <v>4</v>
      </c>
      <c r="CV243" s="14">
        <f t="shared" si="151"/>
        <v>90</v>
      </c>
      <c r="CW243" s="14">
        <f t="shared" si="152"/>
        <v>90</v>
      </c>
      <c r="CX243" s="14">
        <f t="shared" si="153"/>
        <v>5</v>
      </c>
      <c r="CY243" s="14">
        <f t="shared" si="154"/>
        <v>1032</v>
      </c>
      <c r="CZ243" s="14">
        <f t="shared" si="155"/>
        <v>18</v>
      </c>
      <c r="DA243" s="14">
        <f t="shared" si="156"/>
        <v>0</v>
      </c>
      <c r="DB243" s="14">
        <f t="shared" si="157"/>
        <v>0</v>
      </c>
      <c r="DC243" s="14">
        <f t="shared" si="158"/>
        <v>420</v>
      </c>
      <c r="DD243" s="14">
        <f t="shared" si="159"/>
        <v>0</v>
      </c>
      <c r="DE243" s="14">
        <f t="shared" si="160"/>
        <v>0</v>
      </c>
      <c r="DF243" s="14">
        <f t="shared" si="161"/>
        <v>18</v>
      </c>
      <c r="DG243" s="14">
        <f t="shared" si="162"/>
        <v>12</v>
      </c>
      <c r="DH243" s="14">
        <f t="shared" si="163"/>
        <v>3</v>
      </c>
      <c r="DI243" s="14">
        <f t="shared" si="164"/>
        <v>13</v>
      </c>
      <c r="DL243" s="14">
        <f t="shared" si="146"/>
        <v>3</v>
      </c>
      <c r="DM243" s="14">
        <f t="shared" si="147"/>
        <v>0</v>
      </c>
      <c r="DN243" s="14" t="str">
        <f t="shared" si="165"/>
        <v>HPExt</v>
      </c>
      <c r="DO243" s="14">
        <f t="shared" si="166"/>
        <v>420</v>
      </c>
      <c r="DP243" s="14">
        <f t="shared" si="167"/>
        <v>18</v>
      </c>
      <c r="DQ243" s="14" t="str">
        <f t="shared" si="168"/>
        <v/>
      </c>
      <c r="DR243" s="14" t="str">
        <f t="shared" si="169"/>
        <v/>
      </c>
      <c r="DS243" s="14" t="str">
        <f t="shared" si="170"/>
        <v/>
      </c>
      <c r="DT243" s="14">
        <f t="shared" si="171"/>
        <v>12</v>
      </c>
      <c r="DU243" s="14">
        <f t="shared" si="172"/>
        <v>3</v>
      </c>
      <c r="DV243" s="14">
        <f t="shared" si="173"/>
        <v>13</v>
      </c>
      <c r="DW243" s="29" t="s">
        <v>758</v>
      </c>
      <c r="DX243" s="14">
        <f t="shared" si="174"/>
        <v>150</v>
      </c>
    </row>
    <row r="244" spans="91:128" ht="16.5" x14ac:dyDescent="0.2">
      <c r="CM244" s="13">
        <v>240</v>
      </c>
      <c r="CN244" s="14">
        <f t="shared" si="148"/>
        <v>33</v>
      </c>
      <c r="CO244" s="14">
        <f t="shared" si="149"/>
        <v>5</v>
      </c>
      <c r="CP244" s="14">
        <f t="shared" si="150"/>
        <v>4</v>
      </c>
      <c r="CQ244" s="14">
        <f t="shared" si="141"/>
        <v>3</v>
      </c>
      <c r="CR244" s="14">
        <f t="shared" si="142"/>
        <v>2034056</v>
      </c>
      <c r="CS244" s="13" t="str">
        <f t="shared" si="143"/>
        <v>90级寄灵人橙色套2-护手</v>
      </c>
      <c r="CT244" s="14">
        <f t="shared" si="144"/>
        <v>1</v>
      </c>
      <c r="CU244" s="14">
        <f t="shared" si="145"/>
        <v>4</v>
      </c>
      <c r="CV244" s="14">
        <f t="shared" si="151"/>
        <v>90</v>
      </c>
      <c r="CW244" s="14">
        <f t="shared" si="152"/>
        <v>90</v>
      </c>
      <c r="CX244" s="14">
        <f t="shared" si="153"/>
        <v>6</v>
      </c>
      <c r="CY244" s="14">
        <f t="shared" si="154"/>
        <v>1032</v>
      </c>
      <c r="CZ244" s="14">
        <f t="shared" si="155"/>
        <v>18</v>
      </c>
      <c r="DA244" s="14">
        <f t="shared" si="156"/>
        <v>0</v>
      </c>
      <c r="DB244" s="14">
        <f t="shared" si="157"/>
        <v>0</v>
      </c>
      <c r="DC244" s="14">
        <f t="shared" si="158"/>
        <v>420</v>
      </c>
      <c r="DD244" s="14">
        <f t="shared" si="159"/>
        <v>0</v>
      </c>
      <c r="DE244" s="14">
        <f t="shared" si="160"/>
        <v>0</v>
      </c>
      <c r="DF244" s="14">
        <f t="shared" si="161"/>
        <v>18</v>
      </c>
      <c r="DG244" s="14">
        <f t="shared" si="162"/>
        <v>12</v>
      </c>
      <c r="DH244" s="14">
        <f t="shared" si="163"/>
        <v>3</v>
      </c>
      <c r="DI244" s="14">
        <f t="shared" si="164"/>
        <v>13</v>
      </c>
      <c r="DL244" s="14">
        <f t="shared" si="146"/>
        <v>3</v>
      </c>
      <c r="DM244" s="14">
        <f t="shared" si="147"/>
        <v>0</v>
      </c>
      <c r="DN244" s="14" t="str">
        <f t="shared" si="165"/>
        <v>HPExt</v>
      </c>
      <c r="DO244" s="14">
        <f t="shared" si="166"/>
        <v>420</v>
      </c>
      <c r="DP244" s="14">
        <f t="shared" si="167"/>
        <v>18</v>
      </c>
      <c r="DQ244" s="14" t="str">
        <f t="shared" si="168"/>
        <v/>
      </c>
      <c r="DR244" s="14" t="str">
        <f t="shared" si="169"/>
        <v/>
      </c>
      <c r="DS244" s="14" t="str">
        <f t="shared" si="170"/>
        <v/>
      </c>
      <c r="DT244" s="14">
        <f t="shared" si="171"/>
        <v>12</v>
      </c>
      <c r="DU244" s="14">
        <f t="shared" si="172"/>
        <v>3</v>
      </c>
      <c r="DV244" s="14">
        <f t="shared" si="173"/>
        <v>13</v>
      </c>
      <c r="DW244" s="29" t="s">
        <v>758</v>
      </c>
      <c r="DX244" s="14">
        <f t="shared" si="174"/>
        <v>150</v>
      </c>
    </row>
    <row r="245" spans="91:128" ht="16.5" x14ac:dyDescent="0.2">
      <c r="CM245" s="13">
        <v>241</v>
      </c>
      <c r="CN245" s="14">
        <f t="shared" si="148"/>
        <v>33</v>
      </c>
      <c r="CO245" s="14">
        <f t="shared" si="149"/>
        <v>5</v>
      </c>
      <c r="CP245" s="14">
        <f t="shared" si="150"/>
        <v>5</v>
      </c>
      <c r="CQ245" s="14">
        <f t="shared" si="141"/>
        <v>3</v>
      </c>
      <c r="CR245" s="14">
        <f t="shared" si="142"/>
        <v>2034057</v>
      </c>
      <c r="CS245" s="13" t="str">
        <f t="shared" si="143"/>
        <v>90级寄灵人橙色套2-项链</v>
      </c>
      <c r="CT245" s="14">
        <f t="shared" si="144"/>
        <v>1</v>
      </c>
      <c r="CU245" s="14">
        <f t="shared" si="145"/>
        <v>4</v>
      </c>
      <c r="CV245" s="14">
        <f t="shared" si="151"/>
        <v>90</v>
      </c>
      <c r="CW245" s="14">
        <f t="shared" si="152"/>
        <v>90</v>
      </c>
      <c r="CX245" s="14">
        <f t="shared" si="153"/>
        <v>7</v>
      </c>
      <c r="CY245" s="14">
        <f t="shared" si="154"/>
        <v>1032</v>
      </c>
      <c r="CZ245" s="14">
        <f t="shared" si="155"/>
        <v>45</v>
      </c>
      <c r="DA245" s="14">
        <f t="shared" si="156"/>
        <v>90</v>
      </c>
      <c r="DB245" s="14">
        <f t="shared" si="157"/>
        <v>56</v>
      </c>
      <c r="DC245" s="14">
        <f t="shared" si="158"/>
        <v>0</v>
      </c>
      <c r="DD245" s="14">
        <f t="shared" si="159"/>
        <v>4</v>
      </c>
      <c r="DE245" s="14">
        <f t="shared" si="160"/>
        <v>2.5</v>
      </c>
      <c r="DF245" s="14">
        <f t="shared" si="161"/>
        <v>0</v>
      </c>
      <c r="DG245" s="14">
        <f t="shared" si="162"/>
        <v>12</v>
      </c>
      <c r="DH245" s="14">
        <f t="shared" si="163"/>
        <v>3</v>
      </c>
      <c r="DI245" s="14">
        <f t="shared" si="164"/>
        <v>13</v>
      </c>
      <c r="DL245" s="14">
        <f t="shared" si="146"/>
        <v>1</v>
      </c>
      <c r="DM245" s="14">
        <f t="shared" si="147"/>
        <v>2</v>
      </c>
      <c r="DN245" s="14" t="str">
        <f t="shared" si="165"/>
        <v>AtkExt</v>
      </c>
      <c r="DO245" s="14">
        <f t="shared" si="166"/>
        <v>90</v>
      </c>
      <c r="DP245" s="14">
        <f t="shared" si="167"/>
        <v>4</v>
      </c>
      <c r="DQ245" s="14" t="str">
        <f t="shared" si="168"/>
        <v>DefExt</v>
      </c>
      <c r="DR245" s="14">
        <f t="shared" si="169"/>
        <v>56</v>
      </c>
      <c r="DS245" s="14">
        <f t="shared" si="170"/>
        <v>2.5</v>
      </c>
      <c r="DT245" s="14">
        <f t="shared" si="171"/>
        <v>12</v>
      </c>
      <c r="DU245" s="14">
        <f t="shared" si="172"/>
        <v>3</v>
      </c>
      <c r="DV245" s="14">
        <f t="shared" si="173"/>
        <v>13</v>
      </c>
      <c r="DW245" s="29" t="s">
        <v>758</v>
      </c>
      <c r="DX245" s="14">
        <f t="shared" si="174"/>
        <v>150</v>
      </c>
    </row>
    <row r="246" spans="91:128" ht="16.5" x14ac:dyDescent="0.2">
      <c r="CM246" s="13">
        <v>242</v>
      </c>
      <c r="CN246" s="14">
        <f t="shared" si="148"/>
        <v>33</v>
      </c>
      <c r="CO246" s="14">
        <f t="shared" si="149"/>
        <v>5</v>
      </c>
      <c r="CP246" s="14">
        <f t="shared" si="150"/>
        <v>6</v>
      </c>
      <c r="CQ246" s="14">
        <f t="shared" si="141"/>
        <v>3</v>
      </c>
      <c r="CR246" s="14">
        <f t="shared" si="142"/>
        <v>2034058</v>
      </c>
      <c r="CS246" s="13" t="str">
        <f t="shared" si="143"/>
        <v>90级寄灵人橙色套2-戒指</v>
      </c>
      <c r="CT246" s="14">
        <f t="shared" si="144"/>
        <v>1</v>
      </c>
      <c r="CU246" s="14">
        <f t="shared" si="145"/>
        <v>4</v>
      </c>
      <c r="CV246" s="14">
        <f t="shared" si="151"/>
        <v>90</v>
      </c>
      <c r="CW246" s="14">
        <f t="shared" si="152"/>
        <v>90</v>
      </c>
      <c r="CX246" s="14">
        <f t="shared" si="153"/>
        <v>8</v>
      </c>
      <c r="CY246" s="14">
        <f t="shared" si="154"/>
        <v>1032</v>
      </c>
      <c r="CZ246" s="14">
        <f t="shared" si="155"/>
        <v>35</v>
      </c>
      <c r="DA246" s="14">
        <f t="shared" si="156"/>
        <v>90</v>
      </c>
      <c r="DB246" s="14">
        <f t="shared" si="157"/>
        <v>0</v>
      </c>
      <c r="DC246" s="14">
        <f t="shared" si="158"/>
        <v>350</v>
      </c>
      <c r="DD246" s="14">
        <f t="shared" si="159"/>
        <v>4</v>
      </c>
      <c r="DE246" s="14">
        <f t="shared" si="160"/>
        <v>0</v>
      </c>
      <c r="DF246" s="14">
        <f t="shared" si="161"/>
        <v>15</v>
      </c>
      <c r="DG246" s="14">
        <f t="shared" si="162"/>
        <v>12</v>
      </c>
      <c r="DH246" s="14">
        <f t="shared" si="163"/>
        <v>3</v>
      </c>
      <c r="DI246" s="14">
        <f t="shared" si="164"/>
        <v>13</v>
      </c>
      <c r="DL246" s="14">
        <f t="shared" si="146"/>
        <v>1</v>
      </c>
      <c r="DM246" s="14">
        <f t="shared" si="147"/>
        <v>3</v>
      </c>
      <c r="DN246" s="14" t="str">
        <f t="shared" si="165"/>
        <v>AtkExt</v>
      </c>
      <c r="DO246" s="14">
        <f t="shared" si="166"/>
        <v>90</v>
      </c>
      <c r="DP246" s="14">
        <f t="shared" si="167"/>
        <v>4</v>
      </c>
      <c r="DQ246" s="14" t="str">
        <f t="shared" si="168"/>
        <v>HPExt</v>
      </c>
      <c r="DR246" s="14">
        <f t="shared" si="169"/>
        <v>350</v>
      </c>
      <c r="DS246" s="14">
        <f t="shared" si="170"/>
        <v>15</v>
      </c>
      <c r="DT246" s="14">
        <f t="shared" si="171"/>
        <v>12</v>
      </c>
      <c r="DU246" s="14">
        <f t="shared" si="172"/>
        <v>3</v>
      </c>
      <c r="DV246" s="14">
        <f t="shared" si="173"/>
        <v>13</v>
      </c>
      <c r="DW246" s="29" t="s">
        <v>758</v>
      </c>
      <c r="DX246" s="14">
        <f t="shared" si="174"/>
        <v>150</v>
      </c>
    </row>
    <row r="247" spans="91:128" ht="16.5" x14ac:dyDescent="0.2">
      <c r="CM247" s="13">
        <v>243</v>
      </c>
      <c r="CN247" s="14">
        <f t="shared" si="148"/>
        <v>34</v>
      </c>
      <c r="CO247" s="14">
        <f t="shared" si="149"/>
        <v>6</v>
      </c>
      <c r="CP247" s="14">
        <f t="shared" si="150"/>
        <v>1</v>
      </c>
      <c r="CQ247" s="14">
        <f t="shared" si="141"/>
        <v>3</v>
      </c>
      <c r="CR247" s="14">
        <f t="shared" si="142"/>
        <v>2034061</v>
      </c>
      <c r="CS247" s="13" t="str">
        <f t="shared" si="143"/>
        <v>90级守护灵橙色套2-武器</v>
      </c>
      <c r="CT247" s="14">
        <f t="shared" si="144"/>
        <v>2</v>
      </c>
      <c r="CU247" s="14">
        <f t="shared" si="145"/>
        <v>4</v>
      </c>
      <c r="CV247" s="14">
        <f t="shared" si="151"/>
        <v>90</v>
      </c>
      <c r="CW247" s="14">
        <f t="shared" si="152"/>
        <v>90</v>
      </c>
      <c r="CX247" s="14">
        <f t="shared" si="153"/>
        <v>1</v>
      </c>
      <c r="CY247" s="14">
        <f t="shared" si="154"/>
        <v>2032</v>
      </c>
      <c r="CZ247" s="14">
        <f t="shared" si="155"/>
        <v>60</v>
      </c>
      <c r="DA247" s="14">
        <f t="shared" si="156"/>
        <v>300</v>
      </c>
      <c r="DB247" s="14">
        <f t="shared" si="157"/>
        <v>0</v>
      </c>
      <c r="DC247" s="14">
        <f t="shared" si="158"/>
        <v>0</v>
      </c>
      <c r="DD247" s="14">
        <f t="shared" si="159"/>
        <v>12</v>
      </c>
      <c r="DE247" s="14">
        <f t="shared" si="160"/>
        <v>0</v>
      </c>
      <c r="DF247" s="14">
        <f t="shared" si="161"/>
        <v>0</v>
      </c>
      <c r="DG247" s="14">
        <f t="shared" si="162"/>
        <v>12</v>
      </c>
      <c r="DH247" s="14">
        <f t="shared" si="163"/>
        <v>3</v>
      </c>
      <c r="DI247" s="14">
        <f t="shared" si="164"/>
        <v>23</v>
      </c>
      <c r="DL247" s="14">
        <f t="shared" si="146"/>
        <v>1</v>
      </c>
      <c r="DM247" s="14">
        <f t="shared" si="147"/>
        <v>0</v>
      </c>
      <c r="DN247" s="14" t="str">
        <f t="shared" si="165"/>
        <v>AtkExt</v>
      </c>
      <c r="DO247" s="14">
        <f t="shared" si="166"/>
        <v>300</v>
      </c>
      <c r="DP247" s="14">
        <f t="shared" si="167"/>
        <v>12</v>
      </c>
      <c r="DQ247" s="14" t="str">
        <f t="shared" si="168"/>
        <v/>
      </c>
      <c r="DR247" s="14" t="str">
        <f t="shared" si="169"/>
        <v/>
      </c>
      <c r="DS247" s="14" t="str">
        <f t="shared" si="170"/>
        <v/>
      </c>
      <c r="DT247" s="14">
        <f t="shared" si="171"/>
        <v>12</v>
      </c>
      <c r="DU247" s="14">
        <f t="shared" si="172"/>
        <v>3</v>
      </c>
      <c r="DV247" s="14">
        <f t="shared" si="173"/>
        <v>23</v>
      </c>
      <c r="DW247" s="29" t="s">
        <v>758</v>
      </c>
      <c r="DX247" s="14">
        <f t="shared" si="174"/>
        <v>150</v>
      </c>
    </row>
    <row r="248" spans="91:128" ht="16.5" x14ac:dyDescent="0.2">
      <c r="CM248" s="13">
        <v>244</v>
      </c>
      <c r="CN248" s="14">
        <f t="shared" si="148"/>
        <v>34</v>
      </c>
      <c r="CO248" s="14">
        <f t="shared" si="149"/>
        <v>6</v>
      </c>
      <c r="CP248" s="14">
        <f t="shared" si="150"/>
        <v>2</v>
      </c>
      <c r="CQ248" s="14">
        <f t="shared" si="141"/>
        <v>3</v>
      </c>
      <c r="CR248" s="14">
        <f t="shared" si="142"/>
        <v>2034064</v>
      </c>
      <c r="CS248" s="13" t="str">
        <f t="shared" si="143"/>
        <v>90级守护灵橙色套2-衣服</v>
      </c>
      <c r="CT248" s="14">
        <f t="shared" si="144"/>
        <v>2</v>
      </c>
      <c r="CU248" s="14">
        <f t="shared" si="145"/>
        <v>4</v>
      </c>
      <c r="CV248" s="14">
        <f t="shared" si="151"/>
        <v>90</v>
      </c>
      <c r="CW248" s="14">
        <f t="shared" si="152"/>
        <v>90</v>
      </c>
      <c r="CX248" s="14">
        <f t="shared" si="153"/>
        <v>4</v>
      </c>
      <c r="CY248" s="14">
        <f t="shared" si="154"/>
        <v>2032</v>
      </c>
      <c r="CZ248" s="14">
        <f t="shared" si="155"/>
        <v>30</v>
      </c>
      <c r="DA248" s="14">
        <f t="shared" si="156"/>
        <v>0</v>
      </c>
      <c r="DB248" s="14">
        <f t="shared" si="157"/>
        <v>75</v>
      </c>
      <c r="DC248" s="14">
        <f t="shared" si="158"/>
        <v>0</v>
      </c>
      <c r="DD248" s="14">
        <f t="shared" si="159"/>
        <v>0</v>
      </c>
      <c r="DE248" s="14">
        <f t="shared" si="160"/>
        <v>3</v>
      </c>
      <c r="DF248" s="14">
        <f t="shared" si="161"/>
        <v>0</v>
      </c>
      <c r="DG248" s="14">
        <f t="shared" si="162"/>
        <v>12</v>
      </c>
      <c r="DH248" s="14">
        <f t="shared" si="163"/>
        <v>3</v>
      </c>
      <c r="DI248" s="14">
        <f t="shared" si="164"/>
        <v>23</v>
      </c>
      <c r="DL248" s="14">
        <f t="shared" si="146"/>
        <v>2</v>
      </c>
      <c r="DM248" s="14">
        <f t="shared" si="147"/>
        <v>0</v>
      </c>
      <c r="DN248" s="14" t="str">
        <f t="shared" si="165"/>
        <v>DefExt</v>
      </c>
      <c r="DO248" s="14">
        <f t="shared" si="166"/>
        <v>75</v>
      </c>
      <c r="DP248" s="14">
        <f t="shared" si="167"/>
        <v>3</v>
      </c>
      <c r="DQ248" s="14" t="str">
        <f t="shared" si="168"/>
        <v/>
      </c>
      <c r="DR248" s="14" t="str">
        <f t="shared" si="169"/>
        <v/>
      </c>
      <c r="DS248" s="14" t="str">
        <f t="shared" si="170"/>
        <v/>
      </c>
      <c r="DT248" s="14">
        <f t="shared" si="171"/>
        <v>12</v>
      </c>
      <c r="DU248" s="14">
        <f t="shared" si="172"/>
        <v>3</v>
      </c>
      <c r="DV248" s="14">
        <f t="shared" si="173"/>
        <v>23</v>
      </c>
      <c r="DW248" s="29" t="s">
        <v>758</v>
      </c>
      <c r="DX248" s="14">
        <f t="shared" si="174"/>
        <v>150</v>
      </c>
    </row>
    <row r="249" spans="91:128" ht="16.5" x14ac:dyDescent="0.2">
      <c r="CM249" s="13">
        <v>245</v>
      </c>
      <c r="CN249" s="14">
        <f t="shared" si="148"/>
        <v>34</v>
      </c>
      <c r="CO249" s="14">
        <f t="shared" si="149"/>
        <v>6</v>
      </c>
      <c r="CP249" s="14">
        <f t="shared" si="150"/>
        <v>3</v>
      </c>
      <c r="CQ249" s="14">
        <f t="shared" si="141"/>
        <v>3</v>
      </c>
      <c r="CR249" s="14">
        <f t="shared" si="142"/>
        <v>2034065</v>
      </c>
      <c r="CS249" s="13" t="str">
        <f t="shared" si="143"/>
        <v>90级守护灵橙色套2-鞋子</v>
      </c>
      <c r="CT249" s="14">
        <f t="shared" si="144"/>
        <v>2</v>
      </c>
      <c r="CU249" s="14">
        <f t="shared" si="145"/>
        <v>4</v>
      </c>
      <c r="CV249" s="14">
        <f t="shared" si="151"/>
        <v>90</v>
      </c>
      <c r="CW249" s="14">
        <f t="shared" si="152"/>
        <v>90</v>
      </c>
      <c r="CX249" s="14">
        <f t="shared" si="153"/>
        <v>5</v>
      </c>
      <c r="CY249" s="14">
        <f t="shared" si="154"/>
        <v>2032</v>
      </c>
      <c r="CZ249" s="14">
        <f t="shared" si="155"/>
        <v>37</v>
      </c>
      <c r="DA249" s="14">
        <f t="shared" si="156"/>
        <v>0</v>
      </c>
      <c r="DB249" s="14">
        <f t="shared" si="157"/>
        <v>0</v>
      </c>
      <c r="DC249" s="14">
        <f t="shared" si="158"/>
        <v>750</v>
      </c>
      <c r="DD249" s="14">
        <f t="shared" si="159"/>
        <v>0</v>
      </c>
      <c r="DE249" s="14">
        <f t="shared" si="160"/>
        <v>0</v>
      </c>
      <c r="DF249" s="14">
        <f t="shared" si="161"/>
        <v>37.5</v>
      </c>
      <c r="DG249" s="14">
        <f t="shared" si="162"/>
        <v>12</v>
      </c>
      <c r="DH249" s="14">
        <f t="shared" si="163"/>
        <v>3</v>
      </c>
      <c r="DI249" s="14">
        <f t="shared" si="164"/>
        <v>23</v>
      </c>
      <c r="DL249" s="14">
        <f t="shared" si="146"/>
        <v>3</v>
      </c>
      <c r="DM249" s="14">
        <f t="shared" si="147"/>
        <v>0</v>
      </c>
      <c r="DN249" s="14" t="str">
        <f t="shared" si="165"/>
        <v>HPExt</v>
      </c>
      <c r="DO249" s="14">
        <f t="shared" si="166"/>
        <v>750</v>
      </c>
      <c r="DP249" s="14">
        <f t="shared" si="167"/>
        <v>37.5</v>
      </c>
      <c r="DQ249" s="14" t="str">
        <f t="shared" si="168"/>
        <v/>
      </c>
      <c r="DR249" s="14" t="str">
        <f t="shared" si="169"/>
        <v/>
      </c>
      <c r="DS249" s="14" t="str">
        <f t="shared" si="170"/>
        <v/>
      </c>
      <c r="DT249" s="14">
        <f t="shared" si="171"/>
        <v>12</v>
      </c>
      <c r="DU249" s="14">
        <f t="shared" si="172"/>
        <v>3</v>
      </c>
      <c r="DV249" s="14">
        <f t="shared" si="173"/>
        <v>23</v>
      </c>
      <c r="DW249" s="29" t="s">
        <v>758</v>
      </c>
      <c r="DX249" s="14">
        <f t="shared" si="174"/>
        <v>150</v>
      </c>
    </row>
    <row r="250" spans="91:128" ht="16.5" x14ac:dyDescent="0.2">
      <c r="CM250" s="13">
        <v>246</v>
      </c>
      <c r="CN250" s="14">
        <f t="shared" si="148"/>
        <v>34</v>
      </c>
      <c r="CO250" s="14">
        <f t="shared" si="149"/>
        <v>6</v>
      </c>
      <c r="CP250" s="14">
        <f t="shared" si="150"/>
        <v>4</v>
      </c>
      <c r="CQ250" s="14">
        <f t="shared" si="141"/>
        <v>3</v>
      </c>
      <c r="CR250" s="14">
        <f t="shared" si="142"/>
        <v>2034066</v>
      </c>
      <c r="CS250" s="13" t="str">
        <f t="shared" si="143"/>
        <v>90级守护灵橙色套2-护手</v>
      </c>
      <c r="CT250" s="14">
        <f t="shared" si="144"/>
        <v>2</v>
      </c>
      <c r="CU250" s="14">
        <f t="shared" si="145"/>
        <v>4</v>
      </c>
      <c r="CV250" s="14">
        <f t="shared" si="151"/>
        <v>90</v>
      </c>
      <c r="CW250" s="14">
        <f t="shared" si="152"/>
        <v>90</v>
      </c>
      <c r="CX250" s="14">
        <f t="shared" si="153"/>
        <v>6</v>
      </c>
      <c r="CY250" s="14">
        <f t="shared" si="154"/>
        <v>2032</v>
      </c>
      <c r="CZ250" s="14">
        <f t="shared" si="155"/>
        <v>37</v>
      </c>
      <c r="DA250" s="14">
        <f t="shared" si="156"/>
        <v>0</v>
      </c>
      <c r="DB250" s="14">
        <f t="shared" si="157"/>
        <v>0</v>
      </c>
      <c r="DC250" s="14">
        <f t="shared" si="158"/>
        <v>750</v>
      </c>
      <c r="DD250" s="14">
        <f t="shared" si="159"/>
        <v>0</v>
      </c>
      <c r="DE250" s="14">
        <f t="shared" si="160"/>
        <v>0</v>
      </c>
      <c r="DF250" s="14">
        <f t="shared" si="161"/>
        <v>37.5</v>
      </c>
      <c r="DG250" s="14">
        <f t="shared" si="162"/>
        <v>12</v>
      </c>
      <c r="DH250" s="14">
        <f t="shared" si="163"/>
        <v>3</v>
      </c>
      <c r="DI250" s="14">
        <f t="shared" si="164"/>
        <v>23</v>
      </c>
      <c r="DL250" s="14">
        <f t="shared" si="146"/>
        <v>3</v>
      </c>
      <c r="DM250" s="14">
        <f t="shared" si="147"/>
        <v>0</v>
      </c>
      <c r="DN250" s="14" t="str">
        <f t="shared" si="165"/>
        <v>HPExt</v>
      </c>
      <c r="DO250" s="14">
        <f t="shared" si="166"/>
        <v>750</v>
      </c>
      <c r="DP250" s="14">
        <f t="shared" si="167"/>
        <v>37.5</v>
      </c>
      <c r="DQ250" s="14" t="str">
        <f t="shared" si="168"/>
        <v/>
      </c>
      <c r="DR250" s="14" t="str">
        <f t="shared" si="169"/>
        <v/>
      </c>
      <c r="DS250" s="14" t="str">
        <f t="shared" si="170"/>
        <v/>
      </c>
      <c r="DT250" s="14">
        <f t="shared" si="171"/>
        <v>12</v>
      </c>
      <c r="DU250" s="14">
        <f t="shared" si="172"/>
        <v>3</v>
      </c>
      <c r="DV250" s="14">
        <f t="shared" si="173"/>
        <v>23</v>
      </c>
      <c r="DW250" s="29" t="s">
        <v>758</v>
      </c>
      <c r="DX250" s="14">
        <f t="shared" si="174"/>
        <v>150</v>
      </c>
    </row>
    <row r="251" spans="91:128" ht="16.5" x14ac:dyDescent="0.2">
      <c r="CM251" s="13">
        <v>247</v>
      </c>
      <c r="CN251" s="14">
        <f t="shared" si="148"/>
        <v>34</v>
      </c>
      <c r="CO251" s="14">
        <f t="shared" si="149"/>
        <v>6</v>
      </c>
      <c r="CP251" s="14">
        <f t="shared" si="150"/>
        <v>5</v>
      </c>
      <c r="CQ251" s="14">
        <f t="shared" si="141"/>
        <v>3</v>
      </c>
      <c r="CR251" s="14">
        <f t="shared" si="142"/>
        <v>2034067</v>
      </c>
      <c r="CS251" s="13" t="str">
        <f t="shared" si="143"/>
        <v>90级守护灵橙色套2-项链</v>
      </c>
      <c r="CT251" s="14">
        <f t="shared" si="144"/>
        <v>2</v>
      </c>
      <c r="CU251" s="14">
        <f t="shared" si="145"/>
        <v>4</v>
      </c>
      <c r="CV251" s="14">
        <f t="shared" si="151"/>
        <v>90</v>
      </c>
      <c r="CW251" s="14">
        <f t="shared" si="152"/>
        <v>90</v>
      </c>
      <c r="CX251" s="14">
        <f t="shared" si="153"/>
        <v>7</v>
      </c>
      <c r="CY251" s="14">
        <f t="shared" si="154"/>
        <v>2032</v>
      </c>
      <c r="CZ251" s="14">
        <f t="shared" si="155"/>
        <v>45</v>
      </c>
      <c r="DA251" s="14">
        <f t="shared" si="156"/>
        <v>100</v>
      </c>
      <c r="DB251" s="14">
        <f t="shared" si="157"/>
        <v>63</v>
      </c>
      <c r="DC251" s="14">
        <f t="shared" si="158"/>
        <v>0</v>
      </c>
      <c r="DD251" s="14">
        <f t="shared" si="159"/>
        <v>4</v>
      </c>
      <c r="DE251" s="14">
        <f t="shared" si="160"/>
        <v>2.5</v>
      </c>
      <c r="DF251" s="14">
        <f t="shared" si="161"/>
        <v>0</v>
      </c>
      <c r="DG251" s="14">
        <f t="shared" si="162"/>
        <v>12</v>
      </c>
      <c r="DH251" s="14">
        <f t="shared" si="163"/>
        <v>3</v>
      </c>
      <c r="DI251" s="14">
        <f t="shared" si="164"/>
        <v>23</v>
      </c>
      <c r="DL251" s="14">
        <f t="shared" si="146"/>
        <v>1</v>
      </c>
      <c r="DM251" s="14">
        <f t="shared" si="147"/>
        <v>2</v>
      </c>
      <c r="DN251" s="14" t="str">
        <f t="shared" si="165"/>
        <v>AtkExt</v>
      </c>
      <c r="DO251" s="14">
        <f t="shared" si="166"/>
        <v>100</v>
      </c>
      <c r="DP251" s="14">
        <f t="shared" si="167"/>
        <v>4</v>
      </c>
      <c r="DQ251" s="14" t="str">
        <f t="shared" si="168"/>
        <v>DefExt</v>
      </c>
      <c r="DR251" s="14">
        <f t="shared" si="169"/>
        <v>63</v>
      </c>
      <c r="DS251" s="14">
        <f t="shared" si="170"/>
        <v>2.5</v>
      </c>
      <c r="DT251" s="14">
        <f t="shared" si="171"/>
        <v>12</v>
      </c>
      <c r="DU251" s="14">
        <f t="shared" si="172"/>
        <v>3</v>
      </c>
      <c r="DV251" s="14">
        <f t="shared" si="173"/>
        <v>23</v>
      </c>
      <c r="DW251" s="29" t="s">
        <v>758</v>
      </c>
      <c r="DX251" s="14">
        <f t="shared" si="174"/>
        <v>150</v>
      </c>
    </row>
    <row r="252" spans="91:128" ht="16.5" x14ac:dyDescent="0.2">
      <c r="CM252" s="13">
        <v>248</v>
      </c>
      <c r="CN252" s="14">
        <f t="shared" si="148"/>
        <v>34</v>
      </c>
      <c r="CO252" s="14">
        <f t="shared" si="149"/>
        <v>6</v>
      </c>
      <c r="CP252" s="14">
        <f t="shared" si="150"/>
        <v>6</v>
      </c>
      <c r="CQ252" s="14">
        <f t="shared" si="141"/>
        <v>3</v>
      </c>
      <c r="CR252" s="14">
        <f t="shared" si="142"/>
        <v>2034068</v>
      </c>
      <c r="CS252" s="13" t="str">
        <f t="shared" si="143"/>
        <v>90级守护灵橙色套2-戒指</v>
      </c>
      <c r="CT252" s="14">
        <f t="shared" si="144"/>
        <v>2</v>
      </c>
      <c r="CU252" s="14">
        <f t="shared" si="145"/>
        <v>4</v>
      </c>
      <c r="CV252" s="14">
        <f t="shared" si="151"/>
        <v>90</v>
      </c>
      <c r="CW252" s="14">
        <f t="shared" si="152"/>
        <v>90</v>
      </c>
      <c r="CX252" s="14">
        <f t="shared" si="153"/>
        <v>8</v>
      </c>
      <c r="CY252" s="14">
        <f t="shared" si="154"/>
        <v>2032</v>
      </c>
      <c r="CZ252" s="14">
        <f t="shared" si="155"/>
        <v>51</v>
      </c>
      <c r="DA252" s="14">
        <f t="shared" si="156"/>
        <v>100</v>
      </c>
      <c r="DB252" s="14">
        <f t="shared" si="157"/>
        <v>0</v>
      </c>
      <c r="DC252" s="14">
        <f t="shared" si="158"/>
        <v>625</v>
      </c>
      <c r="DD252" s="14">
        <f t="shared" si="159"/>
        <v>4</v>
      </c>
      <c r="DE252" s="14">
        <f t="shared" si="160"/>
        <v>0</v>
      </c>
      <c r="DF252" s="14">
        <f t="shared" si="161"/>
        <v>31.25</v>
      </c>
      <c r="DG252" s="14">
        <f t="shared" si="162"/>
        <v>12</v>
      </c>
      <c r="DH252" s="14">
        <f t="shared" si="163"/>
        <v>3</v>
      </c>
      <c r="DI252" s="14">
        <f t="shared" si="164"/>
        <v>23</v>
      </c>
      <c r="DL252" s="14">
        <f t="shared" si="146"/>
        <v>1</v>
      </c>
      <c r="DM252" s="14">
        <f t="shared" si="147"/>
        <v>3</v>
      </c>
      <c r="DN252" s="14" t="str">
        <f t="shared" si="165"/>
        <v>AtkExt</v>
      </c>
      <c r="DO252" s="14">
        <f t="shared" si="166"/>
        <v>100</v>
      </c>
      <c r="DP252" s="14">
        <f t="shared" si="167"/>
        <v>4</v>
      </c>
      <c r="DQ252" s="14" t="str">
        <f t="shared" si="168"/>
        <v>HPExt</v>
      </c>
      <c r="DR252" s="14">
        <f t="shared" si="169"/>
        <v>625</v>
      </c>
      <c r="DS252" s="14">
        <f t="shared" si="170"/>
        <v>31.25</v>
      </c>
      <c r="DT252" s="14">
        <f t="shared" si="171"/>
        <v>12</v>
      </c>
      <c r="DU252" s="14">
        <f t="shared" si="172"/>
        <v>3</v>
      </c>
      <c r="DV252" s="14">
        <f t="shared" si="173"/>
        <v>23</v>
      </c>
      <c r="DW252" s="29" t="s">
        <v>758</v>
      </c>
      <c r="DX252" s="14">
        <f t="shared" si="174"/>
        <v>150</v>
      </c>
    </row>
    <row r="253" spans="91:128" ht="16.5" x14ac:dyDescent="0.2">
      <c r="CM253" s="13">
        <v>249</v>
      </c>
      <c r="CN253" s="14">
        <f t="shared" si="148"/>
        <v>35</v>
      </c>
      <c r="CO253" s="14">
        <f t="shared" si="149"/>
        <v>1</v>
      </c>
      <c r="CP253" s="14">
        <f t="shared" si="150"/>
        <v>1</v>
      </c>
      <c r="CQ253" s="14">
        <f t="shared" si="141"/>
        <v>4</v>
      </c>
      <c r="CR253" s="14">
        <f t="shared" si="142"/>
        <v>2041011</v>
      </c>
      <c r="CS253" s="13" t="str">
        <f t="shared" si="143"/>
        <v>120级寄灵人绿色-武器</v>
      </c>
      <c r="CT253" s="14">
        <f t="shared" si="144"/>
        <v>1</v>
      </c>
      <c r="CU253" s="14">
        <f t="shared" si="145"/>
        <v>1</v>
      </c>
      <c r="CV253" s="14">
        <f t="shared" si="151"/>
        <v>120</v>
      </c>
      <c r="CW253" s="14">
        <f t="shared" si="152"/>
        <v>120</v>
      </c>
      <c r="CX253" s="14">
        <f t="shared" si="153"/>
        <v>1</v>
      </c>
      <c r="CY253" s="14" t="str">
        <f t="shared" si="154"/>
        <v/>
      </c>
      <c r="CZ253" s="14">
        <f t="shared" si="155"/>
        <v>52</v>
      </c>
      <c r="DA253" s="14">
        <f t="shared" si="156"/>
        <v>300</v>
      </c>
      <c r="DB253" s="14">
        <f t="shared" si="157"/>
        <v>0</v>
      </c>
      <c r="DC253" s="14">
        <f t="shared" si="158"/>
        <v>0</v>
      </c>
      <c r="DD253" s="14">
        <f t="shared" si="159"/>
        <v>10.5</v>
      </c>
      <c r="DE253" s="14">
        <f t="shared" si="160"/>
        <v>0</v>
      </c>
      <c r="DF253" s="14">
        <f t="shared" si="161"/>
        <v>0</v>
      </c>
      <c r="DG253" s="14">
        <f t="shared" si="162"/>
        <v>13</v>
      </c>
      <c r="DH253" s="14">
        <f t="shared" si="163"/>
        <v>0</v>
      </c>
      <c r="DI253" s="14">
        <f t="shared" si="164"/>
        <v>14</v>
      </c>
      <c r="DL253" s="14">
        <f t="shared" si="146"/>
        <v>1</v>
      </c>
      <c r="DM253" s="14">
        <f t="shared" si="147"/>
        <v>0</v>
      </c>
      <c r="DN253" s="14" t="str">
        <f t="shared" si="165"/>
        <v>AtkExt</v>
      </c>
      <c r="DO253" s="14">
        <f t="shared" si="166"/>
        <v>300</v>
      </c>
      <c r="DP253" s="14">
        <f t="shared" si="167"/>
        <v>10.5</v>
      </c>
      <c r="DQ253" s="14" t="str">
        <f t="shared" si="168"/>
        <v/>
      </c>
      <c r="DR253" s="14" t="str">
        <f t="shared" si="169"/>
        <v/>
      </c>
      <c r="DS253" s="14" t="str">
        <f t="shared" si="170"/>
        <v/>
      </c>
      <c r="DT253" s="14">
        <f t="shared" si="171"/>
        <v>13</v>
      </c>
      <c r="DU253" s="14">
        <f t="shared" si="172"/>
        <v>0</v>
      </c>
      <c r="DV253" s="14">
        <f t="shared" si="173"/>
        <v>14</v>
      </c>
      <c r="DW253" s="29" t="s">
        <v>758</v>
      </c>
      <c r="DX253" s="14">
        <f t="shared" si="174"/>
        <v>30</v>
      </c>
    </row>
    <row r="254" spans="91:128" ht="16.5" x14ac:dyDescent="0.2">
      <c r="CM254" s="13">
        <v>250</v>
      </c>
      <c r="CN254" s="14">
        <f t="shared" si="148"/>
        <v>35</v>
      </c>
      <c r="CO254" s="14">
        <f t="shared" si="149"/>
        <v>1</v>
      </c>
      <c r="CP254" s="14">
        <f t="shared" si="150"/>
        <v>2</v>
      </c>
      <c r="CQ254" s="14">
        <f t="shared" si="141"/>
        <v>4</v>
      </c>
      <c r="CR254" s="14">
        <f t="shared" si="142"/>
        <v>2041012</v>
      </c>
      <c r="CS254" s="13" t="str">
        <f t="shared" si="143"/>
        <v>120级寄灵人绿色-头盔</v>
      </c>
      <c r="CT254" s="14">
        <f t="shared" si="144"/>
        <v>1</v>
      </c>
      <c r="CU254" s="14">
        <f t="shared" si="145"/>
        <v>1</v>
      </c>
      <c r="CV254" s="14">
        <f t="shared" si="151"/>
        <v>120</v>
      </c>
      <c r="CW254" s="14">
        <f t="shared" si="152"/>
        <v>120</v>
      </c>
      <c r="CX254" s="14">
        <f t="shared" si="153"/>
        <v>2</v>
      </c>
      <c r="CY254" s="14" t="str">
        <f t="shared" si="154"/>
        <v/>
      </c>
      <c r="CZ254" s="14">
        <f t="shared" si="155"/>
        <v>26</v>
      </c>
      <c r="DA254" s="14">
        <f t="shared" si="156"/>
        <v>0</v>
      </c>
      <c r="DB254" s="14">
        <f t="shared" si="157"/>
        <v>75</v>
      </c>
      <c r="DC254" s="14">
        <f t="shared" si="158"/>
        <v>0</v>
      </c>
      <c r="DD254" s="14">
        <f t="shared" si="159"/>
        <v>0</v>
      </c>
      <c r="DE254" s="14">
        <f t="shared" si="160"/>
        <v>2.63</v>
      </c>
      <c r="DF254" s="14">
        <f t="shared" si="161"/>
        <v>0</v>
      </c>
      <c r="DG254" s="14">
        <f t="shared" si="162"/>
        <v>13</v>
      </c>
      <c r="DH254" s="14">
        <f t="shared" si="163"/>
        <v>0</v>
      </c>
      <c r="DI254" s="14">
        <f t="shared" si="164"/>
        <v>14</v>
      </c>
      <c r="DL254" s="14">
        <f t="shared" si="146"/>
        <v>2</v>
      </c>
      <c r="DM254" s="14">
        <f t="shared" si="147"/>
        <v>0</v>
      </c>
      <c r="DN254" s="14" t="str">
        <f t="shared" si="165"/>
        <v>DefExt</v>
      </c>
      <c r="DO254" s="14">
        <f t="shared" si="166"/>
        <v>75</v>
      </c>
      <c r="DP254" s="14">
        <f t="shared" si="167"/>
        <v>2.63</v>
      </c>
      <c r="DQ254" s="14" t="str">
        <f t="shared" si="168"/>
        <v/>
      </c>
      <c r="DR254" s="14" t="str">
        <f t="shared" si="169"/>
        <v/>
      </c>
      <c r="DS254" s="14" t="str">
        <f t="shared" si="170"/>
        <v/>
      </c>
      <c r="DT254" s="14">
        <f t="shared" si="171"/>
        <v>13</v>
      </c>
      <c r="DU254" s="14">
        <f t="shared" si="172"/>
        <v>0</v>
      </c>
      <c r="DV254" s="14">
        <f t="shared" si="173"/>
        <v>14</v>
      </c>
      <c r="DW254" s="29" t="s">
        <v>758</v>
      </c>
      <c r="DX254" s="14">
        <f t="shared" si="174"/>
        <v>30</v>
      </c>
    </row>
    <row r="255" spans="91:128" ht="16.5" x14ac:dyDescent="0.2">
      <c r="CM255" s="13">
        <v>251</v>
      </c>
      <c r="CN255" s="14">
        <f t="shared" si="148"/>
        <v>35</v>
      </c>
      <c r="CO255" s="14">
        <f t="shared" si="149"/>
        <v>1</v>
      </c>
      <c r="CP255" s="14">
        <f t="shared" si="150"/>
        <v>3</v>
      </c>
      <c r="CQ255" s="14">
        <f t="shared" si="141"/>
        <v>4</v>
      </c>
      <c r="CR255" s="14">
        <f t="shared" si="142"/>
        <v>2041013</v>
      </c>
      <c r="CS255" s="13" t="str">
        <f t="shared" si="143"/>
        <v>120级寄灵人绿色-肩甲</v>
      </c>
      <c r="CT255" s="14">
        <f t="shared" si="144"/>
        <v>1</v>
      </c>
      <c r="CU255" s="14">
        <f t="shared" si="145"/>
        <v>1</v>
      </c>
      <c r="CV255" s="14">
        <f t="shared" si="151"/>
        <v>120</v>
      </c>
      <c r="CW255" s="14">
        <f t="shared" si="152"/>
        <v>120</v>
      </c>
      <c r="CX255" s="14">
        <f t="shared" si="153"/>
        <v>3</v>
      </c>
      <c r="CY255" s="14" t="str">
        <f t="shared" si="154"/>
        <v/>
      </c>
      <c r="CZ255" s="14">
        <f t="shared" si="155"/>
        <v>20</v>
      </c>
      <c r="DA255" s="14">
        <f t="shared" si="156"/>
        <v>0</v>
      </c>
      <c r="DB255" s="14">
        <f t="shared" si="157"/>
        <v>38</v>
      </c>
      <c r="DC255" s="14">
        <f t="shared" si="158"/>
        <v>225</v>
      </c>
      <c r="DD255" s="14">
        <f t="shared" si="159"/>
        <v>0</v>
      </c>
      <c r="DE255" s="14">
        <f t="shared" si="160"/>
        <v>1.31</v>
      </c>
      <c r="DF255" s="14">
        <f t="shared" si="161"/>
        <v>7.5</v>
      </c>
      <c r="DG255" s="14">
        <f t="shared" si="162"/>
        <v>13</v>
      </c>
      <c r="DH255" s="14">
        <f t="shared" si="163"/>
        <v>0</v>
      </c>
      <c r="DI255" s="14">
        <f t="shared" si="164"/>
        <v>14</v>
      </c>
      <c r="DL255" s="14">
        <f t="shared" si="146"/>
        <v>2</v>
      </c>
      <c r="DM255" s="14">
        <f t="shared" si="147"/>
        <v>3</v>
      </c>
      <c r="DN255" s="14" t="str">
        <f t="shared" si="165"/>
        <v>DefExt</v>
      </c>
      <c r="DO255" s="14">
        <f t="shared" si="166"/>
        <v>38</v>
      </c>
      <c r="DP255" s="14">
        <f t="shared" si="167"/>
        <v>1.31</v>
      </c>
      <c r="DQ255" s="14" t="str">
        <f t="shared" si="168"/>
        <v>HPExt</v>
      </c>
      <c r="DR255" s="14">
        <f t="shared" si="169"/>
        <v>225</v>
      </c>
      <c r="DS255" s="14">
        <f t="shared" si="170"/>
        <v>7.5</v>
      </c>
      <c r="DT255" s="14">
        <f t="shared" si="171"/>
        <v>13</v>
      </c>
      <c r="DU255" s="14">
        <f t="shared" si="172"/>
        <v>0</v>
      </c>
      <c r="DV255" s="14">
        <f t="shared" si="173"/>
        <v>14</v>
      </c>
      <c r="DW255" s="29" t="s">
        <v>758</v>
      </c>
      <c r="DX255" s="14">
        <f t="shared" si="174"/>
        <v>30</v>
      </c>
    </row>
    <row r="256" spans="91:128" ht="16.5" x14ac:dyDescent="0.2">
      <c r="CM256" s="13">
        <v>252</v>
      </c>
      <c r="CN256" s="14">
        <f t="shared" si="148"/>
        <v>35</v>
      </c>
      <c r="CO256" s="14">
        <f t="shared" si="149"/>
        <v>1</v>
      </c>
      <c r="CP256" s="14">
        <f t="shared" si="150"/>
        <v>4</v>
      </c>
      <c r="CQ256" s="14">
        <f t="shared" si="141"/>
        <v>4</v>
      </c>
      <c r="CR256" s="14">
        <f t="shared" si="142"/>
        <v>2041014</v>
      </c>
      <c r="CS256" s="13" t="str">
        <f t="shared" si="143"/>
        <v>120级寄灵人绿色-衣服</v>
      </c>
      <c r="CT256" s="14">
        <f t="shared" si="144"/>
        <v>1</v>
      </c>
      <c r="CU256" s="14">
        <f t="shared" si="145"/>
        <v>1</v>
      </c>
      <c r="CV256" s="14">
        <f t="shared" si="151"/>
        <v>120</v>
      </c>
      <c r="CW256" s="14">
        <f t="shared" si="152"/>
        <v>120</v>
      </c>
      <c r="CX256" s="14">
        <f t="shared" si="153"/>
        <v>4</v>
      </c>
      <c r="CY256" s="14" t="str">
        <f t="shared" si="154"/>
        <v/>
      </c>
      <c r="CZ256" s="14">
        <f t="shared" si="155"/>
        <v>26</v>
      </c>
      <c r="DA256" s="14">
        <f t="shared" si="156"/>
        <v>0</v>
      </c>
      <c r="DB256" s="14">
        <f t="shared" si="157"/>
        <v>75</v>
      </c>
      <c r="DC256" s="14">
        <f t="shared" si="158"/>
        <v>0</v>
      </c>
      <c r="DD256" s="14">
        <f t="shared" si="159"/>
        <v>0</v>
      </c>
      <c r="DE256" s="14">
        <f t="shared" si="160"/>
        <v>2.63</v>
      </c>
      <c r="DF256" s="14">
        <f t="shared" si="161"/>
        <v>0</v>
      </c>
      <c r="DG256" s="14">
        <f t="shared" si="162"/>
        <v>13</v>
      </c>
      <c r="DH256" s="14">
        <f t="shared" si="163"/>
        <v>0</v>
      </c>
      <c r="DI256" s="14">
        <f t="shared" si="164"/>
        <v>14</v>
      </c>
      <c r="DL256" s="14">
        <f t="shared" si="146"/>
        <v>2</v>
      </c>
      <c r="DM256" s="14">
        <f t="shared" si="147"/>
        <v>0</v>
      </c>
      <c r="DN256" s="14" t="str">
        <f t="shared" si="165"/>
        <v>DefExt</v>
      </c>
      <c r="DO256" s="14">
        <f t="shared" si="166"/>
        <v>75</v>
      </c>
      <c r="DP256" s="14">
        <f t="shared" si="167"/>
        <v>2.63</v>
      </c>
      <c r="DQ256" s="14" t="str">
        <f t="shared" si="168"/>
        <v/>
      </c>
      <c r="DR256" s="14" t="str">
        <f t="shared" si="169"/>
        <v/>
      </c>
      <c r="DS256" s="14" t="str">
        <f t="shared" si="170"/>
        <v/>
      </c>
      <c r="DT256" s="14">
        <f t="shared" si="171"/>
        <v>13</v>
      </c>
      <c r="DU256" s="14">
        <f t="shared" si="172"/>
        <v>0</v>
      </c>
      <c r="DV256" s="14">
        <f t="shared" si="173"/>
        <v>14</v>
      </c>
      <c r="DW256" s="29" t="s">
        <v>758</v>
      </c>
      <c r="DX256" s="14">
        <f t="shared" si="174"/>
        <v>30</v>
      </c>
    </row>
    <row r="257" spans="91:128" ht="16.5" x14ac:dyDescent="0.2">
      <c r="CM257" s="13">
        <v>253</v>
      </c>
      <c r="CN257" s="14">
        <f t="shared" si="148"/>
        <v>35</v>
      </c>
      <c r="CO257" s="14">
        <f t="shared" si="149"/>
        <v>1</v>
      </c>
      <c r="CP257" s="14">
        <f t="shared" si="150"/>
        <v>5</v>
      </c>
      <c r="CQ257" s="14">
        <f t="shared" si="141"/>
        <v>4</v>
      </c>
      <c r="CR257" s="14">
        <f t="shared" si="142"/>
        <v>2041015</v>
      </c>
      <c r="CS257" s="13" t="str">
        <f t="shared" si="143"/>
        <v>120级寄灵人绿色-鞋子</v>
      </c>
      <c r="CT257" s="14">
        <f t="shared" si="144"/>
        <v>1</v>
      </c>
      <c r="CU257" s="14">
        <f t="shared" si="145"/>
        <v>1</v>
      </c>
      <c r="CV257" s="14">
        <f t="shared" si="151"/>
        <v>120</v>
      </c>
      <c r="CW257" s="14">
        <f t="shared" si="152"/>
        <v>120</v>
      </c>
      <c r="CX257" s="14">
        <f t="shared" si="153"/>
        <v>5</v>
      </c>
      <c r="CY257" s="14" t="str">
        <f t="shared" si="154"/>
        <v/>
      </c>
      <c r="CZ257" s="14">
        <f t="shared" si="155"/>
        <v>15</v>
      </c>
      <c r="DA257" s="14">
        <f t="shared" si="156"/>
        <v>0</v>
      </c>
      <c r="DB257" s="14">
        <f t="shared" si="157"/>
        <v>0</v>
      </c>
      <c r="DC257" s="14">
        <f t="shared" si="158"/>
        <v>450</v>
      </c>
      <c r="DD257" s="14">
        <f t="shared" si="159"/>
        <v>0</v>
      </c>
      <c r="DE257" s="14">
        <f t="shared" si="160"/>
        <v>0</v>
      </c>
      <c r="DF257" s="14">
        <f t="shared" si="161"/>
        <v>15</v>
      </c>
      <c r="DG257" s="14">
        <f t="shared" si="162"/>
        <v>13</v>
      </c>
      <c r="DH257" s="14">
        <f t="shared" si="163"/>
        <v>0</v>
      </c>
      <c r="DI257" s="14">
        <f t="shared" si="164"/>
        <v>14</v>
      </c>
      <c r="DL257" s="14">
        <f t="shared" si="146"/>
        <v>3</v>
      </c>
      <c r="DM257" s="14">
        <f t="shared" si="147"/>
        <v>0</v>
      </c>
      <c r="DN257" s="14" t="str">
        <f t="shared" si="165"/>
        <v>HPExt</v>
      </c>
      <c r="DO257" s="14">
        <f t="shared" si="166"/>
        <v>450</v>
      </c>
      <c r="DP257" s="14">
        <f t="shared" si="167"/>
        <v>15</v>
      </c>
      <c r="DQ257" s="14" t="str">
        <f t="shared" si="168"/>
        <v/>
      </c>
      <c r="DR257" s="14" t="str">
        <f t="shared" si="169"/>
        <v/>
      </c>
      <c r="DS257" s="14" t="str">
        <f t="shared" si="170"/>
        <v/>
      </c>
      <c r="DT257" s="14">
        <f t="shared" si="171"/>
        <v>13</v>
      </c>
      <c r="DU257" s="14">
        <f t="shared" si="172"/>
        <v>0</v>
      </c>
      <c r="DV257" s="14">
        <f t="shared" si="173"/>
        <v>14</v>
      </c>
      <c r="DW257" s="29" t="s">
        <v>758</v>
      </c>
      <c r="DX257" s="14">
        <f t="shared" si="174"/>
        <v>30</v>
      </c>
    </row>
    <row r="258" spans="91:128" ht="16.5" x14ac:dyDescent="0.2">
      <c r="CM258" s="13">
        <v>254</v>
      </c>
      <c r="CN258" s="14">
        <f t="shared" si="148"/>
        <v>35</v>
      </c>
      <c r="CO258" s="14">
        <f t="shared" si="149"/>
        <v>1</v>
      </c>
      <c r="CP258" s="14">
        <f t="shared" si="150"/>
        <v>6</v>
      </c>
      <c r="CQ258" s="14">
        <f t="shared" si="141"/>
        <v>4</v>
      </c>
      <c r="CR258" s="14">
        <f t="shared" si="142"/>
        <v>2041016</v>
      </c>
      <c r="CS258" s="13" t="str">
        <f t="shared" si="143"/>
        <v>120级寄灵人绿色-护手</v>
      </c>
      <c r="CT258" s="14">
        <f t="shared" si="144"/>
        <v>1</v>
      </c>
      <c r="CU258" s="14">
        <f t="shared" si="145"/>
        <v>1</v>
      </c>
      <c r="CV258" s="14">
        <f t="shared" si="151"/>
        <v>120</v>
      </c>
      <c r="CW258" s="14">
        <f t="shared" si="152"/>
        <v>120</v>
      </c>
      <c r="CX258" s="14">
        <f t="shared" si="153"/>
        <v>6</v>
      </c>
      <c r="CY258" s="14" t="str">
        <f t="shared" si="154"/>
        <v/>
      </c>
      <c r="CZ258" s="14">
        <f t="shared" si="155"/>
        <v>15</v>
      </c>
      <c r="DA258" s="14">
        <f t="shared" si="156"/>
        <v>0</v>
      </c>
      <c r="DB258" s="14">
        <f t="shared" si="157"/>
        <v>0</v>
      </c>
      <c r="DC258" s="14">
        <f t="shared" si="158"/>
        <v>450</v>
      </c>
      <c r="DD258" s="14">
        <f t="shared" si="159"/>
        <v>0</v>
      </c>
      <c r="DE258" s="14">
        <f t="shared" si="160"/>
        <v>0</v>
      </c>
      <c r="DF258" s="14">
        <f t="shared" si="161"/>
        <v>15</v>
      </c>
      <c r="DG258" s="14">
        <f t="shared" si="162"/>
        <v>13</v>
      </c>
      <c r="DH258" s="14">
        <f t="shared" si="163"/>
        <v>0</v>
      </c>
      <c r="DI258" s="14">
        <f t="shared" si="164"/>
        <v>14</v>
      </c>
      <c r="DL258" s="14">
        <f t="shared" si="146"/>
        <v>3</v>
      </c>
      <c r="DM258" s="14">
        <f t="shared" si="147"/>
        <v>0</v>
      </c>
      <c r="DN258" s="14" t="str">
        <f t="shared" si="165"/>
        <v>HPExt</v>
      </c>
      <c r="DO258" s="14">
        <f t="shared" si="166"/>
        <v>450</v>
      </c>
      <c r="DP258" s="14">
        <f t="shared" si="167"/>
        <v>15</v>
      </c>
      <c r="DQ258" s="14" t="str">
        <f t="shared" si="168"/>
        <v/>
      </c>
      <c r="DR258" s="14" t="str">
        <f t="shared" si="169"/>
        <v/>
      </c>
      <c r="DS258" s="14" t="str">
        <f t="shared" si="170"/>
        <v/>
      </c>
      <c r="DT258" s="14">
        <f t="shared" si="171"/>
        <v>13</v>
      </c>
      <c r="DU258" s="14">
        <f t="shared" si="172"/>
        <v>0</v>
      </c>
      <c r="DV258" s="14">
        <f t="shared" si="173"/>
        <v>14</v>
      </c>
      <c r="DW258" s="29" t="s">
        <v>758</v>
      </c>
      <c r="DX258" s="14">
        <f t="shared" si="174"/>
        <v>30</v>
      </c>
    </row>
    <row r="259" spans="91:128" ht="16.5" x14ac:dyDescent="0.2">
      <c r="CM259" s="13">
        <v>255</v>
      </c>
      <c r="CN259" s="14">
        <f t="shared" si="148"/>
        <v>35</v>
      </c>
      <c r="CO259" s="14">
        <f t="shared" si="149"/>
        <v>1</v>
      </c>
      <c r="CP259" s="14">
        <f t="shared" si="150"/>
        <v>7</v>
      </c>
      <c r="CQ259" s="14">
        <f t="shared" si="141"/>
        <v>4</v>
      </c>
      <c r="CR259" s="14">
        <f t="shared" si="142"/>
        <v>2041017</v>
      </c>
      <c r="CS259" s="13" t="str">
        <f t="shared" si="143"/>
        <v>120级寄灵人绿色-项链</v>
      </c>
      <c r="CT259" s="14">
        <f t="shared" si="144"/>
        <v>1</v>
      </c>
      <c r="CU259" s="14">
        <f t="shared" si="145"/>
        <v>1</v>
      </c>
      <c r="CV259" s="14">
        <f t="shared" si="151"/>
        <v>120</v>
      </c>
      <c r="CW259" s="14">
        <f t="shared" si="152"/>
        <v>120</v>
      </c>
      <c r="CX259" s="14">
        <f t="shared" si="153"/>
        <v>7</v>
      </c>
      <c r="CY259" s="14" t="str">
        <f t="shared" si="154"/>
        <v/>
      </c>
      <c r="CZ259" s="14">
        <f t="shared" si="155"/>
        <v>39</v>
      </c>
      <c r="DA259" s="14">
        <f t="shared" si="156"/>
        <v>100</v>
      </c>
      <c r="DB259" s="14">
        <f t="shared" si="157"/>
        <v>63</v>
      </c>
      <c r="DC259" s="14">
        <f t="shared" si="158"/>
        <v>0</v>
      </c>
      <c r="DD259" s="14">
        <f t="shared" si="159"/>
        <v>3.5</v>
      </c>
      <c r="DE259" s="14">
        <f t="shared" si="160"/>
        <v>2.19</v>
      </c>
      <c r="DF259" s="14">
        <f t="shared" si="161"/>
        <v>0</v>
      </c>
      <c r="DG259" s="14">
        <f t="shared" si="162"/>
        <v>13</v>
      </c>
      <c r="DH259" s="14">
        <f t="shared" si="163"/>
        <v>0</v>
      </c>
      <c r="DI259" s="14">
        <f t="shared" si="164"/>
        <v>14</v>
      </c>
      <c r="DL259" s="14">
        <f t="shared" si="146"/>
        <v>1</v>
      </c>
      <c r="DM259" s="14">
        <f t="shared" si="147"/>
        <v>2</v>
      </c>
      <c r="DN259" s="14" t="str">
        <f t="shared" si="165"/>
        <v>AtkExt</v>
      </c>
      <c r="DO259" s="14">
        <f t="shared" si="166"/>
        <v>100</v>
      </c>
      <c r="DP259" s="14">
        <f t="shared" si="167"/>
        <v>3.5</v>
      </c>
      <c r="DQ259" s="14" t="str">
        <f t="shared" si="168"/>
        <v>DefExt</v>
      </c>
      <c r="DR259" s="14">
        <f t="shared" si="169"/>
        <v>63</v>
      </c>
      <c r="DS259" s="14">
        <f t="shared" si="170"/>
        <v>2.19</v>
      </c>
      <c r="DT259" s="14">
        <f t="shared" si="171"/>
        <v>13</v>
      </c>
      <c r="DU259" s="14">
        <f t="shared" si="172"/>
        <v>0</v>
      </c>
      <c r="DV259" s="14">
        <f t="shared" si="173"/>
        <v>14</v>
      </c>
      <c r="DW259" s="29" t="s">
        <v>758</v>
      </c>
      <c r="DX259" s="14">
        <f t="shared" si="174"/>
        <v>30</v>
      </c>
    </row>
    <row r="260" spans="91:128" ht="16.5" x14ac:dyDescent="0.2">
      <c r="CM260" s="13">
        <v>256</v>
      </c>
      <c r="CN260" s="14">
        <f t="shared" si="148"/>
        <v>35</v>
      </c>
      <c r="CO260" s="14">
        <f t="shared" si="149"/>
        <v>1</v>
      </c>
      <c r="CP260" s="14">
        <f t="shared" si="150"/>
        <v>8</v>
      </c>
      <c r="CQ260" s="14">
        <f t="shared" si="141"/>
        <v>4</v>
      </c>
      <c r="CR260" s="14">
        <f t="shared" si="142"/>
        <v>2041018</v>
      </c>
      <c r="CS260" s="13" t="str">
        <f t="shared" si="143"/>
        <v>120级寄灵人绿色-戒指</v>
      </c>
      <c r="CT260" s="14">
        <f t="shared" si="144"/>
        <v>1</v>
      </c>
      <c r="CU260" s="14">
        <f t="shared" si="145"/>
        <v>1</v>
      </c>
      <c r="CV260" s="14">
        <f t="shared" si="151"/>
        <v>120</v>
      </c>
      <c r="CW260" s="14">
        <f t="shared" si="152"/>
        <v>120</v>
      </c>
      <c r="CX260" s="14">
        <f t="shared" si="153"/>
        <v>8</v>
      </c>
      <c r="CY260" s="14" t="str">
        <f t="shared" si="154"/>
        <v/>
      </c>
      <c r="CZ260" s="14">
        <f t="shared" si="155"/>
        <v>30</v>
      </c>
      <c r="DA260" s="14">
        <f t="shared" si="156"/>
        <v>100</v>
      </c>
      <c r="DB260" s="14">
        <f t="shared" si="157"/>
        <v>0</v>
      </c>
      <c r="DC260" s="14">
        <f t="shared" si="158"/>
        <v>375</v>
      </c>
      <c r="DD260" s="14">
        <f t="shared" si="159"/>
        <v>3.5</v>
      </c>
      <c r="DE260" s="14">
        <f t="shared" si="160"/>
        <v>0</v>
      </c>
      <c r="DF260" s="14">
        <f t="shared" si="161"/>
        <v>12.5</v>
      </c>
      <c r="DG260" s="14">
        <f t="shared" si="162"/>
        <v>13</v>
      </c>
      <c r="DH260" s="14">
        <f t="shared" si="163"/>
        <v>0</v>
      </c>
      <c r="DI260" s="14">
        <f t="shared" si="164"/>
        <v>14</v>
      </c>
      <c r="DL260" s="14">
        <f t="shared" si="146"/>
        <v>1</v>
      </c>
      <c r="DM260" s="14">
        <f t="shared" si="147"/>
        <v>3</v>
      </c>
      <c r="DN260" s="14" t="str">
        <f t="shared" si="165"/>
        <v>AtkExt</v>
      </c>
      <c r="DO260" s="14">
        <f t="shared" si="166"/>
        <v>100</v>
      </c>
      <c r="DP260" s="14">
        <f t="shared" si="167"/>
        <v>3.5</v>
      </c>
      <c r="DQ260" s="14" t="str">
        <f t="shared" si="168"/>
        <v>HPExt</v>
      </c>
      <c r="DR260" s="14">
        <f t="shared" si="169"/>
        <v>375</v>
      </c>
      <c r="DS260" s="14">
        <f t="shared" si="170"/>
        <v>12.5</v>
      </c>
      <c r="DT260" s="14">
        <f t="shared" si="171"/>
        <v>13</v>
      </c>
      <c r="DU260" s="14">
        <f t="shared" si="172"/>
        <v>0</v>
      </c>
      <c r="DV260" s="14">
        <f t="shared" si="173"/>
        <v>14</v>
      </c>
      <c r="DW260" s="29" t="s">
        <v>758</v>
      </c>
      <c r="DX260" s="14">
        <f t="shared" si="174"/>
        <v>30</v>
      </c>
    </row>
    <row r="261" spans="91:128" ht="16.5" x14ac:dyDescent="0.2">
      <c r="CM261" s="13">
        <v>257</v>
      </c>
      <c r="CN261" s="14">
        <f t="shared" si="148"/>
        <v>36</v>
      </c>
      <c r="CO261" s="14">
        <f t="shared" si="149"/>
        <v>2</v>
      </c>
      <c r="CP261" s="14">
        <f t="shared" si="150"/>
        <v>1</v>
      </c>
      <c r="CQ261" s="14">
        <f t="shared" ref="CQ261:CQ324" si="175">INDEX($BS$6:$BS$81,CN261)</f>
        <v>4</v>
      </c>
      <c r="CR261" s="14">
        <f t="shared" ref="CR261:CR324" si="176">INDEX($BX$6:$BX$81,CN261)+CX261</f>
        <v>2041021</v>
      </c>
      <c r="CS261" s="13" t="str">
        <f t="shared" ref="CS261:CS324" si="177">INDEX($BY$6:$BY$81,CN261)&amp;"-"&amp;INDEX($CC$3:$CJ$3,CX261)</f>
        <v>120级守护灵绿色-武器</v>
      </c>
      <c r="CT261" s="14">
        <f t="shared" ref="CT261:CT324" si="178">INDEX($BV$6:$BV$81,CN261)</f>
        <v>2</v>
      </c>
      <c r="CU261" s="14">
        <f t="shared" ref="CU261:CU324" si="179">INDEX($BU$6:$BU$81,CN261)</f>
        <v>1</v>
      </c>
      <c r="CV261" s="14">
        <f t="shared" si="151"/>
        <v>120</v>
      </c>
      <c r="CW261" s="14">
        <f t="shared" si="152"/>
        <v>120</v>
      </c>
      <c r="CX261" s="14">
        <f t="shared" si="153"/>
        <v>1</v>
      </c>
      <c r="CY261" s="14" t="str">
        <f t="shared" si="154"/>
        <v/>
      </c>
      <c r="CZ261" s="14">
        <f t="shared" si="155"/>
        <v>52</v>
      </c>
      <c r="DA261" s="14">
        <f t="shared" si="156"/>
        <v>300</v>
      </c>
      <c r="DB261" s="14">
        <f t="shared" si="157"/>
        <v>0</v>
      </c>
      <c r="DC261" s="14">
        <f t="shared" si="158"/>
        <v>0</v>
      </c>
      <c r="DD261" s="14">
        <f t="shared" si="159"/>
        <v>10.5</v>
      </c>
      <c r="DE261" s="14">
        <f t="shared" si="160"/>
        <v>0</v>
      </c>
      <c r="DF261" s="14">
        <f t="shared" si="161"/>
        <v>0</v>
      </c>
      <c r="DG261" s="14">
        <f t="shared" si="162"/>
        <v>13</v>
      </c>
      <c r="DH261" s="14">
        <f t="shared" si="163"/>
        <v>0</v>
      </c>
      <c r="DI261" s="14">
        <f t="shared" si="164"/>
        <v>24</v>
      </c>
      <c r="DL261" s="14">
        <f t="shared" ref="DL261:DL324" si="180">INDEX(AF$5:AF$12,$CX261)</f>
        <v>1</v>
      </c>
      <c r="DM261" s="14">
        <f t="shared" ref="DM261:DM324" si="181">INDEX(AG$5:AG$12,$CX261)</f>
        <v>0</v>
      </c>
      <c r="DN261" s="14" t="str">
        <f t="shared" si="165"/>
        <v>AtkExt</v>
      </c>
      <c r="DO261" s="14">
        <f t="shared" si="166"/>
        <v>300</v>
      </c>
      <c r="DP261" s="14">
        <f t="shared" si="167"/>
        <v>10.5</v>
      </c>
      <c r="DQ261" s="14" t="str">
        <f t="shared" si="168"/>
        <v/>
      </c>
      <c r="DR261" s="14" t="str">
        <f t="shared" si="169"/>
        <v/>
      </c>
      <c r="DS261" s="14" t="str">
        <f t="shared" si="170"/>
        <v/>
      </c>
      <c r="DT261" s="14">
        <f t="shared" si="171"/>
        <v>13</v>
      </c>
      <c r="DU261" s="14">
        <f t="shared" si="172"/>
        <v>0</v>
      </c>
      <c r="DV261" s="14">
        <f t="shared" si="173"/>
        <v>24</v>
      </c>
      <c r="DW261" s="29" t="s">
        <v>758</v>
      </c>
      <c r="DX261" s="14">
        <f t="shared" si="174"/>
        <v>30</v>
      </c>
    </row>
    <row r="262" spans="91:128" ht="16.5" x14ac:dyDescent="0.2">
      <c r="CM262" s="13">
        <v>258</v>
      </c>
      <c r="CN262" s="14">
        <f t="shared" ref="CN262:CN325" si="182">MATCH(CM262-1,$CB$5:$CB$81,1)</f>
        <v>36</v>
      </c>
      <c r="CO262" s="14">
        <f t="shared" ref="CO262:CO325" si="183">INDEX($BW$6:$BW$81,CN262)</f>
        <v>2</v>
      </c>
      <c r="CP262" s="14">
        <f t="shared" ref="CP262:CP325" si="184">CM262-INDEX($CB$5:$CB$81,CN262)</f>
        <v>2</v>
      </c>
      <c r="CQ262" s="14">
        <f t="shared" si="175"/>
        <v>4</v>
      </c>
      <c r="CR262" s="14">
        <f t="shared" si="176"/>
        <v>2041022</v>
      </c>
      <c r="CS262" s="13" t="str">
        <f t="shared" si="177"/>
        <v>120级守护灵绿色-头盔</v>
      </c>
      <c r="CT262" s="14">
        <f t="shared" si="178"/>
        <v>2</v>
      </c>
      <c r="CU262" s="14">
        <f t="shared" si="179"/>
        <v>1</v>
      </c>
      <c r="CV262" s="14">
        <f t="shared" ref="CV262:CV325" si="185">INDEX($D$5:$D$16,(CT262-1)*6+CQ262)</f>
        <v>120</v>
      </c>
      <c r="CW262" s="14">
        <f t="shared" ref="CW262:CW325" si="186">INDEX($D$5:$D$16,(CT262-1)*6+CQ262)</f>
        <v>120</v>
      </c>
      <c r="CX262" s="14">
        <f t="shared" ref="CX262:CX325" si="187">INDEX($CC$6:$CJ$81,CN262,CP262)</f>
        <v>2</v>
      </c>
      <c r="CY262" s="14" t="str">
        <f t="shared" ref="CY262:CY325" si="188">IF(INDEX($BZ$6:$BZ$81,CN262)&gt;0,INDEX($BZ$6:$BZ$81,CN262),"")</f>
        <v/>
      </c>
      <c r="CZ262" s="14">
        <f t="shared" ref="CZ262:CZ325" si="189">INT(SUMPRODUCT($DD$3:$DF$3,DD262:DF262))</f>
        <v>27</v>
      </c>
      <c r="DA262" s="14">
        <f t="shared" ref="DA262:DA325" si="190">ROUND(INDEX(O$5:O$16,($CT262-1)*6+$CQ262)*INDEX(AC$5:AC$12,$CX262)*INDEX($AL$5:$AL$8,$CU262),0)</f>
        <v>0</v>
      </c>
      <c r="DB262" s="14">
        <f t="shared" ref="DB262:DB325" si="191">ROUND(INDEX(P$5:P$16,($CT262-1)*6+$CQ262)*INDEX(AD$5:AD$12,$CX262)*INDEX($AL$5:$AL$8,$CU262),0)</f>
        <v>75</v>
      </c>
      <c r="DC262" s="14">
        <f t="shared" ref="DC262:DC325" si="192">ROUND(INDEX(Q$5:Q$16,($CT262-1)*6+$CQ262)*INDEX(AE$5:AE$12,$CX262)*INDEX($AL$5:$AL$8,$CU262),0)</f>
        <v>0</v>
      </c>
      <c r="DD262" s="14">
        <f t="shared" ref="DD262:DD325" si="193">ROUND(INDEX(H$5:H$16,($CT262-1)*6+$CQ262)*INDEX(AC$5:AC$12,$CX262) * INDEX($AL$5:$AL$8,$CU262),2)</f>
        <v>0</v>
      </c>
      <c r="DE262" s="14">
        <f t="shared" ref="DE262:DE325" si="194">ROUND(INDEX(I$5:I$16,($CT262-1)*6+$CQ262)*INDEX(AD$5:AD$12,$CX262) * INDEX($AL$5:$AL$8,$CU262),2)</f>
        <v>2.7</v>
      </c>
      <c r="DF262" s="14">
        <f t="shared" ref="DF262:DF325" si="195">ROUND(INDEX(J$5:J$16,($CT262-1)*6+$CQ262)*INDEX(AE$5:AE$12,$CX262) * INDEX($AL$5:$AL$8,$CU262),2)</f>
        <v>0</v>
      </c>
      <c r="DG262" s="14">
        <f t="shared" ref="DG262:DG325" si="196">(CQ262-1)*4+CU262</f>
        <v>13</v>
      </c>
      <c r="DH262" s="14">
        <f t="shared" ref="DH262:DH325" si="197">INDEX($BM$5:$BP$16,CQ262,CU262)</f>
        <v>0</v>
      </c>
      <c r="DI262" s="14">
        <f t="shared" ref="DI262:DI325" si="198">CT262*10+CQ262</f>
        <v>24</v>
      </c>
      <c r="DL262" s="14">
        <f t="shared" si="180"/>
        <v>2</v>
      </c>
      <c r="DM262" s="14">
        <f t="shared" si="181"/>
        <v>0</v>
      </c>
      <c r="DN262" s="14" t="str">
        <f t="shared" ref="DN262:DN325" si="199">INDEX($AA$3:$AC$3,DL262)</f>
        <v>DefExt</v>
      </c>
      <c r="DO262" s="14">
        <f t="shared" ref="DO262:DO325" si="200">INDEX(DA262:DC262,DL262)</f>
        <v>75</v>
      </c>
      <c r="DP262" s="14">
        <f t="shared" ref="DP262:DP325" si="201">INDEX(DD262:DF262,DL262)</f>
        <v>2.7</v>
      </c>
      <c r="DQ262" s="14" t="str">
        <f t="shared" ref="DQ262:DQ325" si="202">IF(DM262&gt;0,INDEX($AA$3:$AC$3,DM262),"")</f>
        <v/>
      </c>
      <c r="DR262" s="14" t="str">
        <f t="shared" ref="DR262:DR325" si="203">IF(DM262&gt;0,INDEX(DA262:DC262,DM262),"")</f>
        <v/>
      </c>
      <c r="DS262" s="14" t="str">
        <f t="shared" ref="DS262:DS325" si="204">IF(DM262&gt;0,INDEX(DD262:DF262,DM262),"")</f>
        <v/>
      </c>
      <c r="DT262" s="14">
        <f t="shared" ref="DT262:DT325" si="205">(CQ262-1)*4+CU262</f>
        <v>13</v>
      </c>
      <c r="DU262" s="14">
        <f t="shared" ref="DU262:DU325" si="206">INDEX($BM$5:$BP$16,CQ262,CU262)</f>
        <v>0</v>
      </c>
      <c r="DV262" s="14">
        <f t="shared" ref="DV262:DV325" si="207">CT262*10+CQ262</f>
        <v>24</v>
      </c>
      <c r="DW262" s="29" t="s">
        <v>758</v>
      </c>
      <c r="DX262" s="14">
        <f t="shared" ref="DX262:DX325" si="208">INDEX($T$5:$Y$8,CU262,CQ262)</f>
        <v>30</v>
      </c>
    </row>
    <row r="263" spans="91:128" ht="16.5" x14ac:dyDescent="0.2">
      <c r="CM263" s="13">
        <v>259</v>
      </c>
      <c r="CN263" s="14">
        <f t="shared" si="182"/>
        <v>36</v>
      </c>
      <c r="CO263" s="14">
        <f t="shared" si="183"/>
        <v>2</v>
      </c>
      <c r="CP263" s="14">
        <f t="shared" si="184"/>
        <v>3</v>
      </c>
      <c r="CQ263" s="14">
        <f t="shared" si="175"/>
        <v>4</v>
      </c>
      <c r="CR263" s="14">
        <f t="shared" si="176"/>
        <v>2041023</v>
      </c>
      <c r="CS263" s="13" t="str">
        <f t="shared" si="177"/>
        <v>120级守护灵绿色-肩甲</v>
      </c>
      <c r="CT263" s="14">
        <f t="shared" si="178"/>
        <v>2</v>
      </c>
      <c r="CU263" s="14">
        <f t="shared" si="179"/>
        <v>1</v>
      </c>
      <c r="CV263" s="14">
        <f t="shared" si="185"/>
        <v>120</v>
      </c>
      <c r="CW263" s="14">
        <f t="shared" si="186"/>
        <v>120</v>
      </c>
      <c r="CX263" s="14">
        <f t="shared" si="187"/>
        <v>3</v>
      </c>
      <c r="CY263" s="14" t="str">
        <f t="shared" si="188"/>
        <v/>
      </c>
      <c r="CZ263" s="14">
        <f t="shared" si="189"/>
        <v>28</v>
      </c>
      <c r="DA263" s="14">
        <f t="shared" si="190"/>
        <v>0</v>
      </c>
      <c r="DB263" s="14">
        <f t="shared" si="191"/>
        <v>38</v>
      </c>
      <c r="DC263" s="14">
        <f t="shared" si="192"/>
        <v>375</v>
      </c>
      <c r="DD263" s="14">
        <f t="shared" si="193"/>
        <v>0</v>
      </c>
      <c r="DE263" s="14">
        <f t="shared" si="194"/>
        <v>1.35</v>
      </c>
      <c r="DF263" s="14">
        <f t="shared" si="195"/>
        <v>15</v>
      </c>
      <c r="DG263" s="14">
        <f t="shared" si="196"/>
        <v>13</v>
      </c>
      <c r="DH263" s="14">
        <f t="shared" si="197"/>
        <v>0</v>
      </c>
      <c r="DI263" s="14">
        <f t="shared" si="198"/>
        <v>24</v>
      </c>
      <c r="DL263" s="14">
        <f t="shared" si="180"/>
        <v>2</v>
      </c>
      <c r="DM263" s="14">
        <f t="shared" si="181"/>
        <v>3</v>
      </c>
      <c r="DN263" s="14" t="str">
        <f t="shared" si="199"/>
        <v>DefExt</v>
      </c>
      <c r="DO263" s="14">
        <f t="shared" si="200"/>
        <v>38</v>
      </c>
      <c r="DP263" s="14">
        <f t="shared" si="201"/>
        <v>1.35</v>
      </c>
      <c r="DQ263" s="14" t="str">
        <f t="shared" si="202"/>
        <v>HPExt</v>
      </c>
      <c r="DR263" s="14">
        <f t="shared" si="203"/>
        <v>375</v>
      </c>
      <c r="DS263" s="14">
        <f t="shared" si="204"/>
        <v>15</v>
      </c>
      <c r="DT263" s="14">
        <f t="shared" si="205"/>
        <v>13</v>
      </c>
      <c r="DU263" s="14">
        <f t="shared" si="206"/>
        <v>0</v>
      </c>
      <c r="DV263" s="14">
        <f t="shared" si="207"/>
        <v>24</v>
      </c>
      <c r="DW263" s="29" t="s">
        <v>758</v>
      </c>
      <c r="DX263" s="14">
        <f t="shared" si="208"/>
        <v>30</v>
      </c>
    </row>
    <row r="264" spans="91:128" ht="16.5" x14ac:dyDescent="0.2">
      <c r="CM264" s="13">
        <v>260</v>
      </c>
      <c r="CN264" s="14">
        <f t="shared" si="182"/>
        <v>36</v>
      </c>
      <c r="CO264" s="14">
        <f t="shared" si="183"/>
        <v>2</v>
      </c>
      <c r="CP264" s="14">
        <f t="shared" si="184"/>
        <v>4</v>
      </c>
      <c r="CQ264" s="14">
        <f t="shared" si="175"/>
        <v>4</v>
      </c>
      <c r="CR264" s="14">
        <f t="shared" si="176"/>
        <v>2041024</v>
      </c>
      <c r="CS264" s="13" t="str">
        <f t="shared" si="177"/>
        <v>120级守护灵绿色-衣服</v>
      </c>
      <c r="CT264" s="14">
        <f t="shared" si="178"/>
        <v>2</v>
      </c>
      <c r="CU264" s="14">
        <f t="shared" si="179"/>
        <v>1</v>
      </c>
      <c r="CV264" s="14">
        <f t="shared" si="185"/>
        <v>120</v>
      </c>
      <c r="CW264" s="14">
        <f t="shared" si="186"/>
        <v>120</v>
      </c>
      <c r="CX264" s="14">
        <f t="shared" si="187"/>
        <v>4</v>
      </c>
      <c r="CY264" s="14" t="str">
        <f t="shared" si="188"/>
        <v/>
      </c>
      <c r="CZ264" s="14">
        <f t="shared" si="189"/>
        <v>27</v>
      </c>
      <c r="DA264" s="14">
        <f t="shared" si="190"/>
        <v>0</v>
      </c>
      <c r="DB264" s="14">
        <f t="shared" si="191"/>
        <v>75</v>
      </c>
      <c r="DC264" s="14">
        <f t="shared" si="192"/>
        <v>0</v>
      </c>
      <c r="DD264" s="14">
        <f t="shared" si="193"/>
        <v>0</v>
      </c>
      <c r="DE264" s="14">
        <f t="shared" si="194"/>
        <v>2.7</v>
      </c>
      <c r="DF264" s="14">
        <f t="shared" si="195"/>
        <v>0</v>
      </c>
      <c r="DG264" s="14">
        <f t="shared" si="196"/>
        <v>13</v>
      </c>
      <c r="DH264" s="14">
        <f t="shared" si="197"/>
        <v>0</v>
      </c>
      <c r="DI264" s="14">
        <f t="shared" si="198"/>
        <v>24</v>
      </c>
      <c r="DL264" s="14">
        <f t="shared" si="180"/>
        <v>2</v>
      </c>
      <c r="DM264" s="14">
        <f t="shared" si="181"/>
        <v>0</v>
      </c>
      <c r="DN264" s="14" t="str">
        <f t="shared" si="199"/>
        <v>DefExt</v>
      </c>
      <c r="DO264" s="14">
        <f t="shared" si="200"/>
        <v>75</v>
      </c>
      <c r="DP264" s="14">
        <f t="shared" si="201"/>
        <v>2.7</v>
      </c>
      <c r="DQ264" s="14" t="str">
        <f t="shared" si="202"/>
        <v/>
      </c>
      <c r="DR264" s="14" t="str">
        <f t="shared" si="203"/>
        <v/>
      </c>
      <c r="DS264" s="14" t="str">
        <f t="shared" si="204"/>
        <v/>
      </c>
      <c r="DT264" s="14">
        <f t="shared" si="205"/>
        <v>13</v>
      </c>
      <c r="DU264" s="14">
        <f t="shared" si="206"/>
        <v>0</v>
      </c>
      <c r="DV264" s="14">
        <f t="shared" si="207"/>
        <v>24</v>
      </c>
      <c r="DW264" s="29" t="s">
        <v>758</v>
      </c>
      <c r="DX264" s="14">
        <f t="shared" si="208"/>
        <v>30</v>
      </c>
    </row>
    <row r="265" spans="91:128" ht="16.5" x14ac:dyDescent="0.2">
      <c r="CM265" s="13">
        <v>261</v>
      </c>
      <c r="CN265" s="14">
        <f t="shared" si="182"/>
        <v>36</v>
      </c>
      <c r="CO265" s="14">
        <f t="shared" si="183"/>
        <v>2</v>
      </c>
      <c r="CP265" s="14">
        <f t="shared" si="184"/>
        <v>5</v>
      </c>
      <c r="CQ265" s="14">
        <f t="shared" si="175"/>
        <v>4</v>
      </c>
      <c r="CR265" s="14">
        <f t="shared" si="176"/>
        <v>2041025</v>
      </c>
      <c r="CS265" s="13" t="str">
        <f t="shared" si="177"/>
        <v>120级守护灵绿色-鞋子</v>
      </c>
      <c r="CT265" s="14">
        <f t="shared" si="178"/>
        <v>2</v>
      </c>
      <c r="CU265" s="14">
        <f t="shared" si="179"/>
        <v>1</v>
      </c>
      <c r="CV265" s="14">
        <f t="shared" si="185"/>
        <v>120</v>
      </c>
      <c r="CW265" s="14">
        <f t="shared" si="186"/>
        <v>120</v>
      </c>
      <c r="CX265" s="14">
        <f t="shared" si="187"/>
        <v>5</v>
      </c>
      <c r="CY265" s="14" t="str">
        <f t="shared" si="188"/>
        <v/>
      </c>
      <c r="CZ265" s="14">
        <f t="shared" si="189"/>
        <v>30</v>
      </c>
      <c r="DA265" s="14">
        <f t="shared" si="190"/>
        <v>0</v>
      </c>
      <c r="DB265" s="14">
        <f t="shared" si="191"/>
        <v>0</v>
      </c>
      <c r="DC265" s="14">
        <f t="shared" si="192"/>
        <v>750</v>
      </c>
      <c r="DD265" s="14">
        <f t="shared" si="193"/>
        <v>0</v>
      </c>
      <c r="DE265" s="14">
        <f t="shared" si="194"/>
        <v>0</v>
      </c>
      <c r="DF265" s="14">
        <f t="shared" si="195"/>
        <v>30</v>
      </c>
      <c r="DG265" s="14">
        <f t="shared" si="196"/>
        <v>13</v>
      </c>
      <c r="DH265" s="14">
        <f t="shared" si="197"/>
        <v>0</v>
      </c>
      <c r="DI265" s="14">
        <f t="shared" si="198"/>
        <v>24</v>
      </c>
      <c r="DL265" s="14">
        <f t="shared" si="180"/>
        <v>3</v>
      </c>
      <c r="DM265" s="14">
        <f t="shared" si="181"/>
        <v>0</v>
      </c>
      <c r="DN265" s="14" t="str">
        <f t="shared" si="199"/>
        <v>HPExt</v>
      </c>
      <c r="DO265" s="14">
        <f t="shared" si="200"/>
        <v>750</v>
      </c>
      <c r="DP265" s="14">
        <f t="shared" si="201"/>
        <v>30</v>
      </c>
      <c r="DQ265" s="14" t="str">
        <f t="shared" si="202"/>
        <v/>
      </c>
      <c r="DR265" s="14" t="str">
        <f t="shared" si="203"/>
        <v/>
      </c>
      <c r="DS265" s="14" t="str">
        <f t="shared" si="204"/>
        <v/>
      </c>
      <c r="DT265" s="14">
        <f t="shared" si="205"/>
        <v>13</v>
      </c>
      <c r="DU265" s="14">
        <f t="shared" si="206"/>
        <v>0</v>
      </c>
      <c r="DV265" s="14">
        <f t="shared" si="207"/>
        <v>24</v>
      </c>
      <c r="DW265" s="29" t="s">
        <v>758</v>
      </c>
      <c r="DX265" s="14">
        <f t="shared" si="208"/>
        <v>30</v>
      </c>
    </row>
    <row r="266" spans="91:128" ht="16.5" x14ac:dyDescent="0.2">
      <c r="CM266" s="13">
        <v>262</v>
      </c>
      <c r="CN266" s="14">
        <f t="shared" si="182"/>
        <v>36</v>
      </c>
      <c r="CO266" s="14">
        <f t="shared" si="183"/>
        <v>2</v>
      </c>
      <c r="CP266" s="14">
        <f t="shared" si="184"/>
        <v>6</v>
      </c>
      <c r="CQ266" s="14">
        <f t="shared" si="175"/>
        <v>4</v>
      </c>
      <c r="CR266" s="14">
        <f t="shared" si="176"/>
        <v>2041026</v>
      </c>
      <c r="CS266" s="13" t="str">
        <f t="shared" si="177"/>
        <v>120级守护灵绿色-护手</v>
      </c>
      <c r="CT266" s="14">
        <f t="shared" si="178"/>
        <v>2</v>
      </c>
      <c r="CU266" s="14">
        <f t="shared" si="179"/>
        <v>1</v>
      </c>
      <c r="CV266" s="14">
        <f t="shared" si="185"/>
        <v>120</v>
      </c>
      <c r="CW266" s="14">
        <f t="shared" si="186"/>
        <v>120</v>
      </c>
      <c r="CX266" s="14">
        <f t="shared" si="187"/>
        <v>6</v>
      </c>
      <c r="CY266" s="14" t="str">
        <f t="shared" si="188"/>
        <v/>
      </c>
      <c r="CZ266" s="14">
        <f t="shared" si="189"/>
        <v>30</v>
      </c>
      <c r="DA266" s="14">
        <f t="shared" si="190"/>
        <v>0</v>
      </c>
      <c r="DB266" s="14">
        <f t="shared" si="191"/>
        <v>0</v>
      </c>
      <c r="DC266" s="14">
        <f t="shared" si="192"/>
        <v>750</v>
      </c>
      <c r="DD266" s="14">
        <f t="shared" si="193"/>
        <v>0</v>
      </c>
      <c r="DE266" s="14">
        <f t="shared" si="194"/>
        <v>0</v>
      </c>
      <c r="DF266" s="14">
        <f t="shared" si="195"/>
        <v>30</v>
      </c>
      <c r="DG266" s="14">
        <f t="shared" si="196"/>
        <v>13</v>
      </c>
      <c r="DH266" s="14">
        <f t="shared" si="197"/>
        <v>0</v>
      </c>
      <c r="DI266" s="14">
        <f t="shared" si="198"/>
        <v>24</v>
      </c>
      <c r="DL266" s="14">
        <f t="shared" si="180"/>
        <v>3</v>
      </c>
      <c r="DM266" s="14">
        <f t="shared" si="181"/>
        <v>0</v>
      </c>
      <c r="DN266" s="14" t="str">
        <f t="shared" si="199"/>
        <v>HPExt</v>
      </c>
      <c r="DO266" s="14">
        <f t="shared" si="200"/>
        <v>750</v>
      </c>
      <c r="DP266" s="14">
        <f t="shared" si="201"/>
        <v>30</v>
      </c>
      <c r="DQ266" s="14" t="str">
        <f t="shared" si="202"/>
        <v/>
      </c>
      <c r="DR266" s="14" t="str">
        <f t="shared" si="203"/>
        <v/>
      </c>
      <c r="DS266" s="14" t="str">
        <f t="shared" si="204"/>
        <v/>
      </c>
      <c r="DT266" s="14">
        <f t="shared" si="205"/>
        <v>13</v>
      </c>
      <c r="DU266" s="14">
        <f t="shared" si="206"/>
        <v>0</v>
      </c>
      <c r="DV266" s="14">
        <f t="shared" si="207"/>
        <v>24</v>
      </c>
      <c r="DW266" s="29" t="s">
        <v>758</v>
      </c>
      <c r="DX266" s="14">
        <f t="shared" si="208"/>
        <v>30</v>
      </c>
    </row>
    <row r="267" spans="91:128" ht="16.5" x14ac:dyDescent="0.2">
      <c r="CM267" s="13">
        <v>263</v>
      </c>
      <c r="CN267" s="14">
        <f t="shared" si="182"/>
        <v>36</v>
      </c>
      <c r="CO267" s="14">
        <f t="shared" si="183"/>
        <v>2</v>
      </c>
      <c r="CP267" s="14">
        <f t="shared" si="184"/>
        <v>7</v>
      </c>
      <c r="CQ267" s="14">
        <f t="shared" si="175"/>
        <v>4</v>
      </c>
      <c r="CR267" s="14">
        <f t="shared" si="176"/>
        <v>2041027</v>
      </c>
      <c r="CS267" s="13" t="str">
        <f t="shared" si="177"/>
        <v>120级守护灵绿色-项链</v>
      </c>
      <c r="CT267" s="14">
        <f t="shared" si="178"/>
        <v>2</v>
      </c>
      <c r="CU267" s="14">
        <f t="shared" si="179"/>
        <v>1</v>
      </c>
      <c r="CV267" s="14">
        <f t="shared" si="185"/>
        <v>120</v>
      </c>
      <c r="CW267" s="14">
        <f t="shared" si="186"/>
        <v>120</v>
      </c>
      <c r="CX267" s="14">
        <f t="shared" si="187"/>
        <v>7</v>
      </c>
      <c r="CY267" s="14" t="str">
        <f t="shared" si="188"/>
        <v/>
      </c>
      <c r="CZ267" s="14">
        <f t="shared" si="189"/>
        <v>40</v>
      </c>
      <c r="DA267" s="14">
        <f t="shared" si="190"/>
        <v>100</v>
      </c>
      <c r="DB267" s="14">
        <f t="shared" si="191"/>
        <v>63</v>
      </c>
      <c r="DC267" s="14">
        <f t="shared" si="192"/>
        <v>0</v>
      </c>
      <c r="DD267" s="14">
        <f t="shared" si="193"/>
        <v>3.5</v>
      </c>
      <c r="DE267" s="14">
        <f t="shared" si="194"/>
        <v>2.25</v>
      </c>
      <c r="DF267" s="14">
        <f t="shared" si="195"/>
        <v>0</v>
      </c>
      <c r="DG267" s="14">
        <f t="shared" si="196"/>
        <v>13</v>
      </c>
      <c r="DH267" s="14">
        <f t="shared" si="197"/>
        <v>0</v>
      </c>
      <c r="DI267" s="14">
        <f t="shared" si="198"/>
        <v>24</v>
      </c>
      <c r="DL267" s="14">
        <f t="shared" si="180"/>
        <v>1</v>
      </c>
      <c r="DM267" s="14">
        <f t="shared" si="181"/>
        <v>2</v>
      </c>
      <c r="DN267" s="14" t="str">
        <f t="shared" si="199"/>
        <v>AtkExt</v>
      </c>
      <c r="DO267" s="14">
        <f t="shared" si="200"/>
        <v>100</v>
      </c>
      <c r="DP267" s="14">
        <f t="shared" si="201"/>
        <v>3.5</v>
      </c>
      <c r="DQ267" s="14" t="str">
        <f t="shared" si="202"/>
        <v>DefExt</v>
      </c>
      <c r="DR267" s="14">
        <f t="shared" si="203"/>
        <v>63</v>
      </c>
      <c r="DS267" s="14">
        <f t="shared" si="204"/>
        <v>2.25</v>
      </c>
      <c r="DT267" s="14">
        <f t="shared" si="205"/>
        <v>13</v>
      </c>
      <c r="DU267" s="14">
        <f t="shared" si="206"/>
        <v>0</v>
      </c>
      <c r="DV267" s="14">
        <f t="shared" si="207"/>
        <v>24</v>
      </c>
      <c r="DW267" s="29" t="s">
        <v>758</v>
      </c>
      <c r="DX267" s="14">
        <f t="shared" si="208"/>
        <v>30</v>
      </c>
    </row>
    <row r="268" spans="91:128" ht="16.5" x14ac:dyDescent="0.2">
      <c r="CM268" s="13">
        <v>264</v>
      </c>
      <c r="CN268" s="14">
        <f t="shared" si="182"/>
        <v>36</v>
      </c>
      <c r="CO268" s="14">
        <f t="shared" si="183"/>
        <v>2</v>
      </c>
      <c r="CP268" s="14">
        <f t="shared" si="184"/>
        <v>8</v>
      </c>
      <c r="CQ268" s="14">
        <f t="shared" si="175"/>
        <v>4</v>
      </c>
      <c r="CR268" s="14">
        <f t="shared" si="176"/>
        <v>2041028</v>
      </c>
      <c r="CS268" s="13" t="str">
        <f t="shared" si="177"/>
        <v>120级守护灵绿色-戒指</v>
      </c>
      <c r="CT268" s="14">
        <f t="shared" si="178"/>
        <v>2</v>
      </c>
      <c r="CU268" s="14">
        <f t="shared" si="179"/>
        <v>1</v>
      </c>
      <c r="CV268" s="14">
        <f t="shared" si="185"/>
        <v>120</v>
      </c>
      <c r="CW268" s="14">
        <f t="shared" si="186"/>
        <v>120</v>
      </c>
      <c r="CX268" s="14">
        <f t="shared" si="187"/>
        <v>8</v>
      </c>
      <c r="CY268" s="14" t="str">
        <f t="shared" si="188"/>
        <v/>
      </c>
      <c r="CZ268" s="14">
        <f t="shared" si="189"/>
        <v>42</v>
      </c>
      <c r="DA268" s="14">
        <f t="shared" si="190"/>
        <v>100</v>
      </c>
      <c r="DB268" s="14">
        <f t="shared" si="191"/>
        <v>0</v>
      </c>
      <c r="DC268" s="14">
        <f t="shared" si="192"/>
        <v>625</v>
      </c>
      <c r="DD268" s="14">
        <f t="shared" si="193"/>
        <v>3.5</v>
      </c>
      <c r="DE268" s="14">
        <f t="shared" si="194"/>
        <v>0</v>
      </c>
      <c r="DF268" s="14">
        <f t="shared" si="195"/>
        <v>25</v>
      </c>
      <c r="DG268" s="14">
        <f t="shared" si="196"/>
        <v>13</v>
      </c>
      <c r="DH268" s="14">
        <f t="shared" si="197"/>
        <v>0</v>
      </c>
      <c r="DI268" s="14">
        <f t="shared" si="198"/>
        <v>24</v>
      </c>
      <c r="DL268" s="14">
        <f t="shared" si="180"/>
        <v>1</v>
      </c>
      <c r="DM268" s="14">
        <f t="shared" si="181"/>
        <v>3</v>
      </c>
      <c r="DN268" s="14" t="str">
        <f t="shared" si="199"/>
        <v>AtkExt</v>
      </c>
      <c r="DO268" s="14">
        <f t="shared" si="200"/>
        <v>100</v>
      </c>
      <c r="DP268" s="14">
        <f t="shared" si="201"/>
        <v>3.5</v>
      </c>
      <c r="DQ268" s="14" t="str">
        <f t="shared" si="202"/>
        <v>HPExt</v>
      </c>
      <c r="DR268" s="14">
        <f t="shared" si="203"/>
        <v>625</v>
      </c>
      <c r="DS268" s="14">
        <f t="shared" si="204"/>
        <v>25</v>
      </c>
      <c r="DT268" s="14">
        <f t="shared" si="205"/>
        <v>13</v>
      </c>
      <c r="DU268" s="14">
        <f t="shared" si="206"/>
        <v>0</v>
      </c>
      <c r="DV268" s="14">
        <f t="shared" si="207"/>
        <v>24</v>
      </c>
      <c r="DW268" s="29" t="s">
        <v>758</v>
      </c>
      <c r="DX268" s="14">
        <f t="shared" si="208"/>
        <v>30</v>
      </c>
    </row>
    <row r="269" spans="91:128" ht="16.5" x14ac:dyDescent="0.2">
      <c r="CM269" s="13">
        <v>265</v>
      </c>
      <c r="CN269" s="14">
        <f t="shared" si="182"/>
        <v>37</v>
      </c>
      <c r="CO269" s="14">
        <f t="shared" si="183"/>
        <v>1</v>
      </c>
      <c r="CP269" s="14">
        <f t="shared" si="184"/>
        <v>1</v>
      </c>
      <c r="CQ269" s="14">
        <f t="shared" si="175"/>
        <v>4</v>
      </c>
      <c r="CR269" s="14">
        <f t="shared" si="176"/>
        <v>2042011</v>
      </c>
      <c r="CS269" s="13" t="str">
        <f t="shared" si="177"/>
        <v>120级寄灵人蓝色-武器</v>
      </c>
      <c r="CT269" s="14">
        <f t="shared" si="178"/>
        <v>1</v>
      </c>
      <c r="CU269" s="14">
        <f t="shared" si="179"/>
        <v>2</v>
      </c>
      <c r="CV269" s="14">
        <f t="shared" si="185"/>
        <v>120</v>
      </c>
      <c r="CW269" s="14">
        <f t="shared" si="186"/>
        <v>120</v>
      </c>
      <c r="CX269" s="14">
        <f t="shared" si="187"/>
        <v>1</v>
      </c>
      <c r="CY269" s="14" t="str">
        <f t="shared" si="188"/>
        <v/>
      </c>
      <c r="CZ269" s="14">
        <f t="shared" si="189"/>
        <v>78</v>
      </c>
      <c r="DA269" s="14">
        <f t="shared" si="190"/>
        <v>450</v>
      </c>
      <c r="DB269" s="14">
        <f t="shared" si="191"/>
        <v>0</v>
      </c>
      <c r="DC269" s="14">
        <f t="shared" si="192"/>
        <v>0</v>
      </c>
      <c r="DD269" s="14">
        <f t="shared" si="193"/>
        <v>15.75</v>
      </c>
      <c r="DE269" s="14">
        <f t="shared" si="194"/>
        <v>0</v>
      </c>
      <c r="DF269" s="14">
        <f t="shared" si="195"/>
        <v>0</v>
      </c>
      <c r="DG269" s="14">
        <f t="shared" si="196"/>
        <v>14</v>
      </c>
      <c r="DH269" s="14">
        <f t="shared" si="197"/>
        <v>0</v>
      </c>
      <c r="DI269" s="14">
        <f t="shared" si="198"/>
        <v>14</v>
      </c>
      <c r="DL269" s="14">
        <f t="shared" si="180"/>
        <v>1</v>
      </c>
      <c r="DM269" s="14">
        <f t="shared" si="181"/>
        <v>0</v>
      </c>
      <c r="DN269" s="14" t="str">
        <f t="shared" si="199"/>
        <v>AtkExt</v>
      </c>
      <c r="DO269" s="14">
        <f t="shared" si="200"/>
        <v>450</v>
      </c>
      <c r="DP269" s="14">
        <f t="shared" si="201"/>
        <v>15.75</v>
      </c>
      <c r="DQ269" s="14" t="str">
        <f t="shared" si="202"/>
        <v/>
      </c>
      <c r="DR269" s="14" t="str">
        <f t="shared" si="203"/>
        <v/>
      </c>
      <c r="DS269" s="14" t="str">
        <f t="shared" si="204"/>
        <v/>
      </c>
      <c r="DT269" s="14">
        <f t="shared" si="205"/>
        <v>14</v>
      </c>
      <c r="DU269" s="14">
        <f t="shared" si="206"/>
        <v>0</v>
      </c>
      <c r="DV269" s="14">
        <f t="shared" si="207"/>
        <v>14</v>
      </c>
      <c r="DW269" s="29" t="s">
        <v>758</v>
      </c>
      <c r="DX269" s="14">
        <f t="shared" si="208"/>
        <v>90</v>
      </c>
    </row>
    <row r="270" spans="91:128" ht="16.5" x14ac:dyDescent="0.2">
      <c r="CM270" s="13">
        <v>266</v>
      </c>
      <c r="CN270" s="14">
        <f t="shared" si="182"/>
        <v>37</v>
      </c>
      <c r="CO270" s="14">
        <f t="shared" si="183"/>
        <v>1</v>
      </c>
      <c r="CP270" s="14">
        <f t="shared" si="184"/>
        <v>2</v>
      </c>
      <c r="CQ270" s="14">
        <f t="shared" si="175"/>
        <v>4</v>
      </c>
      <c r="CR270" s="14">
        <f t="shared" si="176"/>
        <v>2042012</v>
      </c>
      <c r="CS270" s="13" t="str">
        <f t="shared" si="177"/>
        <v>120级寄灵人蓝色-头盔</v>
      </c>
      <c r="CT270" s="14">
        <f t="shared" si="178"/>
        <v>1</v>
      </c>
      <c r="CU270" s="14">
        <f t="shared" si="179"/>
        <v>2</v>
      </c>
      <c r="CV270" s="14">
        <f t="shared" si="185"/>
        <v>120</v>
      </c>
      <c r="CW270" s="14">
        <f t="shared" si="186"/>
        <v>120</v>
      </c>
      <c r="CX270" s="14">
        <f t="shared" si="187"/>
        <v>2</v>
      </c>
      <c r="CY270" s="14" t="str">
        <f t="shared" si="188"/>
        <v/>
      </c>
      <c r="CZ270" s="14">
        <f t="shared" si="189"/>
        <v>39</v>
      </c>
      <c r="DA270" s="14">
        <f t="shared" si="190"/>
        <v>0</v>
      </c>
      <c r="DB270" s="14">
        <f t="shared" si="191"/>
        <v>113</v>
      </c>
      <c r="DC270" s="14">
        <f t="shared" si="192"/>
        <v>0</v>
      </c>
      <c r="DD270" s="14">
        <f t="shared" si="193"/>
        <v>0</v>
      </c>
      <c r="DE270" s="14">
        <f t="shared" si="194"/>
        <v>3.94</v>
      </c>
      <c r="DF270" s="14">
        <f t="shared" si="195"/>
        <v>0</v>
      </c>
      <c r="DG270" s="14">
        <f t="shared" si="196"/>
        <v>14</v>
      </c>
      <c r="DH270" s="14">
        <f t="shared" si="197"/>
        <v>0</v>
      </c>
      <c r="DI270" s="14">
        <f t="shared" si="198"/>
        <v>14</v>
      </c>
      <c r="DL270" s="14">
        <f t="shared" si="180"/>
        <v>2</v>
      </c>
      <c r="DM270" s="14">
        <f t="shared" si="181"/>
        <v>0</v>
      </c>
      <c r="DN270" s="14" t="str">
        <f t="shared" si="199"/>
        <v>DefExt</v>
      </c>
      <c r="DO270" s="14">
        <f t="shared" si="200"/>
        <v>113</v>
      </c>
      <c r="DP270" s="14">
        <f t="shared" si="201"/>
        <v>3.94</v>
      </c>
      <c r="DQ270" s="14" t="str">
        <f t="shared" si="202"/>
        <v/>
      </c>
      <c r="DR270" s="14" t="str">
        <f t="shared" si="203"/>
        <v/>
      </c>
      <c r="DS270" s="14" t="str">
        <f t="shared" si="204"/>
        <v/>
      </c>
      <c r="DT270" s="14">
        <f t="shared" si="205"/>
        <v>14</v>
      </c>
      <c r="DU270" s="14">
        <f t="shared" si="206"/>
        <v>0</v>
      </c>
      <c r="DV270" s="14">
        <f t="shared" si="207"/>
        <v>14</v>
      </c>
      <c r="DW270" s="29" t="s">
        <v>758</v>
      </c>
      <c r="DX270" s="14">
        <f t="shared" si="208"/>
        <v>90</v>
      </c>
    </row>
    <row r="271" spans="91:128" ht="16.5" x14ac:dyDescent="0.2">
      <c r="CM271" s="13">
        <v>267</v>
      </c>
      <c r="CN271" s="14">
        <f t="shared" si="182"/>
        <v>37</v>
      </c>
      <c r="CO271" s="14">
        <f t="shared" si="183"/>
        <v>1</v>
      </c>
      <c r="CP271" s="14">
        <f t="shared" si="184"/>
        <v>3</v>
      </c>
      <c r="CQ271" s="14">
        <f t="shared" si="175"/>
        <v>4</v>
      </c>
      <c r="CR271" s="14">
        <f t="shared" si="176"/>
        <v>2042013</v>
      </c>
      <c r="CS271" s="13" t="str">
        <f t="shared" si="177"/>
        <v>120级寄灵人蓝色-肩甲</v>
      </c>
      <c r="CT271" s="14">
        <f t="shared" si="178"/>
        <v>1</v>
      </c>
      <c r="CU271" s="14">
        <f t="shared" si="179"/>
        <v>2</v>
      </c>
      <c r="CV271" s="14">
        <f t="shared" si="185"/>
        <v>120</v>
      </c>
      <c r="CW271" s="14">
        <f t="shared" si="186"/>
        <v>120</v>
      </c>
      <c r="CX271" s="14">
        <f t="shared" si="187"/>
        <v>3</v>
      </c>
      <c r="CY271" s="14" t="str">
        <f t="shared" si="188"/>
        <v/>
      </c>
      <c r="CZ271" s="14">
        <f t="shared" si="189"/>
        <v>30</v>
      </c>
      <c r="DA271" s="14">
        <f t="shared" si="190"/>
        <v>0</v>
      </c>
      <c r="DB271" s="14">
        <f t="shared" si="191"/>
        <v>56</v>
      </c>
      <c r="DC271" s="14">
        <f t="shared" si="192"/>
        <v>338</v>
      </c>
      <c r="DD271" s="14">
        <f t="shared" si="193"/>
        <v>0</v>
      </c>
      <c r="DE271" s="14">
        <f t="shared" si="194"/>
        <v>1.97</v>
      </c>
      <c r="DF271" s="14">
        <f t="shared" si="195"/>
        <v>11.25</v>
      </c>
      <c r="DG271" s="14">
        <f t="shared" si="196"/>
        <v>14</v>
      </c>
      <c r="DH271" s="14">
        <f t="shared" si="197"/>
        <v>0</v>
      </c>
      <c r="DI271" s="14">
        <f t="shared" si="198"/>
        <v>14</v>
      </c>
      <c r="DL271" s="14">
        <f t="shared" si="180"/>
        <v>2</v>
      </c>
      <c r="DM271" s="14">
        <f t="shared" si="181"/>
        <v>3</v>
      </c>
      <c r="DN271" s="14" t="str">
        <f t="shared" si="199"/>
        <v>DefExt</v>
      </c>
      <c r="DO271" s="14">
        <f t="shared" si="200"/>
        <v>56</v>
      </c>
      <c r="DP271" s="14">
        <f t="shared" si="201"/>
        <v>1.97</v>
      </c>
      <c r="DQ271" s="14" t="str">
        <f t="shared" si="202"/>
        <v>HPExt</v>
      </c>
      <c r="DR271" s="14">
        <f t="shared" si="203"/>
        <v>338</v>
      </c>
      <c r="DS271" s="14">
        <f t="shared" si="204"/>
        <v>11.25</v>
      </c>
      <c r="DT271" s="14">
        <f t="shared" si="205"/>
        <v>14</v>
      </c>
      <c r="DU271" s="14">
        <f t="shared" si="206"/>
        <v>0</v>
      </c>
      <c r="DV271" s="14">
        <f t="shared" si="207"/>
        <v>14</v>
      </c>
      <c r="DW271" s="29" t="s">
        <v>758</v>
      </c>
      <c r="DX271" s="14">
        <f t="shared" si="208"/>
        <v>90</v>
      </c>
    </row>
    <row r="272" spans="91:128" ht="16.5" x14ac:dyDescent="0.2">
      <c r="CM272" s="13">
        <v>268</v>
      </c>
      <c r="CN272" s="14">
        <f t="shared" si="182"/>
        <v>37</v>
      </c>
      <c r="CO272" s="14">
        <f t="shared" si="183"/>
        <v>1</v>
      </c>
      <c r="CP272" s="14">
        <f t="shared" si="184"/>
        <v>4</v>
      </c>
      <c r="CQ272" s="14">
        <f t="shared" si="175"/>
        <v>4</v>
      </c>
      <c r="CR272" s="14">
        <f t="shared" si="176"/>
        <v>2042014</v>
      </c>
      <c r="CS272" s="13" t="str">
        <f t="shared" si="177"/>
        <v>120级寄灵人蓝色-衣服</v>
      </c>
      <c r="CT272" s="14">
        <f t="shared" si="178"/>
        <v>1</v>
      </c>
      <c r="CU272" s="14">
        <f t="shared" si="179"/>
        <v>2</v>
      </c>
      <c r="CV272" s="14">
        <f t="shared" si="185"/>
        <v>120</v>
      </c>
      <c r="CW272" s="14">
        <f t="shared" si="186"/>
        <v>120</v>
      </c>
      <c r="CX272" s="14">
        <f t="shared" si="187"/>
        <v>4</v>
      </c>
      <c r="CY272" s="14" t="str">
        <f t="shared" si="188"/>
        <v/>
      </c>
      <c r="CZ272" s="14">
        <f t="shared" si="189"/>
        <v>39</v>
      </c>
      <c r="DA272" s="14">
        <f t="shared" si="190"/>
        <v>0</v>
      </c>
      <c r="DB272" s="14">
        <f t="shared" si="191"/>
        <v>113</v>
      </c>
      <c r="DC272" s="14">
        <f t="shared" si="192"/>
        <v>0</v>
      </c>
      <c r="DD272" s="14">
        <f t="shared" si="193"/>
        <v>0</v>
      </c>
      <c r="DE272" s="14">
        <f t="shared" si="194"/>
        <v>3.94</v>
      </c>
      <c r="DF272" s="14">
        <f t="shared" si="195"/>
        <v>0</v>
      </c>
      <c r="DG272" s="14">
        <f t="shared" si="196"/>
        <v>14</v>
      </c>
      <c r="DH272" s="14">
        <f t="shared" si="197"/>
        <v>0</v>
      </c>
      <c r="DI272" s="14">
        <f t="shared" si="198"/>
        <v>14</v>
      </c>
      <c r="DL272" s="14">
        <f t="shared" si="180"/>
        <v>2</v>
      </c>
      <c r="DM272" s="14">
        <f t="shared" si="181"/>
        <v>0</v>
      </c>
      <c r="DN272" s="14" t="str">
        <f t="shared" si="199"/>
        <v>DefExt</v>
      </c>
      <c r="DO272" s="14">
        <f t="shared" si="200"/>
        <v>113</v>
      </c>
      <c r="DP272" s="14">
        <f t="shared" si="201"/>
        <v>3.94</v>
      </c>
      <c r="DQ272" s="14" t="str">
        <f t="shared" si="202"/>
        <v/>
      </c>
      <c r="DR272" s="14" t="str">
        <f t="shared" si="203"/>
        <v/>
      </c>
      <c r="DS272" s="14" t="str">
        <f t="shared" si="204"/>
        <v/>
      </c>
      <c r="DT272" s="14">
        <f t="shared" si="205"/>
        <v>14</v>
      </c>
      <c r="DU272" s="14">
        <f t="shared" si="206"/>
        <v>0</v>
      </c>
      <c r="DV272" s="14">
        <f t="shared" si="207"/>
        <v>14</v>
      </c>
      <c r="DW272" s="29" t="s">
        <v>758</v>
      </c>
      <c r="DX272" s="14">
        <f t="shared" si="208"/>
        <v>90</v>
      </c>
    </row>
    <row r="273" spans="91:128" ht="16.5" x14ac:dyDescent="0.2">
      <c r="CM273" s="13">
        <v>269</v>
      </c>
      <c r="CN273" s="14">
        <f t="shared" si="182"/>
        <v>37</v>
      </c>
      <c r="CO273" s="14">
        <f t="shared" si="183"/>
        <v>1</v>
      </c>
      <c r="CP273" s="14">
        <f t="shared" si="184"/>
        <v>5</v>
      </c>
      <c r="CQ273" s="14">
        <f t="shared" si="175"/>
        <v>4</v>
      </c>
      <c r="CR273" s="14">
        <f t="shared" si="176"/>
        <v>2042015</v>
      </c>
      <c r="CS273" s="13" t="str">
        <f t="shared" si="177"/>
        <v>120级寄灵人蓝色-鞋子</v>
      </c>
      <c r="CT273" s="14">
        <f t="shared" si="178"/>
        <v>1</v>
      </c>
      <c r="CU273" s="14">
        <f t="shared" si="179"/>
        <v>2</v>
      </c>
      <c r="CV273" s="14">
        <f t="shared" si="185"/>
        <v>120</v>
      </c>
      <c r="CW273" s="14">
        <f t="shared" si="186"/>
        <v>120</v>
      </c>
      <c r="CX273" s="14">
        <f t="shared" si="187"/>
        <v>5</v>
      </c>
      <c r="CY273" s="14" t="str">
        <f t="shared" si="188"/>
        <v/>
      </c>
      <c r="CZ273" s="14">
        <f t="shared" si="189"/>
        <v>22</v>
      </c>
      <c r="DA273" s="14">
        <f t="shared" si="190"/>
        <v>0</v>
      </c>
      <c r="DB273" s="14">
        <f t="shared" si="191"/>
        <v>0</v>
      </c>
      <c r="DC273" s="14">
        <f t="shared" si="192"/>
        <v>675</v>
      </c>
      <c r="DD273" s="14">
        <f t="shared" si="193"/>
        <v>0</v>
      </c>
      <c r="DE273" s="14">
        <f t="shared" si="194"/>
        <v>0</v>
      </c>
      <c r="DF273" s="14">
        <f t="shared" si="195"/>
        <v>22.5</v>
      </c>
      <c r="DG273" s="14">
        <f t="shared" si="196"/>
        <v>14</v>
      </c>
      <c r="DH273" s="14">
        <f t="shared" si="197"/>
        <v>0</v>
      </c>
      <c r="DI273" s="14">
        <f t="shared" si="198"/>
        <v>14</v>
      </c>
      <c r="DL273" s="14">
        <f t="shared" si="180"/>
        <v>3</v>
      </c>
      <c r="DM273" s="14">
        <f t="shared" si="181"/>
        <v>0</v>
      </c>
      <c r="DN273" s="14" t="str">
        <f t="shared" si="199"/>
        <v>HPExt</v>
      </c>
      <c r="DO273" s="14">
        <f t="shared" si="200"/>
        <v>675</v>
      </c>
      <c r="DP273" s="14">
        <f t="shared" si="201"/>
        <v>22.5</v>
      </c>
      <c r="DQ273" s="14" t="str">
        <f t="shared" si="202"/>
        <v/>
      </c>
      <c r="DR273" s="14" t="str">
        <f t="shared" si="203"/>
        <v/>
      </c>
      <c r="DS273" s="14" t="str">
        <f t="shared" si="204"/>
        <v/>
      </c>
      <c r="DT273" s="14">
        <f t="shared" si="205"/>
        <v>14</v>
      </c>
      <c r="DU273" s="14">
        <f t="shared" si="206"/>
        <v>0</v>
      </c>
      <c r="DV273" s="14">
        <f t="shared" si="207"/>
        <v>14</v>
      </c>
      <c r="DW273" s="29" t="s">
        <v>758</v>
      </c>
      <c r="DX273" s="14">
        <f t="shared" si="208"/>
        <v>90</v>
      </c>
    </row>
    <row r="274" spans="91:128" ht="16.5" x14ac:dyDescent="0.2">
      <c r="CM274" s="13">
        <v>270</v>
      </c>
      <c r="CN274" s="14">
        <f t="shared" si="182"/>
        <v>37</v>
      </c>
      <c r="CO274" s="14">
        <f t="shared" si="183"/>
        <v>1</v>
      </c>
      <c r="CP274" s="14">
        <f t="shared" si="184"/>
        <v>6</v>
      </c>
      <c r="CQ274" s="14">
        <f t="shared" si="175"/>
        <v>4</v>
      </c>
      <c r="CR274" s="14">
        <f t="shared" si="176"/>
        <v>2042016</v>
      </c>
      <c r="CS274" s="13" t="str">
        <f t="shared" si="177"/>
        <v>120级寄灵人蓝色-护手</v>
      </c>
      <c r="CT274" s="14">
        <f t="shared" si="178"/>
        <v>1</v>
      </c>
      <c r="CU274" s="14">
        <f t="shared" si="179"/>
        <v>2</v>
      </c>
      <c r="CV274" s="14">
        <f t="shared" si="185"/>
        <v>120</v>
      </c>
      <c r="CW274" s="14">
        <f t="shared" si="186"/>
        <v>120</v>
      </c>
      <c r="CX274" s="14">
        <f t="shared" si="187"/>
        <v>6</v>
      </c>
      <c r="CY274" s="14" t="str">
        <f t="shared" si="188"/>
        <v/>
      </c>
      <c r="CZ274" s="14">
        <f t="shared" si="189"/>
        <v>22</v>
      </c>
      <c r="DA274" s="14">
        <f t="shared" si="190"/>
        <v>0</v>
      </c>
      <c r="DB274" s="14">
        <f t="shared" si="191"/>
        <v>0</v>
      </c>
      <c r="DC274" s="14">
        <f t="shared" si="192"/>
        <v>675</v>
      </c>
      <c r="DD274" s="14">
        <f t="shared" si="193"/>
        <v>0</v>
      </c>
      <c r="DE274" s="14">
        <f t="shared" si="194"/>
        <v>0</v>
      </c>
      <c r="DF274" s="14">
        <f t="shared" si="195"/>
        <v>22.5</v>
      </c>
      <c r="DG274" s="14">
        <f t="shared" si="196"/>
        <v>14</v>
      </c>
      <c r="DH274" s="14">
        <f t="shared" si="197"/>
        <v>0</v>
      </c>
      <c r="DI274" s="14">
        <f t="shared" si="198"/>
        <v>14</v>
      </c>
      <c r="DL274" s="14">
        <f t="shared" si="180"/>
        <v>3</v>
      </c>
      <c r="DM274" s="14">
        <f t="shared" si="181"/>
        <v>0</v>
      </c>
      <c r="DN274" s="14" t="str">
        <f t="shared" si="199"/>
        <v>HPExt</v>
      </c>
      <c r="DO274" s="14">
        <f t="shared" si="200"/>
        <v>675</v>
      </c>
      <c r="DP274" s="14">
        <f t="shared" si="201"/>
        <v>22.5</v>
      </c>
      <c r="DQ274" s="14" t="str">
        <f t="shared" si="202"/>
        <v/>
      </c>
      <c r="DR274" s="14" t="str">
        <f t="shared" si="203"/>
        <v/>
      </c>
      <c r="DS274" s="14" t="str">
        <f t="shared" si="204"/>
        <v/>
      </c>
      <c r="DT274" s="14">
        <f t="shared" si="205"/>
        <v>14</v>
      </c>
      <c r="DU274" s="14">
        <f t="shared" si="206"/>
        <v>0</v>
      </c>
      <c r="DV274" s="14">
        <f t="shared" si="207"/>
        <v>14</v>
      </c>
      <c r="DW274" s="29" t="s">
        <v>758</v>
      </c>
      <c r="DX274" s="14">
        <f t="shared" si="208"/>
        <v>90</v>
      </c>
    </row>
    <row r="275" spans="91:128" ht="16.5" x14ac:dyDescent="0.2">
      <c r="CM275" s="13">
        <v>271</v>
      </c>
      <c r="CN275" s="14">
        <f t="shared" si="182"/>
        <v>37</v>
      </c>
      <c r="CO275" s="14">
        <f t="shared" si="183"/>
        <v>1</v>
      </c>
      <c r="CP275" s="14">
        <f t="shared" si="184"/>
        <v>7</v>
      </c>
      <c r="CQ275" s="14">
        <f t="shared" si="175"/>
        <v>4</v>
      </c>
      <c r="CR275" s="14">
        <f t="shared" si="176"/>
        <v>2042017</v>
      </c>
      <c r="CS275" s="13" t="str">
        <f t="shared" si="177"/>
        <v>120级寄灵人蓝色-项链</v>
      </c>
      <c r="CT275" s="14">
        <f t="shared" si="178"/>
        <v>1</v>
      </c>
      <c r="CU275" s="14">
        <f t="shared" si="179"/>
        <v>2</v>
      </c>
      <c r="CV275" s="14">
        <f t="shared" si="185"/>
        <v>120</v>
      </c>
      <c r="CW275" s="14">
        <f t="shared" si="186"/>
        <v>120</v>
      </c>
      <c r="CX275" s="14">
        <f t="shared" si="187"/>
        <v>7</v>
      </c>
      <c r="CY275" s="14" t="str">
        <f t="shared" si="188"/>
        <v/>
      </c>
      <c r="CZ275" s="14">
        <f t="shared" si="189"/>
        <v>59</v>
      </c>
      <c r="DA275" s="14">
        <f t="shared" si="190"/>
        <v>150</v>
      </c>
      <c r="DB275" s="14">
        <f t="shared" si="191"/>
        <v>94</v>
      </c>
      <c r="DC275" s="14">
        <f t="shared" si="192"/>
        <v>0</v>
      </c>
      <c r="DD275" s="14">
        <f t="shared" si="193"/>
        <v>5.25</v>
      </c>
      <c r="DE275" s="14">
        <f t="shared" si="194"/>
        <v>3.28</v>
      </c>
      <c r="DF275" s="14">
        <f t="shared" si="195"/>
        <v>0</v>
      </c>
      <c r="DG275" s="14">
        <f t="shared" si="196"/>
        <v>14</v>
      </c>
      <c r="DH275" s="14">
        <f t="shared" si="197"/>
        <v>0</v>
      </c>
      <c r="DI275" s="14">
        <f t="shared" si="198"/>
        <v>14</v>
      </c>
      <c r="DL275" s="14">
        <f t="shared" si="180"/>
        <v>1</v>
      </c>
      <c r="DM275" s="14">
        <f t="shared" si="181"/>
        <v>2</v>
      </c>
      <c r="DN275" s="14" t="str">
        <f t="shared" si="199"/>
        <v>AtkExt</v>
      </c>
      <c r="DO275" s="14">
        <f t="shared" si="200"/>
        <v>150</v>
      </c>
      <c r="DP275" s="14">
        <f t="shared" si="201"/>
        <v>5.25</v>
      </c>
      <c r="DQ275" s="14" t="str">
        <f t="shared" si="202"/>
        <v>DefExt</v>
      </c>
      <c r="DR275" s="14">
        <f t="shared" si="203"/>
        <v>94</v>
      </c>
      <c r="DS275" s="14">
        <f t="shared" si="204"/>
        <v>3.28</v>
      </c>
      <c r="DT275" s="14">
        <f t="shared" si="205"/>
        <v>14</v>
      </c>
      <c r="DU275" s="14">
        <f t="shared" si="206"/>
        <v>0</v>
      </c>
      <c r="DV275" s="14">
        <f t="shared" si="207"/>
        <v>14</v>
      </c>
      <c r="DW275" s="29" t="s">
        <v>758</v>
      </c>
      <c r="DX275" s="14">
        <f t="shared" si="208"/>
        <v>90</v>
      </c>
    </row>
    <row r="276" spans="91:128" ht="16.5" x14ac:dyDescent="0.2">
      <c r="CM276" s="13">
        <v>272</v>
      </c>
      <c r="CN276" s="14">
        <f t="shared" si="182"/>
        <v>37</v>
      </c>
      <c r="CO276" s="14">
        <f t="shared" si="183"/>
        <v>1</v>
      </c>
      <c r="CP276" s="14">
        <f t="shared" si="184"/>
        <v>8</v>
      </c>
      <c r="CQ276" s="14">
        <f t="shared" si="175"/>
        <v>4</v>
      </c>
      <c r="CR276" s="14">
        <f t="shared" si="176"/>
        <v>2042018</v>
      </c>
      <c r="CS276" s="13" t="str">
        <f t="shared" si="177"/>
        <v>120级寄灵人蓝色-戒指</v>
      </c>
      <c r="CT276" s="14">
        <f t="shared" si="178"/>
        <v>1</v>
      </c>
      <c r="CU276" s="14">
        <f t="shared" si="179"/>
        <v>2</v>
      </c>
      <c r="CV276" s="14">
        <f t="shared" si="185"/>
        <v>120</v>
      </c>
      <c r="CW276" s="14">
        <f t="shared" si="186"/>
        <v>120</v>
      </c>
      <c r="CX276" s="14">
        <f t="shared" si="187"/>
        <v>8</v>
      </c>
      <c r="CY276" s="14" t="str">
        <f t="shared" si="188"/>
        <v/>
      </c>
      <c r="CZ276" s="14">
        <f t="shared" si="189"/>
        <v>45</v>
      </c>
      <c r="DA276" s="14">
        <f t="shared" si="190"/>
        <v>150</v>
      </c>
      <c r="DB276" s="14">
        <f t="shared" si="191"/>
        <v>0</v>
      </c>
      <c r="DC276" s="14">
        <f t="shared" si="192"/>
        <v>563</v>
      </c>
      <c r="DD276" s="14">
        <f t="shared" si="193"/>
        <v>5.25</v>
      </c>
      <c r="DE276" s="14">
        <f t="shared" si="194"/>
        <v>0</v>
      </c>
      <c r="DF276" s="14">
        <f t="shared" si="195"/>
        <v>18.75</v>
      </c>
      <c r="DG276" s="14">
        <f t="shared" si="196"/>
        <v>14</v>
      </c>
      <c r="DH276" s="14">
        <f t="shared" si="197"/>
        <v>0</v>
      </c>
      <c r="DI276" s="14">
        <f t="shared" si="198"/>
        <v>14</v>
      </c>
      <c r="DL276" s="14">
        <f t="shared" si="180"/>
        <v>1</v>
      </c>
      <c r="DM276" s="14">
        <f t="shared" si="181"/>
        <v>3</v>
      </c>
      <c r="DN276" s="14" t="str">
        <f t="shared" si="199"/>
        <v>AtkExt</v>
      </c>
      <c r="DO276" s="14">
        <f t="shared" si="200"/>
        <v>150</v>
      </c>
      <c r="DP276" s="14">
        <f t="shared" si="201"/>
        <v>5.25</v>
      </c>
      <c r="DQ276" s="14" t="str">
        <f t="shared" si="202"/>
        <v>HPExt</v>
      </c>
      <c r="DR276" s="14">
        <f t="shared" si="203"/>
        <v>563</v>
      </c>
      <c r="DS276" s="14">
        <f t="shared" si="204"/>
        <v>18.75</v>
      </c>
      <c r="DT276" s="14">
        <f t="shared" si="205"/>
        <v>14</v>
      </c>
      <c r="DU276" s="14">
        <f t="shared" si="206"/>
        <v>0</v>
      </c>
      <c r="DV276" s="14">
        <f t="shared" si="207"/>
        <v>14</v>
      </c>
      <c r="DW276" s="29" t="s">
        <v>758</v>
      </c>
      <c r="DX276" s="14">
        <f t="shared" si="208"/>
        <v>90</v>
      </c>
    </row>
    <row r="277" spans="91:128" ht="16.5" x14ac:dyDescent="0.2">
      <c r="CM277" s="13">
        <v>273</v>
      </c>
      <c r="CN277" s="14">
        <f t="shared" si="182"/>
        <v>38</v>
      </c>
      <c r="CO277" s="14">
        <f t="shared" si="183"/>
        <v>2</v>
      </c>
      <c r="CP277" s="14">
        <f t="shared" si="184"/>
        <v>1</v>
      </c>
      <c r="CQ277" s="14">
        <f t="shared" si="175"/>
        <v>4</v>
      </c>
      <c r="CR277" s="14">
        <f t="shared" si="176"/>
        <v>2042021</v>
      </c>
      <c r="CS277" s="13" t="str">
        <f t="shared" si="177"/>
        <v>120级守护灵蓝色-武器</v>
      </c>
      <c r="CT277" s="14">
        <f t="shared" si="178"/>
        <v>2</v>
      </c>
      <c r="CU277" s="14">
        <f t="shared" si="179"/>
        <v>2</v>
      </c>
      <c r="CV277" s="14">
        <f t="shared" si="185"/>
        <v>120</v>
      </c>
      <c r="CW277" s="14">
        <f t="shared" si="186"/>
        <v>120</v>
      </c>
      <c r="CX277" s="14">
        <f t="shared" si="187"/>
        <v>1</v>
      </c>
      <c r="CY277" s="14" t="str">
        <f t="shared" si="188"/>
        <v/>
      </c>
      <c r="CZ277" s="14">
        <f t="shared" si="189"/>
        <v>78</v>
      </c>
      <c r="DA277" s="14">
        <f t="shared" si="190"/>
        <v>450</v>
      </c>
      <c r="DB277" s="14">
        <f t="shared" si="191"/>
        <v>0</v>
      </c>
      <c r="DC277" s="14">
        <f t="shared" si="192"/>
        <v>0</v>
      </c>
      <c r="DD277" s="14">
        <f t="shared" si="193"/>
        <v>15.75</v>
      </c>
      <c r="DE277" s="14">
        <f t="shared" si="194"/>
        <v>0</v>
      </c>
      <c r="DF277" s="14">
        <f t="shared" si="195"/>
        <v>0</v>
      </c>
      <c r="DG277" s="14">
        <f t="shared" si="196"/>
        <v>14</v>
      </c>
      <c r="DH277" s="14">
        <f t="shared" si="197"/>
        <v>0</v>
      </c>
      <c r="DI277" s="14">
        <f t="shared" si="198"/>
        <v>24</v>
      </c>
      <c r="DL277" s="14">
        <f t="shared" si="180"/>
        <v>1</v>
      </c>
      <c r="DM277" s="14">
        <f t="shared" si="181"/>
        <v>0</v>
      </c>
      <c r="DN277" s="14" t="str">
        <f t="shared" si="199"/>
        <v>AtkExt</v>
      </c>
      <c r="DO277" s="14">
        <f t="shared" si="200"/>
        <v>450</v>
      </c>
      <c r="DP277" s="14">
        <f t="shared" si="201"/>
        <v>15.75</v>
      </c>
      <c r="DQ277" s="14" t="str">
        <f t="shared" si="202"/>
        <v/>
      </c>
      <c r="DR277" s="14" t="str">
        <f t="shared" si="203"/>
        <v/>
      </c>
      <c r="DS277" s="14" t="str">
        <f t="shared" si="204"/>
        <v/>
      </c>
      <c r="DT277" s="14">
        <f t="shared" si="205"/>
        <v>14</v>
      </c>
      <c r="DU277" s="14">
        <f t="shared" si="206"/>
        <v>0</v>
      </c>
      <c r="DV277" s="14">
        <f t="shared" si="207"/>
        <v>24</v>
      </c>
      <c r="DW277" s="29" t="s">
        <v>758</v>
      </c>
      <c r="DX277" s="14">
        <f t="shared" si="208"/>
        <v>90</v>
      </c>
    </row>
    <row r="278" spans="91:128" ht="16.5" x14ac:dyDescent="0.2">
      <c r="CM278" s="13">
        <v>274</v>
      </c>
      <c r="CN278" s="14">
        <f t="shared" si="182"/>
        <v>38</v>
      </c>
      <c r="CO278" s="14">
        <f t="shared" si="183"/>
        <v>2</v>
      </c>
      <c r="CP278" s="14">
        <f t="shared" si="184"/>
        <v>2</v>
      </c>
      <c r="CQ278" s="14">
        <f t="shared" si="175"/>
        <v>4</v>
      </c>
      <c r="CR278" s="14">
        <f t="shared" si="176"/>
        <v>2042022</v>
      </c>
      <c r="CS278" s="13" t="str">
        <f t="shared" si="177"/>
        <v>120级守护灵蓝色-头盔</v>
      </c>
      <c r="CT278" s="14">
        <f t="shared" si="178"/>
        <v>2</v>
      </c>
      <c r="CU278" s="14">
        <f t="shared" si="179"/>
        <v>2</v>
      </c>
      <c r="CV278" s="14">
        <f t="shared" si="185"/>
        <v>120</v>
      </c>
      <c r="CW278" s="14">
        <f t="shared" si="186"/>
        <v>120</v>
      </c>
      <c r="CX278" s="14">
        <f t="shared" si="187"/>
        <v>2</v>
      </c>
      <c r="CY278" s="14" t="str">
        <f t="shared" si="188"/>
        <v/>
      </c>
      <c r="CZ278" s="14">
        <f t="shared" si="189"/>
        <v>40</v>
      </c>
      <c r="DA278" s="14">
        <f t="shared" si="190"/>
        <v>0</v>
      </c>
      <c r="DB278" s="14">
        <f t="shared" si="191"/>
        <v>113</v>
      </c>
      <c r="DC278" s="14">
        <f t="shared" si="192"/>
        <v>0</v>
      </c>
      <c r="DD278" s="14">
        <f t="shared" si="193"/>
        <v>0</v>
      </c>
      <c r="DE278" s="14">
        <f t="shared" si="194"/>
        <v>4.05</v>
      </c>
      <c r="DF278" s="14">
        <f t="shared" si="195"/>
        <v>0</v>
      </c>
      <c r="DG278" s="14">
        <f t="shared" si="196"/>
        <v>14</v>
      </c>
      <c r="DH278" s="14">
        <f t="shared" si="197"/>
        <v>0</v>
      </c>
      <c r="DI278" s="14">
        <f t="shared" si="198"/>
        <v>24</v>
      </c>
      <c r="DL278" s="14">
        <f t="shared" si="180"/>
        <v>2</v>
      </c>
      <c r="DM278" s="14">
        <f t="shared" si="181"/>
        <v>0</v>
      </c>
      <c r="DN278" s="14" t="str">
        <f t="shared" si="199"/>
        <v>DefExt</v>
      </c>
      <c r="DO278" s="14">
        <f t="shared" si="200"/>
        <v>113</v>
      </c>
      <c r="DP278" s="14">
        <f t="shared" si="201"/>
        <v>4.05</v>
      </c>
      <c r="DQ278" s="14" t="str">
        <f t="shared" si="202"/>
        <v/>
      </c>
      <c r="DR278" s="14" t="str">
        <f t="shared" si="203"/>
        <v/>
      </c>
      <c r="DS278" s="14" t="str">
        <f t="shared" si="204"/>
        <v/>
      </c>
      <c r="DT278" s="14">
        <f t="shared" si="205"/>
        <v>14</v>
      </c>
      <c r="DU278" s="14">
        <f t="shared" si="206"/>
        <v>0</v>
      </c>
      <c r="DV278" s="14">
        <f t="shared" si="207"/>
        <v>24</v>
      </c>
      <c r="DW278" s="29" t="s">
        <v>758</v>
      </c>
      <c r="DX278" s="14">
        <f t="shared" si="208"/>
        <v>90</v>
      </c>
    </row>
    <row r="279" spans="91:128" ht="16.5" x14ac:dyDescent="0.2">
      <c r="CM279" s="13">
        <v>275</v>
      </c>
      <c r="CN279" s="14">
        <f t="shared" si="182"/>
        <v>38</v>
      </c>
      <c r="CO279" s="14">
        <f t="shared" si="183"/>
        <v>2</v>
      </c>
      <c r="CP279" s="14">
        <f t="shared" si="184"/>
        <v>3</v>
      </c>
      <c r="CQ279" s="14">
        <f t="shared" si="175"/>
        <v>4</v>
      </c>
      <c r="CR279" s="14">
        <f t="shared" si="176"/>
        <v>2042023</v>
      </c>
      <c r="CS279" s="13" t="str">
        <f t="shared" si="177"/>
        <v>120级守护灵蓝色-肩甲</v>
      </c>
      <c r="CT279" s="14">
        <f t="shared" si="178"/>
        <v>2</v>
      </c>
      <c r="CU279" s="14">
        <f t="shared" si="179"/>
        <v>2</v>
      </c>
      <c r="CV279" s="14">
        <f t="shared" si="185"/>
        <v>120</v>
      </c>
      <c r="CW279" s="14">
        <f t="shared" si="186"/>
        <v>120</v>
      </c>
      <c r="CX279" s="14">
        <f t="shared" si="187"/>
        <v>3</v>
      </c>
      <c r="CY279" s="14" t="str">
        <f t="shared" si="188"/>
        <v/>
      </c>
      <c r="CZ279" s="14">
        <f t="shared" si="189"/>
        <v>42</v>
      </c>
      <c r="DA279" s="14">
        <f t="shared" si="190"/>
        <v>0</v>
      </c>
      <c r="DB279" s="14">
        <f t="shared" si="191"/>
        <v>56</v>
      </c>
      <c r="DC279" s="14">
        <f t="shared" si="192"/>
        <v>563</v>
      </c>
      <c r="DD279" s="14">
        <f t="shared" si="193"/>
        <v>0</v>
      </c>
      <c r="DE279" s="14">
        <f t="shared" si="194"/>
        <v>2.0299999999999998</v>
      </c>
      <c r="DF279" s="14">
        <f t="shared" si="195"/>
        <v>22.5</v>
      </c>
      <c r="DG279" s="14">
        <f t="shared" si="196"/>
        <v>14</v>
      </c>
      <c r="DH279" s="14">
        <f t="shared" si="197"/>
        <v>0</v>
      </c>
      <c r="DI279" s="14">
        <f t="shared" si="198"/>
        <v>24</v>
      </c>
      <c r="DL279" s="14">
        <f t="shared" si="180"/>
        <v>2</v>
      </c>
      <c r="DM279" s="14">
        <f t="shared" si="181"/>
        <v>3</v>
      </c>
      <c r="DN279" s="14" t="str">
        <f t="shared" si="199"/>
        <v>DefExt</v>
      </c>
      <c r="DO279" s="14">
        <f t="shared" si="200"/>
        <v>56</v>
      </c>
      <c r="DP279" s="14">
        <f t="shared" si="201"/>
        <v>2.0299999999999998</v>
      </c>
      <c r="DQ279" s="14" t="str">
        <f t="shared" si="202"/>
        <v>HPExt</v>
      </c>
      <c r="DR279" s="14">
        <f t="shared" si="203"/>
        <v>563</v>
      </c>
      <c r="DS279" s="14">
        <f t="shared" si="204"/>
        <v>22.5</v>
      </c>
      <c r="DT279" s="14">
        <f t="shared" si="205"/>
        <v>14</v>
      </c>
      <c r="DU279" s="14">
        <f t="shared" si="206"/>
        <v>0</v>
      </c>
      <c r="DV279" s="14">
        <f t="shared" si="207"/>
        <v>24</v>
      </c>
      <c r="DW279" s="29" t="s">
        <v>758</v>
      </c>
      <c r="DX279" s="14">
        <f t="shared" si="208"/>
        <v>90</v>
      </c>
    </row>
    <row r="280" spans="91:128" ht="16.5" x14ac:dyDescent="0.2">
      <c r="CM280" s="13">
        <v>276</v>
      </c>
      <c r="CN280" s="14">
        <f t="shared" si="182"/>
        <v>38</v>
      </c>
      <c r="CO280" s="14">
        <f t="shared" si="183"/>
        <v>2</v>
      </c>
      <c r="CP280" s="14">
        <f t="shared" si="184"/>
        <v>4</v>
      </c>
      <c r="CQ280" s="14">
        <f t="shared" si="175"/>
        <v>4</v>
      </c>
      <c r="CR280" s="14">
        <f t="shared" si="176"/>
        <v>2042024</v>
      </c>
      <c r="CS280" s="13" t="str">
        <f t="shared" si="177"/>
        <v>120级守护灵蓝色-衣服</v>
      </c>
      <c r="CT280" s="14">
        <f t="shared" si="178"/>
        <v>2</v>
      </c>
      <c r="CU280" s="14">
        <f t="shared" si="179"/>
        <v>2</v>
      </c>
      <c r="CV280" s="14">
        <f t="shared" si="185"/>
        <v>120</v>
      </c>
      <c r="CW280" s="14">
        <f t="shared" si="186"/>
        <v>120</v>
      </c>
      <c r="CX280" s="14">
        <f t="shared" si="187"/>
        <v>4</v>
      </c>
      <c r="CY280" s="14" t="str">
        <f t="shared" si="188"/>
        <v/>
      </c>
      <c r="CZ280" s="14">
        <f t="shared" si="189"/>
        <v>40</v>
      </c>
      <c r="DA280" s="14">
        <f t="shared" si="190"/>
        <v>0</v>
      </c>
      <c r="DB280" s="14">
        <f t="shared" si="191"/>
        <v>113</v>
      </c>
      <c r="DC280" s="14">
        <f t="shared" si="192"/>
        <v>0</v>
      </c>
      <c r="DD280" s="14">
        <f t="shared" si="193"/>
        <v>0</v>
      </c>
      <c r="DE280" s="14">
        <f t="shared" si="194"/>
        <v>4.05</v>
      </c>
      <c r="DF280" s="14">
        <f t="shared" si="195"/>
        <v>0</v>
      </c>
      <c r="DG280" s="14">
        <f t="shared" si="196"/>
        <v>14</v>
      </c>
      <c r="DH280" s="14">
        <f t="shared" si="197"/>
        <v>0</v>
      </c>
      <c r="DI280" s="14">
        <f t="shared" si="198"/>
        <v>24</v>
      </c>
      <c r="DL280" s="14">
        <f t="shared" si="180"/>
        <v>2</v>
      </c>
      <c r="DM280" s="14">
        <f t="shared" si="181"/>
        <v>0</v>
      </c>
      <c r="DN280" s="14" t="str">
        <f t="shared" si="199"/>
        <v>DefExt</v>
      </c>
      <c r="DO280" s="14">
        <f t="shared" si="200"/>
        <v>113</v>
      </c>
      <c r="DP280" s="14">
        <f t="shared" si="201"/>
        <v>4.05</v>
      </c>
      <c r="DQ280" s="14" t="str">
        <f t="shared" si="202"/>
        <v/>
      </c>
      <c r="DR280" s="14" t="str">
        <f t="shared" si="203"/>
        <v/>
      </c>
      <c r="DS280" s="14" t="str">
        <f t="shared" si="204"/>
        <v/>
      </c>
      <c r="DT280" s="14">
        <f t="shared" si="205"/>
        <v>14</v>
      </c>
      <c r="DU280" s="14">
        <f t="shared" si="206"/>
        <v>0</v>
      </c>
      <c r="DV280" s="14">
        <f t="shared" si="207"/>
        <v>24</v>
      </c>
      <c r="DW280" s="29" t="s">
        <v>758</v>
      </c>
      <c r="DX280" s="14">
        <f t="shared" si="208"/>
        <v>90</v>
      </c>
    </row>
    <row r="281" spans="91:128" ht="16.5" x14ac:dyDescent="0.2">
      <c r="CM281" s="13">
        <v>277</v>
      </c>
      <c r="CN281" s="14">
        <f t="shared" si="182"/>
        <v>38</v>
      </c>
      <c r="CO281" s="14">
        <f t="shared" si="183"/>
        <v>2</v>
      </c>
      <c r="CP281" s="14">
        <f t="shared" si="184"/>
        <v>5</v>
      </c>
      <c r="CQ281" s="14">
        <f t="shared" si="175"/>
        <v>4</v>
      </c>
      <c r="CR281" s="14">
        <f t="shared" si="176"/>
        <v>2042025</v>
      </c>
      <c r="CS281" s="13" t="str">
        <f t="shared" si="177"/>
        <v>120级守护灵蓝色-鞋子</v>
      </c>
      <c r="CT281" s="14">
        <f t="shared" si="178"/>
        <v>2</v>
      </c>
      <c r="CU281" s="14">
        <f t="shared" si="179"/>
        <v>2</v>
      </c>
      <c r="CV281" s="14">
        <f t="shared" si="185"/>
        <v>120</v>
      </c>
      <c r="CW281" s="14">
        <f t="shared" si="186"/>
        <v>120</v>
      </c>
      <c r="CX281" s="14">
        <f t="shared" si="187"/>
        <v>5</v>
      </c>
      <c r="CY281" s="14" t="str">
        <f t="shared" si="188"/>
        <v/>
      </c>
      <c r="CZ281" s="14">
        <f t="shared" si="189"/>
        <v>45</v>
      </c>
      <c r="DA281" s="14">
        <f t="shared" si="190"/>
        <v>0</v>
      </c>
      <c r="DB281" s="14">
        <f t="shared" si="191"/>
        <v>0</v>
      </c>
      <c r="DC281" s="14">
        <f t="shared" si="192"/>
        <v>1125</v>
      </c>
      <c r="DD281" s="14">
        <f t="shared" si="193"/>
        <v>0</v>
      </c>
      <c r="DE281" s="14">
        <f t="shared" si="194"/>
        <v>0</v>
      </c>
      <c r="DF281" s="14">
        <f t="shared" si="195"/>
        <v>45</v>
      </c>
      <c r="DG281" s="14">
        <f t="shared" si="196"/>
        <v>14</v>
      </c>
      <c r="DH281" s="14">
        <f t="shared" si="197"/>
        <v>0</v>
      </c>
      <c r="DI281" s="14">
        <f t="shared" si="198"/>
        <v>24</v>
      </c>
      <c r="DL281" s="14">
        <f t="shared" si="180"/>
        <v>3</v>
      </c>
      <c r="DM281" s="14">
        <f t="shared" si="181"/>
        <v>0</v>
      </c>
      <c r="DN281" s="14" t="str">
        <f t="shared" si="199"/>
        <v>HPExt</v>
      </c>
      <c r="DO281" s="14">
        <f t="shared" si="200"/>
        <v>1125</v>
      </c>
      <c r="DP281" s="14">
        <f t="shared" si="201"/>
        <v>45</v>
      </c>
      <c r="DQ281" s="14" t="str">
        <f t="shared" si="202"/>
        <v/>
      </c>
      <c r="DR281" s="14" t="str">
        <f t="shared" si="203"/>
        <v/>
      </c>
      <c r="DS281" s="14" t="str">
        <f t="shared" si="204"/>
        <v/>
      </c>
      <c r="DT281" s="14">
        <f t="shared" si="205"/>
        <v>14</v>
      </c>
      <c r="DU281" s="14">
        <f t="shared" si="206"/>
        <v>0</v>
      </c>
      <c r="DV281" s="14">
        <f t="shared" si="207"/>
        <v>24</v>
      </c>
      <c r="DW281" s="29" t="s">
        <v>758</v>
      </c>
      <c r="DX281" s="14">
        <f t="shared" si="208"/>
        <v>90</v>
      </c>
    </row>
    <row r="282" spans="91:128" ht="16.5" x14ac:dyDescent="0.2">
      <c r="CM282" s="13">
        <v>278</v>
      </c>
      <c r="CN282" s="14">
        <f t="shared" si="182"/>
        <v>38</v>
      </c>
      <c r="CO282" s="14">
        <f t="shared" si="183"/>
        <v>2</v>
      </c>
      <c r="CP282" s="14">
        <f t="shared" si="184"/>
        <v>6</v>
      </c>
      <c r="CQ282" s="14">
        <f t="shared" si="175"/>
        <v>4</v>
      </c>
      <c r="CR282" s="14">
        <f t="shared" si="176"/>
        <v>2042026</v>
      </c>
      <c r="CS282" s="13" t="str">
        <f t="shared" si="177"/>
        <v>120级守护灵蓝色-护手</v>
      </c>
      <c r="CT282" s="14">
        <f t="shared" si="178"/>
        <v>2</v>
      </c>
      <c r="CU282" s="14">
        <f t="shared" si="179"/>
        <v>2</v>
      </c>
      <c r="CV282" s="14">
        <f t="shared" si="185"/>
        <v>120</v>
      </c>
      <c r="CW282" s="14">
        <f t="shared" si="186"/>
        <v>120</v>
      </c>
      <c r="CX282" s="14">
        <f t="shared" si="187"/>
        <v>6</v>
      </c>
      <c r="CY282" s="14" t="str">
        <f t="shared" si="188"/>
        <v/>
      </c>
      <c r="CZ282" s="14">
        <f t="shared" si="189"/>
        <v>45</v>
      </c>
      <c r="DA282" s="14">
        <f t="shared" si="190"/>
        <v>0</v>
      </c>
      <c r="DB282" s="14">
        <f t="shared" si="191"/>
        <v>0</v>
      </c>
      <c r="DC282" s="14">
        <f t="shared" si="192"/>
        <v>1125</v>
      </c>
      <c r="DD282" s="14">
        <f t="shared" si="193"/>
        <v>0</v>
      </c>
      <c r="DE282" s="14">
        <f t="shared" si="194"/>
        <v>0</v>
      </c>
      <c r="DF282" s="14">
        <f t="shared" si="195"/>
        <v>45</v>
      </c>
      <c r="DG282" s="14">
        <f t="shared" si="196"/>
        <v>14</v>
      </c>
      <c r="DH282" s="14">
        <f t="shared" si="197"/>
        <v>0</v>
      </c>
      <c r="DI282" s="14">
        <f t="shared" si="198"/>
        <v>24</v>
      </c>
      <c r="DL282" s="14">
        <f t="shared" si="180"/>
        <v>3</v>
      </c>
      <c r="DM282" s="14">
        <f t="shared" si="181"/>
        <v>0</v>
      </c>
      <c r="DN282" s="14" t="str">
        <f t="shared" si="199"/>
        <v>HPExt</v>
      </c>
      <c r="DO282" s="14">
        <f t="shared" si="200"/>
        <v>1125</v>
      </c>
      <c r="DP282" s="14">
        <f t="shared" si="201"/>
        <v>45</v>
      </c>
      <c r="DQ282" s="14" t="str">
        <f t="shared" si="202"/>
        <v/>
      </c>
      <c r="DR282" s="14" t="str">
        <f t="shared" si="203"/>
        <v/>
      </c>
      <c r="DS282" s="14" t="str">
        <f t="shared" si="204"/>
        <v/>
      </c>
      <c r="DT282" s="14">
        <f t="shared" si="205"/>
        <v>14</v>
      </c>
      <c r="DU282" s="14">
        <f t="shared" si="206"/>
        <v>0</v>
      </c>
      <c r="DV282" s="14">
        <f t="shared" si="207"/>
        <v>24</v>
      </c>
      <c r="DW282" s="29" t="s">
        <v>758</v>
      </c>
      <c r="DX282" s="14">
        <f t="shared" si="208"/>
        <v>90</v>
      </c>
    </row>
    <row r="283" spans="91:128" ht="16.5" x14ac:dyDescent="0.2">
      <c r="CM283" s="13">
        <v>279</v>
      </c>
      <c r="CN283" s="14">
        <f t="shared" si="182"/>
        <v>38</v>
      </c>
      <c r="CO283" s="14">
        <f t="shared" si="183"/>
        <v>2</v>
      </c>
      <c r="CP283" s="14">
        <f t="shared" si="184"/>
        <v>7</v>
      </c>
      <c r="CQ283" s="14">
        <f t="shared" si="175"/>
        <v>4</v>
      </c>
      <c r="CR283" s="14">
        <f t="shared" si="176"/>
        <v>2042027</v>
      </c>
      <c r="CS283" s="13" t="str">
        <f t="shared" si="177"/>
        <v>120级守护灵蓝色-项链</v>
      </c>
      <c r="CT283" s="14">
        <f t="shared" si="178"/>
        <v>2</v>
      </c>
      <c r="CU283" s="14">
        <f t="shared" si="179"/>
        <v>2</v>
      </c>
      <c r="CV283" s="14">
        <f t="shared" si="185"/>
        <v>120</v>
      </c>
      <c r="CW283" s="14">
        <f t="shared" si="186"/>
        <v>120</v>
      </c>
      <c r="CX283" s="14">
        <f t="shared" si="187"/>
        <v>7</v>
      </c>
      <c r="CY283" s="14" t="str">
        <f t="shared" si="188"/>
        <v/>
      </c>
      <c r="CZ283" s="14">
        <f t="shared" si="189"/>
        <v>60</v>
      </c>
      <c r="DA283" s="14">
        <f t="shared" si="190"/>
        <v>150</v>
      </c>
      <c r="DB283" s="14">
        <f t="shared" si="191"/>
        <v>94</v>
      </c>
      <c r="DC283" s="14">
        <f t="shared" si="192"/>
        <v>0</v>
      </c>
      <c r="DD283" s="14">
        <f t="shared" si="193"/>
        <v>5.25</v>
      </c>
      <c r="DE283" s="14">
        <f t="shared" si="194"/>
        <v>3.38</v>
      </c>
      <c r="DF283" s="14">
        <f t="shared" si="195"/>
        <v>0</v>
      </c>
      <c r="DG283" s="14">
        <f t="shared" si="196"/>
        <v>14</v>
      </c>
      <c r="DH283" s="14">
        <f t="shared" si="197"/>
        <v>0</v>
      </c>
      <c r="DI283" s="14">
        <f t="shared" si="198"/>
        <v>24</v>
      </c>
      <c r="DL283" s="14">
        <f t="shared" si="180"/>
        <v>1</v>
      </c>
      <c r="DM283" s="14">
        <f t="shared" si="181"/>
        <v>2</v>
      </c>
      <c r="DN283" s="14" t="str">
        <f t="shared" si="199"/>
        <v>AtkExt</v>
      </c>
      <c r="DO283" s="14">
        <f t="shared" si="200"/>
        <v>150</v>
      </c>
      <c r="DP283" s="14">
        <f t="shared" si="201"/>
        <v>5.25</v>
      </c>
      <c r="DQ283" s="14" t="str">
        <f t="shared" si="202"/>
        <v>DefExt</v>
      </c>
      <c r="DR283" s="14">
        <f t="shared" si="203"/>
        <v>94</v>
      </c>
      <c r="DS283" s="14">
        <f t="shared" si="204"/>
        <v>3.38</v>
      </c>
      <c r="DT283" s="14">
        <f t="shared" si="205"/>
        <v>14</v>
      </c>
      <c r="DU283" s="14">
        <f t="shared" si="206"/>
        <v>0</v>
      </c>
      <c r="DV283" s="14">
        <f t="shared" si="207"/>
        <v>24</v>
      </c>
      <c r="DW283" s="29" t="s">
        <v>758</v>
      </c>
      <c r="DX283" s="14">
        <f t="shared" si="208"/>
        <v>90</v>
      </c>
    </row>
    <row r="284" spans="91:128" ht="16.5" x14ac:dyDescent="0.2">
      <c r="CM284" s="13">
        <v>280</v>
      </c>
      <c r="CN284" s="14">
        <f t="shared" si="182"/>
        <v>38</v>
      </c>
      <c r="CO284" s="14">
        <f t="shared" si="183"/>
        <v>2</v>
      </c>
      <c r="CP284" s="14">
        <f t="shared" si="184"/>
        <v>8</v>
      </c>
      <c r="CQ284" s="14">
        <f t="shared" si="175"/>
        <v>4</v>
      </c>
      <c r="CR284" s="14">
        <f t="shared" si="176"/>
        <v>2042028</v>
      </c>
      <c r="CS284" s="13" t="str">
        <f t="shared" si="177"/>
        <v>120级守护灵蓝色-戒指</v>
      </c>
      <c r="CT284" s="14">
        <f t="shared" si="178"/>
        <v>2</v>
      </c>
      <c r="CU284" s="14">
        <f t="shared" si="179"/>
        <v>2</v>
      </c>
      <c r="CV284" s="14">
        <f t="shared" si="185"/>
        <v>120</v>
      </c>
      <c r="CW284" s="14">
        <f t="shared" si="186"/>
        <v>120</v>
      </c>
      <c r="CX284" s="14">
        <f t="shared" si="187"/>
        <v>8</v>
      </c>
      <c r="CY284" s="14" t="str">
        <f t="shared" si="188"/>
        <v/>
      </c>
      <c r="CZ284" s="14">
        <f t="shared" si="189"/>
        <v>63</v>
      </c>
      <c r="DA284" s="14">
        <f t="shared" si="190"/>
        <v>150</v>
      </c>
      <c r="DB284" s="14">
        <f t="shared" si="191"/>
        <v>0</v>
      </c>
      <c r="DC284" s="14">
        <f t="shared" si="192"/>
        <v>938</v>
      </c>
      <c r="DD284" s="14">
        <f t="shared" si="193"/>
        <v>5.25</v>
      </c>
      <c r="DE284" s="14">
        <f t="shared" si="194"/>
        <v>0</v>
      </c>
      <c r="DF284" s="14">
        <f t="shared" si="195"/>
        <v>37.5</v>
      </c>
      <c r="DG284" s="14">
        <f t="shared" si="196"/>
        <v>14</v>
      </c>
      <c r="DH284" s="14">
        <f t="shared" si="197"/>
        <v>0</v>
      </c>
      <c r="DI284" s="14">
        <f t="shared" si="198"/>
        <v>24</v>
      </c>
      <c r="DL284" s="14">
        <f t="shared" si="180"/>
        <v>1</v>
      </c>
      <c r="DM284" s="14">
        <f t="shared" si="181"/>
        <v>3</v>
      </c>
      <c r="DN284" s="14" t="str">
        <f t="shared" si="199"/>
        <v>AtkExt</v>
      </c>
      <c r="DO284" s="14">
        <f t="shared" si="200"/>
        <v>150</v>
      </c>
      <c r="DP284" s="14">
        <f t="shared" si="201"/>
        <v>5.25</v>
      </c>
      <c r="DQ284" s="14" t="str">
        <f t="shared" si="202"/>
        <v>HPExt</v>
      </c>
      <c r="DR284" s="14">
        <f t="shared" si="203"/>
        <v>938</v>
      </c>
      <c r="DS284" s="14">
        <f t="shared" si="204"/>
        <v>37.5</v>
      </c>
      <c r="DT284" s="14">
        <f t="shared" si="205"/>
        <v>14</v>
      </c>
      <c r="DU284" s="14">
        <f t="shared" si="206"/>
        <v>0</v>
      </c>
      <c r="DV284" s="14">
        <f t="shared" si="207"/>
        <v>24</v>
      </c>
      <c r="DW284" s="29" t="s">
        <v>758</v>
      </c>
      <c r="DX284" s="14">
        <f t="shared" si="208"/>
        <v>90</v>
      </c>
    </row>
    <row r="285" spans="91:128" ht="16.5" x14ac:dyDescent="0.2">
      <c r="CM285" s="13">
        <v>281</v>
      </c>
      <c r="CN285" s="14">
        <f t="shared" si="182"/>
        <v>39</v>
      </c>
      <c r="CO285" s="14">
        <f t="shared" si="183"/>
        <v>1</v>
      </c>
      <c r="CP285" s="14">
        <f t="shared" si="184"/>
        <v>1</v>
      </c>
      <c r="CQ285" s="14">
        <f t="shared" si="175"/>
        <v>4</v>
      </c>
      <c r="CR285" s="14">
        <f t="shared" si="176"/>
        <v>2043011</v>
      </c>
      <c r="CS285" s="13" t="str">
        <f t="shared" si="177"/>
        <v>120级寄灵人紫色-武器</v>
      </c>
      <c r="CT285" s="14">
        <f t="shared" si="178"/>
        <v>1</v>
      </c>
      <c r="CU285" s="14">
        <f t="shared" si="179"/>
        <v>3</v>
      </c>
      <c r="CV285" s="14">
        <f t="shared" si="185"/>
        <v>120</v>
      </c>
      <c r="CW285" s="14">
        <f t="shared" si="186"/>
        <v>120</v>
      </c>
      <c r="CX285" s="14">
        <f t="shared" si="187"/>
        <v>1</v>
      </c>
      <c r="CY285" s="14" t="str">
        <f t="shared" si="188"/>
        <v/>
      </c>
      <c r="CZ285" s="14">
        <f t="shared" si="189"/>
        <v>84</v>
      </c>
      <c r="DA285" s="14">
        <f t="shared" si="190"/>
        <v>480</v>
      </c>
      <c r="DB285" s="14">
        <f t="shared" si="191"/>
        <v>0</v>
      </c>
      <c r="DC285" s="14">
        <f t="shared" si="192"/>
        <v>0</v>
      </c>
      <c r="DD285" s="14">
        <f t="shared" si="193"/>
        <v>16.8</v>
      </c>
      <c r="DE285" s="14">
        <f t="shared" si="194"/>
        <v>0</v>
      </c>
      <c r="DF285" s="14">
        <f t="shared" si="195"/>
        <v>0</v>
      </c>
      <c r="DG285" s="14">
        <f t="shared" si="196"/>
        <v>15</v>
      </c>
      <c r="DH285" s="14">
        <f t="shared" si="197"/>
        <v>3</v>
      </c>
      <c r="DI285" s="14">
        <f t="shared" si="198"/>
        <v>14</v>
      </c>
      <c r="DL285" s="14">
        <f t="shared" si="180"/>
        <v>1</v>
      </c>
      <c r="DM285" s="14">
        <f t="shared" si="181"/>
        <v>0</v>
      </c>
      <c r="DN285" s="14" t="str">
        <f t="shared" si="199"/>
        <v>AtkExt</v>
      </c>
      <c r="DO285" s="14">
        <f t="shared" si="200"/>
        <v>480</v>
      </c>
      <c r="DP285" s="14">
        <f t="shared" si="201"/>
        <v>16.8</v>
      </c>
      <c r="DQ285" s="14" t="str">
        <f t="shared" si="202"/>
        <v/>
      </c>
      <c r="DR285" s="14" t="str">
        <f t="shared" si="203"/>
        <v/>
      </c>
      <c r="DS285" s="14" t="str">
        <f t="shared" si="204"/>
        <v/>
      </c>
      <c r="DT285" s="14">
        <f t="shared" si="205"/>
        <v>15</v>
      </c>
      <c r="DU285" s="14">
        <f t="shared" si="206"/>
        <v>3</v>
      </c>
      <c r="DV285" s="14">
        <f t="shared" si="207"/>
        <v>14</v>
      </c>
      <c r="DW285" s="29" t="s">
        <v>758</v>
      </c>
      <c r="DX285" s="14">
        <f t="shared" si="208"/>
        <v>150</v>
      </c>
    </row>
    <row r="286" spans="91:128" ht="16.5" x14ac:dyDescent="0.2">
      <c r="CM286" s="13">
        <v>282</v>
      </c>
      <c r="CN286" s="14">
        <f t="shared" si="182"/>
        <v>39</v>
      </c>
      <c r="CO286" s="14">
        <f t="shared" si="183"/>
        <v>1</v>
      </c>
      <c r="CP286" s="14">
        <f t="shared" si="184"/>
        <v>2</v>
      </c>
      <c r="CQ286" s="14">
        <f t="shared" si="175"/>
        <v>4</v>
      </c>
      <c r="CR286" s="14">
        <f t="shared" si="176"/>
        <v>2043012</v>
      </c>
      <c r="CS286" s="13" t="str">
        <f t="shared" si="177"/>
        <v>120级寄灵人紫色-头盔</v>
      </c>
      <c r="CT286" s="14">
        <f t="shared" si="178"/>
        <v>1</v>
      </c>
      <c r="CU286" s="14">
        <f t="shared" si="179"/>
        <v>3</v>
      </c>
      <c r="CV286" s="14">
        <f t="shared" si="185"/>
        <v>120</v>
      </c>
      <c r="CW286" s="14">
        <f t="shared" si="186"/>
        <v>120</v>
      </c>
      <c r="CX286" s="14">
        <f t="shared" si="187"/>
        <v>2</v>
      </c>
      <c r="CY286" s="14" t="str">
        <f t="shared" si="188"/>
        <v/>
      </c>
      <c r="CZ286" s="14">
        <f t="shared" si="189"/>
        <v>42</v>
      </c>
      <c r="DA286" s="14">
        <f t="shared" si="190"/>
        <v>0</v>
      </c>
      <c r="DB286" s="14">
        <f t="shared" si="191"/>
        <v>120</v>
      </c>
      <c r="DC286" s="14">
        <f t="shared" si="192"/>
        <v>0</v>
      </c>
      <c r="DD286" s="14">
        <f t="shared" si="193"/>
        <v>0</v>
      </c>
      <c r="DE286" s="14">
        <f t="shared" si="194"/>
        <v>4.2</v>
      </c>
      <c r="DF286" s="14">
        <f t="shared" si="195"/>
        <v>0</v>
      </c>
      <c r="DG286" s="14">
        <f t="shared" si="196"/>
        <v>15</v>
      </c>
      <c r="DH286" s="14">
        <f t="shared" si="197"/>
        <v>3</v>
      </c>
      <c r="DI286" s="14">
        <f t="shared" si="198"/>
        <v>14</v>
      </c>
      <c r="DL286" s="14">
        <f t="shared" si="180"/>
        <v>2</v>
      </c>
      <c r="DM286" s="14">
        <f t="shared" si="181"/>
        <v>0</v>
      </c>
      <c r="DN286" s="14" t="str">
        <f t="shared" si="199"/>
        <v>DefExt</v>
      </c>
      <c r="DO286" s="14">
        <f t="shared" si="200"/>
        <v>120</v>
      </c>
      <c r="DP286" s="14">
        <f t="shared" si="201"/>
        <v>4.2</v>
      </c>
      <c r="DQ286" s="14" t="str">
        <f t="shared" si="202"/>
        <v/>
      </c>
      <c r="DR286" s="14" t="str">
        <f t="shared" si="203"/>
        <v/>
      </c>
      <c r="DS286" s="14" t="str">
        <f t="shared" si="204"/>
        <v/>
      </c>
      <c r="DT286" s="14">
        <f t="shared" si="205"/>
        <v>15</v>
      </c>
      <c r="DU286" s="14">
        <f t="shared" si="206"/>
        <v>3</v>
      </c>
      <c r="DV286" s="14">
        <f t="shared" si="207"/>
        <v>14</v>
      </c>
      <c r="DW286" s="29" t="s">
        <v>758</v>
      </c>
      <c r="DX286" s="14">
        <f t="shared" si="208"/>
        <v>150</v>
      </c>
    </row>
    <row r="287" spans="91:128" ht="16.5" x14ac:dyDescent="0.2">
      <c r="CM287" s="13">
        <v>283</v>
      </c>
      <c r="CN287" s="14">
        <f t="shared" si="182"/>
        <v>39</v>
      </c>
      <c r="CO287" s="14">
        <f t="shared" si="183"/>
        <v>1</v>
      </c>
      <c r="CP287" s="14">
        <f t="shared" si="184"/>
        <v>3</v>
      </c>
      <c r="CQ287" s="14">
        <f t="shared" si="175"/>
        <v>4</v>
      </c>
      <c r="CR287" s="14">
        <f t="shared" si="176"/>
        <v>2043013</v>
      </c>
      <c r="CS287" s="13" t="str">
        <f t="shared" si="177"/>
        <v>120级寄灵人紫色-肩甲</v>
      </c>
      <c r="CT287" s="14">
        <f t="shared" si="178"/>
        <v>1</v>
      </c>
      <c r="CU287" s="14">
        <f t="shared" si="179"/>
        <v>3</v>
      </c>
      <c r="CV287" s="14">
        <f t="shared" si="185"/>
        <v>120</v>
      </c>
      <c r="CW287" s="14">
        <f t="shared" si="186"/>
        <v>120</v>
      </c>
      <c r="CX287" s="14">
        <f t="shared" si="187"/>
        <v>3</v>
      </c>
      <c r="CY287" s="14" t="str">
        <f t="shared" si="188"/>
        <v/>
      </c>
      <c r="CZ287" s="14">
        <f t="shared" si="189"/>
        <v>33</v>
      </c>
      <c r="DA287" s="14">
        <f t="shared" si="190"/>
        <v>0</v>
      </c>
      <c r="DB287" s="14">
        <f t="shared" si="191"/>
        <v>60</v>
      </c>
      <c r="DC287" s="14">
        <f t="shared" si="192"/>
        <v>360</v>
      </c>
      <c r="DD287" s="14">
        <f t="shared" si="193"/>
        <v>0</v>
      </c>
      <c r="DE287" s="14">
        <f t="shared" si="194"/>
        <v>2.1</v>
      </c>
      <c r="DF287" s="14">
        <f t="shared" si="195"/>
        <v>12</v>
      </c>
      <c r="DG287" s="14">
        <f t="shared" si="196"/>
        <v>15</v>
      </c>
      <c r="DH287" s="14">
        <f t="shared" si="197"/>
        <v>3</v>
      </c>
      <c r="DI287" s="14">
        <f t="shared" si="198"/>
        <v>14</v>
      </c>
      <c r="DL287" s="14">
        <f t="shared" si="180"/>
        <v>2</v>
      </c>
      <c r="DM287" s="14">
        <f t="shared" si="181"/>
        <v>3</v>
      </c>
      <c r="DN287" s="14" t="str">
        <f t="shared" si="199"/>
        <v>DefExt</v>
      </c>
      <c r="DO287" s="14">
        <f t="shared" si="200"/>
        <v>60</v>
      </c>
      <c r="DP287" s="14">
        <f t="shared" si="201"/>
        <v>2.1</v>
      </c>
      <c r="DQ287" s="14" t="str">
        <f t="shared" si="202"/>
        <v>HPExt</v>
      </c>
      <c r="DR287" s="14">
        <f t="shared" si="203"/>
        <v>360</v>
      </c>
      <c r="DS287" s="14">
        <f t="shared" si="204"/>
        <v>12</v>
      </c>
      <c r="DT287" s="14">
        <f t="shared" si="205"/>
        <v>15</v>
      </c>
      <c r="DU287" s="14">
        <f t="shared" si="206"/>
        <v>3</v>
      </c>
      <c r="DV287" s="14">
        <f t="shared" si="207"/>
        <v>14</v>
      </c>
      <c r="DW287" s="29" t="s">
        <v>758</v>
      </c>
      <c r="DX287" s="14">
        <f t="shared" si="208"/>
        <v>150</v>
      </c>
    </row>
    <row r="288" spans="91:128" ht="16.5" x14ac:dyDescent="0.2">
      <c r="CM288" s="13">
        <v>284</v>
      </c>
      <c r="CN288" s="14">
        <f t="shared" si="182"/>
        <v>39</v>
      </c>
      <c r="CO288" s="14">
        <f t="shared" si="183"/>
        <v>1</v>
      </c>
      <c r="CP288" s="14">
        <f t="shared" si="184"/>
        <v>4</v>
      </c>
      <c r="CQ288" s="14">
        <f t="shared" si="175"/>
        <v>4</v>
      </c>
      <c r="CR288" s="14">
        <f t="shared" si="176"/>
        <v>2043014</v>
      </c>
      <c r="CS288" s="13" t="str">
        <f t="shared" si="177"/>
        <v>120级寄灵人紫色-衣服</v>
      </c>
      <c r="CT288" s="14">
        <f t="shared" si="178"/>
        <v>1</v>
      </c>
      <c r="CU288" s="14">
        <f t="shared" si="179"/>
        <v>3</v>
      </c>
      <c r="CV288" s="14">
        <f t="shared" si="185"/>
        <v>120</v>
      </c>
      <c r="CW288" s="14">
        <f t="shared" si="186"/>
        <v>120</v>
      </c>
      <c r="CX288" s="14">
        <f t="shared" si="187"/>
        <v>4</v>
      </c>
      <c r="CY288" s="14" t="str">
        <f t="shared" si="188"/>
        <v/>
      </c>
      <c r="CZ288" s="14">
        <f t="shared" si="189"/>
        <v>42</v>
      </c>
      <c r="DA288" s="14">
        <f t="shared" si="190"/>
        <v>0</v>
      </c>
      <c r="DB288" s="14">
        <f t="shared" si="191"/>
        <v>120</v>
      </c>
      <c r="DC288" s="14">
        <f t="shared" si="192"/>
        <v>0</v>
      </c>
      <c r="DD288" s="14">
        <f t="shared" si="193"/>
        <v>0</v>
      </c>
      <c r="DE288" s="14">
        <f t="shared" si="194"/>
        <v>4.2</v>
      </c>
      <c r="DF288" s="14">
        <f t="shared" si="195"/>
        <v>0</v>
      </c>
      <c r="DG288" s="14">
        <f t="shared" si="196"/>
        <v>15</v>
      </c>
      <c r="DH288" s="14">
        <f t="shared" si="197"/>
        <v>3</v>
      </c>
      <c r="DI288" s="14">
        <f t="shared" si="198"/>
        <v>14</v>
      </c>
      <c r="DL288" s="14">
        <f t="shared" si="180"/>
        <v>2</v>
      </c>
      <c r="DM288" s="14">
        <f t="shared" si="181"/>
        <v>0</v>
      </c>
      <c r="DN288" s="14" t="str">
        <f t="shared" si="199"/>
        <v>DefExt</v>
      </c>
      <c r="DO288" s="14">
        <f t="shared" si="200"/>
        <v>120</v>
      </c>
      <c r="DP288" s="14">
        <f t="shared" si="201"/>
        <v>4.2</v>
      </c>
      <c r="DQ288" s="14" t="str">
        <f t="shared" si="202"/>
        <v/>
      </c>
      <c r="DR288" s="14" t="str">
        <f t="shared" si="203"/>
        <v/>
      </c>
      <c r="DS288" s="14" t="str">
        <f t="shared" si="204"/>
        <v/>
      </c>
      <c r="DT288" s="14">
        <f t="shared" si="205"/>
        <v>15</v>
      </c>
      <c r="DU288" s="14">
        <f t="shared" si="206"/>
        <v>3</v>
      </c>
      <c r="DV288" s="14">
        <f t="shared" si="207"/>
        <v>14</v>
      </c>
      <c r="DW288" s="29" t="s">
        <v>758</v>
      </c>
      <c r="DX288" s="14">
        <f t="shared" si="208"/>
        <v>150</v>
      </c>
    </row>
    <row r="289" spans="91:128" ht="16.5" x14ac:dyDescent="0.2">
      <c r="CM289" s="13">
        <v>285</v>
      </c>
      <c r="CN289" s="14">
        <f t="shared" si="182"/>
        <v>39</v>
      </c>
      <c r="CO289" s="14">
        <f t="shared" si="183"/>
        <v>1</v>
      </c>
      <c r="CP289" s="14">
        <f t="shared" si="184"/>
        <v>5</v>
      </c>
      <c r="CQ289" s="14">
        <f t="shared" si="175"/>
        <v>4</v>
      </c>
      <c r="CR289" s="14">
        <f t="shared" si="176"/>
        <v>2043015</v>
      </c>
      <c r="CS289" s="13" t="str">
        <f t="shared" si="177"/>
        <v>120级寄灵人紫色-鞋子</v>
      </c>
      <c r="CT289" s="14">
        <f t="shared" si="178"/>
        <v>1</v>
      </c>
      <c r="CU289" s="14">
        <f t="shared" si="179"/>
        <v>3</v>
      </c>
      <c r="CV289" s="14">
        <f t="shared" si="185"/>
        <v>120</v>
      </c>
      <c r="CW289" s="14">
        <f t="shared" si="186"/>
        <v>120</v>
      </c>
      <c r="CX289" s="14">
        <f t="shared" si="187"/>
        <v>5</v>
      </c>
      <c r="CY289" s="14" t="str">
        <f t="shared" si="188"/>
        <v/>
      </c>
      <c r="CZ289" s="14">
        <f t="shared" si="189"/>
        <v>24</v>
      </c>
      <c r="DA289" s="14">
        <f t="shared" si="190"/>
        <v>0</v>
      </c>
      <c r="DB289" s="14">
        <f t="shared" si="191"/>
        <v>0</v>
      </c>
      <c r="DC289" s="14">
        <f t="shared" si="192"/>
        <v>720</v>
      </c>
      <c r="DD289" s="14">
        <f t="shared" si="193"/>
        <v>0</v>
      </c>
      <c r="DE289" s="14">
        <f t="shared" si="194"/>
        <v>0</v>
      </c>
      <c r="DF289" s="14">
        <f t="shared" si="195"/>
        <v>24</v>
      </c>
      <c r="DG289" s="14">
        <f t="shared" si="196"/>
        <v>15</v>
      </c>
      <c r="DH289" s="14">
        <f t="shared" si="197"/>
        <v>3</v>
      </c>
      <c r="DI289" s="14">
        <f t="shared" si="198"/>
        <v>14</v>
      </c>
      <c r="DL289" s="14">
        <f t="shared" si="180"/>
        <v>3</v>
      </c>
      <c r="DM289" s="14">
        <f t="shared" si="181"/>
        <v>0</v>
      </c>
      <c r="DN289" s="14" t="str">
        <f t="shared" si="199"/>
        <v>HPExt</v>
      </c>
      <c r="DO289" s="14">
        <f t="shared" si="200"/>
        <v>720</v>
      </c>
      <c r="DP289" s="14">
        <f t="shared" si="201"/>
        <v>24</v>
      </c>
      <c r="DQ289" s="14" t="str">
        <f t="shared" si="202"/>
        <v/>
      </c>
      <c r="DR289" s="14" t="str">
        <f t="shared" si="203"/>
        <v/>
      </c>
      <c r="DS289" s="14" t="str">
        <f t="shared" si="204"/>
        <v/>
      </c>
      <c r="DT289" s="14">
        <f t="shared" si="205"/>
        <v>15</v>
      </c>
      <c r="DU289" s="14">
        <f t="shared" si="206"/>
        <v>3</v>
      </c>
      <c r="DV289" s="14">
        <f t="shared" si="207"/>
        <v>14</v>
      </c>
      <c r="DW289" s="29" t="s">
        <v>758</v>
      </c>
      <c r="DX289" s="14">
        <f t="shared" si="208"/>
        <v>150</v>
      </c>
    </row>
    <row r="290" spans="91:128" ht="16.5" x14ac:dyDescent="0.2">
      <c r="CM290" s="13">
        <v>286</v>
      </c>
      <c r="CN290" s="14">
        <f t="shared" si="182"/>
        <v>39</v>
      </c>
      <c r="CO290" s="14">
        <f t="shared" si="183"/>
        <v>1</v>
      </c>
      <c r="CP290" s="14">
        <f t="shared" si="184"/>
        <v>6</v>
      </c>
      <c r="CQ290" s="14">
        <f t="shared" si="175"/>
        <v>4</v>
      </c>
      <c r="CR290" s="14">
        <f t="shared" si="176"/>
        <v>2043016</v>
      </c>
      <c r="CS290" s="13" t="str">
        <f t="shared" si="177"/>
        <v>120级寄灵人紫色-护手</v>
      </c>
      <c r="CT290" s="14">
        <f t="shared" si="178"/>
        <v>1</v>
      </c>
      <c r="CU290" s="14">
        <f t="shared" si="179"/>
        <v>3</v>
      </c>
      <c r="CV290" s="14">
        <f t="shared" si="185"/>
        <v>120</v>
      </c>
      <c r="CW290" s="14">
        <f t="shared" si="186"/>
        <v>120</v>
      </c>
      <c r="CX290" s="14">
        <f t="shared" si="187"/>
        <v>6</v>
      </c>
      <c r="CY290" s="14" t="str">
        <f t="shared" si="188"/>
        <v/>
      </c>
      <c r="CZ290" s="14">
        <f t="shared" si="189"/>
        <v>24</v>
      </c>
      <c r="DA290" s="14">
        <f t="shared" si="190"/>
        <v>0</v>
      </c>
      <c r="DB290" s="14">
        <f t="shared" si="191"/>
        <v>0</v>
      </c>
      <c r="DC290" s="14">
        <f t="shared" si="192"/>
        <v>720</v>
      </c>
      <c r="DD290" s="14">
        <f t="shared" si="193"/>
        <v>0</v>
      </c>
      <c r="DE290" s="14">
        <f t="shared" si="194"/>
        <v>0</v>
      </c>
      <c r="DF290" s="14">
        <f t="shared" si="195"/>
        <v>24</v>
      </c>
      <c r="DG290" s="14">
        <f t="shared" si="196"/>
        <v>15</v>
      </c>
      <c r="DH290" s="14">
        <f t="shared" si="197"/>
        <v>3</v>
      </c>
      <c r="DI290" s="14">
        <f t="shared" si="198"/>
        <v>14</v>
      </c>
      <c r="DL290" s="14">
        <f t="shared" si="180"/>
        <v>3</v>
      </c>
      <c r="DM290" s="14">
        <f t="shared" si="181"/>
        <v>0</v>
      </c>
      <c r="DN290" s="14" t="str">
        <f t="shared" si="199"/>
        <v>HPExt</v>
      </c>
      <c r="DO290" s="14">
        <f t="shared" si="200"/>
        <v>720</v>
      </c>
      <c r="DP290" s="14">
        <f t="shared" si="201"/>
        <v>24</v>
      </c>
      <c r="DQ290" s="14" t="str">
        <f t="shared" si="202"/>
        <v/>
      </c>
      <c r="DR290" s="14" t="str">
        <f t="shared" si="203"/>
        <v/>
      </c>
      <c r="DS290" s="14" t="str">
        <f t="shared" si="204"/>
        <v/>
      </c>
      <c r="DT290" s="14">
        <f t="shared" si="205"/>
        <v>15</v>
      </c>
      <c r="DU290" s="14">
        <f t="shared" si="206"/>
        <v>3</v>
      </c>
      <c r="DV290" s="14">
        <f t="shared" si="207"/>
        <v>14</v>
      </c>
      <c r="DW290" s="29" t="s">
        <v>758</v>
      </c>
      <c r="DX290" s="14">
        <f t="shared" si="208"/>
        <v>150</v>
      </c>
    </row>
    <row r="291" spans="91:128" ht="16.5" x14ac:dyDescent="0.2">
      <c r="CM291" s="13">
        <v>287</v>
      </c>
      <c r="CN291" s="14">
        <f t="shared" si="182"/>
        <v>39</v>
      </c>
      <c r="CO291" s="14">
        <f t="shared" si="183"/>
        <v>1</v>
      </c>
      <c r="CP291" s="14">
        <f t="shared" si="184"/>
        <v>7</v>
      </c>
      <c r="CQ291" s="14">
        <f t="shared" si="175"/>
        <v>4</v>
      </c>
      <c r="CR291" s="14">
        <f t="shared" si="176"/>
        <v>2043017</v>
      </c>
      <c r="CS291" s="13" t="str">
        <f t="shared" si="177"/>
        <v>120级寄灵人紫色-项链</v>
      </c>
      <c r="CT291" s="14">
        <f t="shared" si="178"/>
        <v>1</v>
      </c>
      <c r="CU291" s="14">
        <f t="shared" si="179"/>
        <v>3</v>
      </c>
      <c r="CV291" s="14">
        <f t="shared" si="185"/>
        <v>120</v>
      </c>
      <c r="CW291" s="14">
        <f t="shared" si="186"/>
        <v>120</v>
      </c>
      <c r="CX291" s="14">
        <f t="shared" si="187"/>
        <v>7</v>
      </c>
      <c r="CY291" s="14" t="str">
        <f t="shared" si="188"/>
        <v/>
      </c>
      <c r="CZ291" s="14">
        <f t="shared" si="189"/>
        <v>63</v>
      </c>
      <c r="DA291" s="14">
        <f t="shared" si="190"/>
        <v>160</v>
      </c>
      <c r="DB291" s="14">
        <f t="shared" si="191"/>
        <v>100</v>
      </c>
      <c r="DC291" s="14">
        <f t="shared" si="192"/>
        <v>0</v>
      </c>
      <c r="DD291" s="14">
        <f t="shared" si="193"/>
        <v>5.6</v>
      </c>
      <c r="DE291" s="14">
        <f t="shared" si="194"/>
        <v>3.5</v>
      </c>
      <c r="DF291" s="14">
        <f t="shared" si="195"/>
        <v>0</v>
      </c>
      <c r="DG291" s="14">
        <f t="shared" si="196"/>
        <v>15</v>
      </c>
      <c r="DH291" s="14">
        <f t="shared" si="197"/>
        <v>3</v>
      </c>
      <c r="DI291" s="14">
        <f t="shared" si="198"/>
        <v>14</v>
      </c>
      <c r="DL291" s="14">
        <f t="shared" si="180"/>
        <v>1</v>
      </c>
      <c r="DM291" s="14">
        <f t="shared" si="181"/>
        <v>2</v>
      </c>
      <c r="DN291" s="14" t="str">
        <f t="shared" si="199"/>
        <v>AtkExt</v>
      </c>
      <c r="DO291" s="14">
        <f t="shared" si="200"/>
        <v>160</v>
      </c>
      <c r="DP291" s="14">
        <f t="shared" si="201"/>
        <v>5.6</v>
      </c>
      <c r="DQ291" s="14" t="str">
        <f t="shared" si="202"/>
        <v>DefExt</v>
      </c>
      <c r="DR291" s="14">
        <f t="shared" si="203"/>
        <v>100</v>
      </c>
      <c r="DS291" s="14">
        <f t="shared" si="204"/>
        <v>3.5</v>
      </c>
      <c r="DT291" s="14">
        <f t="shared" si="205"/>
        <v>15</v>
      </c>
      <c r="DU291" s="14">
        <f t="shared" si="206"/>
        <v>3</v>
      </c>
      <c r="DV291" s="14">
        <f t="shared" si="207"/>
        <v>14</v>
      </c>
      <c r="DW291" s="29" t="s">
        <v>758</v>
      </c>
      <c r="DX291" s="14">
        <f t="shared" si="208"/>
        <v>150</v>
      </c>
    </row>
    <row r="292" spans="91:128" ht="16.5" x14ac:dyDescent="0.2">
      <c r="CM292" s="13">
        <v>288</v>
      </c>
      <c r="CN292" s="14">
        <f t="shared" si="182"/>
        <v>39</v>
      </c>
      <c r="CO292" s="14">
        <f t="shared" si="183"/>
        <v>1</v>
      </c>
      <c r="CP292" s="14">
        <f t="shared" si="184"/>
        <v>8</v>
      </c>
      <c r="CQ292" s="14">
        <f t="shared" si="175"/>
        <v>4</v>
      </c>
      <c r="CR292" s="14">
        <f t="shared" si="176"/>
        <v>2043018</v>
      </c>
      <c r="CS292" s="13" t="str">
        <f t="shared" si="177"/>
        <v>120级寄灵人紫色-戒指</v>
      </c>
      <c r="CT292" s="14">
        <f t="shared" si="178"/>
        <v>1</v>
      </c>
      <c r="CU292" s="14">
        <f t="shared" si="179"/>
        <v>3</v>
      </c>
      <c r="CV292" s="14">
        <f t="shared" si="185"/>
        <v>120</v>
      </c>
      <c r="CW292" s="14">
        <f t="shared" si="186"/>
        <v>120</v>
      </c>
      <c r="CX292" s="14">
        <f t="shared" si="187"/>
        <v>8</v>
      </c>
      <c r="CY292" s="14" t="str">
        <f t="shared" si="188"/>
        <v/>
      </c>
      <c r="CZ292" s="14">
        <f t="shared" si="189"/>
        <v>48</v>
      </c>
      <c r="DA292" s="14">
        <f t="shared" si="190"/>
        <v>160</v>
      </c>
      <c r="DB292" s="14">
        <f t="shared" si="191"/>
        <v>0</v>
      </c>
      <c r="DC292" s="14">
        <f t="shared" si="192"/>
        <v>600</v>
      </c>
      <c r="DD292" s="14">
        <f t="shared" si="193"/>
        <v>5.6</v>
      </c>
      <c r="DE292" s="14">
        <f t="shared" si="194"/>
        <v>0</v>
      </c>
      <c r="DF292" s="14">
        <f t="shared" si="195"/>
        <v>20</v>
      </c>
      <c r="DG292" s="14">
        <f t="shared" si="196"/>
        <v>15</v>
      </c>
      <c r="DH292" s="14">
        <f t="shared" si="197"/>
        <v>3</v>
      </c>
      <c r="DI292" s="14">
        <f t="shared" si="198"/>
        <v>14</v>
      </c>
      <c r="DL292" s="14">
        <f t="shared" si="180"/>
        <v>1</v>
      </c>
      <c r="DM292" s="14">
        <f t="shared" si="181"/>
        <v>3</v>
      </c>
      <c r="DN292" s="14" t="str">
        <f t="shared" si="199"/>
        <v>AtkExt</v>
      </c>
      <c r="DO292" s="14">
        <f t="shared" si="200"/>
        <v>160</v>
      </c>
      <c r="DP292" s="14">
        <f t="shared" si="201"/>
        <v>5.6</v>
      </c>
      <c r="DQ292" s="14" t="str">
        <f t="shared" si="202"/>
        <v>HPExt</v>
      </c>
      <c r="DR292" s="14">
        <f t="shared" si="203"/>
        <v>600</v>
      </c>
      <c r="DS292" s="14">
        <f t="shared" si="204"/>
        <v>20</v>
      </c>
      <c r="DT292" s="14">
        <f t="shared" si="205"/>
        <v>15</v>
      </c>
      <c r="DU292" s="14">
        <f t="shared" si="206"/>
        <v>3</v>
      </c>
      <c r="DV292" s="14">
        <f t="shared" si="207"/>
        <v>14</v>
      </c>
      <c r="DW292" s="29" t="s">
        <v>758</v>
      </c>
      <c r="DX292" s="14">
        <f t="shared" si="208"/>
        <v>150</v>
      </c>
    </row>
    <row r="293" spans="91:128" ht="16.5" x14ac:dyDescent="0.2">
      <c r="CM293" s="13">
        <v>289</v>
      </c>
      <c r="CN293" s="14">
        <f t="shared" si="182"/>
        <v>40</v>
      </c>
      <c r="CO293" s="14">
        <f t="shared" si="183"/>
        <v>2</v>
      </c>
      <c r="CP293" s="14">
        <f t="shared" si="184"/>
        <v>1</v>
      </c>
      <c r="CQ293" s="14">
        <f t="shared" si="175"/>
        <v>4</v>
      </c>
      <c r="CR293" s="14">
        <f t="shared" si="176"/>
        <v>2043021</v>
      </c>
      <c r="CS293" s="13" t="str">
        <f t="shared" si="177"/>
        <v>120级守护灵紫色-武器</v>
      </c>
      <c r="CT293" s="14">
        <f t="shared" si="178"/>
        <v>2</v>
      </c>
      <c r="CU293" s="14">
        <f t="shared" si="179"/>
        <v>3</v>
      </c>
      <c r="CV293" s="14">
        <f t="shared" si="185"/>
        <v>120</v>
      </c>
      <c r="CW293" s="14">
        <f t="shared" si="186"/>
        <v>120</v>
      </c>
      <c r="CX293" s="14">
        <f t="shared" si="187"/>
        <v>1</v>
      </c>
      <c r="CY293" s="14" t="str">
        <f t="shared" si="188"/>
        <v/>
      </c>
      <c r="CZ293" s="14">
        <f t="shared" si="189"/>
        <v>84</v>
      </c>
      <c r="DA293" s="14">
        <f t="shared" si="190"/>
        <v>480</v>
      </c>
      <c r="DB293" s="14">
        <f t="shared" si="191"/>
        <v>0</v>
      </c>
      <c r="DC293" s="14">
        <f t="shared" si="192"/>
        <v>0</v>
      </c>
      <c r="DD293" s="14">
        <f t="shared" si="193"/>
        <v>16.8</v>
      </c>
      <c r="DE293" s="14">
        <f t="shared" si="194"/>
        <v>0</v>
      </c>
      <c r="DF293" s="14">
        <f t="shared" si="195"/>
        <v>0</v>
      </c>
      <c r="DG293" s="14">
        <f t="shared" si="196"/>
        <v>15</v>
      </c>
      <c r="DH293" s="14">
        <f t="shared" si="197"/>
        <v>3</v>
      </c>
      <c r="DI293" s="14">
        <f t="shared" si="198"/>
        <v>24</v>
      </c>
      <c r="DL293" s="14">
        <f t="shared" si="180"/>
        <v>1</v>
      </c>
      <c r="DM293" s="14">
        <f t="shared" si="181"/>
        <v>0</v>
      </c>
      <c r="DN293" s="14" t="str">
        <f t="shared" si="199"/>
        <v>AtkExt</v>
      </c>
      <c r="DO293" s="14">
        <f t="shared" si="200"/>
        <v>480</v>
      </c>
      <c r="DP293" s="14">
        <f t="shared" si="201"/>
        <v>16.8</v>
      </c>
      <c r="DQ293" s="14" t="str">
        <f t="shared" si="202"/>
        <v/>
      </c>
      <c r="DR293" s="14" t="str">
        <f t="shared" si="203"/>
        <v/>
      </c>
      <c r="DS293" s="14" t="str">
        <f t="shared" si="204"/>
        <v/>
      </c>
      <c r="DT293" s="14">
        <f t="shared" si="205"/>
        <v>15</v>
      </c>
      <c r="DU293" s="14">
        <f t="shared" si="206"/>
        <v>3</v>
      </c>
      <c r="DV293" s="14">
        <f t="shared" si="207"/>
        <v>24</v>
      </c>
      <c r="DW293" s="29" t="s">
        <v>758</v>
      </c>
      <c r="DX293" s="14">
        <f t="shared" si="208"/>
        <v>150</v>
      </c>
    </row>
    <row r="294" spans="91:128" ht="16.5" x14ac:dyDescent="0.2">
      <c r="CM294" s="13">
        <v>290</v>
      </c>
      <c r="CN294" s="14">
        <f t="shared" si="182"/>
        <v>40</v>
      </c>
      <c r="CO294" s="14">
        <f t="shared" si="183"/>
        <v>2</v>
      </c>
      <c r="CP294" s="14">
        <f t="shared" si="184"/>
        <v>2</v>
      </c>
      <c r="CQ294" s="14">
        <f t="shared" si="175"/>
        <v>4</v>
      </c>
      <c r="CR294" s="14">
        <f t="shared" si="176"/>
        <v>2043022</v>
      </c>
      <c r="CS294" s="13" t="str">
        <f t="shared" si="177"/>
        <v>120级守护灵紫色-头盔</v>
      </c>
      <c r="CT294" s="14">
        <f t="shared" si="178"/>
        <v>2</v>
      </c>
      <c r="CU294" s="14">
        <f t="shared" si="179"/>
        <v>3</v>
      </c>
      <c r="CV294" s="14">
        <f t="shared" si="185"/>
        <v>120</v>
      </c>
      <c r="CW294" s="14">
        <f t="shared" si="186"/>
        <v>120</v>
      </c>
      <c r="CX294" s="14">
        <f t="shared" si="187"/>
        <v>2</v>
      </c>
      <c r="CY294" s="14" t="str">
        <f t="shared" si="188"/>
        <v/>
      </c>
      <c r="CZ294" s="14">
        <f t="shared" si="189"/>
        <v>43</v>
      </c>
      <c r="DA294" s="14">
        <f t="shared" si="190"/>
        <v>0</v>
      </c>
      <c r="DB294" s="14">
        <f t="shared" si="191"/>
        <v>120</v>
      </c>
      <c r="DC294" s="14">
        <f t="shared" si="192"/>
        <v>0</v>
      </c>
      <c r="DD294" s="14">
        <f t="shared" si="193"/>
        <v>0</v>
      </c>
      <c r="DE294" s="14">
        <f t="shared" si="194"/>
        <v>4.32</v>
      </c>
      <c r="DF294" s="14">
        <f t="shared" si="195"/>
        <v>0</v>
      </c>
      <c r="DG294" s="14">
        <f t="shared" si="196"/>
        <v>15</v>
      </c>
      <c r="DH294" s="14">
        <f t="shared" si="197"/>
        <v>3</v>
      </c>
      <c r="DI294" s="14">
        <f t="shared" si="198"/>
        <v>24</v>
      </c>
      <c r="DL294" s="14">
        <f t="shared" si="180"/>
        <v>2</v>
      </c>
      <c r="DM294" s="14">
        <f t="shared" si="181"/>
        <v>0</v>
      </c>
      <c r="DN294" s="14" t="str">
        <f t="shared" si="199"/>
        <v>DefExt</v>
      </c>
      <c r="DO294" s="14">
        <f t="shared" si="200"/>
        <v>120</v>
      </c>
      <c r="DP294" s="14">
        <f t="shared" si="201"/>
        <v>4.32</v>
      </c>
      <c r="DQ294" s="14" t="str">
        <f t="shared" si="202"/>
        <v/>
      </c>
      <c r="DR294" s="14" t="str">
        <f t="shared" si="203"/>
        <v/>
      </c>
      <c r="DS294" s="14" t="str">
        <f t="shared" si="204"/>
        <v/>
      </c>
      <c r="DT294" s="14">
        <f t="shared" si="205"/>
        <v>15</v>
      </c>
      <c r="DU294" s="14">
        <f t="shared" si="206"/>
        <v>3</v>
      </c>
      <c r="DV294" s="14">
        <f t="shared" si="207"/>
        <v>24</v>
      </c>
      <c r="DW294" s="29" t="s">
        <v>758</v>
      </c>
      <c r="DX294" s="14">
        <f t="shared" si="208"/>
        <v>150</v>
      </c>
    </row>
    <row r="295" spans="91:128" ht="16.5" x14ac:dyDescent="0.2">
      <c r="CM295" s="13">
        <v>291</v>
      </c>
      <c r="CN295" s="14">
        <f t="shared" si="182"/>
        <v>40</v>
      </c>
      <c r="CO295" s="14">
        <f t="shared" si="183"/>
        <v>2</v>
      </c>
      <c r="CP295" s="14">
        <f t="shared" si="184"/>
        <v>3</v>
      </c>
      <c r="CQ295" s="14">
        <f t="shared" si="175"/>
        <v>4</v>
      </c>
      <c r="CR295" s="14">
        <f t="shared" si="176"/>
        <v>2043023</v>
      </c>
      <c r="CS295" s="13" t="str">
        <f t="shared" si="177"/>
        <v>120级守护灵紫色-肩甲</v>
      </c>
      <c r="CT295" s="14">
        <f t="shared" si="178"/>
        <v>2</v>
      </c>
      <c r="CU295" s="14">
        <f t="shared" si="179"/>
        <v>3</v>
      </c>
      <c r="CV295" s="14">
        <f t="shared" si="185"/>
        <v>120</v>
      </c>
      <c r="CW295" s="14">
        <f t="shared" si="186"/>
        <v>120</v>
      </c>
      <c r="CX295" s="14">
        <f t="shared" si="187"/>
        <v>3</v>
      </c>
      <c r="CY295" s="14" t="str">
        <f t="shared" si="188"/>
        <v/>
      </c>
      <c r="CZ295" s="14">
        <f t="shared" si="189"/>
        <v>45</v>
      </c>
      <c r="DA295" s="14">
        <f t="shared" si="190"/>
        <v>0</v>
      </c>
      <c r="DB295" s="14">
        <f t="shared" si="191"/>
        <v>60</v>
      </c>
      <c r="DC295" s="14">
        <f t="shared" si="192"/>
        <v>600</v>
      </c>
      <c r="DD295" s="14">
        <f t="shared" si="193"/>
        <v>0</v>
      </c>
      <c r="DE295" s="14">
        <f t="shared" si="194"/>
        <v>2.16</v>
      </c>
      <c r="DF295" s="14">
        <f t="shared" si="195"/>
        <v>24</v>
      </c>
      <c r="DG295" s="14">
        <f t="shared" si="196"/>
        <v>15</v>
      </c>
      <c r="DH295" s="14">
        <f t="shared" si="197"/>
        <v>3</v>
      </c>
      <c r="DI295" s="14">
        <f t="shared" si="198"/>
        <v>24</v>
      </c>
      <c r="DL295" s="14">
        <f t="shared" si="180"/>
        <v>2</v>
      </c>
      <c r="DM295" s="14">
        <f t="shared" si="181"/>
        <v>3</v>
      </c>
      <c r="DN295" s="14" t="str">
        <f t="shared" si="199"/>
        <v>DefExt</v>
      </c>
      <c r="DO295" s="14">
        <f t="shared" si="200"/>
        <v>60</v>
      </c>
      <c r="DP295" s="14">
        <f t="shared" si="201"/>
        <v>2.16</v>
      </c>
      <c r="DQ295" s="14" t="str">
        <f t="shared" si="202"/>
        <v>HPExt</v>
      </c>
      <c r="DR295" s="14">
        <f t="shared" si="203"/>
        <v>600</v>
      </c>
      <c r="DS295" s="14">
        <f t="shared" si="204"/>
        <v>24</v>
      </c>
      <c r="DT295" s="14">
        <f t="shared" si="205"/>
        <v>15</v>
      </c>
      <c r="DU295" s="14">
        <f t="shared" si="206"/>
        <v>3</v>
      </c>
      <c r="DV295" s="14">
        <f t="shared" si="207"/>
        <v>24</v>
      </c>
      <c r="DW295" s="29" t="s">
        <v>758</v>
      </c>
      <c r="DX295" s="14">
        <f t="shared" si="208"/>
        <v>150</v>
      </c>
    </row>
    <row r="296" spans="91:128" ht="16.5" x14ac:dyDescent="0.2">
      <c r="CM296" s="13">
        <v>292</v>
      </c>
      <c r="CN296" s="14">
        <f t="shared" si="182"/>
        <v>40</v>
      </c>
      <c r="CO296" s="14">
        <f t="shared" si="183"/>
        <v>2</v>
      </c>
      <c r="CP296" s="14">
        <f t="shared" si="184"/>
        <v>4</v>
      </c>
      <c r="CQ296" s="14">
        <f t="shared" si="175"/>
        <v>4</v>
      </c>
      <c r="CR296" s="14">
        <f t="shared" si="176"/>
        <v>2043024</v>
      </c>
      <c r="CS296" s="13" t="str">
        <f t="shared" si="177"/>
        <v>120级守护灵紫色-衣服</v>
      </c>
      <c r="CT296" s="14">
        <f t="shared" si="178"/>
        <v>2</v>
      </c>
      <c r="CU296" s="14">
        <f t="shared" si="179"/>
        <v>3</v>
      </c>
      <c r="CV296" s="14">
        <f t="shared" si="185"/>
        <v>120</v>
      </c>
      <c r="CW296" s="14">
        <f t="shared" si="186"/>
        <v>120</v>
      </c>
      <c r="CX296" s="14">
        <f t="shared" si="187"/>
        <v>4</v>
      </c>
      <c r="CY296" s="14" t="str">
        <f t="shared" si="188"/>
        <v/>
      </c>
      <c r="CZ296" s="14">
        <f t="shared" si="189"/>
        <v>43</v>
      </c>
      <c r="DA296" s="14">
        <f t="shared" si="190"/>
        <v>0</v>
      </c>
      <c r="DB296" s="14">
        <f t="shared" si="191"/>
        <v>120</v>
      </c>
      <c r="DC296" s="14">
        <f t="shared" si="192"/>
        <v>0</v>
      </c>
      <c r="DD296" s="14">
        <f t="shared" si="193"/>
        <v>0</v>
      </c>
      <c r="DE296" s="14">
        <f t="shared" si="194"/>
        <v>4.32</v>
      </c>
      <c r="DF296" s="14">
        <f t="shared" si="195"/>
        <v>0</v>
      </c>
      <c r="DG296" s="14">
        <f t="shared" si="196"/>
        <v>15</v>
      </c>
      <c r="DH296" s="14">
        <f t="shared" si="197"/>
        <v>3</v>
      </c>
      <c r="DI296" s="14">
        <f t="shared" si="198"/>
        <v>24</v>
      </c>
      <c r="DL296" s="14">
        <f t="shared" si="180"/>
        <v>2</v>
      </c>
      <c r="DM296" s="14">
        <f t="shared" si="181"/>
        <v>0</v>
      </c>
      <c r="DN296" s="14" t="str">
        <f t="shared" si="199"/>
        <v>DefExt</v>
      </c>
      <c r="DO296" s="14">
        <f t="shared" si="200"/>
        <v>120</v>
      </c>
      <c r="DP296" s="14">
        <f t="shared" si="201"/>
        <v>4.32</v>
      </c>
      <c r="DQ296" s="14" t="str">
        <f t="shared" si="202"/>
        <v/>
      </c>
      <c r="DR296" s="14" t="str">
        <f t="shared" si="203"/>
        <v/>
      </c>
      <c r="DS296" s="14" t="str">
        <f t="shared" si="204"/>
        <v/>
      </c>
      <c r="DT296" s="14">
        <f t="shared" si="205"/>
        <v>15</v>
      </c>
      <c r="DU296" s="14">
        <f t="shared" si="206"/>
        <v>3</v>
      </c>
      <c r="DV296" s="14">
        <f t="shared" si="207"/>
        <v>24</v>
      </c>
      <c r="DW296" s="29" t="s">
        <v>758</v>
      </c>
      <c r="DX296" s="14">
        <f t="shared" si="208"/>
        <v>150</v>
      </c>
    </row>
    <row r="297" spans="91:128" ht="16.5" x14ac:dyDescent="0.2">
      <c r="CM297" s="13">
        <v>293</v>
      </c>
      <c r="CN297" s="14">
        <f t="shared" si="182"/>
        <v>40</v>
      </c>
      <c r="CO297" s="14">
        <f t="shared" si="183"/>
        <v>2</v>
      </c>
      <c r="CP297" s="14">
        <f t="shared" si="184"/>
        <v>5</v>
      </c>
      <c r="CQ297" s="14">
        <f t="shared" si="175"/>
        <v>4</v>
      </c>
      <c r="CR297" s="14">
        <f t="shared" si="176"/>
        <v>2043025</v>
      </c>
      <c r="CS297" s="13" t="str">
        <f t="shared" si="177"/>
        <v>120级守护灵紫色-鞋子</v>
      </c>
      <c r="CT297" s="14">
        <f t="shared" si="178"/>
        <v>2</v>
      </c>
      <c r="CU297" s="14">
        <f t="shared" si="179"/>
        <v>3</v>
      </c>
      <c r="CV297" s="14">
        <f t="shared" si="185"/>
        <v>120</v>
      </c>
      <c r="CW297" s="14">
        <f t="shared" si="186"/>
        <v>120</v>
      </c>
      <c r="CX297" s="14">
        <f t="shared" si="187"/>
        <v>5</v>
      </c>
      <c r="CY297" s="14" t="str">
        <f t="shared" si="188"/>
        <v/>
      </c>
      <c r="CZ297" s="14">
        <f t="shared" si="189"/>
        <v>48</v>
      </c>
      <c r="DA297" s="14">
        <f t="shared" si="190"/>
        <v>0</v>
      </c>
      <c r="DB297" s="14">
        <f t="shared" si="191"/>
        <v>0</v>
      </c>
      <c r="DC297" s="14">
        <f t="shared" si="192"/>
        <v>1200</v>
      </c>
      <c r="DD297" s="14">
        <f t="shared" si="193"/>
        <v>0</v>
      </c>
      <c r="DE297" s="14">
        <f t="shared" si="194"/>
        <v>0</v>
      </c>
      <c r="DF297" s="14">
        <f t="shared" si="195"/>
        <v>48</v>
      </c>
      <c r="DG297" s="14">
        <f t="shared" si="196"/>
        <v>15</v>
      </c>
      <c r="DH297" s="14">
        <f t="shared" si="197"/>
        <v>3</v>
      </c>
      <c r="DI297" s="14">
        <f t="shared" si="198"/>
        <v>24</v>
      </c>
      <c r="DL297" s="14">
        <f t="shared" si="180"/>
        <v>3</v>
      </c>
      <c r="DM297" s="14">
        <f t="shared" si="181"/>
        <v>0</v>
      </c>
      <c r="DN297" s="14" t="str">
        <f t="shared" si="199"/>
        <v>HPExt</v>
      </c>
      <c r="DO297" s="14">
        <f t="shared" si="200"/>
        <v>1200</v>
      </c>
      <c r="DP297" s="14">
        <f t="shared" si="201"/>
        <v>48</v>
      </c>
      <c r="DQ297" s="14" t="str">
        <f t="shared" si="202"/>
        <v/>
      </c>
      <c r="DR297" s="14" t="str">
        <f t="shared" si="203"/>
        <v/>
      </c>
      <c r="DS297" s="14" t="str">
        <f t="shared" si="204"/>
        <v/>
      </c>
      <c r="DT297" s="14">
        <f t="shared" si="205"/>
        <v>15</v>
      </c>
      <c r="DU297" s="14">
        <f t="shared" si="206"/>
        <v>3</v>
      </c>
      <c r="DV297" s="14">
        <f t="shared" si="207"/>
        <v>24</v>
      </c>
      <c r="DW297" s="29" t="s">
        <v>758</v>
      </c>
      <c r="DX297" s="14">
        <f t="shared" si="208"/>
        <v>150</v>
      </c>
    </row>
    <row r="298" spans="91:128" ht="16.5" x14ac:dyDescent="0.2">
      <c r="CM298" s="13">
        <v>294</v>
      </c>
      <c r="CN298" s="14">
        <f t="shared" si="182"/>
        <v>40</v>
      </c>
      <c r="CO298" s="14">
        <f t="shared" si="183"/>
        <v>2</v>
      </c>
      <c r="CP298" s="14">
        <f t="shared" si="184"/>
        <v>6</v>
      </c>
      <c r="CQ298" s="14">
        <f t="shared" si="175"/>
        <v>4</v>
      </c>
      <c r="CR298" s="14">
        <f t="shared" si="176"/>
        <v>2043026</v>
      </c>
      <c r="CS298" s="13" t="str">
        <f t="shared" si="177"/>
        <v>120级守护灵紫色-护手</v>
      </c>
      <c r="CT298" s="14">
        <f t="shared" si="178"/>
        <v>2</v>
      </c>
      <c r="CU298" s="14">
        <f t="shared" si="179"/>
        <v>3</v>
      </c>
      <c r="CV298" s="14">
        <f t="shared" si="185"/>
        <v>120</v>
      </c>
      <c r="CW298" s="14">
        <f t="shared" si="186"/>
        <v>120</v>
      </c>
      <c r="CX298" s="14">
        <f t="shared" si="187"/>
        <v>6</v>
      </c>
      <c r="CY298" s="14" t="str">
        <f t="shared" si="188"/>
        <v/>
      </c>
      <c r="CZ298" s="14">
        <f t="shared" si="189"/>
        <v>48</v>
      </c>
      <c r="DA298" s="14">
        <f t="shared" si="190"/>
        <v>0</v>
      </c>
      <c r="DB298" s="14">
        <f t="shared" si="191"/>
        <v>0</v>
      </c>
      <c r="DC298" s="14">
        <f t="shared" si="192"/>
        <v>1200</v>
      </c>
      <c r="DD298" s="14">
        <f t="shared" si="193"/>
        <v>0</v>
      </c>
      <c r="DE298" s="14">
        <f t="shared" si="194"/>
        <v>0</v>
      </c>
      <c r="DF298" s="14">
        <f t="shared" si="195"/>
        <v>48</v>
      </c>
      <c r="DG298" s="14">
        <f t="shared" si="196"/>
        <v>15</v>
      </c>
      <c r="DH298" s="14">
        <f t="shared" si="197"/>
        <v>3</v>
      </c>
      <c r="DI298" s="14">
        <f t="shared" si="198"/>
        <v>24</v>
      </c>
      <c r="DL298" s="14">
        <f t="shared" si="180"/>
        <v>3</v>
      </c>
      <c r="DM298" s="14">
        <f t="shared" si="181"/>
        <v>0</v>
      </c>
      <c r="DN298" s="14" t="str">
        <f t="shared" si="199"/>
        <v>HPExt</v>
      </c>
      <c r="DO298" s="14">
        <f t="shared" si="200"/>
        <v>1200</v>
      </c>
      <c r="DP298" s="14">
        <f t="shared" si="201"/>
        <v>48</v>
      </c>
      <c r="DQ298" s="14" t="str">
        <f t="shared" si="202"/>
        <v/>
      </c>
      <c r="DR298" s="14" t="str">
        <f t="shared" si="203"/>
        <v/>
      </c>
      <c r="DS298" s="14" t="str">
        <f t="shared" si="204"/>
        <v/>
      </c>
      <c r="DT298" s="14">
        <f t="shared" si="205"/>
        <v>15</v>
      </c>
      <c r="DU298" s="14">
        <f t="shared" si="206"/>
        <v>3</v>
      </c>
      <c r="DV298" s="14">
        <f t="shared" si="207"/>
        <v>24</v>
      </c>
      <c r="DW298" s="29" t="s">
        <v>758</v>
      </c>
      <c r="DX298" s="14">
        <f t="shared" si="208"/>
        <v>150</v>
      </c>
    </row>
    <row r="299" spans="91:128" ht="16.5" x14ac:dyDescent="0.2">
      <c r="CM299" s="13">
        <v>295</v>
      </c>
      <c r="CN299" s="14">
        <f t="shared" si="182"/>
        <v>40</v>
      </c>
      <c r="CO299" s="14">
        <f t="shared" si="183"/>
        <v>2</v>
      </c>
      <c r="CP299" s="14">
        <f t="shared" si="184"/>
        <v>7</v>
      </c>
      <c r="CQ299" s="14">
        <f t="shared" si="175"/>
        <v>4</v>
      </c>
      <c r="CR299" s="14">
        <f t="shared" si="176"/>
        <v>2043027</v>
      </c>
      <c r="CS299" s="13" t="str">
        <f t="shared" si="177"/>
        <v>120级守护灵紫色-项链</v>
      </c>
      <c r="CT299" s="14">
        <f t="shared" si="178"/>
        <v>2</v>
      </c>
      <c r="CU299" s="14">
        <f t="shared" si="179"/>
        <v>3</v>
      </c>
      <c r="CV299" s="14">
        <f t="shared" si="185"/>
        <v>120</v>
      </c>
      <c r="CW299" s="14">
        <f t="shared" si="186"/>
        <v>120</v>
      </c>
      <c r="CX299" s="14">
        <f t="shared" si="187"/>
        <v>7</v>
      </c>
      <c r="CY299" s="14" t="str">
        <f t="shared" si="188"/>
        <v/>
      </c>
      <c r="CZ299" s="14">
        <f t="shared" si="189"/>
        <v>64</v>
      </c>
      <c r="DA299" s="14">
        <f t="shared" si="190"/>
        <v>160</v>
      </c>
      <c r="DB299" s="14">
        <f t="shared" si="191"/>
        <v>100</v>
      </c>
      <c r="DC299" s="14">
        <f t="shared" si="192"/>
        <v>0</v>
      </c>
      <c r="DD299" s="14">
        <f t="shared" si="193"/>
        <v>5.6</v>
      </c>
      <c r="DE299" s="14">
        <f t="shared" si="194"/>
        <v>3.6</v>
      </c>
      <c r="DF299" s="14">
        <f t="shared" si="195"/>
        <v>0</v>
      </c>
      <c r="DG299" s="14">
        <f t="shared" si="196"/>
        <v>15</v>
      </c>
      <c r="DH299" s="14">
        <f t="shared" si="197"/>
        <v>3</v>
      </c>
      <c r="DI299" s="14">
        <f t="shared" si="198"/>
        <v>24</v>
      </c>
      <c r="DL299" s="14">
        <f t="shared" si="180"/>
        <v>1</v>
      </c>
      <c r="DM299" s="14">
        <f t="shared" si="181"/>
        <v>2</v>
      </c>
      <c r="DN299" s="14" t="str">
        <f t="shared" si="199"/>
        <v>AtkExt</v>
      </c>
      <c r="DO299" s="14">
        <f t="shared" si="200"/>
        <v>160</v>
      </c>
      <c r="DP299" s="14">
        <f t="shared" si="201"/>
        <v>5.6</v>
      </c>
      <c r="DQ299" s="14" t="str">
        <f t="shared" si="202"/>
        <v>DefExt</v>
      </c>
      <c r="DR299" s="14">
        <f t="shared" si="203"/>
        <v>100</v>
      </c>
      <c r="DS299" s="14">
        <f t="shared" si="204"/>
        <v>3.6</v>
      </c>
      <c r="DT299" s="14">
        <f t="shared" si="205"/>
        <v>15</v>
      </c>
      <c r="DU299" s="14">
        <f t="shared" si="206"/>
        <v>3</v>
      </c>
      <c r="DV299" s="14">
        <f t="shared" si="207"/>
        <v>24</v>
      </c>
      <c r="DW299" s="29" t="s">
        <v>758</v>
      </c>
      <c r="DX299" s="14">
        <f t="shared" si="208"/>
        <v>150</v>
      </c>
    </row>
    <row r="300" spans="91:128" ht="16.5" x14ac:dyDescent="0.2">
      <c r="CM300" s="13">
        <v>296</v>
      </c>
      <c r="CN300" s="14">
        <f t="shared" si="182"/>
        <v>40</v>
      </c>
      <c r="CO300" s="14">
        <f t="shared" si="183"/>
        <v>2</v>
      </c>
      <c r="CP300" s="14">
        <f t="shared" si="184"/>
        <v>8</v>
      </c>
      <c r="CQ300" s="14">
        <f t="shared" si="175"/>
        <v>4</v>
      </c>
      <c r="CR300" s="14">
        <f t="shared" si="176"/>
        <v>2043028</v>
      </c>
      <c r="CS300" s="13" t="str">
        <f t="shared" si="177"/>
        <v>120级守护灵紫色-戒指</v>
      </c>
      <c r="CT300" s="14">
        <f t="shared" si="178"/>
        <v>2</v>
      </c>
      <c r="CU300" s="14">
        <f t="shared" si="179"/>
        <v>3</v>
      </c>
      <c r="CV300" s="14">
        <f t="shared" si="185"/>
        <v>120</v>
      </c>
      <c r="CW300" s="14">
        <f t="shared" si="186"/>
        <v>120</v>
      </c>
      <c r="CX300" s="14">
        <f t="shared" si="187"/>
        <v>8</v>
      </c>
      <c r="CY300" s="14" t="str">
        <f t="shared" si="188"/>
        <v/>
      </c>
      <c r="CZ300" s="14">
        <f t="shared" si="189"/>
        <v>68</v>
      </c>
      <c r="DA300" s="14">
        <f t="shared" si="190"/>
        <v>160</v>
      </c>
      <c r="DB300" s="14">
        <f t="shared" si="191"/>
        <v>0</v>
      </c>
      <c r="DC300" s="14">
        <f t="shared" si="192"/>
        <v>1000</v>
      </c>
      <c r="DD300" s="14">
        <f t="shared" si="193"/>
        <v>5.6</v>
      </c>
      <c r="DE300" s="14">
        <f t="shared" si="194"/>
        <v>0</v>
      </c>
      <c r="DF300" s="14">
        <f t="shared" si="195"/>
        <v>40</v>
      </c>
      <c r="DG300" s="14">
        <f t="shared" si="196"/>
        <v>15</v>
      </c>
      <c r="DH300" s="14">
        <f t="shared" si="197"/>
        <v>3</v>
      </c>
      <c r="DI300" s="14">
        <f t="shared" si="198"/>
        <v>24</v>
      </c>
      <c r="DL300" s="14">
        <f t="shared" si="180"/>
        <v>1</v>
      </c>
      <c r="DM300" s="14">
        <f t="shared" si="181"/>
        <v>3</v>
      </c>
      <c r="DN300" s="14" t="str">
        <f t="shared" si="199"/>
        <v>AtkExt</v>
      </c>
      <c r="DO300" s="14">
        <f t="shared" si="200"/>
        <v>160</v>
      </c>
      <c r="DP300" s="14">
        <f t="shared" si="201"/>
        <v>5.6</v>
      </c>
      <c r="DQ300" s="14" t="str">
        <f t="shared" si="202"/>
        <v>HPExt</v>
      </c>
      <c r="DR300" s="14">
        <f t="shared" si="203"/>
        <v>1000</v>
      </c>
      <c r="DS300" s="14">
        <f t="shared" si="204"/>
        <v>40</v>
      </c>
      <c r="DT300" s="14">
        <f t="shared" si="205"/>
        <v>15</v>
      </c>
      <c r="DU300" s="14">
        <f t="shared" si="206"/>
        <v>3</v>
      </c>
      <c r="DV300" s="14">
        <f t="shared" si="207"/>
        <v>24</v>
      </c>
      <c r="DW300" s="29" t="s">
        <v>758</v>
      </c>
      <c r="DX300" s="14">
        <f t="shared" si="208"/>
        <v>150</v>
      </c>
    </row>
    <row r="301" spans="91:128" ht="16.5" x14ac:dyDescent="0.2">
      <c r="CM301" s="13">
        <v>297</v>
      </c>
      <c r="CN301" s="14">
        <f t="shared" si="182"/>
        <v>41</v>
      </c>
      <c r="CO301" s="14">
        <f t="shared" si="183"/>
        <v>1</v>
      </c>
      <c r="CP301" s="14">
        <f t="shared" si="184"/>
        <v>1</v>
      </c>
      <c r="CQ301" s="14">
        <f t="shared" si="175"/>
        <v>4</v>
      </c>
      <c r="CR301" s="14">
        <f t="shared" si="176"/>
        <v>2044011</v>
      </c>
      <c r="CS301" s="13" t="str">
        <f t="shared" si="177"/>
        <v>120级寄灵人橙色-武器</v>
      </c>
      <c r="CT301" s="14">
        <f t="shared" si="178"/>
        <v>1</v>
      </c>
      <c r="CU301" s="14">
        <f t="shared" si="179"/>
        <v>4</v>
      </c>
      <c r="CV301" s="14">
        <f t="shared" si="185"/>
        <v>120</v>
      </c>
      <c r="CW301" s="14">
        <f t="shared" si="186"/>
        <v>120</v>
      </c>
      <c r="CX301" s="14">
        <f t="shared" si="187"/>
        <v>1</v>
      </c>
      <c r="CY301" s="14" t="str">
        <f t="shared" si="188"/>
        <v/>
      </c>
      <c r="CZ301" s="14">
        <f t="shared" si="189"/>
        <v>105</v>
      </c>
      <c r="DA301" s="14">
        <f t="shared" si="190"/>
        <v>600</v>
      </c>
      <c r="DB301" s="14">
        <f t="shared" si="191"/>
        <v>0</v>
      </c>
      <c r="DC301" s="14">
        <f t="shared" si="192"/>
        <v>0</v>
      </c>
      <c r="DD301" s="14">
        <f t="shared" si="193"/>
        <v>21</v>
      </c>
      <c r="DE301" s="14">
        <f t="shared" si="194"/>
        <v>0</v>
      </c>
      <c r="DF301" s="14">
        <f t="shared" si="195"/>
        <v>0</v>
      </c>
      <c r="DG301" s="14">
        <f t="shared" si="196"/>
        <v>16</v>
      </c>
      <c r="DH301" s="14">
        <f t="shared" si="197"/>
        <v>4</v>
      </c>
      <c r="DI301" s="14">
        <f t="shared" si="198"/>
        <v>14</v>
      </c>
      <c r="DL301" s="14">
        <f t="shared" si="180"/>
        <v>1</v>
      </c>
      <c r="DM301" s="14">
        <f t="shared" si="181"/>
        <v>0</v>
      </c>
      <c r="DN301" s="14" t="str">
        <f t="shared" si="199"/>
        <v>AtkExt</v>
      </c>
      <c r="DO301" s="14">
        <f t="shared" si="200"/>
        <v>600</v>
      </c>
      <c r="DP301" s="14">
        <f t="shared" si="201"/>
        <v>21</v>
      </c>
      <c r="DQ301" s="14" t="str">
        <f t="shared" si="202"/>
        <v/>
      </c>
      <c r="DR301" s="14" t="str">
        <f t="shared" si="203"/>
        <v/>
      </c>
      <c r="DS301" s="14" t="str">
        <f t="shared" si="204"/>
        <v/>
      </c>
      <c r="DT301" s="14">
        <f t="shared" si="205"/>
        <v>16</v>
      </c>
      <c r="DU301" s="14">
        <f t="shared" si="206"/>
        <v>4</v>
      </c>
      <c r="DV301" s="14">
        <f t="shared" si="207"/>
        <v>14</v>
      </c>
      <c r="DW301" s="29" t="s">
        <v>758</v>
      </c>
      <c r="DX301" s="14">
        <f t="shared" si="208"/>
        <v>300</v>
      </c>
    </row>
    <row r="302" spans="91:128" ht="16.5" x14ac:dyDescent="0.2">
      <c r="CM302" s="13">
        <v>298</v>
      </c>
      <c r="CN302" s="14">
        <f t="shared" si="182"/>
        <v>41</v>
      </c>
      <c r="CO302" s="14">
        <f t="shared" si="183"/>
        <v>1</v>
      </c>
      <c r="CP302" s="14">
        <f t="shared" si="184"/>
        <v>2</v>
      </c>
      <c r="CQ302" s="14">
        <f t="shared" si="175"/>
        <v>4</v>
      </c>
      <c r="CR302" s="14">
        <f t="shared" si="176"/>
        <v>2044012</v>
      </c>
      <c r="CS302" s="13" t="str">
        <f t="shared" si="177"/>
        <v>120级寄灵人橙色-头盔</v>
      </c>
      <c r="CT302" s="14">
        <f t="shared" si="178"/>
        <v>1</v>
      </c>
      <c r="CU302" s="14">
        <f t="shared" si="179"/>
        <v>4</v>
      </c>
      <c r="CV302" s="14">
        <f t="shared" si="185"/>
        <v>120</v>
      </c>
      <c r="CW302" s="14">
        <f t="shared" si="186"/>
        <v>120</v>
      </c>
      <c r="CX302" s="14">
        <f t="shared" si="187"/>
        <v>2</v>
      </c>
      <c r="CY302" s="14" t="str">
        <f t="shared" si="188"/>
        <v/>
      </c>
      <c r="CZ302" s="14">
        <f t="shared" si="189"/>
        <v>52</v>
      </c>
      <c r="DA302" s="14">
        <f t="shared" si="190"/>
        <v>0</v>
      </c>
      <c r="DB302" s="14">
        <f t="shared" si="191"/>
        <v>150</v>
      </c>
      <c r="DC302" s="14">
        <f t="shared" si="192"/>
        <v>0</v>
      </c>
      <c r="DD302" s="14">
        <f t="shared" si="193"/>
        <v>0</v>
      </c>
      <c r="DE302" s="14">
        <f t="shared" si="194"/>
        <v>5.25</v>
      </c>
      <c r="DF302" s="14">
        <f t="shared" si="195"/>
        <v>0</v>
      </c>
      <c r="DG302" s="14">
        <f t="shared" si="196"/>
        <v>16</v>
      </c>
      <c r="DH302" s="14">
        <f t="shared" si="197"/>
        <v>4</v>
      </c>
      <c r="DI302" s="14">
        <f t="shared" si="198"/>
        <v>14</v>
      </c>
      <c r="DL302" s="14">
        <f t="shared" si="180"/>
        <v>2</v>
      </c>
      <c r="DM302" s="14">
        <f t="shared" si="181"/>
        <v>0</v>
      </c>
      <c r="DN302" s="14" t="str">
        <f t="shared" si="199"/>
        <v>DefExt</v>
      </c>
      <c r="DO302" s="14">
        <f t="shared" si="200"/>
        <v>150</v>
      </c>
      <c r="DP302" s="14">
        <f t="shared" si="201"/>
        <v>5.25</v>
      </c>
      <c r="DQ302" s="14" t="str">
        <f t="shared" si="202"/>
        <v/>
      </c>
      <c r="DR302" s="14" t="str">
        <f t="shared" si="203"/>
        <v/>
      </c>
      <c r="DS302" s="14" t="str">
        <f t="shared" si="204"/>
        <v/>
      </c>
      <c r="DT302" s="14">
        <f t="shared" si="205"/>
        <v>16</v>
      </c>
      <c r="DU302" s="14">
        <f t="shared" si="206"/>
        <v>4</v>
      </c>
      <c r="DV302" s="14">
        <f t="shared" si="207"/>
        <v>14</v>
      </c>
      <c r="DW302" s="29" t="s">
        <v>758</v>
      </c>
      <c r="DX302" s="14">
        <f t="shared" si="208"/>
        <v>300</v>
      </c>
    </row>
    <row r="303" spans="91:128" ht="16.5" x14ac:dyDescent="0.2">
      <c r="CM303" s="13">
        <v>299</v>
      </c>
      <c r="CN303" s="14">
        <f t="shared" si="182"/>
        <v>41</v>
      </c>
      <c r="CO303" s="14">
        <f t="shared" si="183"/>
        <v>1</v>
      </c>
      <c r="CP303" s="14">
        <f t="shared" si="184"/>
        <v>3</v>
      </c>
      <c r="CQ303" s="14">
        <f t="shared" si="175"/>
        <v>4</v>
      </c>
      <c r="CR303" s="14">
        <f t="shared" si="176"/>
        <v>2044013</v>
      </c>
      <c r="CS303" s="13" t="str">
        <f t="shared" si="177"/>
        <v>120级寄灵人橙色-肩甲</v>
      </c>
      <c r="CT303" s="14">
        <f t="shared" si="178"/>
        <v>1</v>
      </c>
      <c r="CU303" s="14">
        <f t="shared" si="179"/>
        <v>4</v>
      </c>
      <c r="CV303" s="14">
        <f t="shared" si="185"/>
        <v>120</v>
      </c>
      <c r="CW303" s="14">
        <f t="shared" si="186"/>
        <v>120</v>
      </c>
      <c r="CX303" s="14">
        <f t="shared" si="187"/>
        <v>3</v>
      </c>
      <c r="CY303" s="14" t="str">
        <f t="shared" si="188"/>
        <v/>
      </c>
      <c r="CZ303" s="14">
        <f t="shared" si="189"/>
        <v>41</v>
      </c>
      <c r="DA303" s="14">
        <f t="shared" si="190"/>
        <v>0</v>
      </c>
      <c r="DB303" s="14">
        <f t="shared" si="191"/>
        <v>75</v>
      </c>
      <c r="DC303" s="14">
        <f t="shared" si="192"/>
        <v>450</v>
      </c>
      <c r="DD303" s="14">
        <f t="shared" si="193"/>
        <v>0</v>
      </c>
      <c r="DE303" s="14">
        <f t="shared" si="194"/>
        <v>2.63</v>
      </c>
      <c r="DF303" s="14">
        <f t="shared" si="195"/>
        <v>15</v>
      </c>
      <c r="DG303" s="14">
        <f t="shared" si="196"/>
        <v>16</v>
      </c>
      <c r="DH303" s="14">
        <f t="shared" si="197"/>
        <v>4</v>
      </c>
      <c r="DI303" s="14">
        <f t="shared" si="198"/>
        <v>14</v>
      </c>
      <c r="DL303" s="14">
        <f t="shared" si="180"/>
        <v>2</v>
      </c>
      <c r="DM303" s="14">
        <f t="shared" si="181"/>
        <v>3</v>
      </c>
      <c r="DN303" s="14" t="str">
        <f t="shared" si="199"/>
        <v>DefExt</v>
      </c>
      <c r="DO303" s="14">
        <f t="shared" si="200"/>
        <v>75</v>
      </c>
      <c r="DP303" s="14">
        <f t="shared" si="201"/>
        <v>2.63</v>
      </c>
      <c r="DQ303" s="14" t="str">
        <f t="shared" si="202"/>
        <v>HPExt</v>
      </c>
      <c r="DR303" s="14">
        <f t="shared" si="203"/>
        <v>450</v>
      </c>
      <c r="DS303" s="14">
        <f t="shared" si="204"/>
        <v>15</v>
      </c>
      <c r="DT303" s="14">
        <f t="shared" si="205"/>
        <v>16</v>
      </c>
      <c r="DU303" s="14">
        <f t="shared" si="206"/>
        <v>4</v>
      </c>
      <c r="DV303" s="14">
        <f t="shared" si="207"/>
        <v>14</v>
      </c>
      <c r="DW303" s="29" t="s">
        <v>758</v>
      </c>
      <c r="DX303" s="14">
        <f t="shared" si="208"/>
        <v>300</v>
      </c>
    </row>
    <row r="304" spans="91:128" ht="16.5" x14ac:dyDescent="0.2">
      <c r="CM304" s="13">
        <v>300</v>
      </c>
      <c r="CN304" s="14">
        <f t="shared" si="182"/>
        <v>41</v>
      </c>
      <c r="CO304" s="14">
        <f t="shared" si="183"/>
        <v>1</v>
      </c>
      <c r="CP304" s="14">
        <f t="shared" si="184"/>
        <v>4</v>
      </c>
      <c r="CQ304" s="14">
        <f t="shared" si="175"/>
        <v>4</v>
      </c>
      <c r="CR304" s="14">
        <f t="shared" si="176"/>
        <v>2044014</v>
      </c>
      <c r="CS304" s="13" t="str">
        <f t="shared" si="177"/>
        <v>120级寄灵人橙色-衣服</v>
      </c>
      <c r="CT304" s="14">
        <f t="shared" si="178"/>
        <v>1</v>
      </c>
      <c r="CU304" s="14">
        <f t="shared" si="179"/>
        <v>4</v>
      </c>
      <c r="CV304" s="14">
        <f t="shared" si="185"/>
        <v>120</v>
      </c>
      <c r="CW304" s="14">
        <f t="shared" si="186"/>
        <v>120</v>
      </c>
      <c r="CX304" s="14">
        <f t="shared" si="187"/>
        <v>4</v>
      </c>
      <c r="CY304" s="14" t="str">
        <f t="shared" si="188"/>
        <v/>
      </c>
      <c r="CZ304" s="14">
        <f t="shared" si="189"/>
        <v>52</v>
      </c>
      <c r="DA304" s="14">
        <f t="shared" si="190"/>
        <v>0</v>
      </c>
      <c r="DB304" s="14">
        <f t="shared" si="191"/>
        <v>150</v>
      </c>
      <c r="DC304" s="14">
        <f t="shared" si="192"/>
        <v>0</v>
      </c>
      <c r="DD304" s="14">
        <f t="shared" si="193"/>
        <v>0</v>
      </c>
      <c r="DE304" s="14">
        <f t="shared" si="194"/>
        <v>5.25</v>
      </c>
      <c r="DF304" s="14">
        <f t="shared" si="195"/>
        <v>0</v>
      </c>
      <c r="DG304" s="14">
        <f t="shared" si="196"/>
        <v>16</v>
      </c>
      <c r="DH304" s="14">
        <f t="shared" si="197"/>
        <v>4</v>
      </c>
      <c r="DI304" s="14">
        <f t="shared" si="198"/>
        <v>14</v>
      </c>
      <c r="DL304" s="14">
        <f t="shared" si="180"/>
        <v>2</v>
      </c>
      <c r="DM304" s="14">
        <f t="shared" si="181"/>
        <v>0</v>
      </c>
      <c r="DN304" s="14" t="str">
        <f t="shared" si="199"/>
        <v>DefExt</v>
      </c>
      <c r="DO304" s="14">
        <f t="shared" si="200"/>
        <v>150</v>
      </c>
      <c r="DP304" s="14">
        <f t="shared" si="201"/>
        <v>5.25</v>
      </c>
      <c r="DQ304" s="14" t="str">
        <f t="shared" si="202"/>
        <v/>
      </c>
      <c r="DR304" s="14" t="str">
        <f t="shared" si="203"/>
        <v/>
      </c>
      <c r="DS304" s="14" t="str">
        <f t="shared" si="204"/>
        <v/>
      </c>
      <c r="DT304" s="14">
        <f t="shared" si="205"/>
        <v>16</v>
      </c>
      <c r="DU304" s="14">
        <f t="shared" si="206"/>
        <v>4</v>
      </c>
      <c r="DV304" s="14">
        <f t="shared" si="207"/>
        <v>14</v>
      </c>
      <c r="DW304" s="29" t="s">
        <v>758</v>
      </c>
      <c r="DX304" s="14">
        <f t="shared" si="208"/>
        <v>300</v>
      </c>
    </row>
    <row r="305" spans="91:128" ht="16.5" x14ac:dyDescent="0.2">
      <c r="CM305" s="13">
        <v>301</v>
      </c>
      <c r="CN305" s="14">
        <f t="shared" si="182"/>
        <v>41</v>
      </c>
      <c r="CO305" s="14">
        <f t="shared" si="183"/>
        <v>1</v>
      </c>
      <c r="CP305" s="14">
        <f t="shared" si="184"/>
        <v>5</v>
      </c>
      <c r="CQ305" s="14">
        <f t="shared" si="175"/>
        <v>4</v>
      </c>
      <c r="CR305" s="14">
        <f t="shared" si="176"/>
        <v>2044015</v>
      </c>
      <c r="CS305" s="13" t="str">
        <f t="shared" si="177"/>
        <v>120级寄灵人橙色-鞋子</v>
      </c>
      <c r="CT305" s="14">
        <f t="shared" si="178"/>
        <v>1</v>
      </c>
      <c r="CU305" s="14">
        <f t="shared" si="179"/>
        <v>4</v>
      </c>
      <c r="CV305" s="14">
        <f t="shared" si="185"/>
        <v>120</v>
      </c>
      <c r="CW305" s="14">
        <f t="shared" si="186"/>
        <v>120</v>
      </c>
      <c r="CX305" s="14">
        <f t="shared" si="187"/>
        <v>5</v>
      </c>
      <c r="CY305" s="14" t="str">
        <f t="shared" si="188"/>
        <v/>
      </c>
      <c r="CZ305" s="14">
        <f t="shared" si="189"/>
        <v>30</v>
      </c>
      <c r="DA305" s="14">
        <f t="shared" si="190"/>
        <v>0</v>
      </c>
      <c r="DB305" s="14">
        <f t="shared" si="191"/>
        <v>0</v>
      </c>
      <c r="DC305" s="14">
        <f t="shared" si="192"/>
        <v>900</v>
      </c>
      <c r="DD305" s="14">
        <f t="shared" si="193"/>
        <v>0</v>
      </c>
      <c r="DE305" s="14">
        <f t="shared" si="194"/>
        <v>0</v>
      </c>
      <c r="DF305" s="14">
        <f t="shared" si="195"/>
        <v>30</v>
      </c>
      <c r="DG305" s="14">
        <f t="shared" si="196"/>
        <v>16</v>
      </c>
      <c r="DH305" s="14">
        <f t="shared" si="197"/>
        <v>4</v>
      </c>
      <c r="DI305" s="14">
        <f t="shared" si="198"/>
        <v>14</v>
      </c>
      <c r="DL305" s="14">
        <f t="shared" si="180"/>
        <v>3</v>
      </c>
      <c r="DM305" s="14">
        <f t="shared" si="181"/>
        <v>0</v>
      </c>
      <c r="DN305" s="14" t="str">
        <f t="shared" si="199"/>
        <v>HPExt</v>
      </c>
      <c r="DO305" s="14">
        <f t="shared" si="200"/>
        <v>900</v>
      </c>
      <c r="DP305" s="14">
        <f t="shared" si="201"/>
        <v>30</v>
      </c>
      <c r="DQ305" s="14" t="str">
        <f t="shared" si="202"/>
        <v/>
      </c>
      <c r="DR305" s="14" t="str">
        <f t="shared" si="203"/>
        <v/>
      </c>
      <c r="DS305" s="14" t="str">
        <f t="shared" si="204"/>
        <v/>
      </c>
      <c r="DT305" s="14">
        <f t="shared" si="205"/>
        <v>16</v>
      </c>
      <c r="DU305" s="14">
        <f t="shared" si="206"/>
        <v>4</v>
      </c>
      <c r="DV305" s="14">
        <f t="shared" si="207"/>
        <v>14</v>
      </c>
      <c r="DW305" s="29" t="s">
        <v>758</v>
      </c>
      <c r="DX305" s="14">
        <f t="shared" si="208"/>
        <v>300</v>
      </c>
    </row>
    <row r="306" spans="91:128" ht="16.5" x14ac:dyDescent="0.2">
      <c r="CM306" s="13">
        <v>302</v>
      </c>
      <c r="CN306" s="14">
        <f t="shared" si="182"/>
        <v>41</v>
      </c>
      <c r="CO306" s="14">
        <f t="shared" si="183"/>
        <v>1</v>
      </c>
      <c r="CP306" s="14">
        <f t="shared" si="184"/>
        <v>6</v>
      </c>
      <c r="CQ306" s="14">
        <f t="shared" si="175"/>
        <v>4</v>
      </c>
      <c r="CR306" s="14">
        <f t="shared" si="176"/>
        <v>2044016</v>
      </c>
      <c r="CS306" s="13" t="str">
        <f t="shared" si="177"/>
        <v>120级寄灵人橙色-护手</v>
      </c>
      <c r="CT306" s="14">
        <f t="shared" si="178"/>
        <v>1</v>
      </c>
      <c r="CU306" s="14">
        <f t="shared" si="179"/>
        <v>4</v>
      </c>
      <c r="CV306" s="14">
        <f t="shared" si="185"/>
        <v>120</v>
      </c>
      <c r="CW306" s="14">
        <f t="shared" si="186"/>
        <v>120</v>
      </c>
      <c r="CX306" s="14">
        <f t="shared" si="187"/>
        <v>6</v>
      </c>
      <c r="CY306" s="14" t="str">
        <f t="shared" si="188"/>
        <v/>
      </c>
      <c r="CZ306" s="14">
        <f t="shared" si="189"/>
        <v>30</v>
      </c>
      <c r="DA306" s="14">
        <f t="shared" si="190"/>
        <v>0</v>
      </c>
      <c r="DB306" s="14">
        <f t="shared" si="191"/>
        <v>0</v>
      </c>
      <c r="DC306" s="14">
        <f t="shared" si="192"/>
        <v>900</v>
      </c>
      <c r="DD306" s="14">
        <f t="shared" si="193"/>
        <v>0</v>
      </c>
      <c r="DE306" s="14">
        <f t="shared" si="194"/>
        <v>0</v>
      </c>
      <c r="DF306" s="14">
        <f t="shared" si="195"/>
        <v>30</v>
      </c>
      <c r="DG306" s="14">
        <f t="shared" si="196"/>
        <v>16</v>
      </c>
      <c r="DH306" s="14">
        <f t="shared" si="197"/>
        <v>4</v>
      </c>
      <c r="DI306" s="14">
        <f t="shared" si="198"/>
        <v>14</v>
      </c>
      <c r="DL306" s="14">
        <f t="shared" si="180"/>
        <v>3</v>
      </c>
      <c r="DM306" s="14">
        <f t="shared" si="181"/>
        <v>0</v>
      </c>
      <c r="DN306" s="14" t="str">
        <f t="shared" si="199"/>
        <v>HPExt</v>
      </c>
      <c r="DO306" s="14">
        <f t="shared" si="200"/>
        <v>900</v>
      </c>
      <c r="DP306" s="14">
        <f t="shared" si="201"/>
        <v>30</v>
      </c>
      <c r="DQ306" s="14" t="str">
        <f t="shared" si="202"/>
        <v/>
      </c>
      <c r="DR306" s="14" t="str">
        <f t="shared" si="203"/>
        <v/>
      </c>
      <c r="DS306" s="14" t="str">
        <f t="shared" si="204"/>
        <v/>
      </c>
      <c r="DT306" s="14">
        <f t="shared" si="205"/>
        <v>16</v>
      </c>
      <c r="DU306" s="14">
        <f t="shared" si="206"/>
        <v>4</v>
      </c>
      <c r="DV306" s="14">
        <f t="shared" si="207"/>
        <v>14</v>
      </c>
      <c r="DW306" s="29" t="s">
        <v>758</v>
      </c>
      <c r="DX306" s="14">
        <f t="shared" si="208"/>
        <v>300</v>
      </c>
    </row>
    <row r="307" spans="91:128" ht="16.5" x14ac:dyDescent="0.2">
      <c r="CM307" s="13">
        <v>303</v>
      </c>
      <c r="CN307" s="14">
        <f t="shared" si="182"/>
        <v>41</v>
      </c>
      <c r="CO307" s="14">
        <f t="shared" si="183"/>
        <v>1</v>
      </c>
      <c r="CP307" s="14">
        <f t="shared" si="184"/>
        <v>7</v>
      </c>
      <c r="CQ307" s="14">
        <f t="shared" si="175"/>
        <v>4</v>
      </c>
      <c r="CR307" s="14">
        <f t="shared" si="176"/>
        <v>2044017</v>
      </c>
      <c r="CS307" s="13" t="str">
        <f t="shared" si="177"/>
        <v>120级寄灵人橙色-项链</v>
      </c>
      <c r="CT307" s="14">
        <f t="shared" si="178"/>
        <v>1</v>
      </c>
      <c r="CU307" s="14">
        <f t="shared" si="179"/>
        <v>4</v>
      </c>
      <c r="CV307" s="14">
        <f t="shared" si="185"/>
        <v>120</v>
      </c>
      <c r="CW307" s="14">
        <f t="shared" si="186"/>
        <v>120</v>
      </c>
      <c r="CX307" s="14">
        <f t="shared" si="187"/>
        <v>7</v>
      </c>
      <c r="CY307" s="14" t="str">
        <f t="shared" si="188"/>
        <v/>
      </c>
      <c r="CZ307" s="14">
        <f t="shared" si="189"/>
        <v>78</v>
      </c>
      <c r="DA307" s="14">
        <f t="shared" si="190"/>
        <v>200</v>
      </c>
      <c r="DB307" s="14">
        <f t="shared" si="191"/>
        <v>125</v>
      </c>
      <c r="DC307" s="14">
        <f t="shared" si="192"/>
        <v>0</v>
      </c>
      <c r="DD307" s="14">
        <f t="shared" si="193"/>
        <v>7</v>
      </c>
      <c r="DE307" s="14">
        <f t="shared" si="194"/>
        <v>4.38</v>
      </c>
      <c r="DF307" s="14">
        <f t="shared" si="195"/>
        <v>0</v>
      </c>
      <c r="DG307" s="14">
        <f t="shared" si="196"/>
        <v>16</v>
      </c>
      <c r="DH307" s="14">
        <f t="shared" si="197"/>
        <v>4</v>
      </c>
      <c r="DI307" s="14">
        <f t="shared" si="198"/>
        <v>14</v>
      </c>
      <c r="DL307" s="14">
        <f t="shared" si="180"/>
        <v>1</v>
      </c>
      <c r="DM307" s="14">
        <f t="shared" si="181"/>
        <v>2</v>
      </c>
      <c r="DN307" s="14" t="str">
        <f t="shared" si="199"/>
        <v>AtkExt</v>
      </c>
      <c r="DO307" s="14">
        <f t="shared" si="200"/>
        <v>200</v>
      </c>
      <c r="DP307" s="14">
        <f t="shared" si="201"/>
        <v>7</v>
      </c>
      <c r="DQ307" s="14" t="str">
        <f t="shared" si="202"/>
        <v>DefExt</v>
      </c>
      <c r="DR307" s="14">
        <f t="shared" si="203"/>
        <v>125</v>
      </c>
      <c r="DS307" s="14">
        <f t="shared" si="204"/>
        <v>4.38</v>
      </c>
      <c r="DT307" s="14">
        <f t="shared" si="205"/>
        <v>16</v>
      </c>
      <c r="DU307" s="14">
        <f t="shared" si="206"/>
        <v>4</v>
      </c>
      <c r="DV307" s="14">
        <f t="shared" si="207"/>
        <v>14</v>
      </c>
      <c r="DW307" s="29" t="s">
        <v>758</v>
      </c>
      <c r="DX307" s="14">
        <f t="shared" si="208"/>
        <v>300</v>
      </c>
    </row>
    <row r="308" spans="91:128" ht="16.5" x14ac:dyDescent="0.2">
      <c r="CM308" s="13">
        <v>304</v>
      </c>
      <c r="CN308" s="14">
        <f t="shared" si="182"/>
        <v>41</v>
      </c>
      <c r="CO308" s="14">
        <f t="shared" si="183"/>
        <v>1</v>
      </c>
      <c r="CP308" s="14">
        <f t="shared" si="184"/>
        <v>8</v>
      </c>
      <c r="CQ308" s="14">
        <f t="shared" si="175"/>
        <v>4</v>
      </c>
      <c r="CR308" s="14">
        <f t="shared" si="176"/>
        <v>2044018</v>
      </c>
      <c r="CS308" s="13" t="str">
        <f t="shared" si="177"/>
        <v>120级寄灵人橙色-戒指</v>
      </c>
      <c r="CT308" s="14">
        <f t="shared" si="178"/>
        <v>1</v>
      </c>
      <c r="CU308" s="14">
        <f t="shared" si="179"/>
        <v>4</v>
      </c>
      <c r="CV308" s="14">
        <f t="shared" si="185"/>
        <v>120</v>
      </c>
      <c r="CW308" s="14">
        <f t="shared" si="186"/>
        <v>120</v>
      </c>
      <c r="CX308" s="14">
        <f t="shared" si="187"/>
        <v>8</v>
      </c>
      <c r="CY308" s="14" t="str">
        <f t="shared" si="188"/>
        <v/>
      </c>
      <c r="CZ308" s="14">
        <f t="shared" si="189"/>
        <v>60</v>
      </c>
      <c r="DA308" s="14">
        <f t="shared" si="190"/>
        <v>200</v>
      </c>
      <c r="DB308" s="14">
        <f t="shared" si="191"/>
        <v>0</v>
      </c>
      <c r="DC308" s="14">
        <f t="shared" si="192"/>
        <v>750</v>
      </c>
      <c r="DD308" s="14">
        <f t="shared" si="193"/>
        <v>7</v>
      </c>
      <c r="DE308" s="14">
        <f t="shared" si="194"/>
        <v>0</v>
      </c>
      <c r="DF308" s="14">
        <f t="shared" si="195"/>
        <v>25</v>
      </c>
      <c r="DG308" s="14">
        <f t="shared" si="196"/>
        <v>16</v>
      </c>
      <c r="DH308" s="14">
        <f t="shared" si="197"/>
        <v>4</v>
      </c>
      <c r="DI308" s="14">
        <f t="shared" si="198"/>
        <v>14</v>
      </c>
      <c r="DL308" s="14">
        <f t="shared" si="180"/>
        <v>1</v>
      </c>
      <c r="DM308" s="14">
        <f t="shared" si="181"/>
        <v>3</v>
      </c>
      <c r="DN308" s="14" t="str">
        <f t="shared" si="199"/>
        <v>AtkExt</v>
      </c>
      <c r="DO308" s="14">
        <f t="shared" si="200"/>
        <v>200</v>
      </c>
      <c r="DP308" s="14">
        <f t="shared" si="201"/>
        <v>7</v>
      </c>
      <c r="DQ308" s="14" t="str">
        <f t="shared" si="202"/>
        <v>HPExt</v>
      </c>
      <c r="DR308" s="14">
        <f t="shared" si="203"/>
        <v>750</v>
      </c>
      <c r="DS308" s="14">
        <f t="shared" si="204"/>
        <v>25</v>
      </c>
      <c r="DT308" s="14">
        <f t="shared" si="205"/>
        <v>16</v>
      </c>
      <c r="DU308" s="14">
        <f t="shared" si="206"/>
        <v>4</v>
      </c>
      <c r="DV308" s="14">
        <f t="shared" si="207"/>
        <v>14</v>
      </c>
      <c r="DW308" s="29" t="s">
        <v>758</v>
      </c>
      <c r="DX308" s="14">
        <f t="shared" si="208"/>
        <v>300</v>
      </c>
    </row>
    <row r="309" spans="91:128" ht="16.5" x14ac:dyDescent="0.2">
      <c r="CM309" s="13">
        <v>305</v>
      </c>
      <c r="CN309" s="14">
        <f t="shared" si="182"/>
        <v>42</v>
      </c>
      <c r="CO309" s="14">
        <f t="shared" si="183"/>
        <v>2</v>
      </c>
      <c r="CP309" s="14">
        <f t="shared" si="184"/>
        <v>1</v>
      </c>
      <c r="CQ309" s="14">
        <f t="shared" si="175"/>
        <v>4</v>
      </c>
      <c r="CR309" s="14">
        <f t="shared" si="176"/>
        <v>2044021</v>
      </c>
      <c r="CS309" s="13" t="str">
        <f t="shared" si="177"/>
        <v>120级守护灵橙色-武器</v>
      </c>
      <c r="CT309" s="14">
        <f t="shared" si="178"/>
        <v>2</v>
      </c>
      <c r="CU309" s="14">
        <f t="shared" si="179"/>
        <v>4</v>
      </c>
      <c r="CV309" s="14">
        <f t="shared" si="185"/>
        <v>120</v>
      </c>
      <c r="CW309" s="14">
        <f t="shared" si="186"/>
        <v>120</v>
      </c>
      <c r="CX309" s="14">
        <f t="shared" si="187"/>
        <v>1</v>
      </c>
      <c r="CY309" s="14" t="str">
        <f t="shared" si="188"/>
        <v/>
      </c>
      <c r="CZ309" s="14">
        <f t="shared" si="189"/>
        <v>105</v>
      </c>
      <c r="DA309" s="14">
        <f t="shared" si="190"/>
        <v>600</v>
      </c>
      <c r="DB309" s="14">
        <f t="shared" si="191"/>
        <v>0</v>
      </c>
      <c r="DC309" s="14">
        <f t="shared" si="192"/>
        <v>0</v>
      </c>
      <c r="DD309" s="14">
        <f t="shared" si="193"/>
        <v>21</v>
      </c>
      <c r="DE309" s="14">
        <f t="shared" si="194"/>
        <v>0</v>
      </c>
      <c r="DF309" s="14">
        <f t="shared" si="195"/>
        <v>0</v>
      </c>
      <c r="DG309" s="14">
        <f t="shared" si="196"/>
        <v>16</v>
      </c>
      <c r="DH309" s="14">
        <f t="shared" si="197"/>
        <v>4</v>
      </c>
      <c r="DI309" s="14">
        <f t="shared" si="198"/>
        <v>24</v>
      </c>
      <c r="DL309" s="14">
        <f t="shared" si="180"/>
        <v>1</v>
      </c>
      <c r="DM309" s="14">
        <f t="shared" si="181"/>
        <v>0</v>
      </c>
      <c r="DN309" s="14" t="str">
        <f t="shared" si="199"/>
        <v>AtkExt</v>
      </c>
      <c r="DO309" s="14">
        <f t="shared" si="200"/>
        <v>600</v>
      </c>
      <c r="DP309" s="14">
        <f t="shared" si="201"/>
        <v>21</v>
      </c>
      <c r="DQ309" s="14" t="str">
        <f t="shared" si="202"/>
        <v/>
      </c>
      <c r="DR309" s="14" t="str">
        <f t="shared" si="203"/>
        <v/>
      </c>
      <c r="DS309" s="14" t="str">
        <f t="shared" si="204"/>
        <v/>
      </c>
      <c r="DT309" s="14">
        <f t="shared" si="205"/>
        <v>16</v>
      </c>
      <c r="DU309" s="14">
        <f t="shared" si="206"/>
        <v>4</v>
      </c>
      <c r="DV309" s="14">
        <f t="shared" si="207"/>
        <v>24</v>
      </c>
      <c r="DW309" s="29" t="s">
        <v>758</v>
      </c>
      <c r="DX309" s="14">
        <f t="shared" si="208"/>
        <v>300</v>
      </c>
    </row>
    <row r="310" spans="91:128" ht="16.5" x14ac:dyDescent="0.2">
      <c r="CM310" s="13">
        <v>306</v>
      </c>
      <c r="CN310" s="14">
        <f t="shared" si="182"/>
        <v>42</v>
      </c>
      <c r="CO310" s="14">
        <f t="shared" si="183"/>
        <v>2</v>
      </c>
      <c r="CP310" s="14">
        <f t="shared" si="184"/>
        <v>2</v>
      </c>
      <c r="CQ310" s="14">
        <f t="shared" si="175"/>
        <v>4</v>
      </c>
      <c r="CR310" s="14">
        <f t="shared" si="176"/>
        <v>2044022</v>
      </c>
      <c r="CS310" s="13" t="str">
        <f t="shared" si="177"/>
        <v>120级守护灵橙色-头盔</v>
      </c>
      <c r="CT310" s="14">
        <f t="shared" si="178"/>
        <v>2</v>
      </c>
      <c r="CU310" s="14">
        <f t="shared" si="179"/>
        <v>4</v>
      </c>
      <c r="CV310" s="14">
        <f t="shared" si="185"/>
        <v>120</v>
      </c>
      <c r="CW310" s="14">
        <f t="shared" si="186"/>
        <v>120</v>
      </c>
      <c r="CX310" s="14">
        <f t="shared" si="187"/>
        <v>2</v>
      </c>
      <c r="CY310" s="14" t="str">
        <f t="shared" si="188"/>
        <v/>
      </c>
      <c r="CZ310" s="14">
        <f t="shared" si="189"/>
        <v>54</v>
      </c>
      <c r="DA310" s="14">
        <f t="shared" si="190"/>
        <v>0</v>
      </c>
      <c r="DB310" s="14">
        <f t="shared" si="191"/>
        <v>150</v>
      </c>
      <c r="DC310" s="14">
        <f t="shared" si="192"/>
        <v>0</v>
      </c>
      <c r="DD310" s="14">
        <f t="shared" si="193"/>
        <v>0</v>
      </c>
      <c r="DE310" s="14">
        <f t="shared" si="194"/>
        <v>5.4</v>
      </c>
      <c r="DF310" s="14">
        <f t="shared" si="195"/>
        <v>0</v>
      </c>
      <c r="DG310" s="14">
        <f t="shared" si="196"/>
        <v>16</v>
      </c>
      <c r="DH310" s="14">
        <f t="shared" si="197"/>
        <v>4</v>
      </c>
      <c r="DI310" s="14">
        <f t="shared" si="198"/>
        <v>24</v>
      </c>
      <c r="DL310" s="14">
        <f t="shared" si="180"/>
        <v>2</v>
      </c>
      <c r="DM310" s="14">
        <f t="shared" si="181"/>
        <v>0</v>
      </c>
      <c r="DN310" s="14" t="str">
        <f t="shared" si="199"/>
        <v>DefExt</v>
      </c>
      <c r="DO310" s="14">
        <f t="shared" si="200"/>
        <v>150</v>
      </c>
      <c r="DP310" s="14">
        <f t="shared" si="201"/>
        <v>5.4</v>
      </c>
      <c r="DQ310" s="14" t="str">
        <f t="shared" si="202"/>
        <v/>
      </c>
      <c r="DR310" s="14" t="str">
        <f t="shared" si="203"/>
        <v/>
      </c>
      <c r="DS310" s="14" t="str">
        <f t="shared" si="204"/>
        <v/>
      </c>
      <c r="DT310" s="14">
        <f t="shared" si="205"/>
        <v>16</v>
      </c>
      <c r="DU310" s="14">
        <f t="shared" si="206"/>
        <v>4</v>
      </c>
      <c r="DV310" s="14">
        <f t="shared" si="207"/>
        <v>24</v>
      </c>
      <c r="DW310" s="29" t="s">
        <v>758</v>
      </c>
      <c r="DX310" s="14">
        <f t="shared" si="208"/>
        <v>300</v>
      </c>
    </row>
    <row r="311" spans="91:128" ht="16.5" x14ac:dyDescent="0.2">
      <c r="CM311" s="13">
        <v>307</v>
      </c>
      <c r="CN311" s="14">
        <f t="shared" si="182"/>
        <v>42</v>
      </c>
      <c r="CO311" s="14">
        <f t="shared" si="183"/>
        <v>2</v>
      </c>
      <c r="CP311" s="14">
        <f t="shared" si="184"/>
        <v>3</v>
      </c>
      <c r="CQ311" s="14">
        <f t="shared" si="175"/>
        <v>4</v>
      </c>
      <c r="CR311" s="14">
        <f t="shared" si="176"/>
        <v>2044023</v>
      </c>
      <c r="CS311" s="13" t="str">
        <f t="shared" si="177"/>
        <v>120级守护灵橙色-肩甲</v>
      </c>
      <c r="CT311" s="14">
        <f t="shared" si="178"/>
        <v>2</v>
      </c>
      <c r="CU311" s="14">
        <f t="shared" si="179"/>
        <v>4</v>
      </c>
      <c r="CV311" s="14">
        <f t="shared" si="185"/>
        <v>120</v>
      </c>
      <c r="CW311" s="14">
        <f t="shared" si="186"/>
        <v>120</v>
      </c>
      <c r="CX311" s="14">
        <f t="shared" si="187"/>
        <v>3</v>
      </c>
      <c r="CY311" s="14" t="str">
        <f t="shared" si="188"/>
        <v/>
      </c>
      <c r="CZ311" s="14">
        <f t="shared" si="189"/>
        <v>57</v>
      </c>
      <c r="DA311" s="14">
        <f t="shared" si="190"/>
        <v>0</v>
      </c>
      <c r="DB311" s="14">
        <f t="shared" si="191"/>
        <v>75</v>
      </c>
      <c r="DC311" s="14">
        <f t="shared" si="192"/>
        <v>750</v>
      </c>
      <c r="DD311" s="14">
        <f t="shared" si="193"/>
        <v>0</v>
      </c>
      <c r="DE311" s="14">
        <f t="shared" si="194"/>
        <v>2.7</v>
      </c>
      <c r="DF311" s="14">
        <f t="shared" si="195"/>
        <v>30</v>
      </c>
      <c r="DG311" s="14">
        <f t="shared" si="196"/>
        <v>16</v>
      </c>
      <c r="DH311" s="14">
        <f t="shared" si="197"/>
        <v>4</v>
      </c>
      <c r="DI311" s="14">
        <f t="shared" si="198"/>
        <v>24</v>
      </c>
      <c r="DL311" s="14">
        <f t="shared" si="180"/>
        <v>2</v>
      </c>
      <c r="DM311" s="14">
        <f t="shared" si="181"/>
        <v>3</v>
      </c>
      <c r="DN311" s="14" t="str">
        <f t="shared" si="199"/>
        <v>DefExt</v>
      </c>
      <c r="DO311" s="14">
        <f t="shared" si="200"/>
        <v>75</v>
      </c>
      <c r="DP311" s="14">
        <f t="shared" si="201"/>
        <v>2.7</v>
      </c>
      <c r="DQ311" s="14" t="str">
        <f t="shared" si="202"/>
        <v>HPExt</v>
      </c>
      <c r="DR311" s="14">
        <f t="shared" si="203"/>
        <v>750</v>
      </c>
      <c r="DS311" s="14">
        <f t="shared" si="204"/>
        <v>30</v>
      </c>
      <c r="DT311" s="14">
        <f t="shared" si="205"/>
        <v>16</v>
      </c>
      <c r="DU311" s="14">
        <f t="shared" si="206"/>
        <v>4</v>
      </c>
      <c r="DV311" s="14">
        <f t="shared" si="207"/>
        <v>24</v>
      </c>
      <c r="DW311" s="29" t="s">
        <v>758</v>
      </c>
      <c r="DX311" s="14">
        <f t="shared" si="208"/>
        <v>300</v>
      </c>
    </row>
    <row r="312" spans="91:128" ht="16.5" x14ac:dyDescent="0.2">
      <c r="CM312" s="13">
        <v>308</v>
      </c>
      <c r="CN312" s="14">
        <f t="shared" si="182"/>
        <v>42</v>
      </c>
      <c r="CO312" s="14">
        <f t="shared" si="183"/>
        <v>2</v>
      </c>
      <c r="CP312" s="14">
        <f t="shared" si="184"/>
        <v>4</v>
      </c>
      <c r="CQ312" s="14">
        <f t="shared" si="175"/>
        <v>4</v>
      </c>
      <c r="CR312" s="14">
        <f t="shared" si="176"/>
        <v>2044024</v>
      </c>
      <c r="CS312" s="13" t="str">
        <f t="shared" si="177"/>
        <v>120级守护灵橙色-衣服</v>
      </c>
      <c r="CT312" s="14">
        <f t="shared" si="178"/>
        <v>2</v>
      </c>
      <c r="CU312" s="14">
        <f t="shared" si="179"/>
        <v>4</v>
      </c>
      <c r="CV312" s="14">
        <f t="shared" si="185"/>
        <v>120</v>
      </c>
      <c r="CW312" s="14">
        <f t="shared" si="186"/>
        <v>120</v>
      </c>
      <c r="CX312" s="14">
        <f t="shared" si="187"/>
        <v>4</v>
      </c>
      <c r="CY312" s="14" t="str">
        <f t="shared" si="188"/>
        <v/>
      </c>
      <c r="CZ312" s="14">
        <f t="shared" si="189"/>
        <v>54</v>
      </c>
      <c r="DA312" s="14">
        <f t="shared" si="190"/>
        <v>0</v>
      </c>
      <c r="DB312" s="14">
        <f t="shared" si="191"/>
        <v>150</v>
      </c>
      <c r="DC312" s="14">
        <f t="shared" si="192"/>
        <v>0</v>
      </c>
      <c r="DD312" s="14">
        <f t="shared" si="193"/>
        <v>0</v>
      </c>
      <c r="DE312" s="14">
        <f t="shared" si="194"/>
        <v>5.4</v>
      </c>
      <c r="DF312" s="14">
        <f t="shared" si="195"/>
        <v>0</v>
      </c>
      <c r="DG312" s="14">
        <f t="shared" si="196"/>
        <v>16</v>
      </c>
      <c r="DH312" s="14">
        <f t="shared" si="197"/>
        <v>4</v>
      </c>
      <c r="DI312" s="14">
        <f t="shared" si="198"/>
        <v>24</v>
      </c>
      <c r="DL312" s="14">
        <f t="shared" si="180"/>
        <v>2</v>
      </c>
      <c r="DM312" s="14">
        <f t="shared" si="181"/>
        <v>0</v>
      </c>
      <c r="DN312" s="14" t="str">
        <f t="shared" si="199"/>
        <v>DefExt</v>
      </c>
      <c r="DO312" s="14">
        <f t="shared" si="200"/>
        <v>150</v>
      </c>
      <c r="DP312" s="14">
        <f t="shared" si="201"/>
        <v>5.4</v>
      </c>
      <c r="DQ312" s="14" t="str">
        <f t="shared" si="202"/>
        <v/>
      </c>
      <c r="DR312" s="14" t="str">
        <f t="shared" si="203"/>
        <v/>
      </c>
      <c r="DS312" s="14" t="str">
        <f t="shared" si="204"/>
        <v/>
      </c>
      <c r="DT312" s="14">
        <f t="shared" si="205"/>
        <v>16</v>
      </c>
      <c r="DU312" s="14">
        <f t="shared" si="206"/>
        <v>4</v>
      </c>
      <c r="DV312" s="14">
        <f t="shared" si="207"/>
        <v>24</v>
      </c>
      <c r="DW312" s="29" t="s">
        <v>758</v>
      </c>
      <c r="DX312" s="14">
        <f t="shared" si="208"/>
        <v>300</v>
      </c>
    </row>
    <row r="313" spans="91:128" ht="16.5" x14ac:dyDescent="0.2">
      <c r="CM313" s="13">
        <v>309</v>
      </c>
      <c r="CN313" s="14">
        <f t="shared" si="182"/>
        <v>42</v>
      </c>
      <c r="CO313" s="14">
        <f t="shared" si="183"/>
        <v>2</v>
      </c>
      <c r="CP313" s="14">
        <f t="shared" si="184"/>
        <v>5</v>
      </c>
      <c r="CQ313" s="14">
        <f t="shared" si="175"/>
        <v>4</v>
      </c>
      <c r="CR313" s="14">
        <f t="shared" si="176"/>
        <v>2044025</v>
      </c>
      <c r="CS313" s="13" t="str">
        <f t="shared" si="177"/>
        <v>120级守护灵橙色-鞋子</v>
      </c>
      <c r="CT313" s="14">
        <f t="shared" si="178"/>
        <v>2</v>
      </c>
      <c r="CU313" s="14">
        <f t="shared" si="179"/>
        <v>4</v>
      </c>
      <c r="CV313" s="14">
        <f t="shared" si="185"/>
        <v>120</v>
      </c>
      <c r="CW313" s="14">
        <f t="shared" si="186"/>
        <v>120</v>
      </c>
      <c r="CX313" s="14">
        <f t="shared" si="187"/>
        <v>5</v>
      </c>
      <c r="CY313" s="14" t="str">
        <f t="shared" si="188"/>
        <v/>
      </c>
      <c r="CZ313" s="14">
        <f t="shared" si="189"/>
        <v>60</v>
      </c>
      <c r="DA313" s="14">
        <f t="shared" si="190"/>
        <v>0</v>
      </c>
      <c r="DB313" s="14">
        <f t="shared" si="191"/>
        <v>0</v>
      </c>
      <c r="DC313" s="14">
        <f t="shared" si="192"/>
        <v>1500</v>
      </c>
      <c r="DD313" s="14">
        <f t="shared" si="193"/>
        <v>0</v>
      </c>
      <c r="DE313" s="14">
        <f t="shared" si="194"/>
        <v>0</v>
      </c>
      <c r="DF313" s="14">
        <f t="shared" si="195"/>
        <v>60</v>
      </c>
      <c r="DG313" s="14">
        <f t="shared" si="196"/>
        <v>16</v>
      </c>
      <c r="DH313" s="14">
        <f t="shared" si="197"/>
        <v>4</v>
      </c>
      <c r="DI313" s="14">
        <f t="shared" si="198"/>
        <v>24</v>
      </c>
      <c r="DL313" s="14">
        <f t="shared" si="180"/>
        <v>3</v>
      </c>
      <c r="DM313" s="14">
        <f t="shared" si="181"/>
        <v>0</v>
      </c>
      <c r="DN313" s="14" t="str">
        <f t="shared" si="199"/>
        <v>HPExt</v>
      </c>
      <c r="DO313" s="14">
        <f t="shared" si="200"/>
        <v>1500</v>
      </c>
      <c r="DP313" s="14">
        <f t="shared" si="201"/>
        <v>60</v>
      </c>
      <c r="DQ313" s="14" t="str">
        <f t="shared" si="202"/>
        <v/>
      </c>
      <c r="DR313" s="14" t="str">
        <f t="shared" si="203"/>
        <v/>
      </c>
      <c r="DS313" s="14" t="str">
        <f t="shared" si="204"/>
        <v/>
      </c>
      <c r="DT313" s="14">
        <f t="shared" si="205"/>
        <v>16</v>
      </c>
      <c r="DU313" s="14">
        <f t="shared" si="206"/>
        <v>4</v>
      </c>
      <c r="DV313" s="14">
        <f t="shared" si="207"/>
        <v>24</v>
      </c>
      <c r="DW313" s="29" t="s">
        <v>758</v>
      </c>
      <c r="DX313" s="14">
        <f t="shared" si="208"/>
        <v>300</v>
      </c>
    </row>
    <row r="314" spans="91:128" ht="16.5" x14ac:dyDescent="0.2">
      <c r="CM314" s="13">
        <v>310</v>
      </c>
      <c r="CN314" s="14">
        <f t="shared" si="182"/>
        <v>42</v>
      </c>
      <c r="CO314" s="14">
        <f t="shared" si="183"/>
        <v>2</v>
      </c>
      <c r="CP314" s="14">
        <f t="shared" si="184"/>
        <v>6</v>
      </c>
      <c r="CQ314" s="14">
        <f t="shared" si="175"/>
        <v>4</v>
      </c>
      <c r="CR314" s="14">
        <f t="shared" si="176"/>
        <v>2044026</v>
      </c>
      <c r="CS314" s="13" t="str">
        <f t="shared" si="177"/>
        <v>120级守护灵橙色-护手</v>
      </c>
      <c r="CT314" s="14">
        <f t="shared" si="178"/>
        <v>2</v>
      </c>
      <c r="CU314" s="14">
        <f t="shared" si="179"/>
        <v>4</v>
      </c>
      <c r="CV314" s="14">
        <f t="shared" si="185"/>
        <v>120</v>
      </c>
      <c r="CW314" s="14">
        <f t="shared" si="186"/>
        <v>120</v>
      </c>
      <c r="CX314" s="14">
        <f t="shared" si="187"/>
        <v>6</v>
      </c>
      <c r="CY314" s="14" t="str">
        <f t="shared" si="188"/>
        <v/>
      </c>
      <c r="CZ314" s="14">
        <f t="shared" si="189"/>
        <v>60</v>
      </c>
      <c r="DA314" s="14">
        <f t="shared" si="190"/>
        <v>0</v>
      </c>
      <c r="DB314" s="14">
        <f t="shared" si="191"/>
        <v>0</v>
      </c>
      <c r="DC314" s="14">
        <f t="shared" si="192"/>
        <v>1500</v>
      </c>
      <c r="DD314" s="14">
        <f t="shared" si="193"/>
        <v>0</v>
      </c>
      <c r="DE314" s="14">
        <f t="shared" si="194"/>
        <v>0</v>
      </c>
      <c r="DF314" s="14">
        <f t="shared" si="195"/>
        <v>60</v>
      </c>
      <c r="DG314" s="14">
        <f t="shared" si="196"/>
        <v>16</v>
      </c>
      <c r="DH314" s="14">
        <f t="shared" si="197"/>
        <v>4</v>
      </c>
      <c r="DI314" s="14">
        <f t="shared" si="198"/>
        <v>24</v>
      </c>
      <c r="DL314" s="14">
        <f t="shared" si="180"/>
        <v>3</v>
      </c>
      <c r="DM314" s="14">
        <f t="shared" si="181"/>
        <v>0</v>
      </c>
      <c r="DN314" s="14" t="str">
        <f t="shared" si="199"/>
        <v>HPExt</v>
      </c>
      <c r="DO314" s="14">
        <f t="shared" si="200"/>
        <v>1500</v>
      </c>
      <c r="DP314" s="14">
        <f t="shared" si="201"/>
        <v>60</v>
      </c>
      <c r="DQ314" s="14" t="str">
        <f t="shared" si="202"/>
        <v/>
      </c>
      <c r="DR314" s="14" t="str">
        <f t="shared" si="203"/>
        <v/>
      </c>
      <c r="DS314" s="14" t="str">
        <f t="shared" si="204"/>
        <v/>
      </c>
      <c r="DT314" s="14">
        <f t="shared" si="205"/>
        <v>16</v>
      </c>
      <c r="DU314" s="14">
        <f t="shared" si="206"/>
        <v>4</v>
      </c>
      <c r="DV314" s="14">
        <f t="shared" si="207"/>
        <v>24</v>
      </c>
      <c r="DW314" s="29" t="s">
        <v>758</v>
      </c>
      <c r="DX314" s="14">
        <f t="shared" si="208"/>
        <v>300</v>
      </c>
    </row>
    <row r="315" spans="91:128" ht="16.5" x14ac:dyDescent="0.2">
      <c r="CM315" s="13">
        <v>311</v>
      </c>
      <c r="CN315" s="14">
        <f t="shared" si="182"/>
        <v>42</v>
      </c>
      <c r="CO315" s="14">
        <f t="shared" si="183"/>
        <v>2</v>
      </c>
      <c r="CP315" s="14">
        <f t="shared" si="184"/>
        <v>7</v>
      </c>
      <c r="CQ315" s="14">
        <f t="shared" si="175"/>
        <v>4</v>
      </c>
      <c r="CR315" s="14">
        <f t="shared" si="176"/>
        <v>2044027</v>
      </c>
      <c r="CS315" s="13" t="str">
        <f t="shared" si="177"/>
        <v>120级守护灵橙色-项链</v>
      </c>
      <c r="CT315" s="14">
        <f t="shared" si="178"/>
        <v>2</v>
      </c>
      <c r="CU315" s="14">
        <f t="shared" si="179"/>
        <v>4</v>
      </c>
      <c r="CV315" s="14">
        <f t="shared" si="185"/>
        <v>120</v>
      </c>
      <c r="CW315" s="14">
        <f t="shared" si="186"/>
        <v>120</v>
      </c>
      <c r="CX315" s="14">
        <f t="shared" si="187"/>
        <v>7</v>
      </c>
      <c r="CY315" s="14" t="str">
        <f t="shared" si="188"/>
        <v/>
      </c>
      <c r="CZ315" s="14">
        <f t="shared" si="189"/>
        <v>80</v>
      </c>
      <c r="DA315" s="14">
        <f t="shared" si="190"/>
        <v>200</v>
      </c>
      <c r="DB315" s="14">
        <f t="shared" si="191"/>
        <v>125</v>
      </c>
      <c r="DC315" s="14">
        <f t="shared" si="192"/>
        <v>0</v>
      </c>
      <c r="DD315" s="14">
        <f t="shared" si="193"/>
        <v>7</v>
      </c>
      <c r="DE315" s="14">
        <f t="shared" si="194"/>
        <v>4.5</v>
      </c>
      <c r="DF315" s="14">
        <f t="shared" si="195"/>
        <v>0</v>
      </c>
      <c r="DG315" s="14">
        <f t="shared" si="196"/>
        <v>16</v>
      </c>
      <c r="DH315" s="14">
        <f t="shared" si="197"/>
        <v>4</v>
      </c>
      <c r="DI315" s="14">
        <f t="shared" si="198"/>
        <v>24</v>
      </c>
      <c r="DL315" s="14">
        <f t="shared" si="180"/>
        <v>1</v>
      </c>
      <c r="DM315" s="14">
        <f t="shared" si="181"/>
        <v>2</v>
      </c>
      <c r="DN315" s="14" t="str">
        <f t="shared" si="199"/>
        <v>AtkExt</v>
      </c>
      <c r="DO315" s="14">
        <f t="shared" si="200"/>
        <v>200</v>
      </c>
      <c r="DP315" s="14">
        <f t="shared" si="201"/>
        <v>7</v>
      </c>
      <c r="DQ315" s="14" t="str">
        <f t="shared" si="202"/>
        <v>DefExt</v>
      </c>
      <c r="DR315" s="14">
        <f t="shared" si="203"/>
        <v>125</v>
      </c>
      <c r="DS315" s="14">
        <f t="shared" si="204"/>
        <v>4.5</v>
      </c>
      <c r="DT315" s="14">
        <f t="shared" si="205"/>
        <v>16</v>
      </c>
      <c r="DU315" s="14">
        <f t="shared" si="206"/>
        <v>4</v>
      </c>
      <c r="DV315" s="14">
        <f t="shared" si="207"/>
        <v>24</v>
      </c>
      <c r="DW315" s="29" t="s">
        <v>758</v>
      </c>
      <c r="DX315" s="14">
        <f t="shared" si="208"/>
        <v>300</v>
      </c>
    </row>
    <row r="316" spans="91:128" ht="16.5" x14ac:dyDescent="0.2">
      <c r="CM316" s="13">
        <v>312</v>
      </c>
      <c r="CN316" s="14">
        <f t="shared" si="182"/>
        <v>42</v>
      </c>
      <c r="CO316" s="14">
        <f t="shared" si="183"/>
        <v>2</v>
      </c>
      <c r="CP316" s="14">
        <f t="shared" si="184"/>
        <v>8</v>
      </c>
      <c r="CQ316" s="14">
        <f t="shared" si="175"/>
        <v>4</v>
      </c>
      <c r="CR316" s="14">
        <f t="shared" si="176"/>
        <v>2044028</v>
      </c>
      <c r="CS316" s="13" t="str">
        <f t="shared" si="177"/>
        <v>120级守护灵橙色-戒指</v>
      </c>
      <c r="CT316" s="14">
        <f t="shared" si="178"/>
        <v>2</v>
      </c>
      <c r="CU316" s="14">
        <f t="shared" si="179"/>
        <v>4</v>
      </c>
      <c r="CV316" s="14">
        <f t="shared" si="185"/>
        <v>120</v>
      </c>
      <c r="CW316" s="14">
        <f t="shared" si="186"/>
        <v>120</v>
      </c>
      <c r="CX316" s="14">
        <f t="shared" si="187"/>
        <v>8</v>
      </c>
      <c r="CY316" s="14" t="str">
        <f t="shared" si="188"/>
        <v/>
      </c>
      <c r="CZ316" s="14">
        <f t="shared" si="189"/>
        <v>85</v>
      </c>
      <c r="DA316" s="14">
        <f t="shared" si="190"/>
        <v>200</v>
      </c>
      <c r="DB316" s="14">
        <f t="shared" si="191"/>
        <v>0</v>
      </c>
      <c r="DC316" s="14">
        <f t="shared" si="192"/>
        <v>1250</v>
      </c>
      <c r="DD316" s="14">
        <f t="shared" si="193"/>
        <v>7</v>
      </c>
      <c r="DE316" s="14">
        <f t="shared" si="194"/>
        <v>0</v>
      </c>
      <c r="DF316" s="14">
        <f t="shared" si="195"/>
        <v>50</v>
      </c>
      <c r="DG316" s="14">
        <f t="shared" si="196"/>
        <v>16</v>
      </c>
      <c r="DH316" s="14">
        <f t="shared" si="197"/>
        <v>4</v>
      </c>
      <c r="DI316" s="14">
        <f t="shared" si="198"/>
        <v>24</v>
      </c>
      <c r="DL316" s="14">
        <f t="shared" si="180"/>
        <v>1</v>
      </c>
      <c r="DM316" s="14">
        <f t="shared" si="181"/>
        <v>3</v>
      </c>
      <c r="DN316" s="14" t="str">
        <f t="shared" si="199"/>
        <v>AtkExt</v>
      </c>
      <c r="DO316" s="14">
        <f t="shared" si="200"/>
        <v>200</v>
      </c>
      <c r="DP316" s="14">
        <f t="shared" si="201"/>
        <v>7</v>
      </c>
      <c r="DQ316" s="14" t="str">
        <f t="shared" si="202"/>
        <v>HPExt</v>
      </c>
      <c r="DR316" s="14">
        <f t="shared" si="203"/>
        <v>1250</v>
      </c>
      <c r="DS316" s="14">
        <f t="shared" si="204"/>
        <v>50</v>
      </c>
      <c r="DT316" s="14">
        <f t="shared" si="205"/>
        <v>16</v>
      </c>
      <c r="DU316" s="14">
        <f t="shared" si="206"/>
        <v>4</v>
      </c>
      <c r="DV316" s="14">
        <f t="shared" si="207"/>
        <v>24</v>
      </c>
      <c r="DW316" s="29" t="s">
        <v>758</v>
      </c>
      <c r="DX316" s="14">
        <f t="shared" si="208"/>
        <v>300</v>
      </c>
    </row>
    <row r="317" spans="91:128" ht="16.5" x14ac:dyDescent="0.2">
      <c r="CM317" s="13">
        <v>313</v>
      </c>
      <c r="CN317" s="14">
        <f t="shared" si="182"/>
        <v>43</v>
      </c>
      <c r="CO317" s="14">
        <f t="shared" si="183"/>
        <v>3</v>
      </c>
      <c r="CP317" s="14">
        <f t="shared" si="184"/>
        <v>1</v>
      </c>
      <c r="CQ317" s="14">
        <f t="shared" si="175"/>
        <v>4</v>
      </c>
      <c r="CR317" s="14">
        <f t="shared" si="176"/>
        <v>2044031</v>
      </c>
      <c r="CS317" s="13" t="str">
        <f t="shared" si="177"/>
        <v>120级寄灵人橙色套1-武器</v>
      </c>
      <c r="CT317" s="14">
        <f t="shared" si="178"/>
        <v>1</v>
      </c>
      <c r="CU317" s="14">
        <f t="shared" si="179"/>
        <v>4</v>
      </c>
      <c r="CV317" s="14">
        <f t="shared" si="185"/>
        <v>120</v>
      </c>
      <c r="CW317" s="14">
        <f t="shared" si="186"/>
        <v>120</v>
      </c>
      <c r="CX317" s="14">
        <f t="shared" si="187"/>
        <v>1</v>
      </c>
      <c r="CY317" s="14">
        <f t="shared" si="188"/>
        <v>1041</v>
      </c>
      <c r="CZ317" s="14">
        <f t="shared" si="189"/>
        <v>105</v>
      </c>
      <c r="DA317" s="14">
        <f t="shared" si="190"/>
        <v>600</v>
      </c>
      <c r="DB317" s="14">
        <f t="shared" si="191"/>
        <v>0</v>
      </c>
      <c r="DC317" s="14">
        <f t="shared" si="192"/>
        <v>0</v>
      </c>
      <c r="DD317" s="14">
        <f t="shared" si="193"/>
        <v>21</v>
      </c>
      <c r="DE317" s="14">
        <f t="shared" si="194"/>
        <v>0</v>
      </c>
      <c r="DF317" s="14">
        <f t="shared" si="195"/>
        <v>0</v>
      </c>
      <c r="DG317" s="14">
        <f t="shared" si="196"/>
        <v>16</v>
      </c>
      <c r="DH317" s="14">
        <f t="shared" si="197"/>
        <v>4</v>
      </c>
      <c r="DI317" s="14">
        <f t="shared" si="198"/>
        <v>14</v>
      </c>
      <c r="DL317" s="14">
        <f t="shared" si="180"/>
        <v>1</v>
      </c>
      <c r="DM317" s="14">
        <f t="shared" si="181"/>
        <v>0</v>
      </c>
      <c r="DN317" s="14" t="str">
        <f t="shared" si="199"/>
        <v>AtkExt</v>
      </c>
      <c r="DO317" s="14">
        <f t="shared" si="200"/>
        <v>600</v>
      </c>
      <c r="DP317" s="14">
        <f t="shared" si="201"/>
        <v>21</v>
      </c>
      <c r="DQ317" s="14" t="str">
        <f t="shared" si="202"/>
        <v/>
      </c>
      <c r="DR317" s="14" t="str">
        <f t="shared" si="203"/>
        <v/>
      </c>
      <c r="DS317" s="14" t="str">
        <f t="shared" si="204"/>
        <v/>
      </c>
      <c r="DT317" s="14">
        <f t="shared" si="205"/>
        <v>16</v>
      </c>
      <c r="DU317" s="14">
        <f t="shared" si="206"/>
        <v>4</v>
      </c>
      <c r="DV317" s="14">
        <f t="shared" si="207"/>
        <v>14</v>
      </c>
      <c r="DW317" s="29" t="s">
        <v>758</v>
      </c>
      <c r="DX317" s="14">
        <f t="shared" si="208"/>
        <v>300</v>
      </c>
    </row>
    <row r="318" spans="91:128" ht="16.5" x14ac:dyDescent="0.2">
      <c r="CM318" s="13">
        <v>314</v>
      </c>
      <c r="CN318" s="14">
        <f t="shared" si="182"/>
        <v>43</v>
      </c>
      <c r="CO318" s="14">
        <f t="shared" si="183"/>
        <v>3</v>
      </c>
      <c r="CP318" s="14">
        <f t="shared" si="184"/>
        <v>2</v>
      </c>
      <c r="CQ318" s="14">
        <f t="shared" si="175"/>
        <v>4</v>
      </c>
      <c r="CR318" s="14">
        <f t="shared" si="176"/>
        <v>2044032</v>
      </c>
      <c r="CS318" s="13" t="str">
        <f t="shared" si="177"/>
        <v>120级寄灵人橙色套1-头盔</v>
      </c>
      <c r="CT318" s="14">
        <f t="shared" si="178"/>
        <v>1</v>
      </c>
      <c r="CU318" s="14">
        <f t="shared" si="179"/>
        <v>4</v>
      </c>
      <c r="CV318" s="14">
        <f t="shared" si="185"/>
        <v>120</v>
      </c>
      <c r="CW318" s="14">
        <f t="shared" si="186"/>
        <v>120</v>
      </c>
      <c r="CX318" s="14">
        <f t="shared" si="187"/>
        <v>2</v>
      </c>
      <c r="CY318" s="14">
        <f t="shared" si="188"/>
        <v>1041</v>
      </c>
      <c r="CZ318" s="14">
        <f t="shared" si="189"/>
        <v>52</v>
      </c>
      <c r="DA318" s="14">
        <f t="shared" si="190"/>
        <v>0</v>
      </c>
      <c r="DB318" s="14">
        <f t="shared" si="191"/>
        <v>150</v>
      </c>
      <c r="DC318" s="14">
        <f t="shared" si="192"/>
        <v>0</v>
      </c>
      <c r="DD318" s="14">
        <f t="shared" si="193"/>
        <v>0</v>
      </c>
      <c r="DE318" s="14">
        <f t="shared" si="194"/>
        <v>5.25</v>
      </c>
      <c r="DF318" s="14">
        <f t="shared" si="195"/>
        <v>0</v>
      </c>
      <c r="DG318" s="14">
        <f t="shared" si="196"/>
        <v>16</v>
      </c>
      <c r="DH318" s="14">
        <f t="shared" si="197"/>
        <v>4</v>
      </c>
      <c r="DI318" s="14">
        <f t="shared" si="198"/>
        <v>14</v>
      </c>
      <c r="DL318" s="14">
        <f t="shared" si="180"/>
        <v>2</v>
      </c>
      <c r="DM318" s="14">
        <f t="shared" si="181"/>
        <v>0</v>
      </c>
      <c r="DN318" s="14" t="str">
        <f t="shared" si="199"/>
        <v>DefExt</v>
      </c>
      <c r="DO318" s="14">
        <f t="shared" si="200"/>
        <v>150</v>
      </c>
      <c r="DP318" s="14">
        <f t="shared" si="201"/>
        <v>5.25</v>
      </c>
      <c r="DQ318" s="14" t="str">
        <f t="shared" si="202"/>
        <v/>
      </c>
      <c r="DR318" s="14" t="str">
        <f t="shared" si="203"/>
        <v/>
      </c>
      <c r="DS318" s="14" t="str">
        <f t="shared" si="204"/>
        <v/>
      </c>
      <c r="DT318" s="14">
        <f t="shared" si="205"/>
        <v>16</v>
      </c>
      <c r="DU318" s="14">
        <f t="shared" si="206"/>
        <v>4</v>
      </c>
      <c r="DV318" s="14">
        <f t="shared" si="207"/>
        <v>14</v>
      </c>
      <c r="DW318" s="29" t="s">
        <v>758</v>
      </c>
      <c r="DX318" s="14">
        <f t="shared" si="208"/>
        <v>300</v>
      </c>
    </row>
    <row r="319" spans="91:128" ht="16.5" x14ac:dyDescent="0.2">
      <c r="CM319" s="13">
        <v>315</v>
      </c>
      <c r="CN319" s="14">
        <f t="shared" si="182"/>
        <v>43</v>
      </c>
      <c r="CO319" s="14">
        <f t="shared" si="183"/>
        <v>3</v>
      </c>
      <c r="CP319" s="14">
        <f t="shared" si="184"/>
        <v>3</v>
      </c>
      <c r="CQ319" s="14">
        <f t="shared" si="175"/>
        <v>4</v>
      </c>
      <c r="CR319" s="14">
        <f t="shared" si="176"/>
        <v>2044033</v>
      </c>
      <c r="CS319" s="13" t="str">
        <f t="shared" si="177"/>
        <v>120级寄灵人橙色套1-肩甲</v>
      </c>
      <c r="CT319" s="14">
        <f t="shared" si="178"/>
        <v>1</v>
      </c>
      <c r="CU319" s="14">
        <f t="shared" si="179"/>
        <v>4</v>
      </c>
      <c r="CV319" s="14">
        <f t="shared" si="185"/>
        <v>120</v>
      </c>
      <c r="CW319" s="14">
        <f t="shared" si="186"/>
        <v>120</v>
      </c>
      <c r="CX319" s="14">
        <f t="shared" si="187"/>
        <v>3</v>
      </c>
      <c r="CY319" s="14">
        <f t="shared" si="188"/>
        <v>1041</v>
      </c>
      <c r="CZ319" s="14">
        <f t="shared" si="189"/>
        <v>41</v>
      </c>
      <c r="DA319" s="14">
        <f t="shared" si="190"/>
        <v>0</v>
      </c>
      <c r="DB319" s="14">
        <f t="shared" si="191"/>
        <v>75</v>
      </c>
      <c r="DC319" s="14">
        <f t="shared" si="192"/>
        <v>450</v>
      </c>
      <c r="DD319" s="14">
        <f t="shared" si="193"/>
        <v>0</v>
      </c>
      <c r="DE319" s="14">
        <f t="shared" si="194"/>
        <v>2.63</v>
      </c>
      <c r="DF319" s="14">
        <f t="shared" si="195"/>
        <v>15</v>
      </c>
      <c r="DG319" s="14">
        <f t="shared" si="196"/>
        <v>16</v>
      </c>
      <c r="DH319" s="14">
        <f t="shared" si="197"/>
        <v>4</v>
      </c>
      <c r="DI319" s="14">
        <f t="shared" si="198"/>
        <v>14</v>
      </c>
      <c r="DL319" s="14">
        <f t="shared" si="180"/>
        <v>2</v>
      </c>
      <c r="DM319" s="14">
        <f t="shared" si="181"/>
        <v>3</v>
      </c>
      <c r="DN319" s="14" t="str">
        <f t="shared" si="199"/>
        <v>DefExt</v>
      </c>
      <c r="DO319" s="14">
        <f t="shared" si="200"/>
        <v>75</v>
      </c>
      <c r="DP319" s="14">
        <f t="shared" si="201"/>
        <v>2.63</v>
      </c>
      <c r="DQ319" s="14" t="str">
        <f t="shared" si="202"/>
        <v>HPExt</v>
      </c>
      <c r="DR319" s="14">
        <f t="shared" si="203"/>
        <v>450</v>
      </c>
      <c r="DS319" s="14">
        <f t="shared" si="204"/>
        <v>15</v>
      </c>
      <c r="DT319" s="14">
        <f t="shared" si="205"/>
        <v>16</v>
      </c>
      <c r="DU319" s="14">
        <f t="shared" si="206"/>
        <v>4</v>
      </c>
      <c r="DV319" s="14">
        <f t="shared" si="207"/>
        <v>14</v>
      </c>
      <c r="DW319" s="29" t="s">
        <v>758</v>
      </c>
      <c r="DX319" s="14">
        <f t="shared" si="208"/>
        <v>300</v>
      </c>
    </row>
    <row r="320" spans="91:128" ht="16.5" x14ac:dyDescent="0.2">
      <c r="CM320" s="13">
        <v>316</v>
      </c>
      <c r="CN320" s="14">
        <f t="shared" si="182"/>
        <v>43</v>
      </c>
      <c r="CO320" s="14">
        <f t="shared" si="183"/>
        <v>3</v>
      </c>
      <c r="CP320" s="14">
        <f t="shared" si="184"/>
        <v>4</v>
      </c>
      <c r="CQ320" s="14">
        <f t="shared" si="175"/>
        <v>4</v>
      </c>
      <c r="CR320" s="14">
        <f t="shared" si="176"/>
        <v>2044037</v>
      </c>
      <c r="CS320" s="13" t="str">
        <f t="shared" si="177"/>
        <v>120级寄灵人橙色套1-项链</v>
      </c>
      <c r="CT320" s="14">
        <f t="shared" si="178"/>
        <v>1</v>
      </c>
      <c r="CU320" s="14">
        <f t="shared" si="179"/>
        <v>4</v>
      </c>
      <c r="CV320" s="14">
        <f t="shared" si="185"/>
        <v>120</v>
      </c>
      <c r="CW320" s="14">
        <f t="shared" si="186"/>
        <v>120</v>
      </c>
      <c r="CX320" s="14">
        <f t="shared" si="187"/>
        <v>7</v>
      </c>
      <c r="CY320" s="14">
        <f t="shared" si="188"/>
        <v>1041</v>
      </c>
      <c r="CZ320" s="14">
        <f t="shared" si="189"/>
        <v>78</v>
      </c>
      <c r="DA320" s="14">
        <f t="shared" si="190"/>
        <v>200</v>
      </c>
      <c r="DB320" s="14">
        <f t="shared" si="191"/>
        <v>125</v>
      </c>
      <c r="DC320" s="14">
        <f t="shared" si="192"/>
        <v>0</v>
      </c>
      <c r="DD320" s="14">
        <f t="shared" si="193"/>
        <v>7</v>
      </c>
      <c r="DE320" s="14">
        <f t="shared" si="194"/>
        <v>4.38</v>
      </c>
      <c r="DF320" s="14">
        <f t="shared" si="195"/>
        <v>0</v>
      </c>
      <c r="DG320" s="14">
        <f t="shared" si="196"/>
        <v>16</v>
      </c>
      <c r="DH320" s="14">
        <f t="shared" si="197"/>
        <v>4</v>
      </c>
      <c r="DI320" s="14">
        <f t="shared" si="198"/>
        <v>14</v>
      </c>
      <c r="DL320" s="14">
        <f t="shared" si="180"/>
        <v>1</v>
      </c>
      <c r="DM320" s="14">
        <f t="shared" si="181"/>
        <v>2</v>
      </c>
      <c r="DN320" s="14" t="str">
        <f t="shared" si="199"/>
        <v>AtkExt</v>
      </c>
      <c r="DO320" s="14">
        <f t="shared" si="200"/>
        <v>200</v>
      </c>
      <c r="DP320" s="14">
        <f t="shared" si="201"/>
        <v>7</v>
      </c>
      <c r="DQ320" s="14" t="str">
        <f t="shared" si="202"/>
        <v>DefExt</v>
      </c>
      <c r="DR320" s="14">
        <f t="shared" si="203"/>
        <v>125</v>
      </c>
      <c r="DS320" s="14">
        <f t="shared" si="204"/>
        <v>4.38</v>
      </c>
      <c r="DT320" s="14">
        <f t="shared" si="205"/>
        <v>16</v>
      </c>
      <c r="DU320" s="14">
        <f t="shared" si="206"/>
        <v>4</v>
      </c>
      <c r="DV320" s="14">
        <f t="shared" si="207"/>
        <v>14</v>
      </c>
      <c r="DW320" s="29" t="s">
        <v>758</v>
      </c>
      <c r="DX320" s="14">
        <f t="shared" si="208"/>
        <v>300</v>
      </c>
    </row>
    <row r="321" spans="91:128" ht="16.5" x14ac:dyDescent="0.2">
      <c r="CM321" s="13">
        <v>317</v>
      </c>
      <c r="CN321" s="14">
        <f t="shared" si="182"/>
        <v>43</v>
      </c>
      <c r="CO321" s="14">
        <f t="shared" si="183"/>
        <v>3</v>
      </c>
      <c r="CP321" s="14">
        <f t="shared" si="184"/>
        <v>5</v>
      </c>
      <c r="CQ321" s="14">
        <f t="shared" si="175"/>
        <v>4</v>
      </c>
      <c r="CR321" s="14">
        <f t="shared" si="176"/>
        <v>2044038</v>
      </c>
      <c r="CS321" s="13" t="str">
        <f t="shared" si="177"/>
        <v>120级寄灵人橙色套1-戒指</v>
      </c>
      <c r="CT321" s="14">
        <f t="shared" si="178"/>
        <v>1</v>
      </c>
      <c r="CU321" s="14">
        <f t="shared" si="179"/>
        <v>4</v>
      </c>
      <c r="CV321" s="14">
        <f t="shared" si="185"/>
        <v>120</v>
      </c>
      <c r="CW321" s="14">
        <f t="shared" si="186"/>
        <v>120</v>
      </c>
      <c r="CX321" s="14">
        <f t="shared" si="187"/>
        <v>8</v>
      </c>
      <c r="CY321" s="14">
        <f t="shared" si="188"/>
        <v>1041</v>
      </c>
      <c r="CZ321" s="14">
        <f t="shared" si="189"/>
        <v>60</v>
      </c>
      <c r="DA321" s="14">
        <f t="shared" si="190"/>
        <v>200</v>
      </c>
      <c r="DB321" s="14">
        <f t="shared" si="191"/>
        <v>0</v>
      </c>
      <c r="DC321" s="14">
        <f t="shared" si="192"/>
        <v>750</v>
      </c>
      <c r="DD321" s="14">
        <f t="shared" si="193"/>
        <v>7</v>
      </c>
      <c r="DE321" s="14">
        <f t="shared" si="194"/>
        <v>0</v>
      </c>
      <c r="DF321" s="14">
        <f t="shared" si="195"/>
        <v>25</v>
      </c>
      <c r="DG321" s="14">
        <f t="shared" si="196"/>
        <v>16</v>
      </c>
      <c r="DH321" s="14">
        <f t="shared" si="197"/>
        <v>4</v>
      </c>
      <c r="DI321" s="14">
        <f t="shared" si="198"/>
        <v>14</v>
      </c>
      <c r="DL321" s="14">
        <f t="shared" si="180"/>
        <v>1</v>
      </c>
      <c r="DM321" s="14">
        <f t="shared" si="181"/>
        <v>3</v>
      </c>
      <c r="DN321" s="14" t="str">
        <f t="shared" si="199"/>
        <v>AtkExt</v>
      </c>
      <c r="DO321" s="14">
        <f t="shared" si="200"/>
        <v>200</v>
      </c>
      <c r="DP321" s="14">
        <f t="shared" si="201"/>
        <v>7</v>
      </c>
      <c r="DQ321" s="14" t="str">
        <f t="shared" si="202"/>
        <v>HPExt</v>
      </c>
      <c r="DR321" s="14">
        <f t="shared" si="203"/>
        <v>750</v>
      </c>
      <c r="DS321" s="14">
        <f t="shared" si="204"/>
        <v>25</v>
      </c>
      <c r="DT321" s="14">
        <f t="shared" si="205"/>
        <v>16</v>
      </c>
      <c r="DU321" s="14">
        <f t="shared" si="206"/>
        <v>4</v>
      </c>
      <c r="DV321" s="14">
        <f t="shared" si="207"/>
        <v>14</v>
      </c>
      <c r="DW321" s="29" t="s">
        <v>758</v>
      </c>
      <c r="DX321" s="14">
        <f t="shared" si="208"/>
        <v>300</v>
      </c>
    </row>
    <row r="322" spans="91:128" ht="16.5" x14ac:dyDescent="0.2">
      <c r="CM322" s="13">
        <v>318</v>
      </c>
      <c r="CN322" s="14">
        <f t="shared" si="182"/>
        <v>44</v>
      </c>
      <c r="CO322" s="14">
        <f t="shared" si="183"/>
        <v>4</v>
      </c>
      <c r="CP322" s="14">
        <f t="shared" si="184"/>
        <v>1</v>
      </c>
      <c r="CQ322" s="14">
        <f t="shared" si="175"/>
        <v>4</v>
      </c>
      <c r="CR322" s="14">
        <f t="shared" si="176"/>
        <v>2044041</v>
      </c>
      <c r="CS322" s="13" t="str">
        <f t="shared" si="177"/>
        <v>120级守护灵橙色套1-武器</v>
      </c>
      <c r="CT322" s="14">
        <f t="shared" si="178"/>
        <v>2</v>
      </c>
      <c r="CU322" s="14">
        <f t="shared" si="179"/>
        <v>4</v>
      </c>
      <c r="CV322" s="14">
        <f t="shared" si="185"/>
        <v>120</v>
      </c>
      <c r="CW322" s="14">
        <f t="shared" si="186"/>
        <v>120</v>
      </c>
      <c r="CX322" s="14">
        <f t="shared" si="187"/>
        <v>1</v>
      </c>
      <c r="CY322" s="14">
        <f t="shared" si="188"/>
        <v>2041</v>
      </c>
      <c r="CZ322" s="14">
        <f t="shared" si="189"/>
        <v>105</v>
      </c>
      <c r="DA322" s="14">
        <f t="shared" si="190"/>
        <v>600</v>
      </c>
      <c r="DB322" s="14">
        <f t="shared" si="191"/>
        <v>0</v>
      </c>
      <c r="DC322" s="14">
        <f t="shared" si="192"/>
        <v>0</v>
      </c>
      <c r="DD322" s="14">
        <f t="shared" si="193"/>
        <v>21</v>
      </c>
      <c r="DE322" s="14">
        <f t="shared" si="194"/>
        <v>0</v>
      </c>
      <c r="DF322" s="14">
        <f t="shared" si="195"/>
        <v>0</v>
      </c>
      <c r="DG322" s="14">
        <f t="shared" si="196"/>
        <v>16</v>
      </c>
      <c r="DH322" s="14">
        <f t="shared" si="197"/>
        <v>4</v>
      </c>
      <c r="DI322" s="14">
        <f t="shared" si="198"/>
        <v>24</v>
      </c>
      <c r="DL322" s="14">
        <f t="shared" si="180"/>
        <v>1</v>
      </c>
      <c r="DM322" s="14">
        <f t="shared" si="181"/>
        <v>0</v>
      </c>
      <c r="DN322" s="14" t="str">
        <f t="shared" si="199"/>
        <v>AtkExt</v>
      </c>
      <c r="DO322" s="14">
        <f t="shared" si="200"/>
        <v>600</v>
      </c>
      <c r="DP322" s="14">
        <f t="shared" si="201"/>
        <v>21</v>
      </c>
      <c r="DQ322" s="14" t="str">
        <f t="shared" si="202"/>
        <v/>
      </c>
      <c r="DR322" s="14" t="str">
        <f t="shared" si="203"/>
        <v/>
      </c>
      <c r="DS322" s="14" t="str">
        <f t="shared" si="204"/>
        <v/>
      </c>
      <c r="DT322" s="14">
        <f t="shared" si="205"/>
        <v>16</v>
      </c>
      <c r="DU322" s="14">
        <f t="shared" si="206"/>
        <v>4</v>
      </c>
      <c r="DV322" s="14">
        <f t="shared" si="207"/>
        <v>24</v>
      </c>
      <c r="DW322" s="29" t="s">
        <v>758</v>
      </c>
      <c r="DX322" s="14">
        <f t="shared" si="208"/>
        <v>300</v>
      </c>
    </row>
    <row r="323" spans="91:128" ht="16.5" x14ac:dyDescent="0.2">
      <c r="CM323" s="13">
        <v>319</v>
      </c>
      <c r="CN323" s="14">
        <f t="shared" si="182"/>
        <v>44</v>
      </c>
      <c r="CO323" s="14">
        <f t="shared" si="183"/>
        <v>4</v>
      </c>
      <c r="CP323" s="14">
        <f t="shared" si="184"/>
        <v>2</v>
      </c>
      <c r="CQ323" s="14">
        <f t="shared" si="175"/>
        <v>4</v>
      </c>
      <c r="CR323" s="14">
        <f t="shared" si="176"/>
        <v>2044042</v>
      </c>
      <c r="CS323" s="13" t="str">
        <f t="shared" si="177"/>
        <v>120级守护灵橙色套1-头盔</v>
      </c>
      <c r="CT323" s="14">
        <f t="shared" si="178"/>
        <v>2</v>
      </c>
      <c r="CU323" s="14">
        <f t="shared" si="179"/>
        <v>4</v>
      </c>
      <c r="CV323" s="14">
        <f t="shared" si="185"/>
        <v>120</v>
      </c>
      <c r="CW323" s="14">
        <f t="shared" si="186"/>
        <v>120</v>
      </c>
      <c r="CX323" s="14">
        <f t="shared" si="187"/>
        <v>2</v>
      </c>
      <c r="CY323" s="14">
        <f t="shared" si="188"/>
        <v>2041</v>
      </c>
      <c r="CZ323" s="14">
        <f t="shared" si="189"/>
        <v>54</v>
      </c>
      <c r="DA323" s="14">
        <f t="shared" si="190"/>
        <v>0</v>
      </c>
      <c r="DB323" s="14">
        <f t="shared" si="191"/>
        <v>150</v>
      </c>
      <c r="DC323" s="14">
        <f t="shared" si="192"/>
        <v>0</v>
      </c>
      <c r="DD323" s="14">
        <f t="shared" si="193"/>
        <v>0</v>
      </c>
      <c r="DE323" s="14">
        <f t="shared" si="194"/>
        <v>5.4</v>
      </c>
      <c r="DF323" s="14">
        <f t="shared" si="195"/>
        <v>0</v>
      </c>
      <c r="DG323" s="14">
        <f t="shared" si="196"/>
        <v>16</v>
      </c>
      <c r="DH323" s="14">
        <f t="shared" si="197"/>
        <v>4</v>
      </c>
      <c r="DI323" s="14">
        <f t="shared" si="198"/>
        <v>24</v>
      </c>
      <c r="DL323" s="14">
        <f t="shared" si="180"/>
        <v>2</v>
      </c>
      <c r="DM323" s="14">
        <f t="shared" si="181"/>
        <v>0</v>
      </c>
      <c r="DN323" s="14" t="str">
        <f t="shared" si="199"/>
        <v>DefExt</v>
      </c>
      <c r="DO323" s="14">
        <f t="shared" si="200"/>
        <v>150</v>
      </c>
      <c r="DP323" s="14">
        <f t="shared" si="201"/>
        <v>5.4</v>
      </c>
      <c r="DQ323" s="14" t="str">
        <f t="shared" si="202"/>
        <v/>
      </c>
      <c r="DR323" s="14" t="str">
        <f t="shared" si="203"/>
        <v/>
      </c>
      <c r="DS323" s="14" t="str">
        <f t="shared" si="204"/>
        <v/>
      </c>
      <c r="DT323" s="14">
        <f t="shared" si="205"/>
        <v>16</v>
      </c>
      <c r="DU323" s="14">
        <f t="shared" si="206"/>
        <v>4</v>
      </c>
      <c r="DV323" s="14">
        <f t="shared" si="207"/>
        <v>24</v>
      </c>
      <c r="DW323" s="29" t="s">
        <v>758</v>
      </c>
      <c r="DX323" s="14">
        <f t="shared" si="208"/>
        <v>300</v>
      </c>
    </row>
    <row r="324" spans="91:128" ht="16.5" x14ac:dyDescent="0.2">
      <c r="CM324" s="13">
        <v>320</v>
      </c>
      <c r="CN324" s="14">
        <f t="shared" si="182"/>
        <v>44</v>
      </c>
      <c r="CO324" s="14">
        <f t="shared" si="183"/>
        <v>4</v>
      </c>
      <c r="CP324" s="14">
        <f t="shared" si="184"/>
        <v>3</v>
      </c>
      <c r="CQ324" s="14">
        <f t="shared" si="175"/>
        <v>4</v>
      </c>
      <c r="CR324" s="14">
        <f t="shared" si="176"/>
        <v>2044043</v>
      </c>
      <c r="CS324" s="13" t="str">
        <f t="shared" si="177"/>
        <v>120级守护灵橙色套1-肩甲</v>
      </c>
      <c r="CT324" s="14">
        <f t="shared" si="178"/>
        <v>2</v>
      </c>
      <c r="CU324" s="14">
        <f t="shared" si="179"/>
        <v>4</v>
      </c>
      <c r="CV324" s="14">
        <f t="shared" si="185"/>
        <v>120</v>
      </c>
      <c r="CW324" s="14">
        <f t="shared" si="186"/>
        <v>120</v>
      </c>
      <c r="CX324" s="14">
        <f t="shared" si="187"/>
        <v>3</v>
      </c>
      <c r="CY324" s="14">
        <f t="shared" si="188"/>
        <v>2041</v>
      </c>
      <c r="CZ324" s="14">
        <f t="shared" si="189"/>
        <v>57</v>
      </c>
      <c r="DA324" s="14">
        <f t="shared" si="190"/>
        <v>0</v>
      </c>
      <c r="DB324" s="14">
        <f t="shared" si="191"/>
        <v>75</v>
      </c>
      <c r="DC324" s="14">
        <f t="shared" si="192"/>
        <v>750</v>
      </c>
      <c r="DD324" s="14">
        <f t="shared" si="193"/>
        <v>0</v>
      </c>
      <c r="DE324" s="14">
        <f t="shared" si="194"/>
        <v>2.7</v>
      </c>
      <c r="DF324" s="14">
        <f t="shared" si="195"/>
        <v>30</v>
      </c>
      <c r="DG324" s="14">
        <f t="shared" si="196"/>
        <v>16</v>
      </c>
      <c r="DH324" s="14">
        <f t="shared" si="197"/>
        <v>4</v>
      </c>
      <c r="DI324" s="14">
        <f t="shared" si="198"/>
        <v>24</v>
      </c>
      <c r="DL324" s="14">
        <f t="shared" si="180"/>
        <v>2</v>
      </c>
      <c r="DM324" s="14">
        <f t="shared" si="181"/>
        <v>3</v>
      </c>
      <c r="DN324" s="14" t="str">
        <f t="shared" si="199"/>
        <v>DefExt</v>
      </c>
      <c r="DO324" s="14">
        <f t="shared" si="200"/>
        <v>75</v>
      </c>
      <c r="DP324" s="14">
        <f t="shared" si="201"/>
        <v>2.7</v>
      </c>
      <c r="DQ324" s="14" t="str">
        <f t="shared" si="202"/>
        <v>HPExt</v>
      </c>
      <c r="DR324" s="14">
        <f t="shared" si="203"/>
        <v>750</v>
      </c>
      <c r="DS324" s="14">
        <f t="shared" si="204"/>
        <v>30</v>
      </c>
      <c r="DT324" s="14">
        <f t="shared" si="205"/>
        <v>16</v>
      </c>
      <c r="DU324" s="14">
        <f t="shared" si="206"/>
        <v>4</v>
      </c>
      <c r="DV324" s="14">
        <f t="shared" si="207"/>
        <v>24</v>
      </c>
      <c r="DW324" s="29" t="s">
        <v>758</v>
      </c>
      <c r="DX324" s="14">
        <f t="shared" si="208"/>
        <v>300</v>
      </c>
    </row>
    <row r="325" spans="91:128" ht="16.5" x14ac:dyDescent="0.2">
      <c r="CM325" s="13">
        <v>321</v>
      </c>
      <c r="CN325" s="14">
        <f t="shared" si="182"/>
        <v>44</v>
      </c>
      <c r="CO325" s="14">
        <f t="shared" si="183"/>
        <v>4</v>
      </c>
      <c r="CP325" s="14">
        <f t="shared" si="184"/>
        <v>4</v>
      </c>
      <c r="CQ325" s="14">
        <f t="shared" ref="CQ325:CQ388" si="209">INDEX($BS$6:$BS$81,CN325)</f>
        <v>4</v>
      </c>
      <c r="CR325" s="14">
        <f t="shared" ref="CR325:CR388" si="210">INDEX($BX$6:$BX$81,CN325)+CX325</f>
        <v>2044047</v>
      </c>
      <c r="CS325" s="13" t="str">
        <f t="shared" ref="CS325:CS388" si="211">INDEX($BY$6:$BY$81,CN325)&amp;"-"&amp;INDEX($CC$3:$CJ$3,CX325)</f>
        <v>120级守护灵橙色套1-项链</v>
      </c>
      <c r="CT325" s="14">
        <f t="shared" ref="CT325:CT388" si="212">INDEX($BV$6:$BV$81,CN325)</f>
        <v>2</v>
      </c>
      <c r="CU325" s="14">
        <f t="shared" ref="CU325:CU388" si="213">INDEX($BU$6:$BU$81,CN325)</f>
        <v>4</v>
      </c>
      <c r="CV325" s="14">
        <f t="shared" si="185"/>
        <v>120</v>
      </c>
      <c r="CW325" s="14">
        <f t="shared" si="186"/>
        <v>120</v>
      </c>
      <c r="CX325" s="14">
        <f t="shared" si="187"/>
        <v>7</v>
      </c>
      <c r="CY325" s="14">
        <f t="shared" si="188"/>
        <v>2041</v>
      </c>
      <c r="CZ325" s="14">
        <f t="shared" si="189"/>
        <v>80</v>
      </c>
      <c r="DA325" s="14">
        <f t="shared" si="190"/>
        <v>200</v>
      </c>
      <c r="DB325" s="14">
        <f t="shared" si="191"/>
        <v>125</v>
      </c>
      <c r="DC325" s="14">
        <f t="shared" si="192"/>
        <v>0</v>
      </c>
      <c r="DD325" s="14">
        <f t="shared" si="193"/>
        <v>7</v>
      </c>
      <c r="DE325" s="14">
        <f t="shared" si="194"/>
        <v>4.5</v>
      </c>
      <c r="DF325" s="14">
        <f t="shared" si="195"/>
        <v>0</v>
      </c>
      <c r="DG325" s="14">
        <f t="shared" si="196"/>
        <v>16</v>
      </c>
      <c r="DH325" s="14">
        <f t="shared" si="197"/>
        <v>4</v>
      </c>
      <c r="DI325" s="14">
        <f t="shared" si="198"/>
        <v>24</v>
      </c>
      <c r="DL325" s="14">
        <f t="shared" ref="DL325:DL388" si="214">INDEX(AF$5:AF$12,$CX325)</f>
        <v>1</v>
      </c>
      <c r="DM325" s="14">
        <f t="shared" ref="DM325:DM388" si="215">INDEX(AG$5:AG$12,$CX325)</f>
        <v>2</v>
      </c>
      <c r="DN325" s="14" t="str">
        <f t="shared" si="199"/>
        <v>AtkExt</v>
      </c>
      <c r="DO325" s="14">
        <f t="shared" si="200"/>
        <v>200</v>
      </c>
      <c r="DP325" s="14">
        <f t="shared" si="201"/>
        <v>7</v>
      </c>
      <c r="DQ325" s="14" t="str">
        <f t="shared" si="202"/>
        <v>DefExt</v>
      </c>
      <c r="DR325" s="14">
        <f t="shared" si="203"/>
        <v>125</v>
      </c>
      <c r="DS325" s="14">
        <f t="shared" si="204"/>
        <v>4.5</v>
      </c>
      <c r="DT325" s="14">
        <f t="shared" si="205"/>
        <v>16</v>
      </c>
      <c r="DU325" s="14">
        <f t="shared" si="206"/>
        <v>4</v>
      </c>
      <c r="DV325" s="14">
        <f t="shared" si="207"/>
        <v>24</v>
      </c>
      <c r="DW325" s="29" t="s">
        <v>758</v>
      </c>
      <c r="DX325" s="14">
        <f t="shared" si="208"/>
        <v>300</v>
      </c>
    </row>
    <row r="326" spans="91:128" ht="16.5" x14ac:dyDescent="0.2">
      <c r="CM326" s="13">
        <v>322</v>
      </c>
      <c r="CN326" s="14">
        <f t="shared" ref="CN326:CN389" si="216">MATCH(CM326-1,$CB$5:$CB$81,1)</f>
        <v>44</v>
      </c>
      <c r="CO326" s="14">
        <f t="shared" ref="CO326:CO389" si="217">INDEX($BW$6:$BW$81,CN326)</f>
        <v>4</v>
      </c>
      <c r="CP326" s="14">
        <f t="shared" ref="CP326:CP389" si="218">CM326-INDEX($CB$5:$CB$81,CN326)</f>
        <v>5</v>
      </c>
      <c r="CQ326" s="14">
        <f t="shared" si="209"/>
        <v>4</v>
      </c>
      <c r="CR326" s="14">
        <f t="shared" si="210"/>
        <v>2044048</v>
      </c>
      <c r="CS326" s="13" t="str">
        <f t="shared" si="211"/>
        <v>120级守护灵橙色套1-戒指</v>
      </c>
      <c r="CT326" s="14">
        <f t="shared" si="212"/>
        <v>2</v>
      </c>
      <c r="CU326" s="14">
        <f t="shared" si="213"/>
        <v>4</v>
      </c>
      <c r="CV326" s="14">
        <f t="shared" ref="CV326:CV389" si="219">INDEX($D$5:$D$16,(CT326-1)*6+CQ326)</f>
        <v>120</v>
      </c>
      <c r="CW326" s="14">
        <f t="shared" ref="CW326:CW389" si="220">INDEX($D$5:$D$16,(CT326-1)*6+CQ326)</f>
        <v>120</v>
      </c>
      <c r="CX326" s="14">
        <f t="shared" ref="CX326:CX389" si="221">INDEX($CC$6:$CJ$81,CN326,CP326)</f>
        <v>8</v>
      </c>
      <c r="CY326" s="14">
        <f t="shared" ref="CY326:CY389" si="222">IF(INDEX($BZ$6:$BZ$81,CN326)&gt;0,INDEX($BZ$6:$BZ$81,CN326),"")</f>
        <v>2041</v>
      </c>
      <c r="CZ326" s="14">
        <f t="shared" ref="CZ326:CZ389" si="223">INT(SUMPRODUCT($DD$3:$DF$3,DD326:DF326))</f>
        <v>85</v>
      </c>
      <c r="DA326" s="14">
        <f t="shared" ref="DA326:DA389" si="224">ROUND(INDEX(O$5:O$16,($CT326-1)*6+$CQ326)*INDEX(AC$5:AC$12,$CX326)*INDEX($AL$5:$AL$8,$CU326),0)</f>
        <v>200</v>
      </c>
      <c r="DB326" s="14">
        <f t="shared" ref="DB326:DB389" si="225">ROUND(INDEX(P$5:P$16,($CT326-1)*6+$CQ326)*INDEX(AD$5:AD$12,$CX326)*INDEX($AL$5:$AL$8,$CU326),0)</f>
        <v>0</v>
      </c>
      <c r="DC326" s="14">
        <f t="shared" ref="DC326:DC389" si="226">ROUND(INDEX(Q$5:Q$16,($CT326-1)*6+$CQ326)*INDEX(AE$5:AE$12,$CX326)*INDEX($AL$5:$AL$8,$CU326),0)</f>
        <v>1250</v>
      </c>
      <c r="DD326" s="14">
        <f t="shared" ref="DD326:DD389" si="227">ROUND(INDEX(H$5:H$16,($CT326-1)*6+$CQ326)*INDEX(AC$5:AC$12,$CX326) * INDEX($AL$5:$AL$8,$CU326),2)</f>
        <v>7</v>
      </c>
      <c r="DE326" s="14">
        <f t="shared" ref="DE326:DE389" si="228">ROUND(INDEX(I$5:I$16,($CT326-1)*6+$CQ326)*INDEX(AD$5:AD$12,$CX326) * INDEX($AL$5:$AL$8,$CU326),2)</f>
        <v>0</v>
      </c>
      <c r="DF326" s="14">
        <f t="shared" ref="DF326:DF389" si="229">ROUND(INDEX(J$5:J$16,($CT326-1)*6+$CQ326)*INDEX(AE$5:AE$12,$CX326) * INDEX($AL$5:$AL$8,$CU326),2)</f>
        <v>50</v>
      </c>
      <c r="DG326" s="14">
        <f t="shared" ref="DG326:DG389" si="230">(CQ326-1)*4+CU326</f>
        <v>16</v>
      </c>
      <c r="DH326" s="14">
        <f t="shared" ref="DH326:DH389" si="231">INDEX($BM$5:$BP$16,CQ326,CU326)</f>
        <v>4</v>
      </c>
      <c r="DI326" s="14">
        <f t="shared" ref="DI326:DI389" si="232">CT326*10+CQ326</f>
        <v>24</v>
      </c>
      <c r="DL326" s="14">
        <f t="shared" si="214"/>
        <v>1</v>
      </c>
      <c r="DM326" s="14">
        <f t="shared" si="215"/>
        <v>3</v>
      </c>
      <c r="DN326" s="14" t="str">
        <f t="shared" ref="DN326:DN389" si="233">INDEX($AA$3:$AC$3,DL326)</f>
        <v>AtkExt</v>
      </c>
      <c r="DO326" s="14">
        <f t="shared" ref="DO326:DO389" si="234">INDEX(DA326:DC326,DL326)</f>
        <v>200</v>
      </c>
      <c r="DP326" s="14">
        <f t="shared" ref="DP326:DP389" si="235">INDEX(DD326:DF326,DL326)</f>
        <v>7</v>
      </c>
      <c r="DQ326" s="14" t="str">
        <f t="shared" ref="DQ326:DQ389" si="236">IF(DM326&gt;0,INDEX($AA$3:$AC$3,DM326),"")</f>
        <v>HPExt</v>
      </c>
      <c r="DR326" s="14">
        <f t="shared" ref="DR326:DR389" si="237">IF(DM326&gt;0,INDEX(DA326:DC326,DM326),"")</f>
        <v>1250</v>
      </c>
      <c r="DS326" s="14">
        <f t="shared" ref="DS326:DS389" si="238">IF(DM326&gt;0,INDEX(DD326:DF326,DM326),"")</f>
        <v>50</v>
      </c>
      <c r="DT326" s="14">
        <f t="shared" ref="DT326:DT389" si="239">(CQ326-1)*4+CU326</f>
        <v>16</v>
      </c>
      <c r="DU326" s="14">
        <f t="shared" ref="DU326:DU389" si="240">INDEX($BM$5:$BP$16,CQ326,CU326)</f>
        <v>4</v>
      </c>
      <c r="DV326" s="14">
        <f t="shared" ref="DV326:DV389" si="241">CT326*10+CQ326</f>
        <v>24</v>
      </c>
      <c r="DW326" s="29" t="s">
        <v>758</v>
      </c>
      <c r="DX326" s="14">
        <f t="shared" ref="DX326:DX389" si="242">INDEX($T$5:$Y$8,CU326,CQ326)</f>
        <v>300</v>
      </c>
    </row>
    <row r="327" spans="91:128" ht="16.5" x14ac:dyDescent="0.2">
      <c r="CM327" s="13">
        <v>323</v>
      </c>
      <c r="CN327" s="14">
        <f t="shared" si="216"/>
        <v>45</v>
      </c>
      <c r="CO327" s="14">
        <f t="shared" si="217"/>
        <v>5</v>
      </c>
      <c r="CP327" s="14">
        <f t="shared" si="218"/>
        <v>1</v>
      </c>
      <c r="CQ327" s="14">
        <f t="shared" si="209"/>
        <v>4</v>
      </c>
      <c r="CR327" s="14">
        <f t="shared" si="210"/>
        <v>2044051</v>
      </c>
      <c r="CS327" s="13" t="str">
        <f t="shared" si="211"/>
        <v>120级寄灵人橙色套2-武器</v>
      </c>
      <c r="CT327" s="14">
        <f t="shared" si="212"/>
        <v>1</v>
      </c>
      <c r="CU327" s="14">
        <f t="shared" si="213"/>
        <v>4</v>
      </c>
      <c r="CV327" s="14">
        <f t="shared" si="219"/>
        <v>120</v>
      </c>
      <c r="CW327" s="14">
        <f t="shared" si="220"/>
        <v>120</v>
      </c>
      <c r="CX327" s="14">
        <f t="shared" si="221"/>
        <v>1</v>
      </c>
      <c r="CY327" s="14">
        <f t="shared" si="222"/>
        <v>1042</v>
      </c>
      <c r="CZ327" s="14">
        <f t="shared" si="223"/>
        <v>105</v>
      </c>
      <c r="DA327" s="14">
        <f t="shared" si="224"/>
        <v>600</v>
      </c>
      <c r="DB327" s="14">
        <f t="shared" si="225"/>
        <v>0</v>
      </c>
      <c r="DC327" s="14">
        <f t="shared" si="226"/>
        <v>0</v>
      </c>
      <c r="DD327" s="14">
        <f t="shared" si="227"/>
        <v>21</v>
      </c>
      <c r="DE327" s="14">
        <f t="shared" si="228"/>
        <v>0</v>
      </c>
      <c r="DF327" s="14">
        <f t="shared" si="229"/>
        <v>0</v>
      </c>
      <c r="DG327" s="14">
        <f t="shared" si="230"/>
        <v>16</v>
      </c>
      <c r="DH327" s="14">
        <f t="shared" si="231"/>
        <v>4</v>
      </c>
      <c r="DI327" s="14">
        <f t="shared" si="232"/>
        <v>14</v>
      </c>
      <c r="DL327" s="14">
        <f t="shared" si="214"/>
        <v>1</v>
      </c>
      <c r="DM327" s="14">
        <f t="shared" si="215"/>
        <v>0</v>
      </c>
      <c r="DN327" s="14" t="str">
        <f t="shared" si="233"/>
        <v>AtkExt</v>
      </c>
      <c r="DO327" s="14">
        <f t="shared" si="234"/>
        <v>600</v>
      </c>
      <c r="DP327" s="14">
        <f t="shared" si="235"/>
        <v>21</v>
      </c>
      <c r="DQ327" s="14" t="str">
        <f t="shared" si="236"/>
        <v/>
      </c>
      <c r="DR327" s="14" t="str">
        <f t="shared" si="237"/>
        <v/>
      </c>
      <c r="DS327" s="14" t="str">
        <f t="shared" si="238"/>
        <v/>
      </c>
      <c r="DT327" s="14">
        <f t="shared" si="239"/>
        <v>16</v>
      </c>
      <c r="DU327" s="14">
        <f t="shared" si="240"/>
        <v>4</v>
      </c>
      <c r="DV327" s="14">
        <f t="shared" si="241"/>
        <v>14</v>
      </c>
      <c r="DW327" s="29" t="s">
        <v>758</v>
      </c>
      <c r="DX327" s="14">
        <f t="shared" si="242"/>
        <v>300</v>
      </c>
    </row>
    <row r="328" spans="91:128" ht="16.5" x14ac:dyDescent="0.2">
      <c r="CM328" s="13">
        <v>324</v>
      </c>
      <c r="CN328" s="14">
        <f t="shared" si="216"/>
        <v>45</v>
      </c>
      <c r="CO328" s="14">
        <f t="shared" si="217"/>
        <v>5</v>
      </c>
      <c r="CP328" s="14">
        <f t="shared" si="218"/>
        <v>2</v>
      </c>
      <c r="CQ328" s="14">
        <f t="shared" si="209"/>
        <v>4</v>
      </c>
      <c r="CR328" s="14">
        <f t="shared" si="210"/>
        <v>2044052</v>
      </c>
      <c r="CS328" s="13" t="str">
        <f t="shared" si="211"/>
        <v>120级寄灵人橙色套2-头盔</v>
      </c>
      <c r="CT328" s="14">
        <f t="shared" si="212"/>
        <v>1</v>
      </c>
      <c r="CU328" s="14">
        <f t="shared" si="213"/>
        <v>4</v>
      </c>
      <c r="CV328" s="14">
        <f t="shared" si="219"/>
        <v>120</v>
      </c>
      <c r="CW328" s="14">
        <f t="shared" si="220"/>
        <v>120</v>
      </c>
      <c r="CX328" s="14">
        <f t="shared" si="221"/>
        <v>2</v>
      </c>
      <c r="CY328" s="14">
        <f t="shared" si="222"/>
        <v>1042</v>
      </c>
      <c r="CZ328" s="14">
        <f t="shared" si="223"/>
        <v>52</v>
      </c>
      <c r="DA328" s="14">
        <f t="shared" si="224"/>
        <v>0</v>
      </c>
      <c r="DB328" s="14">
        <f t="shared" si="225"/>
        <v>150</v>
      </c>
      <c r="DC328" s="14">
        <f t="shared" si="226"/>
        <v>0</v>
      </c>
      <c r="DD328" s="14">
        <f t="shared" si="227"/>
        <v>0</v>
      </c>
      <c r="DE328" s="14">
        <f t="shared" si="228"/>
        <v>5.25</v>
      </c>
      <c r="DF328" s="14">
        <f t="shared" si="229"/>
        <v>0</v>
      </c>
      <c r="DG328" s="14">
        <f t="shared" si="230"/>
        <v>16</v>
      </c>
      <c r="DH328" s="14">
        <f t="shared" si="231"/>
        <v>4</v>
      </c>
      <c r="DI328" s="14">
        <f t="shared" si="232"/>
        <v>14</v>
      </c>
      <c r="DL328" s="14">
        <f t="shared" si="214"/>
        <v>2</v>
      </c>
      <c r="DM328" s="14">
        <f t="shared" si="215"/>
        <v>0</v>
      </c>
      <c r="DN328" s="14" t="str">
        <f t="shared" si="233"/>
        <v>DefExt</v>
      </c>
      <c r="DO328" s="14">
        <f t="shared" si="234"/>
        <v>150</v>
      </c>
      <c r="DP328" s="14">
        <f t="shared" si="235"/>
        <v>5.25</v>
      </c>
      <c r="DQ328" s="14" t="str">
        <f t="shared" si="236"/>
        <v/>
      </c>
      <c r="DR328" s="14" t="str">
        <f t="shared" si="237"/>
        <v/>
      </c>
      <c r="DS328" s="14" t="str">
        <f t="shared" si="238"/>
        <v/>
      </c>
      <c r="DT328" s="14">
        <f t="shared" si="239"/>
        <v>16</v>
      </c>
      <c r="DU328" s="14">
        <f t="shared" si="240"/>
        <v>4</v>
      </c>
      <c r="DV328" s="14">
        <f t="shared" si="241"/>
        <v>14</v>
      </c>
      <c r="DW328" s="29" t="s">
        <v>758</v>
      </c>
      <c r="DX328" s="14">
        <f t="shared" si="242"/>
        <v>300</v>
      </c>
    </row>
    <row r="329" spans="91:128" ht="16.5" x14ac:dyDescent="0.2">
      <c r="CM329" s="13">
        <v>325</v>
      </c>
      <c r="CN329" s="14">
        <f t="shared" si="216"/>
        <v>45</v>
      </c>
      <c r="CO329" s="14">
        <f t="shared" si="217"/>
        <v>5</v>
      </c>
      <c r="CP329" s="14">
        <f t="shared" si="218"/>
        <v>3</v>
      </c>
      <c r="CQ329" s="14">
        <f t="shared" si="209"/>
        <v>4</v>
      </c>
      <c r="CR329" s="14">
        <f t="shared" si="210"/>
        <v>2044053</v>
      </c>
      <c r="CS329" s="13" t="str">
        <f t="shared" si="211"/>
        <v>120级寄灵人橙色套2-肩甲</v>
      </c>
      <c r="CT329" s="14">
        <f t="shared" si="212"/>
        <v>1</v>
      </c>
      <c r="CU329" s="14">
        <f t="shared" si="213"/>
        <v>4</v>
      </c>
      <c r="CV329" s="14">
        <f t="shared" si="219"/>
        <v>120</v>
      </c>
      <c r="CW329" s="14">
        <f t="shared" si="220"/>
        <v>120</v>
      </c>
      <c r="CX329" s="14">
        <f t="shared" si="221"/>
        <v>3</v>
      </c>
      <c r="CY329" s="14">
        <f t="shared" si="222"/>
        <v>1042</v>
      </c>
      <c r="CZ329" s="14">
        <f t="shared" si="223"/>
        <v>41</v>
      </c>
      <c r="DA329" s="14">
        <f t="shared" si="224"/>
        <v>0</v>
      </c>
      <c r="DB329" s="14">
        <f t="shared" si="225"/>
        <v>75</v>
      </c>
      <c r="DC329" s="14">
        <f t="shared" si="226"/>
        <v>450</v>
      </c>
      <c r="DD329" s="14">
        <f t="shared" si="227"/>
        <v>0</v>
      </c>
      <c r="DE329" s="14">
        <f t="shared" si="228"/>
        <v>2.63</v>
      </c>
      <c r="DF329" s="14">
        <f t="shared" si="229"/>
        <v>15</v>
      </c>
      <c r="DG329" s="14">
        <f t="shared" si="230"/>
        <v>16</v>
      </c>
      <c r="DH329" s="14">
        <f t="shared" si="231"/>
        <v>4</v>
      </c>
      <c r="DI329" s="14">
        <f t="shared" si="232"/>
        <v>14</v>
      </c>
      <c r="DL329" s="14">
        <f t="shared" si="214"/>
        <v>2</v>
      </c>
      <c r="DM329" s="14">
        <f t="shared" si="215"/>
        <v>3</v>
      </c>
      <c r="DN329" s="14" t="str">
        <f t="shared" si="233"/>
        <v>DefExt</v>
      </c>
      <c r="DO329" s="14">
        <f t="shared" si="234"/>
        <v>75</v>
      </c>
      <c r="DP329" s="14">
        <f t="shared" si="235"/>
        <v>2.63</v>
      </c>
      <c r="DQ329" s="14" t="str">
        <f t="shared" si="236"/>
        <v>HPExt</v>
      </c>
      <c r="DR329" s="14">
        <f t="shared" si="237"/>
        <v>450</v>
      </c>
      <c r="DS329" s="14">
        <f t="shared" si="238"/>
        <v>15</v>
      </c>
      <c r="DT329" s="14">
        <f t="shared" si="239"/>
        <v>16</v>
      </c>
      <c r="DU329" s="14">
        <f t="shared" si="240"/>
        <v>4</v>
      </c>
      <c r="DV329" s="14">
        <f t="shared" si="241"/>
        <v>14</v>
      </c>
      <c r="DW329" s="29" t="s">
        <v>758</v>
      </c>
      <c r="DX329" s="14">
        <f t="shared" si="242"/>
        <v>300</v>
      </c>
    </row>
    <row r="330" spans="91:128" ht="16.5" x14ac:dyDescent="0.2">
      <c r="CM330" s="13">
        <v>326</v>
      </c>
      <c r="CN330" s="14">
        <f t="shared" si="216"/>
        <v>45</v>
      </c>
      <c r="CO330" s="14">
        <f t="shared" si="217"/>
        <v>5</v>
      </c>
      <c r="CP330" s="14">
        <f t="shared" si="218"/>
        <v>4</v>
      </c>
      <c r="CQ330" s="14">
        <f t="shared" si="209"/>
        <v>4</v>
      </c>
      <c r="CR330" s="14">
        <f t="shared" si="210"/>
        <v>2044054</v>
      </c>
      <c r="CS330" s="13" t="str">
        <f t="shared" si="211"/>
        <v>120级寄灵人橙色套2-衣服</v>
      </c>
      <c r="CT330" s="14">
        <f t="shared" si="212"/>
        <v>1</v>
      </c>
      <c r="CU330" s="14">
        <f t="shared" si="213"/>
        <v>4</v>
      </c>
      <c r="CV330" s="14">
        <f t="shared" si="219"/>
        <v>120</v>
      </c>
      <c r="CW330" s="14">
        <f t="shared" si="220"/>
        <v>120</v>
      </c>
      <c r="CX330" s="14">
        <f t="shared" si="221"/>
        <v>4</v>
      </c>
      <c r="CY330" s="14">
        <f t="shared" si="222"/>
        <v>1042</v>
      </c>
      <c r="CZ330" s="14">
        <f t="shared" si="223"/>
        <v>52</v>
      </c>
      <c r="DA330" s="14">
        <f t="shared" si="224"/>
        <v>0</v>
      </c>
      <c r="DB330" s="14">
        <f t="shared" si="225"/>
        <v>150</v>
      </c>
      <c r="DC330" s="14">
        <f t="shared" si="226"/>
        <v>0</v>
      </c>
      <c r="DD330" s="14">
        <f t="shared" si="227"/>
        <v>0</v>
      </c>
      <c r="DE330" s="14">
        <f t="shared" si="228"/>
        <v>5.25</v>
      </c>
      <c r="DF330" s="14">
        <f t="shared" si="229"/>
        <v>0</v>
      </c>
      <c r="DG330" s="14">
        <f t="shared" si="230"/>
        <v>16</v>
      </c>
      <c r="DH330" s="14">
        <f t="shared" si="231"/>
        <v>4</v>
      </c>
      <c r="DI330" s="14">
        <f t="shared" si="232"/>
        <v>14</v>
      </c>
      <c r="DL330" s="14">
        <f t="shared" si="214"/>
        <v>2</v>
      </c>
      <c r="DM330" s="14">
        <f t="shared" si="215"/>
        <v>0</v>
      </c>
      <c r="DN330" s="14" t="str">
        <f t="shared" si="233"/>
        <v>DefExt</v>
      </c>
      <c r="DO330" s="14">
        <f t="shared" si="234"/>
        <v>150</v>
      </c>
      <c r="DP330" s="14">
        <f t="shared" si="235"/>
        <v>5.25</v>
      </c>
      <c r="DQ330" s="14" t="str">
        <f t="shared" si="236"/>
        <v/>
      </c>
      <c r="DR330" s="14" t="str">
        <f t="shared" si="237"/>
        <v/>
      </c>
      <c r="DS330" s="14" t="str">
        <f t="shared" si="238"/>
        <v/>
      </c>
      <c r="DT330" s="14">
        <f t="shared" si="239"/>
        <v>16</v>
      </c>
      <c r="DU330" s="14">
        <f t="shared" si="240"/>
        <v>4</v>
      </c>
      <c r="DV330" s="14">
        <f t="shared" si="241"/>
        <v>14</v>
      </c>
      <c r="DW330" s="29" t="s">
        <v>758</v>
      </c>
      <c r="DX330" s="14">
        <f t="shared" si="242"/>
        <v>300</v>
      </c>
    </row>
    <row r="331" spans="91:128" ht="16.5" x14ac:dyDescent="0.2">
      <c r="CM331" s="13">
        <v>327</v>
      </c>
      <c r="CN331" s="14">
        <f t="shared" si="216"/>
        <v>45</v>
      </c>
      <c r="CO331" s="14">
        <f t="shared" si="217"/>
        <v>5</v>
      </c>
      <c r="CP331" s="14">
        <f t="shared" si="218"/>
        <v>5</v>
      </c>
      <c r="CQ331" s="14">
        <f t="shared" si="209"/>
        <v>4</v>
      </c>
      <c r="CR331" s="14">
        <f t="shared" si="210"/>
        <v>2044055</v>
      </c>
      <c r="CS331" s="13" t="str">
        <f t="shared" si="211"/>
        <v>120级寄灵人橙色套2-鞋子</v>
      </c>
      <c r="CT331" s="14">
        <f t="shared" si="212"/>
        <v>1</v>
      </c>
      <c r="CU331" s="14">
        <f t="shared" si="213"/>
        <v>4</v>
      </c>
      <c r="CV331" s="14">
        <f t="shared" si="219"/>
        <v>120</v>
      </c>
      <c r="CW331" s="14">
        <f t="shared" si="220"/>
        <v>120</v>
      </c>
      <c r="CX331" s="14">
        <f t="shared" si="221"/>
        <v>5</v>
      </c>
      <c r="CY331" s="14">
        <f t="shared" si="222"/>
        <v>1042</v>
      </c>
      <c r="CZ331" s="14">
        <f t="shared" si="223"/>
        <v>30</v>
      </c>
      <c r="DA331" s="14">
        <f t="shared" si="224"/>
        <v>0</v>
      </c>
      <c r="DB331" s="14">
        <f t="shared" si="225"/>
        <v>0</v>
      </c>
      <c r="DC331" s="14">
        <f t="shared" si="226"/>
        <v>900</v>
      </c>
      <c r="DD331" s="14">
        <f t="shared" si="227"/>
        <v>0</v>
      </c>
      <c r="DE331" s="14">
        <f t="shared" si="228"/>
        <v>0</v>
      </c>
      <c r="DF331" s="14">
        <f t="shared" si="229"/>
        <v>30</v>
      </c>
      <c r="DG331" s="14">
        <f t="shared" si="230"/>
        <v>16</v>
      </c>
      <c r="DH331" s="14">
        <f t="shared" si="231"/>
        <v>4</v>
      </c>
      <c r="DI331" s="14">
        <f t="shared" si="232"/>
        <v>14</v>
      </c>
      <c r="DL331" s="14">
        <f t="shared" si="214"/>
        <v>3</v>
      </c>
      <c r="DM331" s="14">
        <f t="shared" si="215"/>
        <v>0</v>
      </c>
      <c r="DN331" s="14" t="str">
        <f t="shared" si="233"/>
        <v>HPExt</v>
      </c>
      <c r="DO331" s="14">
        <f t="shared" si="234"/>
        <v>900</v>
      </c>
      <c r="DP331" s="14">
        <f t="shared" si="235"/>
        <v>30</v>
      </c>
      <c r="DQ331" s="14" t="str">
        <f t="shared" si="236"/>
        <v/>
      </c>
      <c r="DR331" s="14" t="str">
        <f t="shared" si="237"/>
        <v/>
      </c>
      <c r="DS331" s="14" t="str">
        <f t="shared" si="238"/>
        <v/>
      </c>
      <c r="DT331" s="14">
        <f t="shared" si="239"/>
        <v>16</v>
      </c>
      <c r="DU331" s="14">
        <f t="shared" si="240"/>
        <v>4</v>
      </c>
      <c r="DV331" s="14">
        <f t="shared" si="241"/>
        <v>14</v>
      </c>
      <c r="DW331" s="29" t="s">
        <v>758</v>
      </c>
      <c r="DX331" s="14">
        <f t="shared" si="242"/>
        <v>300</v>
      </c>
    </row>
    <row r="332" spans="91:128" ht="16.5" x14ac:dyDescent="0.2">
      <c r="CM332" s="13">
        <v>328</v>
      </c>
      <c r="CN332" s="14">
        <f t="shared" si="216"/>
        <v>45</v>
      </c>
      <c r="CO332" s="14">
        <f t="shared" si="217"/>
        <v>5</v>
      </c>
      <c r="CP332" s="14">
        <f t="shared" si="218"/>
        <v>6</v>
      </c>
      <c r="CQ332" s="14">
        <f t="shared" si="209"/>
        <v>4</v>
      </c>
      <c r="CR332" s="14">
        <f t="shared" si="210"/>
        <v>2044056</v>
      </c>
      <c r="CS332" s="13" t="str">
        <f t="shared" si="211"/>
        <v>120级寄灵人橙色套2-护手</v>
      </c>
      <c r="CT332" s="14">
        <f t="shared" si="212"/>
        <v>1</v>
      </c>
      <c r="CU332" s="14">
        <f t="shared" si="213"/>
        <v>4</v>
      </c>
      <c r="CV332" s="14">
        <f t="shared" si="219"/>
        <v>120</v>
      </c>
      <c r="CW332" s="14">
        <f t="shared" si="220"/>
        <v>120</v>
      </c>
      <c r="CX332" s="14">
        <f t="shared" si="221"/>
        <v>6</v>
      </c>
      <c r="CY332" s="14">
        <f t="shared" si="222"/>
        <v>1042</v>
      </c>
      <c r="CZ332" s="14">
        <f t="shared" si="223"/>
        <v>30</v>
      </c>
      <c r="DA332" s="14">
        <f t="shared" si="224"/>
        <v>0</v>
      </c>
      <c r="DB332" s="14">
        <f t="shared" si="225"/>
        <v>0</v>
      </c>
      <c r="DC332" s="14">
        <f t="shared" si="226"/>
        <v>900</v>
      </c>
      <c r="DD332" s="14">
        <f t="shared" si="227"/>
        <v>0</v>
      </c>
      <c r="DE332" s="14">
        <f t="shared" si="228"/>
        <v>0</v>
      </c>
      <c r="DF332" s="14">
        <f t="shared" si="229"/>
        <v>30</v>
      </c>
      <c r="DG332" s="14">
        <f t="shared" si="230"/>
        <v>16</v>
      </c>
      <c r="DH332" s="14">
        <f t="shared" si="231"/>
        <v>4</v>
      </c>
      <c r="DI332" s="14">
        <f t="shared" si="232"/>
        <v>14</v>
      </c>
      <c r="DL332" s="14">
        <f t="shared" si="214"/>
        <v>3</v>
      </c>
      <c r="DM332" s="14">
        <f t="shared" si="215"/>
        <v>0</v>
      </c>
      <c r="DN332" s="14" t="str">
        <f t="shared" si="233"/>
        <v>HPExt</v>
      </c>
      <c r="DO332" s="14">
        <f t="shared" si="234"/>
        <v>900</v>
      </c>
      <c r="DP332" s="14">
        <f t="shared" si="235"/>
        <v>30</v>
      </c>
      <c r="DQ332" s="14" t="str">
        <f t="shared" si="236"/>
        <v/>
      </c>
      <c r="DR332" s="14" t="str">
        <f t="shared" si="237"/>
        <v/>
      </c>
      <c r="DS332" s="14" t="str">
        <f t="shared" si="238"/>
        <v/>
      </c>
      <c r="DT332" s="14">
        <f t="shared" si="239"/>
        <v>16</v>
      </c>
      <c r="DU332" s="14">
        <f t="shared" si="240"/>
        <v>4</v>
      </c>
      <c r="DV332" s="14">
        <f t="shared" si="241"/>
        <v>14</v>
      </c>
      <c r="DW332" s="29" t="s">
        <v>758</v>
      </c>
      <c r="DX332" s="14">
        <f t="shared" si="242"/>
        <v>300</v>
      </c>
    </row>
    <row r="333" spans="91:128" ht="16.5" x14ac:dyDescent="0.2">
      <c r="CM333" s="13">
        <v>329</v>
      </c>
      <c r="CN333" s="14">
        <f t="shared" si="216"/>
        <v>46</v>
      </c>
      <c r="CO333" s="14">
        <f t="shared" si="217"/>
        <v>6</v>
      </c>
      <c r="CP333" s="14">
        <f t="shared" si="218"/>
        <v>1</v>
      </c>
      <c r="CQ333" s="14">
        <f t="shared" si="209"/>
        <v>4</v>
      </c>
      <c r="CR333" s="14">
        <f t="shared" si="210"/>
        <v>2044061</v>
      </c>
      <c r="CS333" s="13" t="str">
        <f t="shared" si="211"/>
        <v>120级守护灵橙色套2-武器</v>
      </c>
      <c r="CT333" s="14">
        <f t="shared" si="212"/>
        <v>2</v>
      </c>
      <c r="CU333" s="14">
        <f t="shared" si="213"/>
        <v>4</v>
      </c>
      <c r="CV333" s="14">
        <f t="shared" si="219"/>
        <v>120</v>
      </c>
      <c r="CW333" s="14">
        <f t="shared" si="220"/>
        <v>120</v>
      </c>
      <c r="CX333" s="14">
        <f t="shared" si="221"/>
        <v>1</v>
      </c>
      <c r="CY333" s="14">
        <f t="shared" si="222"/>
        <v>2042</v>
      </c>
      <c r="CZ333" s="14">
        <f t="shared" si="223"/>
        <v>105</v>
      </c>
      <c r="DA333" s="14">
        <f t="shared" si="224"/>
        <v>600</v>
      </c>
      <c r="DB333" s="14">
        <f t="shared" si="225"/>
        <v>0</v>
      </c>
      <c r="DC333" s="14">
        <f t="shared" si="226"/>
        <v>0</v>
      </c>
      <c r="DD333" s="14">
        <f t="shared" si="227"/>
        <v>21</v>
      </c>
      <c r="DE333" s="14">
        <f t="shared" si="228"/>
        <v>0</v>
      </c>
      <c r="DF333" s="14">
        <f t="shared" si="229"/>
        <v>0</v>
      </c>
      <c r="DG333" s="14">
        <f t="shared" si="230"/>
        <v>16</v>
      </c>
      <c r="DH333" s="14">
        <f t="shared" si="231"/>
        <v>4</v>
      </c>
      <c r="DI333" s="14">
        <f t="shared" si="232"/>
        <v>24</v>
      </c>
      <c r="DL333" s="14">
        <f t="shared" si="214"/>
        <v>1</v>
      </c>
      <c r="DM333" s="14">
        <f t="shared" si="215"/>
        <v>0</v>
      </c>
      <c r="DN333" s="14" t="str">
        <f t="shared" si="233"/>
        <v>AtkExt</v>
      </c>
      <c r="DO333" s="14">
        <f t="shared" si="234"/>
        <v>600</v>
      </c>
      <c r="DP333" s="14">
        <f t="shared" si="235"/>
        <v>21</v>
      </c>
      <c r="DQ333" s="14" t="str">
        <f t="shared" si="236"/>
        <v/>
      </c>
      <c r="DR333" s="14" t="str">
        <f t="shared" si="237"/>
        <v/>
      </c>
      <c r="DS333" s="14" t="str">
        <f t="shared" si="238"/>
        <v/>
      </c>
      <c r="DT333" s="14">
        <f t="shared" si="239"/>
        <v>16</v>
      </c>
      <c r="DU333" s="14">
        <f t="shared" si="240"/>
        <v>4</v>
      </c>
      <c r="DV333" s="14">
        <f t="shared" si="241"/>
        <v>24</v>
      </c>
      <c r="DW333" s="29" t="s">
        <v>758</v>
      </c>
      <c r="DX333" s="14">
        <f t="shared" si="242"/>
        <v>300</v>
      </c>
    </row>
    <row r="334" spans="91:128" ht="16.5" x14ac:dyDescent="0.2">
      <c r="CM334" s="13">
        <v>330</v>
      </c>
      <c r="CN334" s="14">
        <f t="shared" si="216"/>
        <v>46</v>
      </c>
      <c r="CO334" s="14">
        <f t="shared" si="217"/>
        <v>6</v>
      </c>
      <c r="CP334" s="14">
        <f t="shared" si="218"/>
        <v>2</v>
      </c>
      <c r="CQ334" s="14">
        <f t="shared" si="209"/>
        <v>4</v>
      </c>
      <c r="CR334" s="14">
        <f t="shared" si="210"/>
        <v>2044062</v>
      </c>
      <c r="CS334" s="13" t="str">
        <f t="shared" si="211"/>
        <v>120级守护灵橙色套2-头盔</v>
      </c>
      <c r="CT334" s="14">
        <f t="shared" si="212"/>
        <v>2</v>
      </c>
      <c r="CU334" s="14">
        <f t="shared" si="213"/>
        <v>4</v>
      </c>
      <c r="CV334" s="14">
        <f t="shared" si="219"/>
        <v>120</v>
      </c>
      <c r="CW334" s="14">
        <f t="shared" si="220"/>
        <v>120</v>
      </c>
      <c r="CX334" s="14">
        <f t="shared" si="221"/>
        <v>2</v>
      </c>
      <c r="CY334" s="14">
        <f t="shared" si="222"/>
        <v>2042</v>
      </c>
      <c r="CZ334" s="14">
        <f t="shared" si="223"/>
        <v>54</v>
      </c>
      <c r="DA334" s="14">
        <f t="shared" si="224"/>
        <v>0</v>
      </c>
      <c r="DB334" s="14">
        <f t="shared" si="225"/>
        <v>150</v>
      </c>
      <c r="DC334" s="14">
        <f t="shared" si="226"/>
        <v>0</v>
      </c>
      <c r="DD334" s="14">
        <f t="shared" si="227"/>
        <v>0</v>
      </c>
      <c r="DE334" s="14">
        <f t="shared" si="228"/>
        <v>5.4</v>
      </c>
      <c r="DF334" s="14">
        <f t="shared" si="229"/>
        <v>0</v>
      </c>
      <c r="DG334" s="14">
        <f t="shared" si="230"/>
        <v>16</v>
      </c>
      <c r="DH334" s="14">
        <f t="shared" si="231"/>
        <v>4</v>
      </c>
      <c r="DI334" s="14">
        <f t="shared" si="232"/>
        <v>24</v>
      </c>
      <c r="DL334" s="14">
        <f t="shared" si="214"/>
        <v>2</v>
      </c>
      <c r="DM334" s="14">
        <f t="shared" si="215"/>
        <v>0</v>
      </c>
      <c r="DN334" s="14" t="str">
        <f t="shared" si="233"/>
        <v>DefExt</v>
      </c>
      <c r="DO334" s="14">
        <f t="shared" si="234"/>
        <v>150</v>
      </c>
      <c r="DP334" s="14">
        <f t="shared" si="235"/>
        <v>5.4</v>
      </c>
      <c r="DQ334" s="14" t="str">
        <f t="shared" si="236"/>
        <v/>
      </c>
      <c r="DR334" s="14" t="str">
        <f t="shared" si="237"/>
        <v/>
      </c>
      <c r="DS334" s="14" t="str">
        <f t="shared" si="238"/>
        <v/>
      </c>
      <c r="DT334" s="14">
        <f t="shared" si="239"/>
        <v>16</v>
      </c>
      <c r="DU334" s="14">
        <f t="shared" si="240"/>
        <v>4</v>
      </c>
      <c r="DV334" s="14">
        <f t="shared" si="241"/>
        <v>24</v>
      </c>
      <c r="DW334" s="29" t="s">
        <v>758</v>
      </c>
      <c r="DX334" s="14">
        <f t="shared" si="242"/>
        <v>300</v>
      </c>
    </row>
    <row r="335" spans="91:128" ht="16.5" x14ac:dyDescent="0.2">
      <c r="CM335" s="13">
        <v>331</v>
      </c>
      <c r="CN335" s="14">
        <f t="shared" si="216"/>
        <v>46</v>
      </c>
      <c r="CO335" s="14">
        <f t="shared" si="217"/>
        <v>6</v>
      </c>
      <c r="CP335" s="14">
        <f t="shared" si="218"/>
        <v>3</v>
      </c>
      <c r="CQ335" s="14">
        <f t="shared" si="209"/>
        <v>4</v>
      </c>
      <c r="CR335" s="14">
        <f t="shared" si="210"/>
        <v>2044063</v>
      </c>
      <c r="CS335" s="13" t="str">
        <f t="shared" si="211"/>
        <v>120级守护灵橙色套2-肩甲</v>
      </c>
      <c r="CT335" s="14">
        <f t="shared" si="212"/>
        <v>2</v>
      </c>
      <c r="CU335" s="14">
        <f t="shared" si="213"/>
        <v>4</v>
      </c>
      <c r="CV335" s="14">
        <f t="shared" si="219"/>
        <v>120</v>
      </c>
      <c r="CW335" s="14">
        <f t="shared" si="220"/>
        <v>120</v>
      </c>
      <c r="CX335" s="14">
        <f t="shared" si="221"/>
        <v>3</v>
      </c>
      <c r="CY335" s="14">
        <f t="shared" si="222"/>
        <v>2042</v>
      </c>
      <c r="CZ335" s="14">
        <f t="shared" si="223"/>
        <v>57</v>
      </c>
      <c r="DA335" s="14">
        <f t="shared" si="224"/>
        <v>0</v>
      </c>
      <c r="DB335" s="14">
        <f t="shared" si="225"/>
        <v>75</v>
      </c>
      <c r="DC335" s="14">
        <f t="shared" si="226"/>
        <v>750</v>
      </c>
      <c r="DD335" s="14">
        <f t="shared" si="227"/>
        <v>0</v>
      </c>
      <c r="DE335" s="14">
        <f t="shared" si="228"/>
        <v>2.7</v>
      </c>
      <c r="DF335" s="14">
        <f t="shared" si="229"/>
        <v>30</v>
      </c>
      <c r="DG335" s="14">
        <f t="shared" si="230"/>
        <v>16</v>
      </c>
      <c r="DH335" s="14">
        <f t="shared" si="231"/>
        <v>4</v>
      </c>
      <c r="DI335" s="14">
        <f t="shared" si="232"/>
        <v>24</v>
      </c>
      <c r="DL335" s="14">
        <f t="shared" si="214"/>
        <v>2</v>
      </c>
      <c r="DM335" s="14">
        <f t="shared" si="215"/>
        <v>3</v>
      </c>
      <c r="DN335" s="14" t="str">
        <f t="shared" si="233"/>
        <v>DefExt</v>
      </c>
      <c r="DO335" s="14">
        <f t="shared" si="234"/>
        <v>75</v>
      </c>
      <c r="DP335" s="14">
        <f t="shared" si="235"/>
        <v>2.7</v>
      </c>
      <c r="DQ335" s="14" t="str">
        <f t="shared" si="236"/>
        <v>HPExt</v>
      </c>
      <c r="DR335" s="14">
        <f t="shared" si="237"/>
        <v>750</v>
      </c>
      <c r="DS335" s="14">
        <f t="shared" si="238"/>
        <v>30</v>
      </c>
      <c r="DT335" s="14">
        <f t="shared" si="239"/>
        <v>16</v>
      </c>
      <c r="DU335" s="14">
        <f t="shared" si="240"/>
        <v>4</v>
      </c>
      <c r="DV335" s="14">
        <f t="shared" si="241"/>
        <v>24</v>
      </c>
      <c r="DW335" s="29" t="s">
        <v>758</v>
      </c>
      <c r="DX335" s="14">
        <f t="shared" si="242"/>
        <v>300</v>
      </c>
    </row>
    <row r="336" spans="91:128" ht="16.5" x14ac:dyDescent="0.2">
      <c r="CM336" s="13">
        <v>332</v>
      </c>
      <c r="CN336" s="14">
        <f t="shared" si="216"/>
        <v>46</v>
      </c>
      <c r="CO336" s="14">
        <f t="shared" si="217"/>
        <v>6</v>
      </c>
      <c r="CP336" s="14">
        <f t="shared" si="218"/>
        <v>4</v>
      </c>
      <c r="CQ336" s="14">
        <f t="shared" si="209"/>
        <v>4</v>
      </c>
      <c r="CR336" s="14">
        <f t="shared" si="210"/>
        <v>2044064</v>
      </c>
      <c r="CS336" s="13" t="str">
        <f t="shared" si="211"/>
        <v>120级守护灵橙色套2-衣服</v>
      </c>
      <c r="CT336" s="14">
        <f t="shared" si="212"/>
        <v>2</v>
      </c>
      <c r="CU336" s="14">
        <f t="shared" si="213"/>
        <v>4</v>
      </c>
      <c r="CV336" s="14">
        <f t="shared" si="219"/>
        <v>120</v>
      </c>
      <c r="CW336" s="14">
        <f t="shared" si="220"/>
        <v>120</v>
      </c>
      <c r="CX336" s="14">
        <f t="shared" si="221"/>
        <v>4</v>
      </c>
      <c r="CY336" s="14">
        <f t="shared" si="222"/>
        <v>2042</v>
      </c>
      <c r="CZ336" s="14">
        <f t="shared" si="223"/>
        <v>54</v>
      </c>
      <c r="DA336" s="14">
        <f t="shared" si="224"/>
        <v>0</v>
      </c>
      <c r="DB336" s="14">
        <f t="shared" si="225"/>
        <v>150</v>
      </c>
      <c r="DC336" s="14">
        <f t="shared" si="226"/>
        <v>0</v>
      </c>
      <c r="DD336" s="14">
        <f t="shared" si="227"/>
        <v>0</v>
      </c>
      <c r="DE336" s="14">
        <f t="shared" si="228"/>
        <v>5.4</v>
      </c>
      <c r="DF336" s="14">
        <f t="shared" si="229"/>
        <v>0</v>
      </c>
      <c r="DG336" s="14">
        <f t="shared" si="230"/>
        <v>16</v>
      </c>
      <c r="DH336" s="14">
        <f t="shared" si="231"/>
        <v>4</v>
      </c>
      <c r="DI336" s="14">
        <f t="shared" si="232"/>
        <v>24</v>
      </c>
      <c r="DL336" s="14">
        <f t="shared" si="214"/>
        <v>2</v>
      </c>
      <c r="DM336" s="14">
        <f t="shared" si="215"/>
        <v>0</v>
      </c>
      <c r="DN336" s="14" t="str">
        <f t="shared" si="233"/>
        <v>DefExt</v>
      </c>
      <c r="DO336" s="14">
        <f t="shared" si="234"/>
        <v>150</v>
      </c>
      <c r="DP336" s="14">
        <f t="shared" si="235"/>
        <v>5.4</v>
      </c>
      <c r="DQ336" s="14" t="str">
        <f t="shared" si="236"/>
        <v/>
      </c>
      <c r="DR336" s="14" t="str">
        <f t="shared" si="237"/>
        <v/>
      </c>
      <c r="DS336" s="14" t="str">
        <f t="shared" si="238"/>
        <v/>
      </c>
      <c r="DT336" s="14">
        <f t="shared" si="239"/>
        <v>16</v>
      </c>
      <c r="DU336" s="14">
        <f t="shared" si="240"/>
        <v>4</v>
      </c>
      <c r="DV336" s="14">
        <f t="shared" si="241"/>
        <v>24</v>
      </c>
      <c r="DW336" s="29" t="s">
        <v>758</v>
      </c>
      <c r="DX336" s="14">
        <f t="shared" si="242"/>
        <v>300</v>
      </c>
    </row>
    <row r="337" spans="91:128" ht="16.5" x14ac:dyDescent="0.2">
      <c r="CM337" s="13">
        <v>333</v>
      </c>
      <c r="CN337" s="14">
        <f t="shared" si="216"/>
        <v>46</v>
      </c>
      <c r="CO337" s="14">
        <f t="shared" si="217"/>
        <v>6</v>
      </c>
      <c r="CP337" s="14">
        <f t="shared" si="218"/>
        <v>5</v>
      </c>
      <c r="CQ337" s="14">
        <f t="shared" si="209"/>
        <v>4</v>
      </c>
      <c r="CR337" s="14">
        <f t="shared" si="210"/>
        <v>2044065</v>
      </c>
      <c r="CS337" s="13" t="str">
        <f t="shared" si="211"/>
        <v>120级守护灵橙色套2-鞋子</v>
      </c>
      <c r="CT337" s="14">
        <f t="shared" si="212"/>
        <v>2</v>
      </c>
      <c r="CU337" s="14">
        <f t="shared" si="213"/>
        <v>4</v>
      </c>
      <c r="CV337" s="14">
        <f t="shared" si="219"/>
        <v>120</v>
      </c>
      <c r="CW337" s="14">
        <f t="shared" si="220"/>
        <v>120</v>
      </c>
      <c r="CX337" s="14">
        <f t="shared" si="221"/>
        <v>5</v>
      </c>
      <c r="CY337" s="14">
        <f t="shared" si="222"/>
        <v>2042</v>
      </c>
      <c r="CZ337" s="14">
        <f t="shared" si="223"/>
        <v>60</v>
      </c>
      <c r="DA337" s="14">
        <f t="shared" si="224"/>
        <v>0</v>
      </c>
      <c r="DB337" s="14">
        <f t="shared" si="225"/>
        <v>0</v>
      </c>
      <c r="DC337" s="14">
        <f t="shared" si="226"/>
        <v>1500</v>
      </c>
      <c r="DD337" s="14">
        <f t="shared" si="227"/>
        <v>0</v>
      </c>
      <c r="DE337" s="14">
        <f t="shared" si="228"/>
        <v>0</v>
      </c>
      <c r="DF337" s="14">
        <f t="shared" si="229"/>
        <v>60</v>
      </c>
      <c r="DG337" s="14">
        <f t="shared" si="230"/>
        <v>16</v>
      </c>
      <c r="DH337" s="14">
        <f t="shared" si="231"/>
        <v>4</v>
      </c>
      <c r="DI337" s="14">
        <f t="shared" si="232"/>
        <v>24</v>
      </c>
      <c r="DL337" s="14">
        <f t="shared" si="214"/>
        <v>3</v>
      </c>
      <c r="DM337" s="14">
        <f t="shared" si="215"/>
        <v>0</v>
      </c>
      <c r="DN337" s="14" t="str">
        <f t="shared" si="233"/>
        <v>HPExt</v>
      </c>
      <c r="DO337" s="14">
        <f t="shared" si="234"/>
        <v>1500</v>
      </c>
      <c r="DP337" s="14">
        <f t="shared" si="235"/>
        <v>60</v>
      </c>
      <c r="DQ337" s="14" t="str">
        <f t="shared" si="236"/>
        <v/>
      </c>
      <c r="DR337" s="14" t="str">
        <f t="shared" si="237"/>
        <v/>
      </c>
      <c r="DS337" s="14" t="str">
        <f t="shared" si="238"/>
        <v/>
      </c>
      <c r="DT337" s="14">
        <f t="shared" si="239"/>
        <v>16</v>
      </c>
      <c r="DU337" s="14">
        <f t="shared" si="240"/>
        <v>4</v>
      </c>
      <c r="DV337" s="14">
        <f t="shared" si="241"/>
        <v>24</v>
      </c>
      <c r="DW337" s="29" t="s">
        <v>758</v>
      </c>
      <c r="DX337" s="14">
        <f t="shared" si="242"/>
        <v>300</v>
      </c>
    </row>
    <row r="338" spans="91:128" ht="16.5" x14ac:dyDescent="0.2">
      <c r="CM338" s="13">
        <v>334</v>
      </c>
      <c r="CN338" s="14">
        <f t="shared" si="216"/>
        <v>46</v>
      </c>
      <c r="CO338" s="14">
        <f t="shared" si="217"/>
        <v>6</v>
      </c>
      <c r="CP338" s="14">
        <f t="shared" si="218"/>
        <v>6</v>
      </c>
      <c r="CQ338" s="14">
        <f t="shared" si="209"/>
        <v>4</v>
      </c>
      <c r="CR338" s="14">
        <f t="shared" si="210"/>
        <v>2044066</v>
      </c>
      <c r="CS338" s="13" t="str">
        <f t="shared" si="211"/>
        <v>120级守护灵橙色套2-护手</v>
      </c>
      <c r="CT338" s="14">
        <f t="shared" si="212"/>
        <v>2</v>
      </c>
      <c r="CU338" s="14">
        <f t="shared" si="213"/>
        <v>4</v>
      </c>
      <c r="CV338" s="14">
        <f t="shared" si="219"/>
        <v>120</v>
      </c>
      <c r="CW338" s="14">
        <f t="shared" si="220"/>
        <v>120</v>
      </c>
      <c r="CX338" s="14">
        <f t="shared" si="221"/>
        <v>6</v>
      </c>
      <c r="CY338" s="14">
        <f t="shared" si="222"/>
        <v>2042</v>
      </c>
      <c r="CZ338" s="14">
        <f t="shared" si="223"/>
        <v>60</v>
      </c>
      <c r="DA338" s="14">
        <f t="shared" si="224"/>
        <v>0</v>
      </c>
      <c r="DB338" s="14">
        <f t="shared" si="225"/>
        <v>0</v>
      </c>
      <c r="DC338" s="14">
        <f t="shared" si="226"/>
        <v>1500</v>
      </c>
      <c r="DD338" s="14">
        <f t="shared" si="227"/>
        <v>0</v>
      </c>
      <c r="DE338" s="14">
        <f t="shared" si="228"/>
        <v>0</v>
      </c>
      <c r="DF338" s="14">
        <f t="shared" si="229"/>
        <v>60</v>
      </c>
      <c r="DG338" s="14">
        <f t="shared" si="230"/>
        <v>16</v>
      </c>
      <c r="DH338" s="14">
        <f t="shared" si="231"/>
        <v>4</v>
      </c>
      <c r="DI338" s="14">
        <f t="shared" si="232"/>
        <v>24</v>
      </c>
      <c r="DL338" s="14">
        <f t="shared" si="214"/>
        <v>3</v>
      </c>
      <c r="DM338" s="14">
        <f t="shared" si="215"/>
        <v>0</v>
      </c>
      <c r="DN338" s="14" t="str">
        <f t="shared" si="233"/>
        <v>HPExt</v>
      </c>
      <c r="DO338" s="14">
        <f t="shared" si="234"/>
        <v>1500</v>
      </c>
      <c r="DP338" s="14">
        <f t="shared" si="235"/>
        <v>60</v>
      </c>
      <c r="DQ338" s="14" t="str">
        <f t="shared" si="236"/>
        <v/>
      </c>
      <c r="DR338" s="14" t="str">
        <f t="shared" si="237"/>
        <v/>
      </c>
      <c r="DS338" s="14" t="str">
        <f t="shared" si="238"/>
        <v/>
      </c>
      <c r="DT338" s="14">
        <f t="shared" si="239"/>
        <v>16</v>
      </c>
      <c r="DU338" s="14">
        <f t="shared" si="240"/>
        <v>4</v>
      </c>
      <c r="DV338" s="14">
        <f t="shared" si="241"/>
        <v>24</v>
      </c>
      <c r="DW338" s="29" t="s">
        <v>758</v>
      </c>
      <c r="DX338" s="14">
        <f t="shared" si="242"/>
        <v>300</v>
      </c>
    </row>
    <row r="339" spans="91:128" ht="16.5" x14ac:dyDescent="0.2">
      <c r="CM339" s="13">
        <v>335</v>
      </c>
      <c r="CN339" s="14">
        <f t="shared" si="216"/>
        <v>47</v>
      </c>
      <c r="CO339" s="14">
        <f t="shared" si="217"/>
        <v>7</v>
      </c>
      <c r="CP339" s="14">
        <f t="shared" si="218"/>
        <v>1</v>
      </c>
      <c r="CQ339" s="14">
        <f t="shared" si="209"/>
        <v>4</v>
      </c>
      <c r="CR339" s="14">
        <f t="shared" si="210"/>
        <v>2044071</v>
      </c>
      <c r="CS339" s="13" t="str">
        <f t="shared" si="211"/>
        <v>120级寄灵人橙色套3-武器</v>
      </c>
      <c r="CT339" s="14">
        <f t="shared" si="212"/>
        <v>1</v>
      </c>
      <c r="CU339" s="14">
        <f t="shared" si="213"/>
        <v>4</v>
      </c>
      <c r="CV339" s="14">
        <f t="shared" si="219"/>
        <v>120</v>
      </c>
      <c r="CW339" s="14">
        <f t="shared" si="220"/>
        <v>120</v>
      </c>
      <c r="CX339" s="14">
        <f t="shared" si="221"/>
        <v>1</v>
      </c>
      <c r="CY339" s="14">
        <f t="shared" si="222"/>
        <v>1043</v>
      </c>
      <c r="CZ339" s="14">
        <f t="shared" si="223"/>
        <v>105</v>
      </c>
      <c r="DA339" s="14">
        <f t="shared" si="224"/>
        <v>600</v>
      </c>
      <c r="DB339" s="14">
        <f t="shared" si="225"/>
        <v>0</v>
      </c>
      <c r="DC339" s="14">
        <f t="shared" si="226"/>
        <v>0</v>
      </c>
      <c r="DD339" s="14">
        <f t="shared" si="227"/>
        <v>21</v>
      </c>
      <c r="DE339" s="14">
        <f t="shared" si="228"/>
        <v>0</v>
      </c>
      <c r="DF339" s="14">
        <f t="shared" si="229"/>
        <v>0</v>
      </c>
      <c r="DG339" s="14">
        <f t="shared" si="230"/>
        <v>16</v>
      </c>
      <c r="DH339" s="14">
        <f t="shared" si="231"/>
        <v>4</v>
      </c>
      <c r="DI339" s="14">
        <f t="shared" si="232"/>
        <v>14</v>
      </c>
      <c r="DL339" s="14">
        <f t="shared" si="214"/>
        <v>1</v>
      </c>
      <c r="DM339" s="14">
        <f t="shared" si="215"/>
        <v>0</v>
      </c>
      <c r="DN339" s="14" t="str">
        <f t="shared" si="233"/>
        <v>AtkExt</v>
      </c>
      <c r="DO339" s="14">
        <f t="shared" si="234"/>
        <v>600</v>
      </c>
      <c r="DP339" s="14">
        <f t="shared" si="235"/>
        <v>21</v>
      </c>
      <c r="DQ339" s="14" t="str">
        <f t="shared" si="236"/>
        <v/>
      </c>
      <c r="DR339" s="14" t="str">
        <f t="shared" si="237"/>
        <v/>
      </c>
      <c r="DS339" s="14" t="str">
        <f t="shared" si="238"/>
        <v/>
      </c>
      <c r="DT339" s="14">
        <f t="shared" si="239"/>
        <v>16</v>
      </c>
      <c r="DU339" s="14">
        <f t="shared" si="240"/>
        <v>4</v>
      </c>
      <c r="DV339" s="14">
        <f t="shared" si="241"/>
        <v>14</v>
      </c>
      <c r="DW339" s="29" t="s">
        <v>758</v>
      </c>
      <c r="DX339" s="14">
        <f t="shared" si="242"/>
        <v>300</v>
      </c>
    </row>
    <row r="340" spans="91:128" ht="16.5" x14ac:dyDescent="0.2">
      <c r="CM340" s="13">
        <v>336</v>
      </c>
      <c r="CN340" s="14">
        <f t="shared" si="216"/>
        <v>47</v>
      </c>
      <c r="CO340" s="14">
        <f t="shared" si="217"/>
        <v>7</v>
      </c>
      <c r="CP340" s="14">
        <f t="shared" si="218"/>
        <v>2</v>
      </c>
      <c r="CQ340" s="14">
        <f t="shared" si="209"/>
        <v>4</v>
      </c>
      <c r="CR340" s="14">
        <f t="shared" si="210"/>
        <v>2044074</v>
      </c>
      <c r="CS340" s="13" t="str">
        <f t="shared" si="211"/>
        <v>120级寄灵人橙色套3-衣服</v>
      </c>
      <c r="CT340" s="14">
        <f t="shared" si="212"/>
        <v>1</v>
      </c>
      <c r="CU340" s="14">
        <f t="shared" si="213"/>
        <v>4</v>
      </c>
      <c r="CV340" s="14">
        <f t="shared" si="219"/>
        <v>120</v>
      </c>
      <c r="CW340" s="14">
        <f t="shared" si="220"/>
        <v>120</v>
      </c>
      <c r="CX340" s="14">
        <f t="shared" si="221"/>
        <v>4</v>
      </c>
      <c r="CY340" s="14">
        <f t="shared" si="222"/>
        <v>1043</v>
      </c>
      <c r="CZ340" s="14">
        <f t="shared" si="223"/>
        <v>52</v>
      </c>
      <c r="DA340" s="14">
        <f t="shared" si="224"/>
        <v>0</v>
      </c>
      <c r="DB340" s="14">
        <f t="shared" si="225"/>
        <v>150</v>
      </c>
      <c r="DC340" s="14">
        <f t="shared" si="226"/>
        <v>0</v>
      </c>
      <c r="DD340" s="14">
        <f t="shared" si="227"/>
        <v>0</v>
      </c>
      <c r="DE340" s="14">
        <f t="shared" si="228"/>
        <v>5.25</v>
      </c>
      <c r="DF340" s="14">
        <f t="shared" si="229"/>
        <v>0</v>
      </c>
      <c r="DG340" s="14">
        <f t="shared" si="230"/>
        <v>16</v>
      </c>
      <c r="DH340" s="14">
        <f t="shared" si="231"/>
        <v>4</v>
      </c>
      <c r="DI340" s="14">
        <f t="shared" si="232"/>
        <v>14</v>
      </c>
      <c r="DL340" s="14">
        <f t="shared" si="214"/>
        <v>2</v>
      </c>
      <c r="DM340" s="14">
        <f t="shared" si="215"/>
        <v>0</v>
      </c>
      <c r="DN340" s="14" t="str">
        <f t="shared" si="233"/>
        <v>DefExt</v>
      </c>
      <c r="DO340" s="14">
        <f t="shared" si="234"/>
        <v>150</v>
      </c>
      <c r="DP340" s="14">
        <f t="shared" si="235"/>
        <v>5.25</v>
      </c>
      <c r="DQ340" s="14" t="str">
        <f t="shared" si="236"/>
        <v/>
      </c>
      <c r="DR340" s="14" t="str">
        <f t="shared" si="237"/>
        <v/>
      </c>
      <c r="DS340" s="14" t="str">
        <f t="shared" si="238"/>
        <v/>
      </c>
      <c r="DT340" s="14">
        <f t="shared" si="239"/>
        <v>16</v>
      </c>
      <c r="DU340" s="14">
        <f t="shared" si="240"/>
        <v>4</v>
      </c>
      <c r="DV340" s="14">
        <f t="shared" si="241"/>
        <v>14</v>
      </c>
      <c r="DW340" s="29" t="s">
        <v>758</v>
      </c>
      <c r="DX340" s="14">
        <f t="shared" si="242"/>
        <v>300</v>
      </c>
    </row>
    <row r="341" spans="91:128" ht="16.5" x14ac:dyDescent="0.2">
      <c r="CM341" s="13">
        <v>337</v>
      </c>
      <c r="CN341" s="14">
        <f t="shared" si="216"/>
        <v>47</v>
      </c>
      <c r="CO341" s="14">
        <f t="shared" si="217"/>
        <v>7</v>
      </c>
      <c r="CP341" s="14">
        <f t="shared" si="218"/>
        <v>3</v>
      </c>
      <c r="CQ341" s="14">
        <f t="shared" si="209"/>
        <v>4</v>
      </c>
      <c r="CR341" s="14">
        <f t="shared" si="210"/>
        <v>2044075</v>
      </c>
      <c r="CS341" s="13" t="str">
        <f t="shared" si="211"/>
        <v>120级寄灵人橙色套3-鞋子</v>
      </c>
      <c r="CT341" s="14">
        <f t="shared" si="212"/>
        <v>1</v>
      </c>
      <c r="CU341" s="14">
        <f t="shared" si="213"/>
        <v>4</v>
      </c>
      <c r="CV341" s="14">
        <f t="shared" si="219"/>
        <v>120</v>
      </c>
      <c r="CW341" s="14">
        <f t="shared" si="220"/>
        <v>120</v>
      </c>
      <c r="CX341" s="14">
        <f t="shared" si="221"/>
        <v>5</v>
      </c>
      <c r="CY341" s="14">
        <f t="shared" si="222"/>
        <v>1043</v>
      </c>
      <c r="CZ341" s="14">
        <f t="shared" si="223"/>
        <v>30</v>
      </c>
      <c r="DA341" s="14">
        <f t="shared" si="224"/>
        <v>0</v>
      </c>
      <c r="DB341" s="14">
        <f t="shared" si="225"/>
        <v>0</v>
      </c>
      <c r="DC341" s="14">
        <f t="shared" si="226"/>
        <v>900</v>
      </c>
      <c r="DD341" s="14">
        <f t="shared" si="227"/>
        <v>0</v>
      </c>
      <c r="DE341" s="14">
        <f t="shared" si="228"/>
        <v>0</v>
      </c>
      <c r="DF341" s="14">
        <f t="shared" si="229"/>
        <v>30</v>
      </c>
      <c r="DG341" s="14">
        <f t="shared" si="230"/>
        <v>16</v>
      </c>
      <c r="DH341" s="14">
        <f t="shared" si="231"/>
        <v>4</v>
      </c>
      <c r="DI341" s="14">
        <f t="shared" si="232"/>
        <v>14</v>
      </c>
      <c r="DL341" s="14">
        <f t="shared" si="214"/>
        <v>3</v>
      </c>
      <c r="DM341" s="14">
        <f t="shared" si="215"/>
        <v>0</v>
      </c>
      <c r="DN341" s="14" t="str">
        <f t="shared" si="233"/>
        <v>HPExt</v>
      </c>
      <c r="DO341" s="14">
        <f t="shared" si="234"/>
        <v>900</v>
      </c>
      <c r="DP341" s="14">
        <f t="shared" si="235"/>
        <v>30</v>
      </c>
      <c r="DQ341" s="14" t="str">
        <f t="shared" si="236"/>
        <v/>
      </c>
      <c r="DR341" s="14" t="str">
        <f t="shared" si="237"/>
        <v/>
      </c>
      <c r="DS341" s="14" t="str">
        <f t="shared" si="238"/>
        <v/>
      </c>
      <c r="DT341" s="14">
        <f t="shared" si="239"/>
        <v>16</v>
      </c>
      <c r="DU341" s="14">
        <f t="shared" si="240"/>
        <v>4</v>
      </c>
      <c r="DV341" s="14">
        <f t="shared" si="241"/>
        <v>14</v>
      </c>
      <c r="DW341" s="29" t="s">
        <v>758</v>
      </c>
      <c r="DX341" s="14">
        <f t="shared" si="242"/>
        <v>300</v>
      </c>
    </row>
    <row r="342" spans="91:128" ht="16.5" x14ac:dyDescent="0.2">
      <c r="CM342" s="13">
        <v>338</v>
      </c>
      <c r="CN342" s="14">
        <f t="shared" si="216"/>
        <v>47</v>
      </c>
      <c r="CO342" s="14">
        <f t="shared" si="217"/>
        <v>7</v>
      </c>
      <c r="CP342" s="14">
        <f t="shared" si="218"/>
        <v>4</v>
      </c>
      <c r="CQ342" s="14">
        <f t="shared" si="209"/>
        <v>4</v>
      </c>
      <c r="CR342" s="14">
        <f t="shared" si="210"/>
        <v>2044076</v>
      </c>
      <c r="CS342" s="13" t="str">
        <f t="shared" si="211"/>
        <v>120级寄灵人橙色套3-护手</v>
      </c>
      <c r="CT342" s="14">
        <f t="shared" si="212"/>
        <v>1</v>
      </c>
      <c r="CU342" s="14">
        <f t="shared" si="213"/>
        <v>4</v>
      </c>
      <c r="CV342" s="14">
        <f t="shared" si="219"/>
        <v>120</v>
      </c>
      <c r="CW342" s="14">
        <f t="shared" si="220"/>
        <v>120</v>
      </c>
      <c r="CX342" s="14">
        <f t="shared" si="221"/>
        <v>6</v>
      </c>
      <c r="CY342" s="14">
        <f t="shared" si="222"/>
        <v>1043</v>
      </c>
      <c r="CZ342" s="14">
        <f t="shared" si="223"/>
        <v>30</v>
      </c>
      <c r="DA342" s="14">
        <f t="shared" si="224"/>
        <v>0</v>
      </c>
      <c r="DB342" s="14">
        <f t="shared" si="225"/>
        <v>0</v>
      </c>
      <c r="DC342" s="14">
        <f t="shared" si="226"/>
        <v>900</v>
      </c>
      <c r="DD342" s="14">
        <f t="shared" si="227"/>
        <v>0</v>
      </c>
      <c r="DE342" s="14">
        <f t="shared" si="228"/>
        <v>0</v>
      </c>
      <c r="DF342" s="14">
        <f t="shared" si="229"/>
        <v>30</v>
      </c>
      <c r="DG342" s="14">
        <f t="shared" si="230"/>
        <v>16</v>
      </c>
      <c r="DH342" s="14">
        <f t="shared" si="231"/>
        <v>4</v>
      </c>
      <c r="DI342" s="14">
        <f t="shared" si="232"/>
        <v>14</v>
      </c>
      <c r="DL342" s="14">
        <f t="shared" si="214"/>
        <v>3</v>
      </c>
      <c r="DM342" s="14">
        <f t="shared" si="215"/>
        <v>0</v>
      </c>
      <c r="DN342" s="14" t="str">
        <f t="shared" si="233"/>
        <v>HPExt</v>
      </c>
      <c r="DO342" s="14">
        <f t="shared" si="234"/>
        <v>900</v>
      </c>
      <c r="DP342" s="14">
        <f t="shared" si="235"/>
        <v>30</v>
      </c>
      <c r="DQ342" s="14" t="str">
        <f t="shared" si="236"/>
        <v/>
      </c>
      <c r="DR342" s="14" t="str">
        <f t="shared" si="237"/>
        <v/>
      </c>
      <c r="DS342" s="14" t="str">
        <f t="shared" si="238"/>
        <v/>
      </c>
      <c r="DT342" s="14">
        <f t="shared" si="239"/>
        <v>16</v>
      </c>
      <c r="DU342" s="14">
        <f t="shared" si="240"/>
        <v>4</v>
      </c>
      <c r="DV342" s="14">
        <f t="shared" si="241"/>
        <v>14</v>
      </c>
      <c r="DW342" s="29" t="s">
        <v>758</v>
      </c>
      <c r="DX342" s="14">
        <f t="shared" si="242"/>
        <v>300</v>
      </c>
    </row>
    <row r="343" spans="91:128" ht="16.5" x14ac:dyDescent="0.2">
      <c r="CM343" s="13">
        <v>339</v>
      </c>
      <c r="CN343" s="14">
        <f t="shared" si="216"/>
        <v>47</v>
      </c>
      <c r="CO343" s="14">
        <f t="shared" si="217"/>
        <v>7</v>
      </c>
      <c r="CP343" s="14">
        <f t="shared" si="218"/>
        <v>5</v>
      </c>
      <c r="CQ343" s="14">
        <f t="shared" si="209"/>
        <v>4</v>
      </c>
      <c r="CR343" s="14">
        <f t="shared" si="210"/>
        <v>2044077</v>
      </c>
      <c r="CS343" s="13" t="str">
        <f t="shared" si="211"/>
        <v>120级寄灵人橙色套3-项链</v>
      </c>
      <c r="CT343" s="14">
        <f t="shared" si="212"/>
        <v>1</v>
      </c>
      <c r="CU343" s="14">
        <f t="shared" si="213"/>
        <v>4</v>
      </c>
      <c r="CV343" s="14">
        <f t="shared" si="219"/>
        <v>120</v>
      </c>
      <c r="CW343" s="14">
        <f t="shared" si="220"/>
        <v>120</v>
      </c>
      <c r="CX343" s="14">
        <f t="shared" si="221"/>
        <v>7</v>
      </c>
      <c r="CY343" s="14">
        <f t="shared" si="222"/>
        <v>1043</v>
      </c>
      <c r="CZ343" s="14">
        <f t="shared" si="223"/>
        <v>78</v>
      </c>
      <c r="DA343" s="14">
        <f t="shared" si="224"/>
        <v>200</v>
      </c>
      <c r="DB343" s="14">
        <f t="shared" si="225"/>
        <v>125</v>
      </c>
      <c r="DC343" s="14">
        <f t="shared" si="226"/>
        <v>0</v>
      </c>
      <c r="DD343" s="14">
        <f t="shared" si="227"/>
        <v>7</v>
      </c>
      <c r="DE343" s="14">
        <f t="shared" si="228"/>
        <v>4.38</v>
      </c>
      <c r="DF343" s="14">
        <f t="shared" si="229"/>
        <v>0</v>
      </c>
      <c r="DG343" s="14">
        <f t="shared" si="230"/>
        <v>16</v>
      </c>
      <c r="DH343" s="14">
        <f t="shared" si="231"/>
        <v>4</v>
      </c>
      <c r="DI343" s="14">
        <f t="shared" si="232"/>
        <v>14</v>
      </c>
      <c r="DL343" s="14">
        <f t="shared" si="214"/>
        <v>1</v>
      </c>
      <c r="DM343" s="14">
        <f t="shared" si="215"/>
        <v>2</v>
      </c>
      <c r="DN343" s="14" t="str">
        <f t="shared" si="233"/>
        <v>AtkExt</v>
      </c>
      <c r="DO343" s="14">
        <f t="shared" si="234"/>
        <v>200</v>
      </c>
      <c r="DP343" s="14">
        <f t="shared" si="235"/>
        <v>7</v>
      </c>
      <c r="DQ343" s="14" t="str">
        <f t="shared" si="236"/>
        <v>DefExt</v>
      </c>
      <c r="DR343" s="14">
        <f t="shared" si="237"/>
        <v>125</v>
      </c>
      <c r="DS343" s="14">
        <f t="shared" si="238"/>
        <v>4.38</v>
      </c>
      <c r="DT343" s="14">
        <f t="shared" si="239"/>
        <v>16</v>
      </c>
      <c r="DU343" s="14">
        <f t="shared" si="240"/>
        <v>4</v>
      </c>
      <c r="DV343" s="14">
        <f t="shared" si="241"/>
        <v>14</v>
      </c>
      <c r="DW343" s="29" t="s">
        <v>758</v>
      </c>
      <c r="DX343" s="14">
        <f t="shared" si="242"/>
        <v>300</v>
      </c>
    </row>
    <row r="344" spans="91:128" ht="16.5" x14ac:dyDescent="0.2">
      <c r="CM344" s="13">
        <v>340</v>
      </c>
      <c r="CN344" s="14">
        <f t="shared" si="216"/>
        <v>47</v>
      </c>
      <c r="CO344" s="14">
        <f t="shared" si="217"/>
        <v>7</v>
      </c>
      <c r="CP344" s="14">
        <f t="shared" si="218"/>
        <v>6</v>
      </c>
      <c r="CQ344" s="14">
        <f t="shared" si="209"/>
        <v>4</v>
      </c>
      <c r="CR344" s="14">
        <f t="shared" si="210"/>
        <v>2044078</v>
      </c>
      <c r="CS344" s="13" t="str">
        <f t="shared" si="211"/>
        <v>120级寄灵人橙色套3-戒指</v>
      </c>
      <c r="CT344" s="14">
        <f t="shared" si="212"/>
        <v>1</v>
      </c>
      <c r="CU344" s="14">
        <f t="shared" si="213"/>
        <v>4</v>
      </c>
      <c r="CV344" s="14">
        <f t="shared" si="219"/>
        <v>120</v>
      </c>
      <c r="CW344" s="14">
        <f t="shared" si="220"/>
        <v>120</v>
      </c>
      <c r="CX344" s="14">
        <f t="shared" si="221"/>
        <v>8</v>
      </c>
      <c r="CY344" s="14">
        <f t="shared" si="222"/>
        <v>1043</v>
      </c>
      <c r="CZ344" s="14">
        <f t="shared" si="223"/>
        <v>60</v>
      </c>
      <c r="DA344" s="14">
        <f t="shared" si="224"/>
        <v>200</v>
      </c>
      <c r="DB344" s="14">
        <f t="shared" si="225"/>
        <v>0</v>
      </c>
      <c r="DC344" s="14">
        <f t="shared" si="226"/>
        <v>750</v>
      </c>
      <c r="DD344" s="14">
        <f t="shared" si="227"/>
        <v>7</v>
      </c>
      <c r="DE344" s="14">
        <f t="shared" si="228"/>
        <v>0</v>
      </c>
      <c r="DF344" s="14">
        <f t="shared" si="229"/>
        <v>25</v>
      </c>
      <c r="DG344" s="14">
        <f t="shared" si="230"/>
        <v>16</v>
      </c>
      <c r="DH344" s="14">
        <f t="shared" si="231"/>
        <v>4</v>
      </c>
      <c r="DI344" s="14">
        <f t="shared" si="232"/>
        <v>14</v>
      </c>
      <c r="DL344" s="14">
        <f t="shared" si="214"/>
        <v>1</v>
      </c>
      <c r="DM344" s="14">
        <f t="shared" si="215"/>
        <v>3</v>
      </c>
      <c r="DN344" s="14" t="str">
        <f t="shared" si="233"/>
        <v>AtkExt</v>
      </c>
      <c r="DO344" s="14">
        <f t="shared" si="234"/>
        <v>200</v>
      </c>
      <c r="DP344" s="14">
        <f t="shared" si="235"/>
        <v>7</v>
      </c>
      <c r="DQ344" s="14" t="str">
        <f t="shared" si="236"/>
        <v>HPExt</v>
      </c>
      <c r="DR344" s="14">
        <f t="shared" si="237"/>
        <v>750</v>
      </c>
      <c r="DS344" s="14">
        <f t="shared" si="238"/>
        <v>25</v>
      </c>
      <c r="DT344" s="14">
        <f t="shared" si="239"/>
        <v>16</v>
      </c>
      <c r="DU344" s="14">
        <f t="shared" si="240"/>
        <v>4</v>
      </c>
      <c r="DV344" s="14">
        <f t="shared" si="241"/>
        <v>14</v>
      </c>
      <c r="DW344" s="29" t="s">
        <v>758</v>
      </c>
      <c r="DX344" s="14">
        <f t="shared" si="242"/>
        <v>300</v>
      </c>
    </row>
    <row r="345" spans="91:128" ht="16.5" x14ac:dyDescent="0.2">
      <c r="CM345" s="13">
        <v>341</v>
      </c>
      <c r="CN345" s="14">
        <f t="shared" si="216"/>
        <v>48</v>
      </c>
      <c r="CO345" s="14">
        <f t="shared" si="217"/>
        <v>8</v>
      </c>
      <c r="CP345" s="14">
        <f t="shared" si="218"/>
        <v>1</v>
      </c>
      <c r="CQ345" s="14">
        <f t="shared" si="209"/>
        <v>4</v>
      </c>
      <c r="CR345" s="14">
        <f t="shared" si="210"/>
        <v>2044081</v>
      </c>
      <c r="CS345" s="13" t="str">
        <f t="shared" si="211"/>
        <v>120级守护灵橙色套3-武器</v>
      </c>
      <c r="CT345" s="14">
        <f t="shared" si="212"/>
        <v>2</v>
      </c>
      <c r="CU345" s="14">
        <f t="shared" si="213"/>
        <v>4</v>
      </c>
      <c r="CV345" s="14">
        <f t="shared" si="219"/>
        <v>120</v>
      </c>
      <c r="CW345" s="14">
        <f t="shared" si="220"/>
        <v>120</v>
      </c>
      <c r="CX345" s="14">
        <f t="shared" si="221"/>
        <v>1</v>
      </c>
      <c r="CY345" s="14">
        <f t="shared" si="222"/>
        <v>2043</v>
      </c>
      <c r="CZ345" s="14">
        <f t="shared" si="223"/>
        <v>105</v>
      </c>
      <c r="DA345" s="14">
        <f t="shared" si="224"/>
        <v>600</v>
      </c>
      <c r="DB345" s="14">
        <f t="shared" si="225"/>
        <v>0</v>
      </c>
      <c r="DC345" s="14">
        <f t="shared" si="226"/>
        <v>0</v>
      </c>
      <c r="DD345" s="14">
        <f t="shared" si="227"/>
        <v>21</v>
      </c>
      <c r="DE345" s="14">
        <f t="shared" si="228"/>
        <v>0</v>
      </c>
      <c r="DF345" s="14">
        <f t="shared" si="229"/>
        <v>0</v>
      </c>
      <c r="DG345" s="14">
        <f t="shared" si="230"/>
        <v>16</v>
      </c>
      <c r="DH345" s="14">
        <f t="shared" si="231"/>
        <v>4</v>
      </c>
      <c r="DI345" s="14">
        <f t="shared" si="232"/>
        <v>24</v>
      </c>
      <c r="DL345" s="14">
        <f t="shared" si="214"/>
        <v>1</v>
      </c>
      <c r="DM345" s="14">
        <f t="shared" si="215"/>
        <v>0</v>
      </c>
      <c r="DN345" s="14" t="str">
        <f t="shared" si="233"/>
        <v>AtkExt</v>
      </c>
      <c r="DO345" s="14">
        <f t="shared" si="234"/>
        <v>600</v>
      </c>
      <c r="DP345" s="14">
        <f t="shared" si="235"/>
        <v>21</v>
      </c>
      <c r="DQ345" s="14" t="str">
        <f t="shared" si="236"/>
        <v/>
      </c>
      <c r="DR345" s="14" t="str">
        <f t="shared" si="237"/>
        <v/>
      </c>
      <c r="DS345" s="14" t="str">
        <f t="shared" si="238"/>
        <v/>
      </c>
      <c r="DT345" s="14">
        <f t="shared" si="239"/>
        <v>16</v>
      </c>
      <c r="DU345" s="14">
        <f t="shared" si="240"/>
        <v>4</v>
      </c>
      <c r="DV345" s="14">
        <f t="shared" si="241"/>
        <v>24</v>
      </c>
      <c r="DW345" s="29" t="s">
        <v>758</v>
      </c>
      <c r="DX345" s="14">
        <f t="shared" si="242"/>
        <v>300</v>
      </c>
    </row>
    <row r="346" spans="91:128" ht="16.5" x14ac:dyDescent="0.2">
      <c r="CM346" s="13">
        <v>342</v>
      </c>
      <c r="CN346" s="14">
        <f t="shared" si="216"/>
        <v>48</v>
      </c>
      <c r="CO346" s="14">
        <f t="shared" si="217"/>
        <v>8</v>
      </c>
      <c r="CP346" s="14">
        <f t="shared" si="218"/>
        <v>2</v>
      </c>
      <c r="CQ346" s="14">
        <f t="shared" si="209"/>
        <v>4</v>
      </c>
      <c r="CR346" s="14">
        <f t="shared" si="210"/>
        <v>2044084</v>
      </c>
      <c r="CS346" s="13" t="str">
        <f t="shared" si="211"/>
        <v>120级守护灵橙色套3-衣服</v>
      </c>
      <c r="CT346" s="14">
        <f t="shared" si="212"/>
        <v>2</v>
      </c>
      <c r="CU346" s="14">
        <f t="shared" si="213"/>
        <v>4</v>
      </c>
      <c r="CV346" s="14">
        <f t="shared" si="219"/>
        <v>120</v>
      </c>
      <c r="CW346" s="14">
        <f t="shared" si="220"/>
        <v>120</v>
      </c>
      <c r="CX346" s="14">
        <f t="shared" si="221"/>
        <v>4</v>
      </c>
      <c r="CY346" s="14">
        <f t="shared" si="222"/>
        <v>2043</v>
      </c>
      <c r="CZ346" s="14">
        <f t="shared" si="223"/>
        <v>54</v>
      </c>
      <c r="DA346" s="14">
        <f t="shared" si="224"/>
        <v>0</v>
      </c>
      <c r="DB346" s="14">
        <f t="shared" si="225"/>
        <v>150</v>
      </c>
      <c r="DC346" s="14">
        <f t="shared" si="226"/>
        <v>0</v>
      </c>
      <c r="DD346" s="14">
        <f t="shared" si="227"/>
        <v>0</v>
      </c>
      <c r="DE346" s="14">
        <f t="shared" si="228"/>
        <v>5.4</v>
      </c>
      <c r="DF346" s="14">
        <f t="shared" si="229"/>
        <v>0</v>
      </c>
      <c r="DG346" s="14">
        <f t="shared" si="230"/>
        <v>16</v>
      </c>
      <c r="DH346" s="14">
        <f t="shared" si="231"/>
        <v>4</v>
      </c>
      <c r="DI346" s="14">
        <f t="shared" si="232"/>
        <v>24</v>
      </c>
      <c r="DL346" s="14">
        <f t="shared" si="214"/>
        <v>2</v>
      </c>
      <c r="DM346" s="14">
        <f t="shared" si="215"/>
        <v>0</v>
      </c>
      <c r="DN346" s="14" t="str">
        <f t="shared" si="233"/>
        <v>DefExt</v>
      </c>
      <c r="DO346" s="14">
        <f t="shared" si="234"/>
        <v>150</v>
      </c>
      <c r="DP346" s="14">
        <f t="shared" si="235"/>
        <v>5.4</v>
      </c>
      <c r="DQ346" s="14" t="str">
        <f t="shared" si="236"/>
        <v/>
      </c>
      <c r="DR346" s="14" t="str">
        <f t="shared" si="237"/>
        <v/>
      </c>
      <c r="DS346" s="14" t="str">
        <f t="shared" si="238"/>
        <v/>
      </c>
      <c r="DT346" s="14">
        <f t="shared" si="239"/>
        <v>16</v>
      </c>
      <c r="DU346" s="14">
        <f t="shared" si="240"/>
        <v>4</v>
      </c>
      <c r="DV346" s="14">
        <f t="shared" si="241"/>
        <v>24</v>
      </c>
      <c r="DW346" s="29" t="s">
        <v>758</v>
      </c>
      <c r="DX346" s="14">
        <f t="shared" si="242"/>
        <v>300</v>
      </c>
    </row>
    <row r="347" spans="91:128" ht="16.5" x14ac:dyDescent="0.2">
      <c r="CM347" s="13">
        <v>343</v>
      </c>
      <c r="CN347" s="14">
        <f t="shared" si="216"/>
        <v>48</v>
      </c>
      <c r="CO347" s="14">
        <f t="shared" si="217"/>
        <v>8</v>
      </c>
      <c r="CP347" s="14">
        <f t="shared" si="218"/>
        <v>3</v>
      </c>
      <c r="CQ347" s="14">
        <f t="shared" si="209"/>
        <v>4</v>
      </c>
      <c r="CR347" s="14">
        <f t="shared" si="210"/>
        <v>2044085</v>
      </c>
      <c r="CS347" s="13" t="str">
        <f t="shared" si="211"/>
        <v>120级守护灵橙色套3-鞋子</v>
      </c>
      <c r="CT347" s="14">
        <f t="shared" si="212"/>
        <v>2</v>
      </c>
      <c r="CU347" s="14">
        <f t="shared" si="213"/>
        <v>4</v>
      </c>
      <c r="CV347" s="14">
        <f t="shared" si="219"/>
        <v>120</v>
      </c>
      <c r="CW347" s="14">
        <f t="shared" si="220"/>
        <v>120</v>
      </c>
      <c r="CX347" s="14">
        <f t="shared" si="221"/>
        <v>5</v>
      </c>
      <c r="CY347" s="14">
        <f t="shared" si="222"/>
        <v>2043</v>
      </c>
      <c r="CZ347" s="14">
        <f t="shared" si="223"/>
        <v>60</v>
      </c>
      <c r="DA347" s="14">
        <f t="shared" si="224"/>
        <v>0</v>
      </c>
      <c r="DB347" s="14">
        <f t="shared" si="225"/>
        <v>0</v>
      </c>
      <c r="DC347" s="14">
        <f t="shared" si="226"/>
        <v>1500</v>
      </c>
      <c r="DD347" s="14">
        <f t="shared" si="227"/>
        <v>0</v>
      </c>
      <c r="DE347" s="14">
        <f t="shared" si="228"/>
        <v>0</v>
      </c>
      <c r="DF347" s="14">
        <f t="shared" si="229"/>
        <v>60</v>
      </c>
      <c r="DG347" s="14">
        <f t="shared" si="230"/>
        <v>16</v>
      </c>
      <c r="DH347" s="14">
        <f t="shared" si="231"/>
        <v>4</v>
      </c>
      <c r="DI347" s="14">
        <f t="shared" si="232"/>
        <v>24</v>
      </c>
      <c r="DL347" s="14">
        <f t="shared" si="214"/>
        <v>3</v>
      </c>
      <c r="DM347" s="14">
        <f t="shared" si="215"/>
        <v>0</v>
      </c>
      <c r="DN347" s="14" t="str">
        <f t="shared" si="233"/>
        <v>HPExt</v>
      </c>
      <c r="DO347" s="14">
        <f t="shared" si="234"/>
        <v>1500</v>
      </c>
      <c r="DP347" s="14">
        <f t="shared" si="235"/>
        <v>60</v>
      </c>
      <c r="DQ347" s="14" t="str">
        <f t="shared" si="236"/>
        <v/>
      </c>
      <c r="DR347" s="14" t="str">
        <f t="shared" si="237"/>
        <v/>
      </c>
      <c r="DS347" s="14" t="str">
        <f t="shared" si="238"/>
        <v/>
      </c>
      <c r="DT347" s="14">
        <f t="shared" si="239"/>
        <v>16</v>
      </c>
      <c r="DU347" s="14">
        <f t="shared" si="240"/>
        <v>4</v>
      </c>
      <c r="DV347" s="14">
        <f t="shared" si="241"/>
        <v>24</v>
      </c>
      <c r="DW347" s="29" t="s">
        <v>758</v>
      </c>
      <c r="DX347" s="14">
        <f t="shared" si="242"/>
        <v>300</v>
      </c>
    </row>
    <row r="348" spans="91:128" ht="16.5" x14ac:dyDescent="0.2">
      <c r="CM348" s="13">
        <v>344</v>
      </c>
      <c r="CN348" s="14">
        <f t="shared" si="216"/>
        <v>48</v>
      </c>
      <c r="CO348" s="14">
        <f t="shared" si="217"/>
        <v>8</v>
      </c>
      <c r="CP348" s="14">
        <f t="shared" si="218"/>
        <v>4</v>
      </c>
      <c r="CQ348" s="14">
        <f t="shared" si="209"/>
        <v>4</v>
      </c>
      <c r="CR348" s="14">
        <f t="shared" si="210"/>
        <v>2044086</v>
      </c>
      <c r="CS348" s="13" t="str">
        <f t="shared" si="211"/>
        <v>120级守护灵橙色套3-护手</v>
      </c>
      <c r="CT348" s="14">
        <f t="shared" si="212"/>
        <v>2</v>
      </c>
      <c r="CU348" s="14">
        <f t="shared" si="213"/>
        <v>4</v>
      </c>
      <c r="CV348" s="14">
        <f t="shared" si="219"/>
        <v>120</v>
      </c>
      <c r="CW348" s="14">
        <f t="shared" si="220"/>
        <v>120</v>
      </c>
      <c r="CX348" s="14">
        <f t="shared" si="221"/>
        <v>6</v>
      </c>
      <c r="CY348" s="14">
        <f t="shared" si="222"/>
        <v>2043</v>
      </c>
      <c r="CZ348" s="14">
        <f t="shared" si="223"/>
        <v>60</v>
      </c>
      <c r="DA348" s="14">
        <f t="shared" si="224"/>
        <v>0</v>
      </c>
      <c r="DB348" s="14">
        <f t="shared" si="225"/>
        <v>0</v>
      </c>
      <c r="DC348" s="14">
        <f t="shared" si="226"/>
        <v>1500</v>
      </c>
      <c r="DD348" s="14">
        <f t="shared" si="227"/>
        <v>0</v>
      </c>
      <c r="DE348" s="14">
        <f t="shared" si="228"/>
        <v>0</v>
      </c>
      <c r="DF348" s="14">
        <f t="shared" si="229"/>
        <v>60</v>
      </c>
      <c r="DG348" s="14">
        <f t="shared" si="230"/>
        <v>16</v>
      </c>
      <c r="DH348" s="14">
        <f t="shared" si="231"/>
        <v>4</v>
      </c>
      <c r="DI348" s="14">
        <f t="shared" si="232"/>
        <v>24</v>
      </c>
      <c r="DL348" s="14">
        <f t="shared" si="214"/>
        <v>3</v>
      </c>
      <c r="DM348" s="14">
        <f t="shared" si="215"/>
        <v>0</v>
      </c>
      <c r="DN348" s="14" t="str">
        <f t="shared" si="233"/>
        <v>HPExt</v>
      </c>
      <c r="DO348" s="14">
        <f t="shared" si="234"/>
        <v>1500</v>
      </c>
      <c r="DP348" s="14">
        <f t="shared" si="235"/>
        <v>60</v>
      </c>
      <c r="DQ348" s="14" t="str">
        <f t="shared" si="236"/>
        <v/>
      </c>
      <c r="DR348" s="14" t="str">
        <f t="shared" si="237"/>
        <v/>
      </c>
      <c r="DS348" s="14" t="str">
        <f t="shared" si="238"/>
        <v/>
      </c>
      <c r="DT348" s="14">
        <f t="shared" si="239"/>
        <v>16</v>
      </c>
      <c r="DU348" s="14">
        <f t="shared" si="240"/>
        <v>4</v>
      </c>
      <c r="DV348" s="14">
        <f t="shared" si="241"/>
        <v>24</v>
      </c>
      <c r="DW348" s="29" t="s">
        <v>758</v>
      </c>
      <c r="DX348" s="14">
        <f t="shared" si="242"/>
        <v>300</v>
      </c>
    </row>
    <row r="349" spans="91:128" ht="16.5" x14ac:dyDescent="0.2">
      <c r="CM349" s="13">
        <v>345</v>
      </c>
      <c r="CN349" s="14">
        <f t="shared" si="216"/>
        <v>48</v>
      </c>
      <c r="CO349" s="14">
        <f t="shared" si="217"/>
        <v>8</v>
      </c>
      <c r="CP349" s="14">
        <f t="shared" si="218"/>
        <v>5</v>
      </c>
      <c r="CQ349" s="14">
        <f t="shared" si="209"/>
        <v>4</v>
      </c>
      <c r="CR349" s="14">
        <f t="shared" si="210"/>
        <v>2044087</v>
      </c>
      <c r="CS349" s="13" t="str">
        <f t="shared" si="211"/>
        <v>120级守护灵橙色套3-项链</v>
      </c>
      <c r="CT349" s="14">
        <f t="shared" si="212"/>
        <v>2</v>
      </c>
      <c r="CU349" s="14">
        <f t="shared" si="213"/>
        <v>4</v>
      </c>
      <c r="CV349" s="14">
        <f t="shared" si="219"/>
        <v>120</v>
      </c>
      <c r="CW349" s="14">
        <f t="shared" si="220"/>
        <v>120</v>
      </c>
      <c r="CX349" s="14">
        <f t="shared" si="221"/>
        <v>7</v>
      </c>
      <c r="CY349" s="14">
        <f t="shared" si="222"/>
        <v>2043</v>
      </c>
      <c r="CZ349" s="14">
        <f t="shared" si="223"/>
        <v>80</v>
      </c>
      <c r="DA349" s="14">
        <f t="shared" si="224"/>
        <v>200</v>
      </c>
      <c r="DB349" s="14">
        <f t="shared" si="225"/>
        <v>125</v>
      </c>
      <c r="DC349" s="14">
        <f t="shared" si="226"/>
        <v>0</v>
      </c>
      <c r="DD349" s="14">
        <f t="shared" si="227"/>
        <v>7</v>
      </c>
      <c r="DE349" s="14">
        <f t="shared" si="228"/>
        <v>4.5</v>
      </c>
      <c r="DF349" s="14">
        <f t="shared" si="229"/>
        <v>0</v>
      </c>
      <c r="DG349" s="14">
        <f t="shared" si="230"/>
        <v>16</v>
      </c>
      <c r="DH349" s="14">
        <f t="shared" si="231"/>
        <v>4</v>
      </c>
      <c r="DI349" s="14">
        <f t="shared" si="232"/>
        <v>24</v>
      </c>
      <c r="DL349" s="14">
        <f t="shared" si="214"/>
        <v>1</v>
      </c>
      <c r="DM349" s="14">
        <f t="shared" si="215"/>
        <v>2</v>
      </c>
      <c r="DN349" s="14" t="str">
        <f t="shared" si="233"/>
        <v>AtkExt</v>
      </c>
      <c r="DO349" s="14">
        <f t="shared" si="234"/>
        <v>200</v>
      </c>
      <c r="DP349" s="14">
        <f t="shared" si="235"/>
        <v>7</v>
      </c>
      <c r="DQ349" s="14" t="str">
        <f t="shared" si="236"/>
        <v>DefExt</v>
      </c>
      <c r="DR349" s="14">
        <f t="shared" si="237"/>
        <v>125</v>
      </c>
      <c r="DS349" s="14">
        <f t="shared" si="238"/>
        <v>4.5</v>
      </c>
      <c r="DT349" s="14">
        <f t="shared" si="239"/>
        <v>16</v>
      </c>
      <c r="DU349" s="14">
        <f t="shared" si="240"/>
        <v>4</v>
      </c>
      <c r="DV349" s="14">
        <f t="shared" si="241"/>
        <v>24</v>
      </c>
      <c r="DW349" s="29" t="s">
        <v>758</v>
      </c>
      <c r="DX349" s="14">
        <f t="shared" si="242"/>
        <v>300</v>
      </c>
    </row>
    <row r="350" spans="91:128" ht="16.5" x14ac:dyDescent="0.2">
      <c r="CM350" s="13">
        <v>346</v>
      </c>
      <c r="CN350" s="14">
        <f t="shared" si="216"/>
        <v>48</v>
      </c>
      <c r="CO350" s="14">
        <f t="shared" si="217"/>
        <v>8</v>
      </c>
      <c r="CP350" s="14">
        <f t="shared" si="218"/>
        <v>6</v>
      </c>
      <c r="CQ350" s="14">
        <f t="shared" si="209"/>
        <v>4</v>
      </c>
      <c r="CR350" s="14">
        <f t="shared" si="210"/>
        <v>2044088</v>
      </c>
      <c r="CS350" s="13" t="str">
        <f t="shared" si="211"/>
        <v>120级守护灵橙色套3-戒指</v>
      </c>
      <c r="CT350" s="14">
        <f t="shared" si="212"/>
        <v>2</v>
      </c>
      <c r="CU350" s="14">
        <f t="shared" si="213"/>
        <v>4</v>
      </c>
      <c r="CV350" s="14">
        <f t="shared" si="219"/>
        <v>120</v>
      </c>
      <c r="CW350" s="14">
        <f t="shared" si="220"/>
        <v>120</v>
      </c>
      <c r="CX350" s="14">
        <f t="shared" si="221"/>
        <v>8</v>
      </c>
      <c r="CY350" s="14">
        <f t="shared" si="222"/>
        <v>2043</v>
      </c>
      <c r="CZ350" s="14">
        <f t="shared" si="223"/>
        <v>85</v>
      </c>
      <c r="DA350" s="14">
        <f t="shared" si="224"/>
        <v>200</v>
      </c>
      <c r="DB350" s="14">
        <f t="shared" si="225"/>
        <v>0</v>
      </c>
      <c r="DC350" s="14">
        <f t="shared" si="226"/>
        <v>1250</v>
      </c>
      <c r="DD350" s="14">
        <f t="shared" si="227"/>
        <v>7</v>
      </c>
      <c r="DE350" s="14">
        <f t="shared" si="228"/>
        <v>0</v>
      </c>
      <c r="DF350" s="14">
        <f t="shared" si="229"/>
        <v>50</v>
      </c>
      <c r="DG350" s="14">
        <f t="shared" si="230"/>
        <v>16</v>
      </c>
      <c r="DH350" s="14">
        <f t="shared" si="231"/>
        <v>4</v>
      </c>
      <c r="DI350" s="14">
        <f t="shared" si="232"/>
        <v>24</v>
      </c>
      <c r="DL350" s="14">
        <f t="shared" si="214"/>
        <v>1</v>
      </c>
      <c r="DM350" s="14">
        <f t="shared" si="215"/>
        <v>3</v>
      </c>
      <c r="DN350" s="14" t="str">
        <f t="shared" si="233"/>
        <v>AtkExt</v>
      </c>
      <c r="DO350" s="14">
        <f t="shared" si="234"/>
        <v>200</v>
      </c>
      <c r="DP350" s="14">
        <f t="shared" si="235"/>
        <v>7</v>
      </c>
      <c r="DQ350" s="14" t="str">
        <f t="shared" si="236"/>
        <v>HPExt</v>
      </c>
      <c r="DR350" s="14">
        <f t="shared" si="237"/>
        <v>1250</v>
      </c>
      <c r="DS350" s="14">
        <f t="shared" si="238"/>
        <v>50</v>
      </c>
      <c r="DT350" s="14">
        <f t="shared" si="239"/>
        <v>16</v>
      </c>
      <c r="DU350" s="14">
        <f t="shared" si="240"/>
        <v>4</v>
      </c>
      <c r="DV350" s="14">
        <f t="shared" si="241"/>
        <v>24</v>
      </c>
      <c r="DW350" s="29" t="s">
        <v>758</v>
      </c>
      <c r="DX350" s="14">
        <f t="shared" si="242"/>
        <v>300</v>
      </c>
    </row>
    <row r="351" spans="91:128" ht="16.5" x14ac:dyDescent="0.2">
      <c r="CM351" s="13">
        <v>347</v>
      </c>
      <c r="CN351" s="14">
        <f t="shared" si="216"/>
        <v>49</v>
      </c>
      <c r="CO351" s="14">
        <f t="shared" si="217"/>
        <v>1</v>
      </c>
      <c r="CP351" s="14">
        <f t="shared" si="218"/>
        <v>1</v>
      </c>
      <c r="CQ351" s="14">
        <f t="shared" si="209"/>
        <v>5</v>
      </c>
      <c r="CR351" s="14">
        <f t="shared" si="210"/>
        <v>2051011</v>
      </c>
      <c r="CS351" s="13" t="str">
        <f t="shared" si="211"/>
        <v>150级寄灵人绿色-武器</v>
      </c>
      <c r="CT351" s="14">
        <f t="shared" si="212"/>
        <v>1</v>
      </c>
      <c r="CU351" s="14">
        <f t="shared" si="213"/>
        <v>1</v>
      </c>
      <c r="CV351" s="14">
        <f t="shared" si="219"/>
        <v>150</v>
      </c>
      <c r="CW351" s="14">
        <f t="shared" si="220"/>
        <v>150</v>
      </c>
      <c r="CX351" s="14">
        <f t="shared" si="221"/>
        <v>1</v>
      </c>
      <c r="CY351" s="14" t="str">
        <f t="shared" si="222"/>
        <v/>
      </c>
      <c r="CZ351" s="14">
        <f t="shared" si="223"/>
        <v>97</v>
      </c>
      <c r="DA351" s="14">
        <f t="shared" si="224"/>
        <v>600</v>
      </c>
      <c r="DB351" s="14">
        <f t="shared" si="225"/>
        <v>0</v>
      </c>
      <c r="DC351" s="14">
        <f t="shared" si="226"/>
        <v>0</v>
      </c>
      <c r="DD351" s="14">
        <f t="shared" si="227"/>
        <v>19.5</v>
      </c>
      <c r="DE351" s="14">
        <f t="shared" si="228"/>
        <v>0</v>
      </c>
      <c r="DF351" s="14">
        <f t="shared" si="229"/>
        <v>0</v>
      </c>
      <c r="DG351" s="14">
        <f t="shared" si="230"/>
        <v>17</v>
      </c>
      <c r="DH351" s="14">
        <f t="shared" si="231"/>
        <v>0</v>
      </c>
      <c r="DI351" s="14">
        <f t="shared" si="232"/>
        <v>15</v>
      </c>
      <c r="DL351" s="14">
        <f t="shared" si="214"/>
        <v>1</v>
      </c>
      <c r="DM351" s="14">
        <f t="shared" si="215"/>
        <v>0</v>
      </c>
      <c r="DN351" s="14" t="str">
        <f t="shared" si="233"/>
        <v>AtkExt</v>
      </c>
      <c r="DO351" s="14">
        <f t="shared" si="234"/>
        <v>600</v>
      </c>
      <c r="DP351" s="14">
        <f t="shared" si="235"/>
        <v>19.5</v>
      </c>
      <c r="DQ351" s="14" t="str">
        <f t="shared" si="236"/>
        <v/>
      </c>
      <c r="DR351" s="14" t="str">
        <f t="shared" si="237"/>
        <v/>
      </c>
      <c r="DS351" s="14" t="str">
        <f t="shared" si="238"/>
        <v/>
      </c>
      <c r="DT351" s="14">
        <f t="shared" si="239"/>
        <v>17</v>
      </c>
      <c r="DU351" s="14">
        <f t="shared" si="240"/>
        <v>0</v>
      </c>
      <c r="DV351" s="14">
        <f t="shared" si="241"/>
        <v>15</v>
      </c>
      <c r="DW351" s="29" t="s">
        <v>758</v>
      </c>
      <c r="DX351" s="14">
        <f t="shared" si="242"/>
        <v>45</v>
      </c>
    </row>
    <row r="352" spans="91:128" ht="16.5" x14ac:dyDescent="0.2">
      <c r="CM352" s="13">
        <v>348</v>
      </c>
      <c r="CN352" s="14">
        <f t="shared" si="216"/>
        <v>49</v>
      </c>
      <c r="CO352" s="14">
        <f t="shared" si="217"/>
        <v>1</v>
      </c>
      <c r="CP352" s="14">
        <f t="shared" si="218"/>
        <v>2</v>
      </c>
      <c r="CQ352" s="14">
        <f t="shared" si="209"/>
        <v>5</v>
      </c>
      <c r="CR352" s="14">
        <f t="shared" si="210"/>
        <v>2051012</v>
      </c>
      <c r="CS352" s="13" t="str">
        <f t="shared" si="211"/>
        <v>150级寄灵人绿色-头盔</v>
      </c>
      <c r="CT352" s="14">
        <f t="shared" si="212"/>
        <v>1</v>
      </c>
      <c r="CU352" s="14">
        <f t="shared" si="213"/>
        <v>1</v>
      </c>
      <c r="CV352" s="14">
        <f t="shared" si="219"/>
        <v>150</v>
      </c>
      <c r="CW352" s="14">
        <f t="shared" si="220"/>
        <v>150</v>
      </c>
      <c r="CX352" s="14">
        <f t="shared" si="221"/>
        <v>2</v>
      </c>
      <c r="CY352" s="14" t="str">
        <f t="shared" si="222"/>
        <v/>
      </c>
      <c r="CZ352" s="14">
        <f t="shared" si="223"/>
        <v>48</v>
      </c>
      <c r="DA352" s="14">
        <f t="shared" si="224"/>
        <v>0</v>
      </c>
      <c r="DB352" s="14">
        <f t="shared" si="225"/>
        <v>150</v>
      </c>
      <c r="DC352" s="14">
        <f t="shared" si="226"/>
        <v>0</v>
      </c>
      <c r="DD352" s="14">
        <f t="shared" si="227"/>
        <v>0</v>
      </c>
      <c r="DE352" s="14">
        <f t="shared" si="228"/>
        <v>4.8</v>
      </c>
      <c r="DF352" s="14">
        <f t="shared" si="229"/>
        <v>0</v>
      </c>
      <c r="DG352" s="14">
        <f t="shared" si="230"/>
        <v>17</v>
      </c>
      <c r="DH352" s="14">
        <f t="shared" si="231"/>
        <v>0</v>
      </c>
      <c r="DI352" s="14">
        <f t="shared" si="232"/>
        <v>15</v>
      </c>
      <c r="DL352" s="14">
        <f t="shared" si="214"/>
        <v>2</v>
      </c>
      <c r="DM352" s="14">
        <f t="shared" si="215"/>
        <v>0</v>
      </c>
      <c r="DN352" s="14" t="str">
        <f t="shared" si="233"/>
        <v>DefExt</v>
      </c>
      <c r="DO352" s="14">
        <f t="shared" si="234"/>
        <v>150</v>
      </c>
      <c r="DP352" s="14">
        <f t="shared" si="235"/>
        <v>4.8</v>
      </c>
      <c r="DQ352" s="14" t="str">
        <f t="shared" si="236"/>
        <v/>
      </c>
      <c r="DR352" s="14" t="str">
        <f t="shared" si="237"/>
        <v/>
      </c>
      <c r="DS352" s="14" t="str">
        <f t="shared" si="238"/>
        <v/>
      </c>
      <c r="DT352" s="14">
        <f t="shared" si="239"/>
        <v>17</v>
      </c>
      <c r="DU352" s="14">
        <f t="shared" si="240"/>
        <v>0</v>
      </c>
      <c r="DV352" s="14">
        <f t="shared" si="241"/>
        <v>15</v>
      </c>
      <c r="DW352" s="29" t="s">
        <v>758</v>
      </c>
      <c r="DX352" s="14">
        <f t="shared" si="242"/>
        <v>45</v>
      </c>
    </row>
    <row r="353" spans="91:128" ht="16.5" x14ac:dyDescent="0.2">
      <c r="CM353" s="13">
        <v>349</v>
      </c>
      <c r="CN353" s="14">
        <f t="shared" si="216"/>
        <v>49</v>
      </c>
      <c r="CO353" s="14">
        <f t="shared" si="217"/>
        <v>1</v>
      </c>
      <c r="CP353" s="14">
        <f t="shared" si="218"/>
        <v>3</v>
      </c>
      <c r="CQ353" s="14">
        <f t="shared" si="209"/>
        <v>5</v>
      </c>
      <c r="CR353" s="14">
        <f t="shared" si="210"/>
        <v>2051013</v>
      </c>
      <c r="CS353" s="13" t="str">
        <f t="shared" si="211"/>
        <v>150级寄灵人绿色-肩甲</v>
      </c>
      <c r="CT353" s="14">
        <f t="shared" si="212"/>
        <v>1</v>
      </c>
      <c r="CU353" s="14">
        <f t="shared" si="213"/>
        <v>1</v>
      </c>
      <c r="CV353" s="14">
        <f t="shared" si="219"/>
        <v>150</v>
      </c>
      <c r="CW353" s="14">
        <f t="shared" si="220"/>
        <v>150</v>
      </c>
      <c r="CX353" s="14">
        <f t="shared" si="221"/>
        <v>3</v>
      </c>
      <c r="CY353" s="14" t="str">
        <f t="shared" si="222"/>
        <v/>
      </c>
      <c r="CZ353" s="14">
        <f t="shared" si="223"/>
        <v>39</v>
      </c>
      <c r="DA353" s="14">
        <f t="shared" si="224"/>
        <v>0</v>
      </c>
      <c r="DB353" s="14">
        <f t="shared" si="225"/>
        <v>75</v>
      </c>
      <c r="DC353" s="14">
        <f t="shared" si="226"/>
        <v>450</v>
      </c>
      <c r="DD353" s="14">
        <f t="shared" si="227"/>
        <v>0</v>
      </c>
      <c r="DE353" s="14">
        <f t="shared" si="228"/>
        <v>2.4</v>
      </c>
      <c r="DF353" s="14">
        <f t="shared" si="229"/>
        <v>15</v>
      </c>
      <c r="DG353" s="14">
        <f t="shared" si="230"/>
        <v>17</v>
      </c>
      <c r="DH353" s="14">
        <f t="shared" si="231"/>
        <v>0</v>
      </c>
      <c r="DI353" s="14">
        <f t="shared" si="232"/>
        <v>15</v>
      </c>
      <c r="DL353" s="14">
        <f t="shared" si="214"/>
        <v>2</v>
      </c>
      <c r="DM353" s="14">
        <f t="shared" si="215"/>
        <v>3</v>
      </c>
      <c r="DN353" s="14" t="str">
        <f t="shared" si="233"/>
        <v>DefExt</v>
      </c>
      <c r="DO353" s="14">
        <f t="shared" si="234"/>
        <v>75</v>
      </c>
      <c r="DP353" s="14">
        <f t="shared" si="235"/>
        <v>2.4</v>
      </c>
      <c r="DQ353" s="14" t="str">
        <f t="shared" si="236"/>
        <v>HPExt</v>
      </c>
      <c r="DR353" s="14">
        <f t="shared" si="237"/>
        <v>450</v>
      </c>
      <c r="DS353" s="14">
        <f t="shared" si="238"/>
        <v>15</v>
      </c>
      <c r="DT353" s="14">
        <f t="shared" si="239"/>
        <v>17</v>
      </c>
      <c r="DU353" s="14">
        <f t="shared" si="240"/>
        <v>0</v>
      </c>
      <c r="DV353" s="14">
        <f t="shared" si="241"/>
        <v>15</v>
      </c>
      <c r="DW353" s="29" t="s">
        <v>758</v>
      </c>
      <c r="DX353" s="14">
        <f t="shared" si="242"/>
        <v>45</v>
      </c>
    </row>
    <row r="354" spans="91:128" ht="16.5" x14ac:dyDescent="0.2">
      <c r="CM354" s="13">
        <v>350</v>
      </c>
      <c r="CN354" s="14">
        <f t="shared" si="216"/>
        <v>49</v>
      </c>
      <c r="CO354" s="14">
        <f t="shared" si="217"/>
        <v>1</v>
      </c>
      <c r="CP354" s="14">
        <f t="shared" si="218"/>
        <v>4</v>
      </c>
      <c r="CQ354" s="14">
        <f t="shared" si="209"/>
        <v>5</v>
      </c>
      <c r="CR354" s="14">
        <f t="shared" si="210"/>
        <v>2051014</v>
      </c>
      <c r="CS354" s="13" t="str">
        <f t="shared" si="211"/>
        <v>150级寄灵人绿色-衣服</v>
      </c>
      <c r="CT354" s="14">
        <f t="shared" si="212"/>
        <v>1</v>
      </c>
      <c r="CU354" s="14">
        <f t="shared" si="213"/>
        <v>1</v>
      </c>
      <c r="CV354" s="14">
        <f t="shared" si="219"/>
        <v>150</v>
      </c>
      <c r="CW354" s="14">
        <f t="shared" si="220"/>
        <v>150</v>
      </c>
      <c r="CX354" s="14">
        <f t="shared" si="221"/>
        <v>4</v>
      </c>
      <c r="CY354" s="14" t="str">
        <f t="shared" si="222"/>
        <v/>
      </c>
      <c r="CZ354" s="14">
        <f t="shared" si="223"/>
        <v>48</v>
      </c>
      <c r="DA354" s="14">
        <f t="shared" si="224"/>
        <v>0</v>
      </c>
      <c r="DB354" s="14">
        <f t="shared" si="225"/>
        <v>150</v>
      </c>
      <c r="DC354" s="14">
        <f t="shared" si="226"/>
        <v>0</v>
      </c>
      <c r="DD354" s="14">
        <f t="shared" si="227"/>
        <v>0</v>
      </c>
      <c r="DE354" s="14">
        <f t="shared" si="228"/>
        <v>4.8</v>
      </c>
      <c r="DF354" s="14">
        <f t="shared" si="229"/>
        <v>0</v>
      </c>
      <c r="DG354" s="14">
        <f t="shared" si="230"/>
        <v>17</v>
      </c>
      <c r="DH354" s="14">
        <f t="shared" si="231"/>
        <v>0</v>
      </c>
      <c r="DI354" s="14">
        <f t="shared" si="232"/>
        <v>15</v>
      </c>
      <c r="DL354" s="14">
        <f t="shared" si="214"/>
        <v>2</v>
      </c>
      <c r="DM354" s="14">
        <f t="shared" si="215"/>
        <v>0</v>
      </c>
      <c r="DN354" s="14" t="str">
        <f t="shared" si="233"/>
        <v>DefExt</v>
      </c>
      <c r="DO354" s="14">
        <f t="shared" si="234"/>
        <v>150</v>
      </c>
      <c r="DP354" s="14">
        <f t="shared" si="235"/>
        <v>4.8</v>
      </c>
      <c r="DQ354" s="14" t="str">
        <f t="shared" si="236"/>
        <v/>
      </c>
      <c r="DR354" s="14" t="str">
        <f t="shared" si="237"/>
        <v/>
      </c>
      <c r="DS354" s="14" t="str">
        <f t="shared" si="238"/>
        <v/>
      </c>
      <c r="DT354" s="14">
        <f t="shared" si="239"/>
        <v>17</v>
      </c>
      <c r="DU354" s="14">
        <f t="shared" si="240"/>
        <v>0</v>
      </c>
      <c r="DV354" s="14">
        <f t="shared" si="241"/>
        <v>15</v>
      </c>
      <c r="DW354" s="29" t="s">
        <v>758</v>
      </c>
      <c r="DX354" s="14">
        <f t="shared" si="242"/>
        <v>45</v>
      </c>
    </row>
    <row r="355" spans="91:128" ht="16.5" x14ac:dyDescent="0.2">
      <c r="CM355" s="13">
        <v>351</v>
      </c>
      <c r="CN355" s="14">
        <f t="shared" si="216"/>
        <v>49</v>
      </c>
      <c r="CO355" s="14">
        <f t="shared" si="217"/>
        <v>1</v>
      </c>
      <c r="CP355" s="14">
        <f t="shared" si="218"/>
        <v>5</v>
      </c>
      <c r="CQ355" s="14">
        <f t="shared" si="209"/>
        <v>5</v>
      </c>
      <c r="CR355" s="14">
        <f t="shared" si="210"/>
        <v>2051015</v>
      </c>
      <c r="CS355" s="13" t="str">
        <f t="shared" si="211"/>
        <v>150级寄灵人绿色-鞋子</v>
      </c>
      <c r="CT355" s="14">
        <f t="shared" si="212"/>
        <v>1</v>
      </c>
      <c r="CU355" s="14">
        <f t="shared" si="213"/>
        <v>1</v>
      </c>
      <c r="CV355" s="14">
        <f t="shared" si="219"/>
        <v>150</v>
      </c>
      <c r="CW355" s="14">
        <f t="shared" si="220"/>
        <v>150</v>
      </c>
      <c r="CX355" s="14">
        <f t="shared" si="221"/>
        <v>5</v>
      </c>
      <c r="CY355" s="14" t="str">
        <f t="shared" si="222"/>
        <v/>
      </c>
      <c r="CZ355" s="14">
        <f t="shared" si="223"/>
        <v>30</v>
      </c>
      <c r="DA355" s="14">
        <f t="shared" si="224"/>
        <v>0</v>
      </c>
      <c r="DB355" s="14">
        <f t="shared" si="225"/>
        <v>0</v>
      </c>
      <c r="DC355" s="14">
        <f t="shared" si="226"/>
        <v>900</v>
      </c>
      <c r="DD355" s="14">
        <f t="shared" si="227"/>
        <v>0</v>
      </c>
      <c r="DE355" s="14">
        <f t="shared" si="228"/>
        <v>0</v>
      </c>
      <c r="DF355" s="14">
        <f t="shared" si="229"/>
        <v>30</v>
      </c>
      <c r="DG355" s="14">
        <f t="shared" si="230"/>
        <v>17</v>
      </c>
      <c r="DH355" s="14">
        <f t="shared" si="231"/>
        <v>0</v>
      </c>
      <c r="DI355" s="14">
        <f t="shared" si="232"/>
        <v>15</v>
      </c>
      <c r="DL355" s="14">
        <f t="shared" si="214"/>
        <v>3</v>
      </c>
      <c r="DM355" s="14">
        <f t="shared" si="215"/>
        <v>0</v>
      </c>
      <c r="DN355" s="14" t="str">
        <f t="shared" si="233"/>
        <v>HPExt</v>
      </c>
      <c r="DO355" s="14">
        <f t="shared" si="234"/>
        <v>900</v>
      </c>
      <c r="DP355" s="14">
        <f t="shared" si="235"/>
        <v>30</v>
      </c>
      <c r="DQ355" s="14" t="str">
        <f t="shared" si="236"/>
        <v/>
      </c>
      <c r="DR355" s="14" t="str">
        <f t="shared" si="237"/>
        <v/>
      </c>
      <c r="DS355" s="14" t="str">
        <f t="shared" si="238"/>
        <v/>
      </c>
      <c r="DT355" s="14">
        <f t="shared" si="239"/>
        <v>17</v>
      </c>
      <c r="DU355" s="14">
        <f t="shared" si="240"/>
        <v>0</v>
      </c>
      <c r="DV355" s="14">
        <f t="shared" si="241"/>
        <v>15</v>
      </c>
      <c r="DW355" s="29" t="s">
        <v>758</v>
      </c>
      <c r="DX355" s="14">
        <f t="shared" si="242"/>
        <v>45</v>
      </c>
    </row>
    <row r="356" spans="91:128" ht="16.5" x14ac:dyDescent="0.2">
      <c r="CM356" s="13">
        <v>352</v>
      </c>
      <c r="CN356" s="14">
        <f t="shared" si="216"/>
        <v>49</v>
      </c>
      <c r="CO356" s="14">
        <f t="shared" si="217"/>
        <v>1</v>
      </c>
      <c r="CP356" s="14">
        <f t="shared" si="218"/>
        <v>6</v>
      </c>
      <c r="CQ356" s="14">
        <f t="shared" si="209"/>
        <v>5</v>
      </c>
      <c r="CR356" s="14">
        <f t="shared" si="210"/>
        <v>2051016</v>
      </c>
      <c r="CS356" s="13" t="str">
        <f t="shared" si="211"/>
        <v>150级寄灵人绿色-护手</v>
      </c>
      <c r="CT356" s="14">
        <f t="shared" si="212"/>
        <v>1</v>
      </c>
      <c r="CU356" s="14">
        <f t="shared" si="213"/>
        <v>1</v>
      </c>
      <c r="CV356" s="14">
        <f t="shared" si="219"/>
        <v>150</v>
      </c>
      <c r="CW356" s="14">
        <f t="shared" si="220"/>
        <v>150</v>
      </c>
      <c r="CX356" s="14">
        <f t="shared" si="221"/>
        <v>6</v>
      </c>
      <c r="CY356" s="14" t="str">
        <f t="shared" si="222"/>
        <v/>
      </c>
      <c r="CZ356" s="14">
        <f t="shared" si="223"/>
        <v>30</v>
      </c>
      <c r="DA356" s="14">
        <f t="shared" si="224"/>
        <v>0</v>
      </c>
      <c r="DB356" s="14">
        <f t="shared" si="225"/>
        <v>0</v>
      </c>
      <c r="DC356" s="14">
        <f t="shared" si="226"/>
        <v>900</v>
      </c>
      <c r="DD356" s="14">
        <f t="shared" si="227"/>
        <v>0</v>
      </c>
      <c r="DE356" s="14">
        <f t="shared" si="228"/>
        <v>0</v>
      </c>
      <c r="DF356" s="14">
        <f t="shared" si="229"/>
        <v>30</v>
      </c>
      <c r="DG356" s="14">
        <f t="shared" si="230"/>
        <v>17</v>
      </c>
      <c r="DH356" s="14">
        <f t="shared" si="231"/>
        <v>0</v>
      </c>
      <c r="DI356" s="14">
        <f t="shared" si="232"/>
        <v>15</v>
      </c>
      <c r="DL356" s="14">
        <f t="shared" si="214"/>
        <v>3</v>
      </c>
      <c r="DM356" s="14">
        <f t="shared" si="215"/>
        <v>0</v>
      </c>
      <c r="DN356" s="14" t="str">
        <f t="shared" si="233"/>
        <v>HPExt</v>
      </c>
      <c r="DO356" s="14">
        <f t="shared" si="234"/>
        <v>900</v>
      </c>
      <c r="DP356" s="14">
        <f t="shared" si="235"/>
        <v>30</v>
      </c>
      <c r="DQ356" s="14" t="str">
        <f t="shared" si="236"/>
        <v/>
      </c>
      <c r="DR356" s="14" t="str">
        <f t="shared" si="237"/>
        <v/>
      </c>
      <c r="DS356" s="14" t="str">
        <f t="shared" si="238"/>
        <v/>
      </c>
      <c r="DT356" s="14">
        <f t="shared" si="239"/>
        <v>17</v>
      </c>
      <c r="DU356" s="14">
        <f t="shared" si="240"/>
        <v>0</v>
      </c>
      <c r="DV356" s="14">
        <f t="shared" si="241"/>
        <v>15</v>
      </c>
      <c r="DW356" s="29" t="s">
        <v>758</v>
      </c>
      <c r="DX356" s="14">
        <f t="shared" si="242"/>
        <v>45</v>
      </c>
    </row>
    <row r="357" spans="91:128" ht="16.5" x14ac:dyDescent="0.2">
      <c r="CM357" s="13">
        <v>353</v>
      </c>
      <c r="CN357" s="14">
        <f t="shared" si="216"/>
        <v>49</v>
      </c>
      <c r="CO357" s="14">
        <f t="shared" si="217"/>
        <v>1</v>
      </c>
      <c r="CP357" s="14">
        <f t="shared" si="218"/>
        <v>7</v>
      </c>
      <c r="CQ357" s="14">
        <f t="shared" si="209"/>
        <v>5</v>
      </c>
      <c r="CR357" s="14">
        <f t="shared" si="210"/>
        <v>2051017</v>
      </c>
      <c r="CS357" s="13" t="str">
        <f t="shared" si="211"/>
        <v>150级寄灵人绿色-项链</v>
      </c>
      <c r="CT357" s="14">
        <f t="shared" si="212"/>
        <v>1</v>
      </c>
      <c r="CU357" s="14">
        <f t="shared" si="213"/>
        <v>1</v>
      </c>
      <c r="CV357" s="14">
        <f t="shared" si="219"/>
        <v>150</v>
      </c>
      <c r="CW357" s="14">
        <f t="shared" si="220"/>
        <v>150</v>
      </c>
      <c r="CX357" s="14">
        <f t="shared" si="221"/>
        <v>7</v>
      </c>
      <c r="CY357" s="14" t="str">
        <f t="shared" si="222"/>
        <v/>
      </c>
      <c r="CZ357" s="14">
        <f t="shared" si="223"/>
        <v>72</v>
      </c>
      <c r="DA357" s="14">
        <f t="shared" si="224"/>
        <v>200</v>
      </c>
      <c r="DB357" s="14">
        <f t="shared" si="225"/>
        <v>125</v>
      </c>
      <c r="DC357" s="14">
        <f t="shared" si="226"/>
        <v>0</v>
      </c>
      <c r="DD357" s="14">
        <f t="shared" si="227"/>
        <v>6.5</v>
      </c>
      <c r="DE357" s="14">
        <f t="shared" si="228"/>
        <v>4</v>
      </c>
      <c r="DF357" s="14">
        <f t="shared" si="229"/>
        <v>0</v>
      </c>
      <c r="DG357" s="14">
        <f t="shared" si="230"/>
        <v>17</v>
      </c>
      <c r="DH357" s="14">
        <f t="shared" si="231"/>
        <v>0</v>
      </c>
      <c r="DI357" s="14">
        <f t="shared" si="232"/>
        <v>15</v>
      </c>
      <c r="DL357" s="14">
        <f t="shared" si="214"/>
        <v>1</v>
      </c>
      <c r="DM357" s="14">
        <f t="shared" si="215"/>
        <v>2</v>
      </c>
      <c r="DN357" s="14" t="str">
        <f t="shared" si="233"/>
        <v>AtkExt</v>
      </c>
      <c r="DO357" s="14">
        <f t="shared" si="234"/>
        <v>200</v>
      </c>
      <c r="DP357" s="14">
        <f t="shared" si="235"/>
        <v>6.5</v>
      </c>
      <c r="DQ357" s="14" t="str">
        <f t="shared" si="236"/>
        <v>DefExt</v>
      </c>
      <c r="DR357" s="14">
        <f t="shared" si="237"/>
        <v>125</v>
      </c>
      <c r="DS357" s="14">
        <f t="shared" si="238"/>
        <v>4</v>
      </c>
      <c r="DT357" s="14">
        <f t="shared" si="239"/>
        <v>17</v>
      </c>
      <c r="DU357" s="14">
        <f t="shared" si="240"/>
        <v>0</v>
      </c>
      <c r="DV357" s="14">
        <f t="shared" si="241"/>
        <v>15</v>
      </c>
      <c r="DW357" s="29" t="s">
        <v>758</v>
      </c>
      <c r="DX357" s="14">
        <f t="shared" si="242"/>
        <v>45</v>
      </c>
    </row>
    <row r="358" spans="91:128" ht="16.5" x14ac:dyDescent="0.2">
      <c r="CM358" s="13">
        <v>354</v>
      </c>
      <c r="CN358" s="14">
        <f t="shared" si="216"/>
        <v>49</v>
      </c>
      <c r="CO358" s="14">
        <f t="shared" si="217"/>
        <v>1</v>
      </c>
      <c r="CP358" s="14">
        <f t="shared" si="218"/>
        <v>8</v>
      </c>
      <c r="CQ358" s="14">
        <f t="shared" si="209"/>
        <v>5</v>
      </c>
      <c r="CR358" s="14">
        <f t="shared" si="210"/>
        <v>2051018</v>
      </c>
      <c r="CS358" s="13" t="str">
        <f t="shared" si="211"/>
        <v>150级寄灵人绿色-戒指</v>
      </c>
      <c r="CT358" s="14">
        <f t="shared" si="212"/>
        <v>1</v>
      </c>
      <c r="CU358" s="14">
        <f t="shared" si="213"/>
        <v>1</v>
      </c>
      <c r="CV358" s="14">
        <f t="shared" si="219"/>
        <v>150</v>
      </c>
      <c r="CW358" s="14">
        <f t="shared" si="220"/>
        <v>150</v>
      </c>
      <c r="CX358" s="14">
        <f t="shared" si="221"/>
        <v>8</v>
      </c>
      <c r="CY358" s="14" t="str">
        <f t="shared" si="222"/>
        <v/>
      </c>
      <c r="CZ358" s="14">
        <f t="shared" si="223"/>
        <v>57</v>
      </c>
      <c r="DA358" s="14">
        <f t="shared" si="224"/>
        <v>200</v>
      </c>
      <c r="DB358" s="14">
        <f t="shared" si="225"/>
        <v>0</v>
      </c>
      <c r="DC358" s="14">
        <f t="shared" si="226"/>
        <v>750</v>
      </c>
      <c r="DD358" s="14">
        <f t="shared" si="227"/>
        <v>6.5</v>
      </c>
      <c r="DE358" s="14">
        <f t="shared" si="228"/>
        <v>0</v>
      </c>
      <c r="DF358" s="14">
        <f t="shared" si="229"/>
        <v>25</v>
      </c>
      <c r="DG358" s="14">
        <f t="shared" si="230"/>
        <v>17</v>
      </c>
      <c r="DH358" s="14">
        <f t="shared" si="231"/>
        <v>0</v>
      </c>
      <c r="DI358" s="14">
        <f t="shared" si="232"/>
        <v>15</v>
      </c>
      <c r="DL358" s="14">
        <f t="shared" si="214"/>
        <v>1</v>
      </c>
      <c r="DM358" s="14">
        <f t="shared" si="215"/>
        <v>3</v>
      </c>
      <c r="DN358" s="14" t="str">
        <f t="shared" si="233"/>
        <v>AtkExt</v>
      </c>
      <c r="DO358" s="14">
        <f t="shared" si="234"/>
        <v>200</v>
      </c>
      <c r="DP358" s="14">
        <f t="shared" si="235"/>
        <v>6.5</v>
      </c>
      <c r="DQ358" s="14" t="str">
        <f t="shared" si="236"/>
        <v>HPExt</v>
      </c>
      <c r="DR358" s="14">
        <f t="shared" si="237"/>
        <v>750</v>
      </c>
      <c r="DS358" s="14">
        <f t="shared" si="238"/>
        <v>25</v>
      </c>
      <c r="DT358" s="14">
        <f t="shared" si="239"/>
        <v>17</v>
      </c>
      <c r="DU358" s="14">
        <f t="shared" si="240"/>
        <v>0</v>
      </c>
      <c r="DV358" s="14">
        <f t="shared" si="241"/>
        <v>15</v>
      </c>
      <c r="DW358" s="29" t="s">
        <v>758</v>
      </c>
      <c r="DX358" s="14">
        <f t="shared" si="242"/>
        <v>45</v>
      </c>
    </row>
    <row r="359" spans="91:128" ht="16.5" x14ac:dyDescent="0.2">
      <c r="CM359" s="13">
        <v>355</v>
      </c>
      <c r="CN359" s="14">
        <f t="shared" si="216"/>
        <v>50</v>
      </c>
      <c r="CO359" s="14">
        <f t="shared" si="217"/>
        <v>2</v>
      </c>
      <c r="CP359" s="14">
        <f t="shared" si="218"/>
        <v>1</v>
      </c>
      <c r="CQ359" s="14">
        <f t="shared" si="209"/>
        <v>5</v>
      </c>
      <c r="CR359" s="14">
        <f t="shared" si="210"/>
        <v>2051021</v>
      </c>
      <c r="CS359" s="13" t="str">
        <f t="shared" si="211"/>
        <v>150级守护灵绿色-武器</v>
      </c>
      <c r="CT359" s="14">
        <f t="shared" si="212"/>
        <v>2</v>
      </c>
      <c r="CU359" s="14">
        <f t="shared" si="213"/>
        <v>1</v>
      </c>
      <c r="CV359" s="14">
        <f t="shared" si="219"/>
        <v>150</v>
      </c>
      <c r="CW359" s="14">
        <f t="shared" si="220"/>
        <v>150</v>
      </c>
      <c r="CX359" s="14">
        <f t="shared" si="221"/>
        <v>1</v>
      </c>
      <c r="CY359" s="14" t="str">
        <f t="shared" si="222"/>
        <v/>
      </c>
      <c r="CZ359" s="14">
        <f t="shared" si="223"/>
        <v>97</v>
      </c>
      <c r="DA359" s="14">
        <f t="shared" si="224"/>
        <v>750</v>
      </c>
      <c r="DB359" s="14">
        <f t="shared" si="225"/>
        <v>0</v>
      </c>
      <c r="DC359" s="14">
        <f t="shared" si="226"/>
        <v>0</v>
      </c>
      <c r="DD359" s="14">
        <f t="shared" si="227"/>
        <v>19.5</v>
      </c>
      <c r="DE359" s="14">
        <f t="shared" si="228"/>
        <v>0</v>
      </c>
      <c r="DF359" s="14">
        <f t="shared" si="229"/>
        <v>0</v>
      </c>
      <c r="DG359" s="14">
        <f t="shared" si="230"/>
        <v>17</v>
      </c>
      <c r="DH359" s="14">
        <f t="shared" si="231"/>
        <v>0</v>
      </c>
      <c r="DI359" s="14">
        <f t="shared" si="232"/>
        <v>25</v>
      </c>
      <c r="DL359" s="14">
        <f t="shared" si="214"/>
        <v>1</v>
      </c>
      <c r="DM359" s="14">
        <f t="shared" si="215"/>
        <v>0</v>
      </c>
      <c r="DN359" s="14" t="str">
        <f t="shared" si="233"/>
        <v>AtkExt</v>
      </c>
      <c r="DO359" s="14">
        <f t="shared" si="234"/>
        <v>750</v>
      </c>
      <c r="DP359" s="14">
        <f t="shared" si="235"/>
        <v>19.5</v>
      </c>
      <c r="DQ359" s="14" t="str">
        <f t="shared" si="236"/>
        <v/>
      </c>
      <c r="DR359" s="14" t="str">
        <f t="shared" si="237"/>
        <v/>
      </c>
      <c r="DS359" s="14" t="str">
        <f t="shared" si="238"/>
        <v/>
      </c>
      <c r="DT359" s="14">
        <f t="shared" si="239"/>
        <v>17</v>
      </c>
      <c r="DU359" s="14">
        <f t="shared" si="240"/>
        <v>0</v>
      </c>
      <c r="DV359" s="14">
        <f t="shared" si="241"/>
        <v>25</v>
      </c>
      <c r="DW359" s="29" t="s">
        <v>758</v>
      </c>
      <c r="DX359" s="14">
        <f t="shared" si="242"/>
        <v>45</v>
      </c>
    </row>
    <row r="360" spans="91:128" ht="16.5" x14ac:dyDescent="0.2">
      <c r="CM360" s="13">
        <v>356</v>
      </c>
      <c r="CN360" s="14">
        <f t="shared" si="216"/>
        <v>50</v>
      </c>
      <c r="CO360" s="14">
        <f t="shared" si="217"/>
        <v>2</v>
      </c>
      <c r="CP360" s="14">
        <f t="shared" si="218"/>
        <v>2</v>
      </c>
      <c r="CQ360" s="14">
        <f t="shared" si="209"/>
        <v>5</v>
      </c>
      <c r="CR360" s="14">
        <f t="shared" si="210"/>
        <v>2051022</v>
      </c>
      <c r="CS360" s="13" t="str">
        <f t="shared" si="211"/>
        <v>150级守护灵绿色-头盔</v>
      </c>
      <c r="CT360" s="14">
        <f t="shared" si="212"/>
        <v>2</v>
      </c>
      <c r="CU360" s="14">
        <f t="shared" si="213"/>
        <v>1</v>
      </c>
      <c r="CV360" s="14">
        <f t="shared" si="219"/>
        <v>150</v>
      </c>
      <c r="CW360" s="14">
        <f t="shared" si="220"/>
        <v>150</v>
      </c>
      <c r="CX360" s="14">
        <f t="shared" si="221"/>
        <v>2</v>
      </c>
      <c r="CY360" s="14" t="str">
        <f t="shared" si="222"/>
        <v/>
      </c>
      <c r="CZ360" s="14">
        <f t="shared" si="223"/>
        <v>48</v>
      </c>
      <c r="DA360" s="14">
        <f t="shared" si="224"/>
        <v>0</v>
      </c>
      <c r="DB360" s="14">
        <f t="shared" si="225"/>
        <v>169</v>
      </c>
      <c r="DC360" s="14">
        <f t="shared" si="226"/>
        <v>0</v>
      </c>
      <c r="DD360" s="14">
        <f t="shared" si="227"/>
        <v>0</v>
      </c>
      <c r="DE360" s="14">
        <f t="shared" si="228"/>
        <v>4.8</v>
      </c>
      <c r="DF360" s="14">
        <f t="shared" si="229"/>
        <v>0</v>
      </c>
      <c r="DG360" s="14">
        <f t="shared" si="230"/>
        <v>17</v>
      </c>
      <c r="DH360" s="14">
        <f t="shared" si="231"/>
        <v>0</v>
      </c>
      <c r="DI360" s="14">
        <f t="shared" si="232"/>
        <v>25</v>
      </c>
      <c r="DL360" s="14">
        <f t="shared" si="214"/>
        <v>2</v>
      </c>
      <c r="DM360" s="14">
        <f t="shared" si="215"/>
        <v>0</v>
      </c>
      <c r="DN360" s="14" t="str">
        <f t="shared" si="233"/>
        <v>DefExt</v>
      </c>
      <c r="DO360" s="14">
        <f t="shared" si="234"/>
        <v>169</v>
      </c>
      <c r="DP360" s="14">
        <f t="shared" si="235"/>
        <v>4.8</v>
      </c>
      <c r="DQ360" s="14" t="str">
        <f t="shared" si="236"/>
        <v/>
      </c>
      <c r="DR360" s="14" t="str">
        <f t="shared" si="237"/>
        <v/>
      </c>
      <c r="DS360" s="14" t="str">
        <f t="shared" si="238"/>
        <v/>
      </c>
      <c r="DT360" s="14">
        <f t="shared" si="239"/>
        <v>17</v>
      </c>
      <c r="DU360" s="14">
        <f t="shared" si="240"/>
        <v>0</v>
      </c>
      <c r="DV360" s="14">
        <f t="shared" si="241"/>
        <v>25</v>
      </c>
      <c r="DW360" s="29" t="s">
        <v>758</v>
      </c>
      <c r="DX360" s="14">
        <f t="shared" si="242"/>
        <v>45</v>
      </c>
    </row>
    <row r="361" spans="91:128" ht="16.5" x14ac:dyDescent="0.2">
      <c r="CM361" s="13">
        <v>357</v>
      </c>
      <c r="CN361" s="14">
        <f t="shared" si="216"/>
        <v>50</v>
      </c>
      <c r="CO361" s="14">
        <f t="shared" si="217"/>
        <v>2</v>
      </c>
      <c r="CP361" s="14">
        <f t="shared" si="218"/>
        <v>3</v>
      </c>
      <c r="CQ361" s="14">
        <f t="shared" si="209"/>
        <v>5</v>
      </c>
      <c r="CR361" s="14">
        <f t="shared" si="210"/>
        <v>2051023</v>
      </c>
      <c r="CS361" s="13" t="str">
        <f t="shared" si="211"/>
        <v>150级守护灵绿色-肩甲</v>
      </c>
      <c r="CT361" s="14">
        <f t="shared" si="212"/>
        <v>2</v>
      </c>
      <c r="CU361" s="14">
        <f t="shared" si="213"/>
        <v>1</v>
      </c>
      <c r="CV361" s="14">
        <f t="shared" si="219"/>
        <v>150</v>
      </c>
      <c r="CW361" s="14">
        <f t="shared" si="220"/>
        <v>150</v>
      </c>
      <c r="CX361" s="14">
        <f t="shared" si="221"/>
        <v>3</v>
      </c>
      <c r="CY361" s="14" t="str">
        <f t="shared" si="222"/>
        <v/>
      </c>
      <c r="CZ361" s="14">
        <f t="shared" si="223"/>
        <v>50</v>
      </c>
      <c r="DA361" s="14">
        <f t="shared" si="224"/>
        <v>0</v>
      </c>
      <c r="DB361" s="14">
        <f t="shared" si="225"/>
        <v>84</v>
      </c>
      <c r="DC361" s="14">
        <f t="shared" si="226"/>
        <v>900</v>
      </c>
      <c r="DD361" s="14">
        <f t="shared" si="227"/>
        <v>0</v>
      </c>
      <c r="DE361" s="14">
        <f t="shared" si="228"/>
        <v>2.4</v>
      </c>
      <c r="DF361" s="14">
        <f t="shared" si="229"/>
        <v>26.25</v>
      </c>
      <c r="DG361" s="14">
        <f t="shared" si="230"/>
        <v>17</v>
      </c>
      <c r="DH361" s="14">
        <f t="shared" si="231"/>
        <v>0</v>
      </c>
      <c r="DI361" s="14">
        <f t="shared" si="232"/>
        <v>25</v>
      </c>
      <c r="DL361" s="14">
        <f t="shared" si="214"/>
        <v>2</v>
      </c>
      <c r="DM361" s="14">
        <f t="shared" si="215"/>
        <v>3</v>
      </c>
      <c r="DN361" s="14" t="str">
        <f t="shared" si="233"/>
        <v>DefExt</v>
      </c>
      <c r="DO361" s="14">
        <f t="shared" si="234"/>
        <v>84</v>
      </c>
      <c r="DP361" s="14">
        <f t="shared" si="235"/>
        <v>2.4</v>
      </c>
      <c r="DQ361" s="14" t="str">
        <f t="shared" si="236"/>
        <v>HPExt</v>
      </c>
      <c r="DR361" s="14">
        <f t="shared" si="237"/>
        <v>900</v>
      </c>
      <c r="DS361" s="14">
        <f t="shared" si="238"/>
        <v>26.25</v>
      </c>
      <c r="DT361" s="14">
        <f t="shared" si="239"/>
        <v>17</v>
      </c>
      <c r="DU361" s="14">
        <f t="shared" si="240"/>
        <v>0</v>
      </c>
      <c r="DV361" s="14">
        <f t="shared" si="241"/>
        <v>25</v>
      </c>
      <c r="DW361" s="29" t="s">
        <v>758</v>
      </c>
      <c r="DX361" s="14">
        <f t="shared" si="242"/>
        <v>45</v>
      </c>
    </row>
    <row r="362" spans="91:128" ht="16.5" x14ac:dyDescent="0.2">
      <c r="CM362" s="13">
        <v>358</v>
      </c>
      <c r="CN362" s="14">
        <f t="shared" si="216"/>
        <v>50</v>
      </c>
      <c r="CO362" s="14">
        <f t="shared" si="217"/>
        <v>2</v>
      </c>
      <c r="CP362" s="14">
        <f t="shared" si="218"/>
        <v>4</v>
      </c>
      <c r="CQ362" s="14">
        <f t="shared" si="209"/>
        <v>5</v>
      </c>
      <c r="CR362" s="14">
        <f t="shared" si="210"/>
        <v>2051024</v>
      </c>
      <c r="CS362" s="13" t="str">
        <f t="shared" si="211"/>
        <v>150级守护灵绿色-衣服</v>
      </c>
      <c r="CT362" s="14">
        <f t="shared" si="212"/>
        <v>2</v>
      </c>
      <c r="CU362" s="14">
        <f t="shared" si="213"/>
        <v>1</v>
      </c>
      <c r="CV362" s="14">
        <f t="shared" si="219"/>
        <v>150</v>
      </c>
      <c r="CW362" s="14">
        <f t="shared" si="220"/>
        <v>150</v>
      </c>
      <c r="CX362" s="14">
        <f t="shared" si="221"/>
        <v>4</v>
      </c>
      <c r="CY362" s="14" t="str">
        <f t="shared" si="222"/>
        <v/>
      </c>
      <c r="CZ362" s="14">
        <f t="shared" si="223"/>
        <v>48</v>
      </c>
      <c r="DA362" s="14">
        <f t="shared" si="224"/>
        <v>0</v>
      </c>
      <c r="DB362" s="14">
        <f t="shared" si="225"/>
        <v>169</v>
      </c>
      <c r="DC362" s="14">
        <f t="shared" si="226"/>
        <v>0</v>
      </c>
      <c r="DD362" s="14">
        <f t="shared" si="227"/>
        <v>0</v>
      </c>
      <c r="DE362" s="14">
        <f t="shared" si="228"/>
        <v>4.8</v>
      </c>
      <c r="DF362" s="14">
        <f t="shared" si="229"/>
        <v>0</v>
      </c>
      <c r="DG362" s="14">
        <f t="shared" si="230"/>
        <v>17</v>
      </c>
      <c r="DH362" s="14">
        <f t="shared" si="231"/>
        <v>0</v>
      </c>
      <c r="DI362" s="14">
        <f t="shared" si="232"/>
        <v>25</v>
      </c>
      <c r="DL362" s="14">
        <f t="shared" si="214"/>
        <v>2</v>
      </c>
      <c r="DM362" s="14">
        <f t="shared" si="215"/>
        <v>0</v>
      </c>
      <c r="DN362" s="14" t="str">
        <f t="shared" si="233"/>
        <v>DefExt</v>
      </c>
      <c r="DO362" s="14">
        <f t="shared" si="234"/>
        <v>169</v>
      </c>
      <c r="DP362" s="14">
        <f t="shared" si="235"/>
        <v>4.8</v>
      </c>
      <c r="DQ362" s="14" t="str">
        <f t="shared" si="236"/>
        <v/>
      </c>
      <c r="DR362" s="14" t="str">
        <f t="shared" si="237"/>
        <v/>
      </c>
      <c r="DS362" s="14" t="str">
        <f t="shared" si="238"/>
        <v/>
      </c>
      <c r="DT362" s="14">
        <f t="shared" si="239"/>
        <v>17</v>
      </c>
      <c r="DU362" s="14">
        <f t="shared" si="240"/>
        <v>0</v>
      </c>
      <c r="DV362" s="14">
        <f t="shared" si="241"/>
        <v>25</v>
      </c>
      <c r="DW362" s="29" t="s">
        <v>758</v>
      </c>
      <c r="DX362" s="14">
        <f t="shared" si="242"/>
        <v>45</v>
      </c>
    </row>
    <row r="363" spans="91:128" ht="16.5" x14ac:dyDescent="0.2">
      <c r="CM363" s="13">
        <v>359</v>
      </c>
      <c r="CN363" s="14">
        <f t="shared" si="216"/>
        <v>50</v>
      </c>
      <c r="CO363" s="14">
        <f t="shared" si="217"/>
        <v>2</v>
      </c>
      <c r="CP363" s="14">
        <f t="shared" si="218"/>
        <v>5</v>
      </c>
      <c r="CQ363" s="14">
        <f t="shared" si="209"/>
        <v>5</v>
      </c>
      <c r="CR363" s="14">
        <f t="shared" si="210"/>
        <v>2051025</v>
      </c>
      <c r="CS363" s="13" t="str">
        <f t="shared" si="211"/>
        <v>150级守护灵绿色-鞋子</v>
      </c>
      <c r="CT363" s="14">
        <f t="shared" si="212"/>
        <v>2</v>
      </c>
      <c r="CU363" s="14">
        <f t="shared" si="213"/>
        <v>1</v>
      </c>
      <c r="CV363" s="14">
        <f t="shared" si="219"/>
        <v>150</v>
      </c>
      <c r="CW363" s="14">
        <f t="shared" si="220"/>
        <v>150</v>
      </c>
      <c r="CX363" s="14">
        <f t="shared" si="221"/>
        <v>5</v>
      </c>
      <c r="CY363" s="14" t="str">
        <f t="shared" si="222"/>
        <v/>
      </c>
      <c r="CZ363" s="14">
        <f t="shared" si="223"/>
        <v>52</v>
      </c>
      <c r="DA363" s="14">
        <f t="shared" si="224"/>
        <v>0</v>
      </c>
      <c r="DB363" s="14">
        <f t="shared" si="225"/>
        <v>0</v>
      </c>
      <c r="DC363" s="14">
        <f t="shared" si="226"/>
        <v>1800</v>
      </c>
      <c r="DD363" s="14">
        <f t="shared" si="227"/>
        <v>0</v>
      </c>
      <c r="DE363" s="14">
        <f t="shared" si="228"/>
        <v>0</v>
      </c>
      <c r="DF363" s="14">
        <f t="shared" si="229"/>
        <v>52.5</v>
      </c>
      <c r="DG363" s="14">
        <f t="shared" si="230"/>
        <v>17</v>
      </c>
      <c r="DH363" s="14">
        <f t="shared" si="231"/>
        <v>0</v>
      </c>
      <c r="DI363" s="14">
        <f t="shared" si="232"/>
        <v>25</v>
      </c>
      <c r="DL363" s="14">
        <f t="shared" si="214"/>
        <v>3</v>
      </c>
      <c r="DM363" s="14">
        <f t="shared" si="215"/>
        <v>0</v>
      </c>
      <c r="DN363" s="14" t="str">
        <f t="shared" si="233"/>
        <v>HPExt</v>
      </c>
      <c r="DO363" s="14">
        <f t="shared" si="234"/>
        <v>1800</v>
      </c>
      <c r="DP363" s="14">
        <f t="shared" si="235"/>
        <v>52.5</v>
      </c>
      <c r="DQ363" s="14" t="str">
        <f t="shared" si="236"/>
        <v/>
      </c>
      <c r="DR363" s="14" t="str">
        <f t="shared" si="237"/>
        <v/>
      </c>
      <c r="DS363" s="14" t="str">
        <f t="shared" si="238"/>
        <v/>
      </c>
      <c r="DT363" s="14">
        <f t="shared" si="239"/>
        <v>17</v>
      </c>
      <c r="DU363" s="14">
        <f t="shared" si="240"/>
        <v>0</v>
      </c>
      <c r="DV363" s="14">
        <f t="shared" si="241"/>
        <v>25</v>
      </c>
      <c r="DW363" s="29" t="s">
        <v>758</v>
      </c>
      <c r="DX363" s="14">
        <f t="shared" si="242"/>
        <v>45</v>
      </c>
    </row>
    <row r="364" spans="91:128" ht="16.5" x14ac:dyDescent="0.2">
      <c r="CM364" s="13">
        <v>360</v>
      </c>
      <c r="CN364" s="14">
        <f t="shared" si="216"/>
        <v>50</v>
      </c>
      <c r="CO364" s="14">
        <f t="shared" si="217"/>
        <v>2</v>
      </c>
      <c r="CP364" s="14">
        <f t="shared" si="218"/>
        <v>6</v>
      </c>
      <c r="CQ364" s="14">
        <f t="shared" si="209"/>
        <v>5</v>
      </c>
      <c r="CR364" s="14">
        <f t="shared" si="210"/>
        <v>2051026</v>
      </c>
      <c r="CS364" s="13" t="str">
        <f t="shared" si="211"/>
        <v>150级守护灵绿色-护手</v>
      </c>
      <c r="CT364" s="14">
        <f t="shared" si="212"/>
        <v>2</v>
      </c>
      <c r="CU364" s="14">
        <f t="shared" si="213"/>
        <v>1</v>
      </c>
      <c r="CV364" s="14">
        <f t="shared" si="219"/>
        <v>150</v>
      </c>
      <c r="CW364" s="14">
        <f t="shared" si="220"/>
        <v>150</v>
      </c>
      <c r="CX364" s="14">
        <f t="shared" si="221"/>
        <v>6</v>
      </c>
      <c r="CY364" s="14" t="str">
        <f t="shared" si="222"/>
        <v/>
      </c>
      <c r="CZ364" s="14">
        <f t="shared" si="223"/>
        <v>52</v>
      </c>
      <c r="DA364" s="14">
        <f t="shared" si="224"/>
        <v>0</v>
      </c>
      <c r="DB364" s="14">
        <f t="shared" si="225"/>
        <v>0</v>
      </c>
      <c r="DC364" s="14">
        <f t="shared" si="226"/>
        <v>1800</v>
      </c>
      <c r="DD364" s="14">
        <f t="shared" si="227"/>
        <v>0</v>
      </c>
      <c r="DE364" s="14">
        <f t="shared" si="228"/>
        <v>0</v>
      </c>
      <c r="DF364" s="14">
        <f t="shared" si="229"/>
        <v>52.5</v>
      </c>
      <c r="DG364" s="14">
        <f t="shared" si="230"/>
        <v>17</v>
      </c>
      <c r="DH364" s="14">
        <f t="shared" si="231"/>
        <v>0</v>
      </c>
      <c r="DI364" s="14">
        <f t="shared" si="232"/>
        <v>25</v>
      </c>
      <c r="DL364" s="14">
        <f t="shared" si="214"/>
        <v>3</v>
      </c>
      <c r="DM364" s="14">
        <f t="shared" si="215"/>
        <v>0</v>
      </c>
      <c r="DN364" s="14" t="str">
        <f t="shared" si="233"/>
        <v>HPExt</v>
      </c>
      <c r="DO364" s="14">
        <f t="shared" si="234"/>
        <v>1800</v>
      </c>
      <c r="DP364" s="14">
        <f t="shared" si="235"/>
        <v>52.5</v>
      </c>
      <c r="DQ364" s="14" t="str">
        <f t="shared" si="236"/>
        <v/>
      </c>
      <c r="DR364" s="14" t="str">
        <f t="shared" si="237"/>
        <v/>
      </c>
      <c r="DS364" s="14" t="str">
        <f t="shared" si="238"/>
        <v/>
      </c>
      <c r="DT364" s="14">
        <f t="shared" si="239"/>
        <v>17</v>
      </c>
      <c r="DU364" s="14">
        <f t="shared" si="240"/>
        <v>0</v>
      </c>
      <c r="DV364" s="14">
        <f t="shared" si="241"/>
        <v>25</v>
      </c>
      <c r="DW364" s="29" t="s">
        <v>758</v>
      </c>
      <c r="DX364" s="14">
        <f t="shared" si="242"/>
        <v>45</v>
      </c>
    </row>
    <row r="365" spans="91:128" ht="16.5" x14ac:dyDescent="0.2">
      <c r="CM365" s="13">
        <v>361</v>
      </c>
      <c r="CN365" s="14">
        <f t="shared" si="216"/>
        <v>50</v>
      </c>
      <c r="CO365" s="14">
        <f t="shared" si="217"/>
        <v>2</v>
      </c>
      <c r="CP365" s="14">
        <f t="shared" si="218"/>
        <v>7</v>
      </c>
      <c r="CQ365" s="14">
        <f t="shared" si="209"/>
        <v>5</v>
      </c>
      <c r="CR365" s="14">
        <f t="shared" si="210"/>
        <v>2051027</v>
      </c>
      <c r="CS365" s="13" t="str">
        <f t="shared" si="211"/>
        <v>150级守护灵绿色-项链</v>
      </c>
      <c r="CT365" s="14">
        <f t="shared" si="212"/>
        <v>2</v>
      </c>
      <c r="CU365" s="14">
        <f t="shared" si="213"/>
        <v>1</v>
      </c>
      <c r="CV365" s="14">
        <f t="shared" si="219"/>
        <v>150</v>
      </c>
      <c r="CW365" s="14">
        <f t="shared" si="220"/>
        <v>150</v>
      </c>
      <c r="CX365" s="14">
        <f t="shared" si="221"/>
        <v>7</v>
      </c>
      <c r="CY365" s="14" t="str">
        <f t="shared" si="222"/>
        <v/>
      </c>
      <c r="CZ365" s="14">
        <f t="shared" si="223"/>
        <v>72</v>
      </c>
      <c r="DA365" s="14">
        <f t="shared" si="224"/>
        <v>250</v>
      </c>
      <c r="DB365" s="14">
        <f t="shared" si="225"/>
        <v>141</v>
      </c>
      <c r="DC365" s="14">
        <f t="shared" si="226"/>
        <v>0</v>
      </c>
      <c r="DD365" s="14">
        <f t="shared" si="227"/>
        <v>6.5</v>
      </c>
      <c r="DE365" s="14">
        <f t="shared" si="228"/>
        <v>4</v>
      </c>
      <c r="DF365" s="14">
        <f t="shared" si="229"/>
        <v>0</v>
      </c>
      <c r="DG365" s="14">
        <f t="shared" si="230"/>
        <v>17</v>
      </c>
      <c r="DH365" s="14">
        <f t="shared" si="231"/>
        <v>0</v>
      </c>
      <c r="DI365" s="14">
        <f t="shared" si="232"/>
        <v>25</v>
      </c>
      <c r="DL365" s="14">
        <f t="shared" si="214"/>
        <v>1</v>
      </c>
      <c r="DM365" s="14">
        <f t="shared" si="215"/>
        <v>2</v>
      </c>
      <c r="DN365" s="14" t="str">
        <f t="shared" si="233"/>
        <v>AtkExt</v>
      </c>
      <c r="DO365" s="14">
        <f t="shared" si="234"/>
        <v>250</v>
      </c>
      <c r="DP365" s="14">
        <f t="shared" si="235"/>
        <v>6.5</v>
      </c>
      <c r="DQ365" s="14" t="str">
        <f t="shared" si="236"/>
        <v>DefExt</v>
      </c>
      <c r="DR365" s="14">
        <f t="shared" si="237"/>
        <v>141</v>
      </c>
      <c r="DS365" s="14">
        <f t="shared" si="238"/>
        <v>4</v>
      </c>
      <c r="DT365" s="14">
        <f t="shared" si="239"/>
        <v>17</v>
      </c>
      <c r="DU365" s="14">
        <f t="shared" si="240"/>
        <v>0</v>
      </c>
      <c r="DV365" s="14">
        <f t="shared" si="241"/>
        <v>25</v>
      </c>
      <c r="DW365" s="29" t="s">
        <v>758</v>
      </c>
      <c r="DX365" s="14">
        <f t="shared" si="242"/>
        <v>45</v>
      </c>
    </row>
    <row r="366" spans="91:128" ht="16.5" x14ac:dyDescent="0.2">
      <c r="CM366" s="13">
        <v>362</v>
      </c>
      <c r="CN366" s="14">
        <f t="shared" si="216"/>
        <v>50</v>
      </c>
      <c r="CO366" s="14">
        <f t="shared" si="217"/>
        <v>2</v>
      </c>
      <c r="CP366" s="14">
        <f t="shared" si="218"/>
        <v>8</v>
      </c>
      <c r="CQ366" s="14">
        <f t="shared" si="209"/>
        <v>5</v>
      </c>
      <c r="CR366" s="14">
        <f t="shared" si="210"/>
        <v>2051028</v>
      </c>
      <c r="CS366" s="13" t="str">
        <f t="shared" si="211"/>
        <v>150级守护灵绿色-戒指</v>
      </c>
      <c r="CT366" s="14">
        <f t="shared" si="212"/>
        <v>2</v>
      </c>
      <c r="CU366" s="14">
        <f t="shared" si="213"/>
        <v>1</v>
      </c>
      <c r="CV366" s="14">
        <f t="shared" si="219"/>
        <v>150</v>
      </c>
      <c r="CW366" s="14">
        <f t="shared" si="220"/>
        <v>150</v>
      </c>
      <c r="CX366" s="14">
        <f t="shared" si="221"/>
        <v>8</v>
      </c>
      <c r="CY366" s="14" t="str">
        <f t="shared" si="222"/>
        <v/>
      </c>
      <c r="CZ366" s="14">
        <f t="shared" si="223"/>
        <v>76</v>
      </c>
      <c r="DA366" s="14">
        <f t="shared" si="224"/>
        <v>250</v>
      </c>
      <c r="DB366" s="14">
        <f t="shared" si="225"/>
        <v>0</v>
      </c>
      <c r="DC366" s="14">
        <f t="shared" si="226"/>
        <v>1500</v>
      </c>
      <c r="DD366" s="14">
        <f t="shared" si="227"/>
        <v>6.5</v>
      </c>
      <c r="DE366" s="14">
        <f t="shared" si="228"/>
        <v>0</v>
      </c>
      <c r="DF366" s="14">
        <f t="shared" si="229"/>
        <v>43.75</v>
      </c>
      <c r="DG366" s="14">
        <f t="shared" si="230"/>
        <v>17</v>
      </c>
      <c r="DH366" s="14">
        <f t="shared" si="231"/>
        <v>0</v>
      </c>
      <c r="DI366" s="14">
        <f t="shared" si="232"/>
        <v>25</v>
      </c>
      <c r="DL366" s="14">
        <f t="shared" si="214"/>
        <v>1</v>
      </c>
      <c r="DM366" s="14">
        <f t="shared" si="215"/>
        <v>3</v>
      </c>
      <c r="DN366" s="14" t="str">
        <f t="shared" si="233"/>
        <v>AtkExt</v>
      </c>
      <c r="DO366" s="14">
        <f t="shared" si="234"/>
        <v>250</v>
      </c>
      <c r="DP366" s="14">
        <f t="shared" si="235"/>
        <v>6.5</v>
      </c>
      <c r="DQ366" s="14" t="str">
        <f t="shared" si="236"/>
        <v>HPExt</v>
      </c>
      <c r="DR366" s="14">
        <f t="shared" si="237"/>
        <v>1500</v>
      </c>
      <c r="DS366" s="14">
        <f t="shared" si="238"/>
        <v>43.75</v>
      </c>
      <c r="DT366" s="14">
        <f t="shared" si="239"/>
        <v>17</v>
      </c>
      <c r="DU366" s="14">
        <f t="shared" si="240"/>
        <v>0</v>
      </c>
      <c r="DV366" s="14">
        <f t="shared" si="241"/>
        <v>25</v>
      </c>
      <c r="DW366" s="29" t="s">
        <v>758</v>
      </c>
      <c r="DX366" s="14">
        <f t="shared" si="242"/>
        <v>45</v>
      </c>
    </row>
    <row r="367" spans="91:128" ht="16.5" x14ac:dyDescent="0.2">
      <c r="CM367" s="13">
        <v>363</v>
      </c>
      <c r="CN367" s="14">
        <f t="shared" si="216"/>
        <v>51</v>
      </c>
      <c r="CO367" s="14">
        <f t="shared" si="217"/>
        <v>1</v>
      </c>
      <c r="CP367" s="14">
        <f t="shared" si="218"/>
        <v>1</v>
      </c>
      <c r="CQ367" s="14">
        <f t="shared" si="209"/>
        <v>5</v>
      </c>
      <c r="CR367" s="14">
        <f t="shared" si="210"/>
        <v>2052011</v>
      </c>
      <c r="CS367" s="13" t="str">
        <f t="shared" si="211"/>
        <v>150级寄灵人蓝色-武器</v>
      </c>
      <c r="CT367" s="14">
        <f t="shared" si="212"/>
        <v>1</v>
      </c>
      <c r="CU367" s="14">
        <f t="shared" si="213"/>
        <v>2</v>
      </c>
      <c r="CV367" s="14">
        <f t="shared" si="219"/>
        <v>150</v>
      </c>
      <c r="CW367" s="14">
        <f t="shared" si="220"/>
        <v>150</v>
      </c>
      <c r="CX367" s="14">
        <f t="shared" si="221"/>
        <v>1</v>
      </c>
      <c r="CY367" s="14" t="str">
        <f t="shared" si="222"/>
        <v/>
      </c>
      <c r="CZ367" s="14">
        <f t="shared" si="223"/>
        <v>146</v>
      </c>
      <c r="DA367" s="14">
        <f t="shared" si="224"/>
        <v>900</v>
      </c>
      <c r="DB367" s="14">
        <f t="shared" si="225"/>
        <v>0</v>
      </c>
      <c r="DC367" s="14">
        <f t="shared" si="226"/>
        <v>0</v>
      </c>
      <c r="DD367" s="14">
        <f t="shared" si="227"/>
        <v>29.25</v>
      </c>
      <c r="DE367" s="14">
        <f t="shared" si="228"/>
        <v>0</v>
      </c>
      <c r="DF367" s="14">
        <f t="shared" si="229"/>
        <v>0</v>
      </c>
      <c r="DG367" s="14">
        <f t="shared" si="230"/>
        <v>18</v>
      </c>
      <c r="DH367" s="14">
        <f t="shared" si="231"/>
        <v>0</v>
      </c>
      <c r="DI367" s="14">
        <f t="shared" si="232"/>
        <v>15</v>
      </c>
      <c r="DL367" s="14">
        <f t="shared" si="214"/>
        <v>1</v>
      </c>
      <c r="DM367" s="14">
        <f t="shared" si="215"/>
        <v>0</v>
      </c>
      <c r="DN367" s="14" t="str">
        <f t="shared" si="233"/>
        <v>AtkExt</v>
      </c>
      <c r="DO367" s="14">
        <f t="shared" si="234"/>
        <v>900</v>
      </c>
      <c r="DP367" s="14">
        <f t="shared" si="235"/>
        <v>29.25</v>
      </c>
      <c r="DQ367" s="14" t="str">
        <f t="shared" si="236"/>
        <v/>
      </c>
      <c r="DR367" s="14" t="str">
        <f t="shared" si="237"/>
        <v/>
      </c>
      <c r="DS367" s="14" t="str">
        <f t="shared" si="238"/>
        <v/>
      </c>
      <c r="DT367" s="14">
        <f t="shared" si="239"/>
        <v>18</v>
      </c>
      <c r="DU367" s="14">
        <f t="shared" si="240"/>
        <v>0</v>
      </c>
      <c r="DV367" s="14">
        <f t="shared" si="241"/>
        <v>15</v>
      </c>
      <c r="DW367" s="29" t="s">
        <v>758</v>
      </c>
      <c r="DX367" s="14">
        <f t="shared" si="242"/>
        <v>135</v>
      </c>
    </row>
    <row r="368" spans="91:128" ht="16.5" x14ac:dyDescent="0.2">
      <c r="CM368" s="13">
        <v>364</v>
      </c>
      <c r="CN368" s="14">
        <f t="shared" si="216"/>
        <v>51</v>
      </c>
      <c r="CO368" s="14">
        <f t="shared" si="217"/>
        <v>1</v>
      </c>
      <c r="CP368" s="14">
        <f t="shared" si="218"/>
        <v>2</v>
      </c>
      <c r="CQ368" s="14">
        <f t="shared" si="209"/>
        <v>5</v>
      </c>
      <c r="CR368" s="14">
        <f t="shared" si="210"/>
        <v>2052012</v>
      </c>
      <c r="CS368" s="13" t="str">
        <f t="shared" si="211"/>
        <v>150级寄灵人蓝色-头盔</v>
      </c>
      <c r="CT368" s="14">
        <f t="shared" si="212"/>
        <v>1</v>
      </c>
      <c r="CU368" s="14">
        <f t="shared" si="213"/>
        <v>2</v>
      </c>
      <c r="CV368" s="14">
        <f t="shared" si="219"/>
        <v>150</v>
      </c>
      <c r="CW368" s="14">
        <f t="shared" si="220"/>
        <v>150</v>
      </c>
      <c r="CX368" s="14">
        <f t="shared" si="221"/>
        <v>2</v>
      </c>
      <c r="CY368" s="14" t="str">
        <f t="shared" si="222"/>
        <v/>
      </c>
      <c r="CZ368" s="14">
        <f t="shared" si="223"/>
        <v>72</v>
      </c>
      <c r="DA368" s="14">
        <f t="shared" si="224"/>
        <v>0</v>
      </c>
      <c r="DB368" s="14">
        <f t="shared" si="225"/>
        <v>225</v>
      </c>
      <c r="DC368" s="14">
        <f t="shared" si="226"/>
        <v>0</v>
      </c>
      <c r="DD368" s="14">
        <f t="shared" si="227"/>
        <v>0</v>
      </c>
      <c r="DE368" s="14">
        <f t="shared" si="228"/>
        <v>7.2</v>
      </c>
      <c r="DF368" s="14">
        <f t="shared" si="229"/>
        <v>0</v>
      </c>
      <c r="DG368" s="14">
        <f t="shared" si="230"/>
        <v>18</v>
      </c>
      <c r="DH368" s="14">
        <f t="shared" si="231"/>
        <v>0</v>
      </c>
      <c r="DI368" s="14">
        <f t="shared" si="232"/>
        <v>15</v>
      </c>
      <c r="DL368" s="14">
        <f t="shared" si="214"/>
        <v>2</v>
      </c>
      <c r="DM368" s="14">
        <f t="shared" si="215"/>
        <v>0</v>
      </c>
      <c r="DN368" s="14" t="str">
        <f t="shared" si="233"/>
        <v>DefExt</v>
      </c>
      <c r="DO368" s="14">
        <f t="shared" si="234"/>
        <v>225</v>
      </c>
      <c r="DP368" s="14">
        <f t="shared" si="235"/>
        <v>7.2</v>
      </c>
      <c r="DQ368" s="14" t="str">
        <f t="shared" si="236"/>
        <v/>
      </c>
      <c r="DR368" s="14" t="str">
        <f t="shared" si="237"/>
        <v/>
      </c>
      <c r="DS368" s="14" t="str">
        <f t="shared" si="238"/>
        <v/>
      </c>
      <c r="DT368" s="14">
        <f t="shared" si="239"/>
        <v>18</v>
      </c>
      <c r="DU368" s="14">
        <f t="shared" si="240"/>
        <v>0</v>
      </c>
      <c r="DV368" s="14">
        <f t="shared" si="241"/>
        <v>15</v>
      </c>
      <c r="DW368" s="29" t="s">
        <v>758</v>
      </c>
      <c r="DX368" s="14">
        <f t="shared" si="242"/>
        <v>135</v>
      </c>
    </row>
    <row r="369" spans="91:128" ht="16.5" x14ac:dyDescent="0.2">
      <c r="CM369" s="13">
        <v>365</v>
      </c>
      <c r="CN369" s="14">
        <f t="shared" si="216"/>
        <v>51</v>
      </c>
      <c r="CO369" s="14">
        <f t="shared" si="217"/>
        <v>1</v>
      </c>
      <c r="CP369" s="14">
        <f t="shared" si="218"/>
        <v>3</v>
      </c>
      <c r="CQ369" s="14">
        <f t="shared" si="209"/>
        <v>5</v>
      </c>
      <c r="CR369" s="14">
        <f t="shared" si="210"/>
        <v>2052013</v>
      </c>
      <c r="CS369" s="13" t="str">
        <f t="shared" si="211"/>
        <v>150级寄灵人蓝色-肩甲</v>
      </c>
      <c r="CT369" s="14">
        <f t="shared" si="212"/>
        <v>1</v>
      </c>
      <c r="CU369" s="14">
        <f t="shared" si="213"/>
        <v>2</v>
      </c>
      <c r="CV369" s="14">
        <f t="shared" si="219"/>
        <v>150</v>
      </c>
      <c r="CW369" s="14">
        <f t="shared" si="220"/>
        <v>150</v>
      </c>
      <c r="CX369" s="14">
        <f t="shared" si="221"/>
        <v>3</v>
      </c>
      <c r="CY369" s="14" t="str">
        <f t="shared" si="222"/>
        <v/>
      </c>
      <c r="CZ369" s="14">
        <f t="shared" si="223"/>
        <v>58</v>
      </c>
      <c r="DA369" s="14">
        <f t="shared" si="224"/>
        <v>0</v>
      </c>
      <c r="DB369" s="14">
        <f t="shared" si="225"/>
        <v>113</v>
      </c>
      <c r="DC369" s="14">
        <f t="shared" si="226"/>
        <v>675</v>
      </c>
      <c r="DD369" s="14">
        <f t="shared" si="227"/>
        <v>0</v>
      </c>
      <c r="DE369" s="14">
        <f t="shared" si="228"/>
        <v>3.6</v>
      </c>
      <c r="DF369" s="14">
        <f t="shared" si="229"/>
        <v>22.5</v>
      </c>
      <c r="DG369" s="14">
        <f t="shared" si="230"/>
        <v>18</v>
      </c>
      <c r="DH369" s="14">
        <f t="shared" si="231"/>
        <v>0</v>
      </c>
      <c r="DI369" s="14">
        <f t="shared" si="232"/>
        <v>15</v>
      </c>
      <c r="DL369" s="14">
        <f t="shared" si="214"/>
        <v>2</v>
      </c>
      <c r="DM369" s="14">
        <f t="shared" si="215"/>
        <v>3</v>
      </c>
      <c r="DN369" s="14" t="str">
        <f t="shared" si="233"/>
        <v>DefExt</v>
      </c>
      <c r="DO369" s="14">
        <f t="shared" si="234"/>
        <v>113</v>
      </c>
      <c r="DP369" s="14">
        <f t="shared" si="235"/>
        <v>3.6</v>
      </c>
      <c r="DQ369" s="14" t="str">
        <f t="shared" si="236"/>
        <v>HPExt</v>
      </c>
      <c r="DR369" s="14">
        <f t="shared" si="237"/>
        <v>675</v>
      </c>
      <c r="DS369" s="14">
        <f t="shared" si="238"/>
        <v>22.5</v>
      </c>
      <c r="DT369" s="14">
        <f t="shared" si="239"/>
        <v>18</v>
      </c>
      <c r="DU369" s="14">
        <f t="shared" si="240"/>
        <v>0</v>
      </c>
      <c r="DV369" s="14">
        <f t="shared" si="241"/>
        <v>15</v>
      </c>
      <c r="DW369" s="29" t="s">
        <v>758</v>
      </c>
      <c r="DX369" s="14">
        <f t="shared" si="242"/>
        <v>135</v>
      </c>
    </row>
    <row r="370" spans="91:128" ht="16.5" x14ac:dyDescent="0.2">
      <c r="CM370" s="13">
        <v>366</v>
      </c>
      <c r="CN370" s="14">
        <f t="shared" si="216"/>
        <v>51</v>
      </c>
      <c r="CO370" s="14">
        <f t="shared" si="217"/>
        <v>1</v>
      </c>
      <c r="CP370" s="14">
        <f t="shared" si="218"/>
        <v>4</v>
      </c>
      <c r="CQ370" s="14">
        <f t="shared" si="209"/>
        <v>5</v>
      </c>
      <c r="CR370" s="14">
        <f t="shared" si="210"/>
        <v>2052014</v>
      </c>
      <c r="CS370" s="13" t="str">
        <f t="shared" si="211"/>
        <v>150级寄灵人蓝色-衣服</v>
      </c>
      <c r="CT370" s="14">
        <f t="shared" si="212"/>
        <v>1</v>
      </c>
      <c r="CU370" s="14">
        <f t="shared" si="213"/>
        <v>2</v>
      </c>
      <c r="CV370" s="14">
        <f t="shared" si="219"/>
        <v>150</v>
      </c>
      <c r="CW370" s="14">
        <f t="shared" si="220"/>
        <v>150</v>
      </c>
      <c r="CX370" s="14">
        <f t="shared" si="221"/>
        <v>4</v>
      </c>
      <c r="CY370" s="14" t="str">
        <f t="shared" si="222"/>
        <v/>
      </c>
      <c r="CZ370" s="14">
        <f t="shared" si="223"/>
        <v>72</v>
      </c>
      <c r="DA370" s="14">
        <f t="shared" si="224"/>
        <v>0</v>
      </c>
      <c r="DB370" s="14">
        <f t="shared" si="225"/>
        <v>225</v>
      </c>
      <c r="DC370" s="14">
        <f t="shared" si="226"/>
        <v>0</v>
      </c>
      <c r="DD370" s="14">
        <f t="shared" si="227"/>
        <v>0</v>
      </c>
      <c r="DE370" s="14">
        <f t="shared" si="228"/>
        <v>7.2</v>
      </c>
      <c r="DF370" s="14">
        <f t="shared" si="229"/>
        <v>0</v>
      </c>
      <c r="DG370" s="14">
        <f t="shared" si="230"/>
        <v>18</v>
      </c>
      <c r="DH370" s="14">
        <f t="shared" si="231"/>
        <v>0</v>
      </c>
      <c r="DI370" s="14">
        <f t="shared" si="232"/>
        <v>15</v>
      </c>
      <c r="DL370" s="14">
        <f t="shared" si="214"/>
        <v>2</v>
      </c>
      <c r="DM370" s="14">
        <f t="shared" si="215"/>
        <v>0</v>
      </c>
      <c r="DN370" s="14" t="str">
        <f t="shared" si="233"/>
        <v>DefExt</v>
      </c>
      <c r="DO370" s="14">
        <f t="shared" si="234"/>
        <v>225</v>
      </c>
      <c r="DP370" s="14">
        <f t="shared" si="235"/>
        <v>7.2</v>
      </c>
      <c r="DQ370" s="14" t="str">
        <f t="shared" si="236"/>
        <v/>
      </c>
      <c r="DR370" s="14" t="str">
        <f t="shared" si="237"/>
        <v/>
      </c>
      <c r="DS370" s="14" t="str">
        <f t="shared" si="238"/>
        <v/>
      </c>
      <c r="DT370" s="14">
        <f t="shared" si="239"/>
        <v>18</v>
      </c>
      <c r="DU370" s="14">
        <f t="shared" si="240"/>
        <v>0</v>
      </c>
      <c r="DV370" s="14">
        <f t="shared" si="241"/>
        <v>15</v>
      </c>
      <c r="DW370" s="29" t="s">
        <v>758</v>
      </c>
      <c r="DX370" s="14">
        <f t="shared" si="242"/>
        <v>135</v>
      </c>
    </row>
    <row r="371" spans="91:128" ht="16.5" x14ac:dyDescent="0.2">
      <c r="CM371" s="13">
        <v>367</v>
      </c>
      <c r="CN371" s="14">
        <f t="shared" si="216"/>
        <v>51</v>
      </c>
      <c r="CO371" s="14">
        <f t="shared" si="217"/>
        <v>1</v>
      </c>
      <c r="CP371" s="14">
        <f t="shared" si="218"/>
        <v>5</v>
      </c>
      <c r="CQ371" s="14">
        <f t="shared" si="209"/>
        <v>5</v>
      </c>
      <c r="CR371" s="14">
        <f t="shared" si="210"/>
        <v>2052015</v>
      </c>
      <c r="CS371" s="13" t="str">
        <f t="shared" si="211"/>
        <v>150级寄灵人蓝色-鞋子</v>
      </c>
      <c r="CT371" s="14">
        <f t="shared" si="212"/>
        <v>1</v>
      </c>
      <c r="CU371" s="14">
        <f t="shared" si="213"/>
        <v>2</v>
      </c>
      <c r="CV371" s="14">
        <f t="shared" si="219"/>
        <v>150</v>
      </c>
      <c r="CW371" s="14">
        <f t="shared" si="220"/>
        <v>150</v>
      </c>
      <c r="CX371" s="14">
        <f t="shared" si="221"/>
        <v>5</v>
      </c>
      <c r="CY371" s="14" t="str">
        <f t="shared" si="222"/>
        <v/>
      </c>
      <c r="CZ371" s="14">
        <f t="shared" si="223"/>
        <v>45</v>
      </c>
      <c r="DA371" s="14">
        <f t="shared" si="224"/>
        <v>0</v>
      </c>
      <c r="DB371" s="14">
        <f t="shared" si="225"/>
        <v>0</v>
      </c>
      <c r="DC371" s="14">
        <f t="shared" si="226"/>
        <v>1350</v>
      </c>
      <c r="DD371" s="14">
        <f t="shared" si="227"/>
        <v>0</v>
      </c>
      <c r="DE371" s="14">
        <f t="shared" si="228"/>
        <v>0</v>
      </c>
      <c r="DF371" s="14">
        <f t="shared" si="229"/>
        <v>45</v>
      </c>
      <c r="DG371" s="14">
        <f t="shared" si="230"/>
        <v>18</v>
      </c>
      <c r="DH371" s="14">
        <f t="shared" si="231"/>
        <v>0</v>
      </c>
      <c r="DI371" s="14">
        <f t="shared" si="232"/>
        <v>15</v>
      </c>
      <c r="DL371" s="14">
        <f t="shared" si="214"/>
        <v>3</v>
      </c>
      <c r="DM371" s="14">
        <f t="shared" si="215"/>
        <v>0</v>
      </c>
      <c r="DN371" s="14" t="str">
        <f t="shared" si="233"/>
        <v>HPExt</v>
      </c>
      <c r="DO371" s="14">
        <f t="shared" si="234"/>
        <v>1350</v>
      </c>
      <c r="DP371" s="14">
        <f t="shared" si="235"/>
        <v>45</v>
      </c>
      <c r="DQ371" s="14" t="str">
        <f t="shared" si="236"/>
        <v/>
      </c>
      <c r="DR371" s="14" t="str">
        <f t="shared" si="237"/>
        <v/>
      </c>
      <c r="DS371" s="14" t="str">
        <f t="shared" si="238"/>
        <v/>
      </c>
      <c r="DT371" s="14">
        <f t="shared" si="239"/>
        <v>18</v>
      </c>
      <c r="DU371" s="14">
        <f t="shared" si="240"/>
        <v>0</v>
      </c>
      <c r="DV371" s="14">
        <f t="shared" si="241"/>
        <v>15</v>
      </c>
      <c r="DW371" s="29" t="s">
        <v>758</v>
      </c>
      <c r="DX371" s="14">
        <f t="shared" si="242"/>
        <v>135</v>
      </c>
    </row>
    <row r="372" spans="91:128" ht="16.5" x14ac:dyDescent="0.2">
      <c r="CM372" s="13">
        <v>368</v>
      </c>
      <c r="CN372" s="14">
        <f t="shared" si="216"/>
        <v>51</v>
      </c>
      <c r="CO372" s="14">
        <f t="shared" si="217"/>
        <v>1</v>
      </c>
      <c r="CP372" s="14">
        <f t="shared" si="218"/>
        <v>6</v>
      </c>
      <c r="CQ372" s="14">
        <f t="shared" si="209"/>
        <v>5</v>
      </c>
      <c r="CR372" s="14">
        <f t="shared" si="210"/>
        <v>2052016</v>
      </c>
      <c r="CS372" s="13" t="str">
        <f t="shared" si="211"/>
        <v>150级寄灵人蓝色-护手</v>
      </c>
      <c r="CT372" s="14">
        <f t="shared" si="212"/>
        <v>1</v>
      </c>
      <c r="CU372" s="14">
        <f t="shared" si="213"/>
        <v>2</v>
      </c>
      <c r="CV372" s="14">
        <f t="shared" si="219"/>
        <v>150</v>
      </c>
      <c r="CW372" s="14">
        <f t="shared" si="220"/>
        <v>150</v>
      </c>
      <c r="CX372" s="14">
        <f t="shared" si="221"/>
        <v>6</v>
      </c>
      <c r="CY372" s="14" t="str">
        <f t="shared" si="222"/>
        <v/>
      </c>
      <c r="CZ372" s="14">
        <f t="shared" si="223"/>
        <v>45</v>
      </c>
      <c r="DA372" s="14">
        <f t="shared" si="224"/>
        <v>0</v>
      </c>
      <c r="DB372" s="14">
        <f t="shared" si="225"/>
        <v>0</v>
      </c>
      <c r="DC372" s="14">
        <f t="shared" si="226"/>
        <v>1350</v>
      </c>
      <c r="DD372" s="14">
        <f t="shared" si="227"/>
        <v>0</v>
      </c>
      <c r="DE372" s="14">
        <f t="shared" si="228"/>
        <v>0</v>
      </c>
      <c r="DF372" s="14">
        <f t="shared" si="229"/>
        <v>45</v>
      </c>
      <c r="DG372" s="14">
        <f t="shared" si="230"/>
        <v>18</v>
      </c>
      <c r="DH372" s="14">
        <f t="shared" si="231"/>
        <v>0</v>
      </c>
      <c r="DI372" s="14">
        <f t="shared" si="232"/>
        <v>15</v>
      </c>
      <c r="DL372" s="14">
        <f t="shared" si="214"/>
        <v>3</v>
      </c>
      <c r="DM372" s="14">
        <f t="shared" si="215"/>
        <v>0</v>
      </c>
      <c r="DN372" s="14" t="str">
        <f t="shared" si="233"/>
        <v>HPExt</v>
      </c>
      <c r="DO372" s="14">
        <f t="shared" si="234"/>
        <v>1350</v>
      </c>
      <c r="DP372" s="14">
        <f t="shared" si="235"/>
        <v>45</v>
      </c>
      <c r="DQ372" s="14" t="str">
        <f t="shared" si="236"/>
        <v/>
      </c>
      <c r="DR372" s="14" t="str">
        <f t="shared" si="237"/>
        <v/>
      </c>
      <c r="DS372" s="14" t="str">
        <f t="shared" si="238"/>
        <v/>
      </c>
      <c r="DT372" s="14">
        <f t="shared" si="239"/>
        <v>18</v>
      </c>
      <c r="DU372" s="14">
        <f t="shared" si="240"/>
        <v>0</v>
      </c>
      <c r="DV372" s="14">
        <f t="shared" si="241"/>
        <v>15</v>
      </c>
      <c r="DW372" s="29" t="s">
        <v>758</v>
      </c>
      <c r="DX372" s="14">
        <f t="shared" si="242"/>
        <v>135</v>
      </c>
    </row>
    <row r="373" spans="91:128" ht="16.5" x14ac:dyDescent="0.2">
      <c r="CM373" s="13">
        <v>369</v>
      </c>
      <c r="CN373" s="14">
        <f t="shared" si="216"/>
        <v>51</v>
      </c>
      <c r="CO373" s="14">
        <f t="shared" si="217"/>
        <v>1</v>
      </c>
      <c r="CP373" s="14">
        <f t="shared" si="218"/>
        <v>7</v>
      </c>
      <c r="CQ373" s="14">
        <f t="shared" si="209"/>
        <v>5</v>
      </c>
      <c r="CR373" s="14">
        <f t="shared" si="210"/>
        <v>2052017</v>
      </c>
      <c r="CS373" s="13" t="str">
        <f t="shared" si="211"/>
        <v>150级寄灵人蓝色-项链</v>
      </c>
      <c r="CT373" s="14">
        <f t="shared" si="212"/>
        <v>1</v>
      </c>
      <c r="CU373" s="14">
        <f t="shared" si="213"/>
        <v>2</v>
      </c>
      <c r="CV373" s="14">
        <f t="shared" si="219"/>
        <v>150</v>
      </c>
      <c r="CW373" s="14">
        <f t="shared" si="220"/>
        <v>150</v>
      </c>
      <c r="CX373" s="14">
        <f t="shared" si="221"/>
        <v>7</v>
      </c>
      <c r="CY373" s="14" t="str">
        <f t="shared" si="222"/>
        <v/>
      </c>
      <c r="CZ373" s="14">
        <f t="shared" si="223"/>
        <v>108</v>
      </c>
      <c r="DA373" s="14">
        <f t="shared" si="224"/>
        <v>300</v>
      </c>
      <c r="DB373" s="14">
        <f t="shared" si="225"/>
        <v>188</v>
      </c>
      <c r="DC373" s="14">
        <f t="shared" si="226"/>
        <v>0</v>
      </c>
      <c r="DD373" s="14">
        <f t="shared" si="227"/>
        <v>9.75</v>
      </c>
      <c r="DE373" s="14">
        <f t="shared" si="228"/>
        <v>6</v>
      </c>
      <c r="DF373" s="14">
        <f t="shared" si="229"/>
        <v>0</v>
      </c>
      <c r="DG373" s="14">
        <f t="shared" si="230"/>
        <v>18</v>
      </c>
      <c r="DH373" s="14">
        <f t="shared" si="231"/>
        <v>0</v>
      </c>
      <c r="DI373" s="14">
        <f t="shared" si="232"/>
        <v>15</v>
      </c>
      <c r="DL373" s="14">
        <f t="shared" si="214"/>
        <v>1</v>
      </c>
      <c r="DM373" s="14">
        <f t="shared" si="215"/>
        <v>2</v>
      </c>
      <c r="DN373" s="14" t="str">
        <f t="shared" si="233"/>
        <v>AtkExt</v>
      </c>
      <c r="DO373" s="14">
        <f t="shared" si="234"/>
        <v>300</v>
      </c>
      <c r="DP373" s="14">
        <f t="shared" si="235"/>
        <v>9.75</v>
      </c>
      <c r="DQ373" s="14" t="str">
        <f t="shared" si="236"/>
        <v>DefExt</v>
      </c>
      <c r="DR373" s="14">
        <f t="shared" si="237"/>
        <v>188</v>
      </c>
      <c r="DS373" s="14">
        <f t="shared" si="238"/>
        <v>6</v>
      </c>
      <c r="DT373" s="14">
        <f t="shared" si="239"/>
        <v>18</v>
      </c>
      <c r="DU373" s="14">
        <f t="shared" si="240"/>
        <v>0</v>
      </c>
      <c r="DV373" s="14">
        <f t="shared" si="241"/>
        <v>15</v>
      </c>
      <c r="DW373" s="29" t="s">
        <v>758</v>
      </c>
      <c r="DX373" s="14">
        <f t="shared" si="242"/>
        <v>135</v>
      </c>
    </row>
    <row r="374" spans="91:128" ht="16.5" x14ac:dyDescent="0.2">
      <c r="CM374" s="13">
        <v>370</v>
      </c>
      <c r="CN374" s="14">
        <f t="shared" si="216"/>
        <v>51</v>
      </c>
      <c r="CO374" s="14">
        <f t="shared" si="217"/>
        <v>1</v>
      </c>
      <c r="CP374" s="14">
        <f t="shared" si="218"/>
        <v>8</v>
      </c>
      <c r="CQ374" s="14">
        <f t="shared" si="209"/>
        <v>5</v>
      </c>
      <c r="CR374" s="14">
        <f t="shared" si="210"/>
        <v>2052018</v>
      </c>
      <c r="CS374" s="13" t="str">
        <f t="shared" si="211"/>
        <v>150级寄灵人蓝色-戒指</v>
      </c>
      <c r="CT374" s="14">
        <f t="shared" si="212"/>
        <v>1</v>
      </c>
      <c r="CU374" s="14">
        <f t="shared" si="213"/>
        <v>2</v>
      </c>
      <c r="CV374" s="14">
        <f t="shared" si="219"/>
        <v>150</v>
      </c>
      <c r="CW374" s="14">
        <f t="shared" si="220"/>
        <v>150</v>
      </c>
      <c r="CX374" s="14">
        <f t="shared" si="221"/>
        <v>8</v>
      </c>
      <c r="CY374" s="14" t="str">
        <f t="shared" si="222"/>
        <v/>
      </c>
      <c r="CZ374" s="14">
        <f t="shared" si="223"/>
        <v>86</v>
      </c>
      <c r="DA374" s="14">
        <f t="shared" si="224"/>
        <v>300</v>
      </c>
      <c r="DB374" s="14">
        <f t="shared" si="225"/>
        <v>0</v>
      </c>
      <c r="DC374" s="14">
        <f t="shared" si="226"/>
        <v>1125</v>
      </c>
      <c r="DD374" s="14">
        <f t="shared" si="227"/>
        <v>9.75</v>
      </c>
      <c r="DE374" s="14">
        <f t="shared" si="228"/>
        <v>0</v>
      </c>
      <c r="DF374" s="14">
        <f t="shared" si="229"/>
        <v>37.5</v>
      </c>
      <c r="DG374" s="14">
        <f t="shared" si="230"/>
        <v>18</v>
      </c>
      <c r="DH374" s="14">
        <f t="shared" si="231"/>
        <v>0</v>
      </c>
      <c r="DI374" s="14">
        <f t="shared" si="232"/>
        <v>15</v>
      </c>
      <c r="DL374" s="14">
        <f t="shared" si="214"/>
        <v>1</v>
      </c>
      <c r="DM374" s="14">
        <f t="shared" si="215"/>
        <v>3</v>
      </c>
      <c r="DN374" s="14" t="str">
        <f t="shared" si="233"/>
        <v>AtkExt</v>
      </c>
      <c r="DO374" s="14">
        <f t="shared" si="234"/>
        <v>300</v>
      </c>
      <c r="DP374" s="14">
        <f t="shared" si="235"/>
        <v>9.75</v>
      </c>
      <c r="DQ374" s="14" t="str">
        <f t="shared" si="236"/>
        <v>HPExt</v>
      </c>
      <c r="DR374" s="14">
        <f t="shared" si="237"/>
        <v>1125</v>
      </c>
      <c r="DS374" s="14">
        <f t="shared" si="238"/>
        <v>37.5</v>
      </c>
      <c r="DT374" s="14">
        <f t="shared" si="239"/>
        <v>18</v>
      </c>
      <c r="DU374" s="14">
        <f t="shared" si="240"/>
        <v>0</v>
      </c>
      <c r="DV374" s="14">
        <f t="shared" si="241"/>
        <v>15</v>
      </c>
      <c r="DW374" s="29" t="s">
        <v>758</v>
      </c>
      <c r="DX374" s="14">
        <f t="shared" si="242"/>
        <v>135</v>
      </c>
    </row>
    <row r="375" spans="91:128" ht="16.5" x14ac:dyDescent="0.2">
      <c r="CM375" s="13">
        <v>371</v>
      </c>
      <c r="CN375" s="14">
        <f t="shared" si="216"/>
        <v>52</v>
      </c>
      <c r="CO375" s="14">
        <f t="shared" si="217"/>
        <v>2</v>
      </c>
      <c r="CP375" s="14">
        <f t="shared" si="218"/>
        <v>1</v>
      </c>
      <c r="CQ375" s="14">
        <f t="shared" si="209"/>
        <v>5</v>
      </c>
      <c r="CR375" s="14">
        <f t="shared" si="210"/>
        <v>2052021</v>
      </c>
      <c r="CS375" s="13" t="str">
        <f t="shared" si="211"/>
        <v>150级守护灵蓝色-武器</v>
      </c>
      <c r="CT375" s="14">
        <f t="shared" si="212"/>
        <v>2</v>
      </c>
      <c r="CU375" s="14">
        <f t="shared" si="213"/>
        <v>2</v>
      </c>
      <c r="CV375" s="14">
        <f t="shared" si="219"/>
        <v>150</v>
      </c>
      <c r="CW375" s="14">
        <f t="shared" si="220"/>
        <v>150</v>
      </c>
      <c r="CX375" s="14">
        <f t="shared" si="221"/>
        <v>1</v>
      </c>
      <c r="CY375" s="14" t="str">
        <f t="shared" si="222"/>
        <v/>
      </c>
      <c r="CZ375" s="14">
        <f t="shared" si="223"/>
        <v>146</v>
      </c>
      <c r="DA375" s="14">
        <f t="shared" si="224"/>
        <v>1125</v>
      </c>
      <c r="DB375" s="14">
        <f t="shared" si="225"/>
        <v>0</v>
      </c>
      <c r="DC375" s="14">
        <f t="shared" si="226"/>
        <v>0</v>
      </c>
      <c r="DD375" s="14">
        <f t="shared" si="227"/>
        <v>29.25</v>
      </c>
      <c r="DE375" s="14">
        <f t="shared" si="228"/>
        <v>0</v>
      </c>
      <c r="DF375" s="14">
        <f t="shared" si="229"/>
        <v>0</v>
      </c>
      <c r="DG375" s="14">
        <f t="shared" si="230"/>
        <v>18</v>
      </c>
      <c r="DH375" s="14">
        <f t="shared" si="231"/>
        <v>0</v>
      </c>
      <c r="DI375" s="14">
        <f t="shared" si="232"/>
        <v>25</v>
      </c>
      <c r="DL375" s="14">
        <f t="shared" si="214"/>
        <v>1</v>
      </c>
      <c r="DM375" s="14">
        <f t="shared" si="215"/>
        <v>0</v>
      </c>
      <c r="DN375" s="14" t="str">
        <f t="shared" si="233"/>
        <v>AtkExt</v>
      </c>
      <c r="DO375" s="14">
        <f t="shared" si="234"/>
        <v>1125</v>
      </c>
      <c r="DP375" s="14">
        <f t="shared" si="235"/>
        <v>29.25</v>
      </c>
      <c r="DQ375" s="14" t="str">
        <f t="shared" si="236"/>
        <v/>
      </c>
      <c r="DR375" s="14" t="str">
        <f t="shared" si="237"/>
        <v/>
      </c>
      <c r="DS375" s="14" t="str">
        <f t="shared" si="238"/>
        <v/>
      </c>
      <c r="DT375" s="14">
        <f t="shared" si="239"/>
        <v>18</v>
      </c>
      <c r="DU375" s="14">
        <f t="shared" si="240"/>
        <v>0</v>
      </c>
      <c r="DV375" s="14">
        <f t="shared" si="241"/>
        <v>25</v>
      </c>
      <c r="DW375" s="29" t="s">
        <v>758</v>
      </c>
      <c r="DX375" s="14">
        <f t="shared" si="242"/>
        <v>135</v>
      </c>
    </row>
    <row r="376" spans="91:128" ht="16.5" x14ac:dyDescent="0.2">
      <c r="CM376" s="13">
        <v>372</v>
      </c>
      <c r="CN376" s="14">
        <f t="shared" si="216"/>
        <v>52</v>
      </c>
      <c r="CO376" s="14">
        <f t="shared" si="217"/>
        <v>2</v>
      </c>
      <c r="CP376" s="14">
        <f t="shared" si="218"/>
        <v>2</v>
      </c>
      <c r="CQ376" s="14">
        <f t="shared" si="209"/>
        <v>5</v>
      </c>
      <c r="CR376" s="14">
        <f t="shared" si="210"/>
        <v>2052022</v>
      </c>
      <c r="CS376" s="13" t="str">
        <f t="shared" si="211"/>
        <v>150级守护灵蓝色-头盔</v>
      </c>
      <c r="CT376" s="14">
        <f t="shared" si="212"/>
        <v>2</v>
      </c>
      <c r="CU376" s="14">
        <f t="shared" si="213"/>
        <v>2</v>
      </c>
      <c r="CV376" s="14">
        <f t="shared" si="219"/>
        <v>150</v>
      </c>
      <c r="CW376" s="14">
        <f t="shared" si="220"/>
        <v>150</v>
      </c>
      <c r="CX376" s="14">
        <f t="shared" si="221"/>
        <v>2</v>
      </c>
      <c r="CY376" s="14" t="str">
        <f t="shared" si="222"/>
        <v/>
      </c>
      <c r="CZ376" s="14">
        <f t="shared" si="223"/>
        <v>72</v>
      </c>
      <c r="DA376" s="14">
        <f t="shared" si="224"/>
        <v>0</v>
      </c>
      <c r="DB376" s="14">
        <f t="shared" si="225"/>
        <v>253</v>
      </c>
      <c r="DC376" s="14">
        <f t="shared" si="226"/>
        <v>0</v>
      </c>
      <c r="DD376" s="14">
        <f t="shared" si="227"/>
        <v>0</v>
      </c>
      <c r="DE376" s="14">
        <f t="shared" si="228"/>
        <v>7.2</v>
      </c>
      <c r="DF376" s="14">
        <f t="shared" si="229"/>
        <v>0</v>
      </c>
      <c r="DG376" s="14">
        <f t="shared" si="230"/>
        <v>18</v>
      </c>
      <c r="DH376" s="14">
        <f t="shared" si="231"/>
        <v>0</v>
      </c>
      <c r="DI376" s="14">
        <f t="shared" si="232"/>
        <v>25</v>
      </c>
      <c r="DL376" s="14">
        <f t="shared" si="214"/>
        <v>2</v>
      </c>
      <c r="DM376" s="14">
        <f t="shared" si="215"/>
        <v>0</v>
      </c>
      <c r="DN376" s="14" t="str">
        <f t="shared" si="233"/>
        <v>DefExt</v>
      </c>
      <c r="DO376" s="14">
        <f t="shared" si="234"/>
        <v>253</v>
      </c>
      <c r="DP376" s="14">
        <f t="shared" si="235"/>
        <v>7.2</v>
      </c>
      <c r="DQ376" s="14" t="str">
        <f t="shared" si="236"/>
        <v/>
      </c>
      <c r="DR376" s="14" t="str">
        <f t="shared" si="237"/>
        <v/>
      </c>
      <c r="DS376" s="14" t="str">
        <f t="shared" si="238"/>
        <v/>
      </c>
      <c r="DT376" s="14">
        <f t="shared" si="239"/>
        <v>18</v>
      </c>
      <c r="DU376" s="14">
        <f t="shared" si="240"/>
        <v>0</v>
      </c>
      <c r="DV376" s="14">
        <f t="shared" si="241"/>
        <v>25</v>
      </c>
      <c r="DW376" s="29" t="s">
        <v>758</v>
      </c>
      <c r="DX376" s="14">
        <f t="shared" si="242"/>
        <v>135</v>
      </c>
    </row>
    <row r="377" spans="91:128" ht="16.5" x14ac:dyDescent="0.2">
      <c r="CM377" s="13">
        <v>373</v>
      </c>
      <c r="CN377" s="14">
        <f t="shared" si="216"/>
        <v>52</v>
      </c>
      <c r="CO377" s="14">
        <f t="shared" si="217"/>
        <v>2</v>
      </c>
      <c r="CP377" s="14">
        <f t="shared" si="218"/>
        <v>3</v>
      </c>
      <c r="CQ377" s="14">
        <f t="shared" si="209"/>
        <v>5</v>
      </c>
      <c r="CR377" s="14">
        <f t="shared" si="210"/>
        <v>2052023</v>
      </c>
      <c r="CS377" s="13" t="str">
        <f t="shared" si="211"/>
        <v>150级守护灵蓝色-肩甲</v>
      </c>
      <c r="CT377" s="14">
        <f t="shared" si="212"/>
        <v>2</v>
      </c>
      <c r="CU377" s="14">
        <f t="shared" si="213"/>
        <v>2</v>
      </c>
      <c r="CV377" s="14">
        <f t="shared" si="219"/>
        <v>150</v>
      </c>
      <c r="CW377" s="14">
        <f t="shared" si="220"/>
        <v>150</v>
      </c>
      <c r="CX377" s="14">
        <f t="shared" si="221"/>
        <v>3</v>
      </c>
      <c r="CY377" s="14" t="str">
        <f t="shared" si="222"/>
        <v/>
      </c>
      <c r="CZ377" s="14">
        <f t="shared" si="223"/>
        <v>75</v>
      </c>
      <c r="DA377" s="14">
        <f t="shared" si="224"/>
        <v>0</v>
      </c>
      <c r="DB377" s="14">
        <f t="shared" si="225"/>
        <v>127</v>
      </c>
      <c r="DC377" s="14">
        <f t="shared" si="226"/>
        <v>1350</v>
      </c>
      <c r="DD377" s="14">
        <f t="shared" si="227"/>
        <v>0</v>
      </c>
      <c r="DE377" s="14">
        <f t="shared" si="228"/>
        <v>3.6</v>
      </c>
      <c r="DF377" s="14">
        <f t="shared" si="229"/>
        <v>39.380000000000003</v>
      </c>
      <c r="DG377" s="14">
        <f t="shared" si="230"/>
        <v>18</v>
      </c>
      <c r="DH377" s="14">
        <f t="shared" si="231"/>
        <v>0</v>
      </c>
      <c r="DI377" s="14">
        <f t="shared" si="232"/>
        <v>25</v>
      </c>
      <c r="DL377" s="14">
        <f t="shared" si="214"/>
        <v>2</v>
      </c>
      <c r="DM377" s="14">
        <f t="shared" si="215"/>
        <v>3</v>
      </c>
      <c r="DN377" s="14" t="str">
        <f t="shared" si="233"/>
        <v>DefExt</v>
      </c>
      <c r="DO377" s="14">
        <f t="shared" si="234"/>
        <v>127</v>
      </c>
      <c r="DP377" s="14">
        <f t="shared" si="235"/>
        <v>3.6</v>
      </c>
      <c r="DQ377" s="14" t="str">
        <f t="shared" si="236"/>
        <v>HPExt</v>
      </c>
      <c r="DR377" s="14">
        <f t="shared" si="237"/>
        <v>1350</v>
      </c>
      <c r="DS377" s="14">
        <f t="shared" si="238"/>
        <v>39.380000000000003</v>
      </c>
      <c r="DT377" s="14">
        <f t="shared" si="239"/>
        <v>18</v>
      </c>
      <c r="DU377" s="14">
        <f t="shared" si="240"/>
        <v>0</v>
      </c>
      <c r="DV377" s="14">
        <f t="shared" si="241"/>
        <v>25</v>
      </c>
      <c r="DW377" s="29" t="s">
        <v>758</v>
      </c>
      <c r="DX377" s="14">
        <f t="shared" si="242"/>
        <v>135</v>
      </c>
    </row>
    <row r="378" spans="91:128" ht="16.5" x14ac:dyDescent="0.2">
      <c r="CM378" s="13">
        <v>374</v>
      </c>
      <c r="CN378" s="14">
        <f t="shared" si="216"/>
        <v>52</v>
      </c>
      <c r="CO378" s="14">
        <f t="shared" si="217"/>
        <v>2</v>
      </c>
      <c r="CP378" s="14">
        <f t="shared" si="218"/>
        <v>4</v>
      </c>
      <c r="CQ378" s="14">
        <f t="shared" si="209"/>
        <v>5</v>
      </c>
      <c r="CR378" s="14">
        <f t="shared" si="210"/>
        <v>2052024</v>
      </c>
      <c r="CS378" s="13" t="str">
        <f t="shared" si="211"/>
        <v>150级守护灵蓝色-衣服</v>
      </c>
      <c r="CT378" s="14">
        <f t="shared" si="212"/>
        <v>2</v>
      </c>
      <c r="CU378" s="14">
        <f t="shared" si="213"/>
        <v>2</v>
      </c>
      <c r="CV378" s="14">
        <f t="shared" si="219"/>
        <v>150</v>
      </c>
      <c r="CW378" s="14">
        <f t="shared" si="220"/>
        <v>150</v>
      </c>
      <c r="CX378" s="14">
        <f t="shared" si="221"/>
        <v>4</v>
      </c>
      <c r="CY378" s="14" t="str">
        <f t="shared" si="222"/>
        <v/>
      </c>
      <c r="CZ378" s="14">
        <f t="shared" si="223"/>
        <v>72</v>
      </c>
      <c r="DA378" s="14">
        <f t="shared" si="224"/>
        <v>0</v>
      </c>
      <c r="DB378" s="14">
        <f t="shared" si="225"/>
        <v>253</v>
      </c>
      <c r="DC378" s="14">
        <f t="shared" si="226"/>
        <v>0</v>
      </c>
      <c r="DD378" s="14">
        <f t="shared" si="227"/>
        <v>0</v>
      </c>
      <c r="DE378" s="14">
        <f t="shared" si="228"/>
        <v>7.2</v>
      </c>
      <c r="DF378" s="14">
        <f t="shared" si="229"/>
        <v>0</v>
      </c>
      <c r="DG378" s="14">
        <f t="shared" si="230"/>
        <v>18</v>
      </c>
      <c r="DH378" s="14">
        <f t="shared" si="231"/>
        <v>0</v>
      </c>
      <c r="DI378" s="14">
        <f t="shared" si="232"/>
        <v>25</v>
      </c>
      <c r="DL378" s="14">
        <f t="shared" si="214"/>
        <v>2</v>
      </c>
      <c r="DM378" s="14">
        <f t="shared" si="215"/>
        <v>0</v>
      </c>
      <c r="DN378" s="14" t="str">
        <f t="shared" si="233"/>
        <v>DefExt</v>
      </c>
      <c r="DO378" s="14">
        <f t="shared" si="234"/>
        <v>253</v>
      </c>
      <c r="DP378" s="14">
        <f t="shared" si="235"/>
        <v>7.2</v>
      </c>
      <c r="DQ378" s="14" t="str">
        <f t="shared" si="236"/>
        <v/>
      </c>
      <c r="DR378" s="14" t="str">
        <f t="shared" si="237"/>
        <v/>
      </c>
      <c r="DS378" s="14" t="str">
        <f t="shared" si="238"/>
        <v/>
      </c>
      <c r="DT378" s="14">
        <f t="shared" si="239"/>
        <v>18</v>
      </c>
      <c r="DU378" s="14">
        <f t="shared" si="240"/>
        <v>0</v>
      </c>
      <c r="DV378" s="14">
        <f t="shared" si="241"/>
        <v>25</v>
      </c>
      <c r="DW378" s="29" t="s">
        <v>758</v>
      </c>
      <c r="DX378" s="14">
        <f t="shared" si="242"/>
        <v>135</v>
      </c>
    </row>
    <row r="379" spans="91:128" ht="16.5" x14ac:dyDescent="0.2">
      <c r="CM379" s="13">
        <v>375</v>
      </c>
      <c r="CN379" s="14">
        <f t="shared" si="216"/>
        <v>52</v>
      </c>
      <c r="CO379" s="14">
        <f t="shared" si="217"/>
        <v>2</v>
      </c>
      <c r="CP379" s="14">
        <f t="shared" si="218"/>
        <v>5</v>
      </c>
      <c r="CQ379" s="14">
        <f t="shared" si="209"/>
        <v>5</v>
      </c>
      <c r="CR379" s="14">
        <f t="shared" si="210"/>
        <v>2052025</v>
      </c>
      <c r="CS379" s="13" t="str">
        <f t="shared" si="211"/>
        <v>150级守护灵蓝色-鞋子</v>
      </c>
      <c r="CT379" s="14">
        <f t="shared" si="212"/>
        <v>2</v>
      </c>
      <c r="CU379" s="14">
        <f t="shared" si="213"/>
        <v>2</v>
      </c>
      <c r="CV379" s="14">
        <f t="shared" si="219"/>
        <v>150</v>
      </c>
      <c r="CW379" s="14">
        <f t="shared" si="220"/>
        <v>150</v>
      </c>
      <c r="CX379" s="14">
        <f t="shared" si="221"/>
        <v>5</v>
      </c>
      <c r="CY379" s="14" t="str">
        <f t="shared" si="222"/>
        <v/>
      </c>
      <c r="CZ379" s="14">
        <f t="shared" si="223"/>
        <v>78</v>
      </c>
      <c r="DA379" s="14">
        <f t="shared" si="224"/>
        <v>0</v>
      </c>
      <c r="DB379" s="14">
        <f t="shared" si="225"/>
        <v>0</v>
      </c>
      <c r="DC379" s="14">
        <f t="shared" si="226"/>
        <v>2700</v>
      </c>
      <c r="DD379" s="14">
        <f t="shared" si="227"/>
        <v>0</v>
      </c>
      <c r="DE379" s="14">
        <f t="shared" si="228"/>
        <v>0</v>
      </c>
      <c r="DF379" s="14">
        <f t="shared" si="229"/>
        <v>78.75</v>
      </c>
      <c r="DG379" s="14">
        <f t="shared" si="230"/>
        <v>18</v>
      </c>
      <c r="DH379" s="14">
        <f t="shared" si="231"/>
        <v>0</v>
      </c>
      <c r="DI379" s="14">
        <f t="shared" si="232"/>
        <v>25</v>
      </c>
      <c r="DL379" s="14">
        <f t="shared" si="214"/>
        <v>3</v>
      </c>
      <c r="DM379" s="14">
        <f t="shared" si="215"/>
        <v>0</v>
      </c>
      <c r="DN379" s="14" t="str">
        <f t="shared" si="233"/>
        <v>HPExt</v>
      </c>
      <c r="DO379" s="14">
        <f t="shared" si="234"/>
        <v>2700</v>
      </c>
      <c r="DP379" s="14">
        <f t="shared" si="235"/>
        <v>78.75</v>
      </c>
      <c r="DQ379" s="14" t="str">
        <f t="shared" si="236"/>
        <v/>
      </c>
      <c r="DR379" s="14" t="str">
        <f t="shared" si="237"/>
        <v/>
      </c>
      <c r="DS379" s="14" t="str">
        <f t="shared" si="238"/>
        <v/>
      </c>
      <c r="DT379" s="14">
        <f t="shared" si="239"/>
        <v>18</v>
      </c>
      <c r="DU379" s="14">
        <f t="shared" si="240"/>
        <v>0</v>
      </c>
      <c r="DV379" s="14">
        <f t="shared" si="241"/>
        <v>25</v>
      </c>
      <c r="DW379" s="29" t="s">
        <v>758</v>
      </c>
      <c r="DX379" s="14">
        <f t="shared" si="242"/>
        <v>135</v>
      </c>
    </row>
    <row r="380" spans="91:128" ht="16.5" x14ac:dyDescent="0.2">
      <c r="CM380" s="13">
        <v>376</v>
      </c>
      <c r="CN380" s="14">
        <f t="shared" si="216"/>
        <v>52</v>
      </c>
      <c r="CO380" s="14">
        <f t="shared" si="217"/>
        <v>2</v>
      </c>
      <c r="CP380" s="14">
        <f t="shared" si="218"/>
        <v>6</v>
      </c>
      <c r="CQ380" s="14">
        <f t="shared" si="209"/>
        <v>5</v>
      </c>
      <c r="CR380" s="14">
        <f t="shared" si="210"/>
        <v>2052026</v>
      </c>
      <c r="CS380" s="13" t="str">
        <f t="shared" si="211"/>
        <v>150级守护灵蓝色-护手</v>
      </c>
      <c r="CT380" s="14">
        <f t="shared" si="212"/>
        <v>2</v>
      </c>
      <c r="CU380" s="14">
        <f t="shared" si="213"/>
        <v>2</v>
      </c>
      <c r="CV380" s="14">
        <f t="shared" si="219"/>
        <v>150</v>
      </c>
      <c r="CW380" s="14">
        <f t="shared" si="220"/>
        <v>150</v>
      </c>
      <c r="CX380" s="14">
        <f t="shared" si="221"/>
        <v>6</v>
      </c>
      <c r="CY380" s="14" t="str">
        <f t="shared" si="222"/>
        <v/>
      </c>
      <c r="CZ380" s="14">
        <f t="shared" si="223"/>
        <v>78</v>
      </c>
      <c r="DA380" s="14">
        <f t="shared" si="224"/>
        <v>0</v>
      </c>
      <c r="DB380" s="14">
        <f t="shared" si="225"/>
        <v>0</v>
      </c>
      <c r="DC380" s="14">
        <f t="shared" si="226"/>
        <v>2700</v>
      </c>
      <c r="DD380" s="14">
        <f t="shared" si="227"/>
        <v>0</v>
      </c>
      <c r="DE380" s="14">
        <f t="shared" si="228"/>
        <v>0</v>
      </c>
      <c r="DF380" s="14">
        <f t="shared" si="229"/>
        <v>78.75</v>
      </c>
      <c r="DG380" s="14">
        <f t="shared" si="230"/>
        <v>18</v>
      </c>
      <c r="DH380" s="14">
        <f t="shared" si="231"/>
        <v>0</v>
      </c>
      <c r="DI380" s="14">
        <f t="shared" si="232"/>
        <v>25</v>
      </c>
      <c r="DL380" s="14">
        <f t="shared" si="214"/>
        <v>3</v>
      </c>
      <c r="DM380" s="14">
        <f t="shared" si="215"/>
        <v>0</v>
      </c>
      <c r="DN380" s="14" t="str">
        <f t="shared" si="233"/>
        <v>HPExt</v>
      </c>
      <c r="DO380" s="14">
        <f t="shared" si="234"/>
        <v>2700</v>
      </c>
      <c r="DP380" s="14">
        <f t="shared" si="235"/>
        <v>78.75</v>
      </c>
      <c r="DQ380" s="14" t="str">
        <f t="shared" si="236"/>
        <v/>
      </c>
      <c r="DR380" s="14" t="str">
        <f t="shared" si="237"/>
        <v/>
      </c>
      <c r="DS380" s="14" t="str">
        <f t="shared" si="238"/>
        <v/>
      </c>
      <c r="DT380" s="14">
        <f t="shared" si="239"/>
        <v>18</v>
      </c>
      <c r="DU380" s="14">
        <f t="shared" si="240"/>
        <v>0</v>
      </c>
      <c r="DV380" s="14">
        <f t="shared" si="241"/>
        <v>25</v>
      </c>
      <c r="DW380" s="29" t="s">
        <v>758</v>
      </c>
      <c r="DX380" s="14">
        <f t="shared" si="242"/>
        <v>135</v>
      </c>
    </row>
    <row r="381" spans="91:128" ht="16.5" x14ac:dyDescent="0.2">
      <c r="CM381" s="13">
        <v>377</v>
      </c>
      <c r="CN381" s="14">
        <f t="shared" si="216"/>
        <v>52</v>
      </c>
      <c r="CO381" s="14">
        <f t="shared" si="217"/>
        <v>2</v>
      </c>
      <c r="CP381" s="14">
        <f t="shared" si="218"/>
        <v>7</v>
      </c>
      <c r="CQ381" s="14">
        <f t="shared" si="209"/>
        <v>5</v>
      </c>
      <c r="CR381" s="14">
        <f t="shared" si="210"/>
        <v>2052027</v>
      </c>
      <c r="CS381" s="13" t="str">
        <f t="shared" si="211"/>
        <v>150级守护灵蓝色-项链</v>
      </c>
      <c r="CT381" s="14">
        <f t="shared" si="212"/>
        <v>2</v>
      </c>
      <c r="CU381" s="14">
        <f t="shared" si="213"/>
        <v>2</v>
      </c>
      <c r="CV381" s="14">
        <f t="shared" si="219"/>
        <v>150</v>
      </c>
      <c r="CW381" s="14">
        <f t="shared" si="220"/>
        <v>150</v>
      </c>
      <c r="CX381" s="14">
        <f t="shared" si="221"/>
        <v>7</v>
      </c>
      <c r="CY381" s="14" t="str">
        <f t="shared" si="222"/>
        <v/>
      </c>
      <c r="CZ381" s="14">
        <f t="shared" si="223"/>
        <v>108</v>
      </c>
      <c r="DA381" s="14">
        <f t="shared" si="224"/>
        <v>375</v>
      </c>
      <c r="DB381" s="14">
        <f t="shared" si="225"/>
        <v>211</v>
      </c>
      <c r="DC381" s="14">
        <f t="shared" si="226"/>
        <v>0</v>
      </c>
      <c r="DD381" s="14">
        <f t="shared" si="227"/>
        <v>9.75</v>
      </c>
      <c r="DE381" s="14">
        <f t="shared" si="228"/>
        <v>6</v>
      </c>
      <c r="DF381" s="14">
        <f t="shared" si="229"/>
        <v>0</v>
      </c>
      <c r="DG381" s="14">
        <f t="shared" si="230"/>
        <v>18</v>
      </c>
      <c r="DH381" s="14">
        <f t="shared" si="231"/>
        <v>0</v>
      </c>
      <c r="DI381" s="14">
        <f t="shared" si="232"/>
        <v>25</v>
      </c>
      <c r="DL381" s="14">
        <f t="shared" si="214"/>
        <v>1</v>
      </c>
      <c r="DM381" s="14">
        <f t="shared" si="215"/>
        <v>2</v>
      </c>
      <c r="DN381" s="14" t="str">
        <f t="shared" si="233"/>
        <v>AtkExt</v>
      </c>
      <c r="DO381" s="14">
        <f t="shared" si="234"/>
        <v>375</v>
      </c>
      <c r="DP381" s="14">
        <f t="shared" si="235"/>
        <v>9.75</v>
      </c>
      <c r="DQ381" s="14" t="str">
        <f t="shared" si="236"/>
        <v>DefExt</v>
      </c>
      <c r="DR381" s="14">
        <f t="shared" si="237"/>
        <v>211</v>
      </c>
      <c r="DS381" s="14">
        <f t="shared" si="238"/>
        <v>6</v>
      </c>
      <c r="DT381" s="14">
        <f t="shared" si="239"/>
        <v>18</v>
      </c>
      <c r="DU381" s="14">
        <f t="shared" si="240"/>
        <v>0</v>
      </c>
      <c r="DV381" s="14">
        <f t="shared" si="241"/>
        <v>25</v>
      </c>
      <c r="DW381" s="29" t="s">
        <v>758</v>
      </c>
      <c r="DX381" s="14">
        <f t="shared" si="242"/>
        <v>135</v>
      </c>
    </row>
    <row r="382" spans="91:128" ht="16.5" x14ac:dyDescent="0.2">
      <c r="CM382" s="13">
        <v>378</v>
      </c>
      <c r="CN382" s="14">
        <f t="shared" si="216"/>
        <v>52</v>
      </c>
      <c r="CO382" s="14">
        <f t="shared" si="217"/>
        <v>2</v>
      </c>
      <c r="CP382" s="14">
        <f t="shared" si="218"/>
        <v>8</v>
      </c>
      <c r="CQ382" s="14">
        <f t="shared" si="209"/>
        <v>5</v>
      </c>
      <c r="CR382" s="14">
        <f t="shared" si="210"/>
        <v>2052028</v>
      </c>
      <c r="CS382" s="13" t="str">
        <f t="shared" si="211"/>
        <v>150级守护灵蓝色-戒指</v>
      </c>
      <c r="CT382" s="14">
        <f t="shared" si="212"/>
        <v>2</v>
      </c>
      <c r="CU382" s="14">
        <f t="shared" si="213"/>
        <v>2</v>
      </c>
      <c r="CV382" s="14">
        <f t="shared" si="219"/>
        <v>150</v>
      </c>
      <c r="CW382" s="14">
        <f t="shared" si="220"/>
        <v>150</v>
      </c>
      <c r="CX382" s="14">
        <f t="shared" si="221"/>
        <v>8</v>
      </c>
      <c r="CY382" s="14" t="str">
        <f t="shared" si="222"/>
        <v/>
      </c>
      <c r="CZ382" s="14">
        <f t="shared" si="223"/>
        <v>114</v>
      </c>
      <c r="DA382" s="14">
        <f t="shared" si="224"/>
        <v>375</v>
      </c>
      <c r="DB382" s="14">
        <f t="shared" si="225"/>
        <v>0</v>
      </c>
      <c r="DC382" s="14">
        <f t="shared" si="226"/>
        <v>2250</v>
      </c>
      <c r="DD382" s="14">
        <f t="shared" si="227"/>
        <v>9.75</v>
      </c>
      <c r="DE382" s="14">
        <f t="shared" si="228"/>
        <v>0</v>
      </c>
      <c r="DF382" s="14">
        <f t="shared" si="229"/>
        <v>65.63</v>
      </c>
      <c r="DG382" s="14">
        <f t="shared" si="230"/>
        <v>18</v>
      </c>
      <c r="DH382" s="14">
        <f t="shared" si="231"/>
        <v>0</v>
      </c>
      <c r="DI382" s="14">
        <f t="shared" si="232"/>
        <v>25</v>
      </c>
      <c r="DL382" s="14">
        <f t="shared" si="214"/>
        <v>1</v>
      </c>
      <c r="DM382" s="14">
        <f t="shared" si="215"/>
        <v>3</v>
      </c>
      <c r="DN382" s="14" t="str">
        <f t="shared" si="233"/>
        <v>AtkExt</v>
      </c>
      <c r="DO382" s="14">
        <f t="shared" si="234"/>
        <v>375</v>
      </c>
      <c r="DP382" s="14">
        <f t="shared" si="235"/>
        <v>9.75</v>
      </c>
      <c r="DQ382" s="14" t="str">
        <f t="shared" si="236"/>
        <v>HPExt</v>
      </c>
      <c r="DR382" s="14">
        <f t="shared" si="237"/>
        <v>2250</v>
      </c>
      <c r="DS382" s="14">
        <f t="shared" si="238"/>
        <v>65.63</v>
      </c>
      <c r="DT382" s="14">
        <f t="shared" si="239"/>
        <v>18</v>
      </c>
      <c r="DU382" s="14">
        <f t="shared" si="240"/>
        <v>0</v>
      </c>
      <c r="DV382" s="14">
        <f t="shared" si="241"/>
        <v>25</v>
      </c>
      <c r="DW382" s="29" t="s">
        <v>758</v>
      </c>
      <c r="DX382" s="14">
        <f t="shared" si="242"/>
        <v>135</v>
      </c>
    </row>
    <row r="383" spans="91:128" ht="16.5" x14ac:dyDescent="0.2">
      <c r="CM383" s="13">
        <v>379</v>
      </c>
      <c r="CN383" s="14">
        <f t="shared" si="216"/>
        <v>53</v>
      </c>
      <c r="CO383" s="14">
        <f t="shared" si="217"/>
        <v>1</v>
      </c>
      <c r="CP383" s="14">
        <f t="shared" si="218"/>
        <v>1</v>
      </c>
      <c r="CQ383" s="14">
        <f t="shared" si="209"/>
        <v>5</v>
      </c>
      <c r="CR383" s="14">
        <f t="shared" si="210"/>
        <v>2053011</v>
      </c>
      <c r="CS383" s="13" t="str">
        <f t="shared" si="211"/>
        <v>150级寄灵人紫色-武器</v>
      </c>
      <c r="CT383" s="14">
        <f t="shared" si="212"/>
        <v>1</v>
      </c>
      <c r="CU383" s="14">
        <f t="shared" si="213"/>
        <v>3</v>
      </c>
      <c r="CV383" s="14">
        <f t="shared" si="219"/>
        <v>150</v>
      </c>
      <c r="CW383" s="14">
        <f t="shared" si="220"/>
        <v>150</v>
      </c>
      <c r="CX383" s="14">
        <f t="shared" si="221"/>
        <v>1</v>
      </c>
      <c r="CY383" s="14" t="str">
        <f t="shared" si="222"/>
        <v/>
      </c>
      <c r="CZ383" s="14">
        <f t="shared" si="223"/>
        <v>156</v>
      </c>
      <c r="DA383" s="14">
        <f t="shared" si="224"/>
        <v>960</v>
      </c>
      <c r="DB383" s="14">
        <f t="shared" si="225"/>
        <v>0</v>
      </c>
      <c r="DC383" s="14">
        <f t="shared" si="226"/>
        <v>0</v>
      </c>
      <c r="DD383" s="14">
        <f t="shared" si="227"/>
        <v>31.2</v>
      </c>
      <c r="DE383" s="14">
        <f t="shared" si="228"/>
        <v>0</v>
      </c>
      <c r="DF383" s="14">
        <f t="shared" si="229"/>
        <v>0</v>
      </c>
      <c r="DG383" s="14">
        <f t="shared" si="230"/>
        <v>19</v>
      </c>
      <c r="DH383" s="14">
        <f t="shared" si="231"/>
        <v>4</v>
      </c>
      <c r="DI383" s="14">
        <f t="shared" si="232"/>
        <v>15</v>
      </c>
      <c r="DL383" s="14">
        <f t="shared" si="214"/>
        <v>1</v>
      </c>
      <c r="DM383" s="14">
        <f t="shared" si="215"/>
        <v>0</v>
      </c>
      <c r="DN383" s="14" t="str">
        <f t="shared" si="233"/>
        <v>AtkExt</v>
      </c>
      <c r="DO383" s="14">
        <f t="shared" si="234"/>
        <v>960</v>
      </c>
      <c r="DP383" s="14">
        <f t="shared" si="235"/>
        <v>31.2</v>
      </c>
      <c r="DQ383" s="14" t="str">
        <f t="shared" si="236"/>
        <v/>
      </c>
      <c r="DR383" s="14" t="str">
        <f t="shared" si="237"/>
        <v/>
      </c>
      <c r="DS383" s="14" t="str">
        <f t="shared" si="238"/>
        <v/>
      </c>
      <c r="DT383" s="14">
        <f t="shared" si="239"/>
        <v>19</v>
      </c>
      <c r="DU383" s="14">
        <f t="shared" si="240"/>
        <v>4</v>
      </c>
      <c r="DV383" s="14">
        <f t="shared" si="241"/>
        <v>15</v>
      </c>
      <c r="DW383" s="29" t="s">
        <v>758</v>
      </c>
      <c r="DX383" s="14">
        <f t="shared" si="242"/>
        <v>225</v>
      </c>
    </row>
    <row r="384" spans="91:128" ht="16.5" x14ac:dyDescent="0.2">
      <c r="CM384" s="13">
        <v>380</v>
      </c>
      <c r="CN384" s="14">
        <f t="shared" si="216"/>
        <v>53</v>
      </c>
      <c r="CO384" s="14">
        <f t="shared" si="217"/>
        <v>1</v>
      </c>
      <c r="CP384" s="14">
        <f t="shared" si="218"/>
        <v>2</v>
      </c>
      <c r="CQ384" s="14">
        <f t="shared" si="209"/>
        <v>5</v>
      </c>
      <c r="CR384" s="14">
        <f t="shared" si="210"/>
        <v>2053012</v>
      </c>
      <c r="CS384" s="13" t="str">
        <f t="shared" si="211"/>
        <v>150级寄灵人紫色-头盔</v>
      </c>
      <c r="CT384" s="14">
        <f t="shared" si="212"/>
        <v>1</v>
      </c>
      <c r="CU384" s="14">
        <f t="shared" si="213"/>
        <v>3</v>
      </c>
      <c r="CV384" s="14">
        <f t="shared" si="219"/>
        <v>150</v>
      </c>
      <c r="CW384" s="14">
        <f t="shared" si="220"/>
        <v>150</v>
      </c>
      <c r="CX384" s="14">
        <f t="shared" si="221"/>
        <v>2</v>
      </c>
      <c r="CY384" s="14" t="str">
        <f t="shared" si="222"/>
        <v/>
      </c>
      <c r="CZ384" s="14">
        <f t="shared" si="223"/>
        <v>76</v>
      </c>
      <c r="DA384" s="14">
        <f t="shared" si="224"/>
        <v>0</v>
      </c>
      <c r="DB384" s="14">
        <f t="shared" si="225"/>
        <v>240</v>
      </c>
      <c r="DC384" s="14">
        <f t="shared" si="226"/>
        <v>0</v>
      </c>
      <c r="DD384" s="14">
        <f t="shared" si="227"/>
        <v>0</v>
      </c>
      <c r="DE384" s="14">
        <f t="shared" si="228"/>
        <v>7.68</v>
      </c>
      <c r="DF384" s="14">
        <f t="shared" si="229"/>
        <v>0</v>
      </c>
      <c r="DG384" s="14">
        <f t="shared" si="230"/>
        <v>19</v>
      </c>
      <c r="DH384" s="14">
        <f t="shared" si="231"/>
        <v>4</v>
      </c>
      <c r="DI384" s="14">
        <f t="shared" si="232"/>
        <v>15</v>
      </c>
      <c r="DL384" s="14">
        <f t="shared" si="214"/>
        <v>2</v>
      </c>
      <c r="DM384" s="14">
        <f t="shared" si="215"/>
        <v>0</v>
      </c>
      <c r="DN384" s="14" t="str">
        <f t="shared" si="233"/>
        <v>DefExt</v>
      </c>
      <c r="DO384" s="14">
        <f t="shared" si="234"/>
        <v>240</v>
      </c>
      <c r="DP384" s="14">
        <f t="shared" si="235"/>
        <v>7.68</v>
      </c>
      <c r="DQ384" s="14" t="str">
        <f t="shared" si="236"/>
        <v/>
      </c>
      <c r="DR384" s="14" t="str">
        <f t="shared" si="237"/>
        <v/>
      </c>
      <c r="DS384" s="14" t="str">
        <f t="shared" si="238"/>
        <v/>
      </c>
      <c r="DT384" s="14">
        <f t="shared" si="239"/>
        <v>19</v>
      </c>
      <c r="DU384" s="14">
        <f t="shared" si="240"/>
        <v>4</v>
      </c>
      <c r="DV384" s="14">
        <f t="shared" si="241"/>
        <v>15</v>
      </c>
      <c r="DW384" s="29" t="s">
        <v>758</v>
      </c>
      <c r="DX384" s="14">
        <f t="shared" si="242"/>
        <v>225</v>
      </c>
    </row>
    <row r="385" spans="91:128" ht="16.5" x14ac:dyDescent="0.2">
      <c r="CM385" s="13">
        <v>381</v>
      </c>
      <c r="CN385" s="14">
        <f t="shared" si="216"/>
        <v>53</v>
      </c>
      <c r="CO385" s="14">
        <f t="shared" si="217"/>
        <v>1</v>
      </c>
      <c r="CP385" s="14">
        <f t="shared" si="218"/>
        <v>3</v>
      </c>
      <c r="CQ385" s="14">
        <f t="shared" si="209"/>
        <v>5</v>
      </c>
      <c r="CR385" s="14">
        <f t="shared" si="210"/>
        <v>2053013</v>
      </c>
      <c r="CS385" s="13" t="str">
        <f t="shared" si="211"/>
        <v>150级寄灵人紫色-肩甲</v>
      </c>
      <c r="CT385" s="14">
        <f t="shared" si="212"/>
        <v>1</v>
      </c>
      <c r="CU385" s="14">
        <f t="shared" si="213"/>
        <v>3</v>
      </c>
      <c r="CV385" s="14">
        <f t="shared" si="219"/>
        <v>150</v>
      </c>
      <c r="CW385" s="14">
        <f t="shared" si="220"/>
        <v>150</v>
      </c>
      <c r="CX385" s="14">
        <f t="shared" si="221"/>
        <v>3</v>
      </c>
      <c r="CY385" s="14" t="str">
        <f t="shared" si="222"/>
        <v/>
      </c>
      <c r="CZ385" s="14">
        <f t="shared" si="223"/>
        <v>62</v>
      </c>
      <c r="DA385" s="14">
        <f t="shared" si="224"/>
        <v>0</v>
      </c>
      <c r="DB385" s="14">
        <f t="shared" si="225"/>
        <v>120</v>
      </c>
      <c r="DC385" s="14">
        <f t="shared" si="226"/>
        <v>720</v>
      </c>
      <c r="DD385" s="14">
        <f t="shared" si="227"/>
        <v>0</v>
      </c>
      <c r="DE385" s="14">
        <f t="shared" si="228"/>
        <v>3.84</v>
      </c>
      <c r="DF385" s="14">
        <f t="shared" si="229"/>
        <v>24</v>
      </c>
      <c r="DG385" s="14">
        <f t="shared" si="230"/>
        <v>19</v>
      </c>
      <c r="DH385" s="14">
        <f t="shared" si="231"/>
        <v>4</v>
      </c>
      <c r="DI385" s="14">
        <f t="shared" si="232"/>
        <v>15</v>
      </c>
      <c r="DL385" s="14">
        <f t="shared" si="214"/>
        <v>2</v>
      </c>
      <c r="DM385" s="14">
        <f t="shared" si="215"/>
        <v>3</v>
      </c>
      <c r="DN385" s="14" t="str">
        <f t="shared" si="233"/>
        <v>DefExt</v>
      </c>
      <c r="DO385" s="14">
        <f t="shared" si="234"/>
        <v>120</v>
      </c>
      <c r="DP385" s="14">
        <f t="shared" si="235"/>
        <v>3.84</v>
      </c>
      <c r="DQ385" s="14" t="str">
        <f t="shared" si="236"/>
        <v>HPExt</v>
      </c>
      <c r="DR385" s="14">
        <f t="shared" si="237"/>
        <v>720</v>
      </c>
      <c r="DS385" s="14">
        <f t="shared" si="238"/>
        <v>24</v>
      </c>
      <c r="DT385" s="14">
        <f t="shared" si="239"/>
        <v>19</v>
      </c>
      <c r="DU385" s="14">
        <f t="shared" si="240"/>
        <v>4</v>
      </c>
      <c r="DV385" s="14">
        <f t="shared" si="241"/>
        <v>15</v>
      </c>
      <c r="DW385" s="29" t="s">
        <v>758</v>
      </c>
      <c r="DX385" s="14">
        <f t="shared" si="242"/>
        <v>225</v>
      </c>
    </row>
    <row r="386" spans="91:128" ht="16.5" x14ac:dyDescent="0.2">
      <c r="CM386" s="13">
        <v>382</v>
      </c>
      <c r="CN386" s="14">
        <f t="shared" si="216"/>
        <v>53</v>
      </c>
      <c r="CO386" s="14">
        <f t="shared" si="217"/>
        <v>1</v>
      </c>
      <c r="CP386" s="14">
        <f t="shared" si="218"/>
        <v>4</v>
      </c>
      <c r="CQ386" s="14">
        <f t="shared" si="209"/>
        <v>5</v>
      </c>
      <c r="CR386" s="14">
        <f t="shared" si="210"/>
        <v>2053014</v>
      </c>
      <c r="CS386" s="13" t="str">
        <f t="shared" si="211"/>
        <v>150级寄灵人紫色-衣服</v>
      </c>
      <c r="CT386" s="14">
        <f t="shared" si="212"/>
        <v>1</v>
      </c>
      <c r="CU386" s="14">
        <f t="shared" si="213"/>
        <v>3</v>
      </c>
      <c r="CV386" s="14">
        <f t="shared" si="219"/>
        <v>150</v>
      </c>
      <c r="CW386" s="14">
        <f t="shared" si="220"/>
        <v>150</v>
      </c>
      <c r="CX386" s="14">
        <f t="shared" si="221"/>
        <v>4</v>
      </c>
      <c r="CY386" s="14" t="str">
        <f t="shared" si="222"/>
        <v/>
      </c>
      <c r="CZ386" s="14">
        <f t="shared" si="223"/>
        <v>76</v>
      </c>
      <c r="DA386" s="14">
        <f t="shared" si="224"/>
        <v>0</v>
      </c>
      <c r="DB386" s="14">
        <f t="shared" si="225"/>
        <v>240</v>
      </c>
      <c r="DC386" s="14">
        <f t="shared" si="226"/>
        <v>0</v>
      </c>
      <c r="DD386" s="14">
        <f t="shared" si="227"/>
        <v>0</v>
      </c>
      <c r="DE386" s="14">
        <f t="shared" si="228"/>
        <v>7.68</v>
      </c>
      <c r="DF386" s="14">
        <f t="shared" si="229"/>
        <v>0</v>
      </c>
      <c r="DG386" s="14">
        <f t="shared" si="230"/>
        <v>19</v>
      </c>
      <c r="DH386" s="14">
        <f t="shared" si="231"/>
        <v>4</v>
      </c>
      <c r="DI386" s="14">
        <f t="shared" si="232"/>
        <v>15</v>
      </c>
      <c r="DL386" s="14">
        <f t="shared" si="214"/>
        <v>2</v>
      </c>
      <c r="DM386" s="14">
        <f t="shared" si="215"/>
        <v>0</v>
      </c>
      <c r="DN386" s="14" t="str">
        <f t="shared" si="233"/>
        <v>DefExt</v>
      </c>
      <c r="DO386" s="14">
        <f t="shared" si="234"/>
        <v>240</v>
      </c>
      <c r="DP386" s="14">
        <f t="shared" si="235"/>
        <v>7.68</v>
      </c>
      <c r="DQ386" s="14" t="str">
        <f t="shared" si="236"/>
        <v/>
      </c>
      <c r="DR386" s="14" t="str">
        <f t="shared" si="237"/>
        <v/>
      </c>
      <c r="DS386" s="14" t="str">
        <f t="shared" si="238"/>
        <v/>
      </c>
      <c r="DT386" s="14">
        <f t="shared" si="239"/>
        <v>19</v>
      </c>
      <c r="DU386" s="14">
        <f t="shared" si="240"/>
        <v>4</v>
      </c>
      <c r="DV386" s="14">
        <f t="shared" si="241"/>
        <v>15</v>
      </c>
      <c r="DW386" s="29" t="s">
        <v>758</v>
      </c>
      <c r="DX386" s="14">
        <f t="shared" si="242"/>
        <v>225</v>
      </c>
    </row>
    <row r="387" spans="91:128" ht="16.5" x14ac:dyDescent="0.2">
      <c r="CM387" s="13">
        <v>383</v>
      </c>
      <c r="CN387" s="14">
        <f t="shared" si="216"/>
        <v>53</v>
      </c>
      <c r="CO387" s="14">
        <f t="shared" si="217"/>
        <v>1</v>
      </c>
      <c r="CP387" s="14">
        <f t="shared" si="218"/>
        <v>5</v>
      </c>
      <c r="CQ387" s="14">
        <f t="shared" si="209"/>
        <v>5</v>
      </c>
      <c r="CR387" s="14">
        <f t="shared" si="210"/>
        <v>2053015</v>
      </c>
      <c r="CS387" s="13" t="str">
        <f t="shared" si="211"/>
        <v>150级寄灵人紫色-鞋子</v>
      </c>
      <c r="CT387" s="14">
        <f t="shared" si="212"/>
        <v>1</v>
      </c>
      <c r="CU387" s="14">
        <f t="shared" si="213"/>
        <v>3</v>
      </c>
      <c r="CV387" s="14">
        <f t="shared" si="219"/>
        <v>150</v>
      </c>
      <c r="CW387" s="14">
        <f t="shared" si="220"/>
        <v>150</v>
      </c>
      <c r="CX387" s="14">
        <f t="shared" si="221"/>
        <v>5</v>
      </c>
      <c r="CY387" s="14" t="str">
        <f t="shared" si="222"/>
        <v/>
      </c>
      <c r="CZ387" s="14">
        <f t="shared" si="223"/>
        <v>48</v>
      </c>
      <c r="DA387" s="14">
        <f t="shared" si="224"/>
        <v>0</v>
      </c>
      <c r="DB387" s="14">
        <f t="shared" si="225"/>
        <v>0</v>
      </c>
      <c r="DC387" s="14">
        <f t="shared" si="226"/>
        <v>1440</v>
      </c>
      <c r="DD387" s="14">
        <f t="shared" si="227"/>
        <v>0</v>
      </c>
      <c r="DE387" s="14">
        <f t="shared" si="228"/>
        <v>0</v>
      </c>
      <c r="DF387" s="14">
        <f t="shared" si="229"/>
        <v>48</v>
      </c>
      <c r="DG387" s="14">
        <f t="shared" si="230"/>
        <v>19</v>
      </c>
      <c r="DH387" s="14">
        <f t="shared" si="231"/>
        <v>4</v>
      </c>
      <c r="DI387" s="14">
        <f t="shared" si="232"/>
        <v>15</v>
      </c>
      <c r="DL387" s="14">
        <f t="shared" si="214"/>
        <v>3</v>
      </c>
      <c r="DM387" s="14">
        <f t="shared" si="215"/>
        <v>0</v>
      </c>
      <c r="DN387" s="14" t="str">
        <f t="shared" si="233"/>
        <v>HPExt</v>
      </c>
      <c r="DO387" s="14">
        <f t="shared" si="234"/>
        <v>1440</v>
      </c>
      <c r="DP387" s="14">
        <f t="shared" si="235"/>
        <v>48</v>
      </c>
      <c r="DQ387" s="14" t="str">
        <f t="shared" si="236"/>
        <v/>
      </c>
      <c r="DR387" s="14" t="str">
        <f t="shared" si="237"/>
        <v/>
      </c>
      <c r="DS387" s="14" t="str">
        <f t="shared" si="238"/>
        <v/>
      </c>
      <c r="DT387" s="14">
        <f t="shared" si="239"/>
        <v>19</v>
      </c>
      <c r="DU387" s="14">
        <f t="shared" si="240"/>
        <v>4</v>
      </c>
      <c r="DV387" s="14">
        <f t="shared" si="241"/>
        <v>15</v>
      </c>
      <c r="DW387" s="29" t="s">
        <v>758</v>
      </c>
      <c r="DX387" s="14">
        <f t="shared" si="242"/>
        <v>225</v>
      </c>
    </row>
    <row r="388" spans="91:128" ht="16.5" x14ac:dyDescent="0.2">
      <c r="CM388" s="13">
        <v>384</v>
      </c>
      <c r="CN388" s="14">
        <f t="shared" si="216"/>
        <v>53</v>
      </c>
      <c r="CO388" s="14">
        <f t="shared" si="217"/>
        <v>1</v>
      </c>
      <c r="CP388" s="14">
        <f t="shared" si="218"/>
        <v>6</v>
      </c>
      <c r="CQ388" s="14">
        <f t="shared" si="209"/>
        <v>5</v>
      </c>
      <c r="CR388" s="14">
        <f t="shared" si="210"/>
        <v>2053016</v>
      </c>
      <c r="CS388" s="13" t="str">
        <f t="shared" si="211"/>
        <v>150级寄灵人紫色-护手</v>
      </c>
      <c r="CT388" s="14">
        <f t="shared" si="212"/>
        <v>1</v>
      </c>
      <c r="CU388" s="14">
        <f t="shared" si="213"/>
        <v>3</v>
      </c>
      <c r="CV388" s="14">
        <f t="shared" si="219"/>
        <v>150</v>
      </c>
      <c r="CW388" s="14">
        <f t="shared" si="220"/>
        <v>150</v>
      </c>
      <c r="CX388" s="14">
        <f t="shared" si="221"/>
        <v>6</v>
      </c>
      <c r="CY388" s="14" t="str">
        <f t="shared" si="222"/>
        <v/>
      </c>
      <c r="CZ388" s="14">
        <f t="shared" si="223"/>
        <v>48</v>
      </c>
      <c r="DA388" s="14">
        <f t="shared" si="224"/>
        <v>0</v>
      </c>
      <c r="DB388" s="14">
        <f t="shared" si="225"/>
        <v>0</v>
      </c>
      <c r="DC388" s="14">
        <f t="shared" si="226"/>
        <v>1440</v>
      </c>
      <c r="DD388" s="14">
        <f t="shared" si="227"/>
        <v>0</v>
      </c>
      <c r="DE388" s="14">
        <f t="shared" si="228"/>
        <v>0</v>
      </c>
      <c r="DF388" s="14">
        <f t="shared" si="229"/>
        <v>48</v>
      </c>
      <c r="DG388" s="14">
        <f t="shared" si="230"/>
        <v>19</v>
      </c>
      <c r="DH388" s="14">
        <f t="shared" si="231"/>
        <v>4</v>
      </c>
      <c r="DI388" s="14">
        <f t="shared" si="232"/>
        <v>15</v>
      </c>
      <c r="DL388" s="14">
        <f t="shared" si="214"/>
        <v>3</v>
      </c>
      <c r="DM388" s="14">
        <f t="shared" si="215"/>
        <v>0</v>
      </c>
      <c r="DN388" s="14" t="str">
        <f t="shared" si="233"/>
        <v>HPExt</v>
      </c>
      <c r="DO388" s="14">
        <f t="shared" si="234"/>
        <v>1440</v>
      </c>
      <c r="DP388" s="14">
        <f t="shared" si="235"/>
        <v>48</v>
      </c>
      <c r="DQ388" s="14" t="str">
        <f t="shared" si="236"/>
        <v/>
      </c>
      <c r="DR388" s="14" t="str">
        <f t="shared" si="237"/>
        <v/>
      </c>
      <c r="DS388" s="14" t="str">
        <f t="shared" si="238"/>
        <v/>
      </c>
      <c r="DT388" s="14">
        <f t="shared" si="239"/>
        <v>19</v>
      </c>
      <c r="DU388" s="14">
        <f t="shared" si="240"/>
        <v>4</v>
      </c>
      <c r="DV388" s="14">
        <f t="shared" si="241"/>
        <v>15</v>
      </c>
      <c r="DW388" s="29" t="s">
        <v>758</v>
      </c>
      <c r="DX388" s="14">
        <f t="shared" si="242"/>
        <v>225</v>
      </c>
    </row>
    <row r="389" spans="91:128" ht="16.5" x14ac:dyDescent="0.2">
      <c r="CM389" s="13">
        <v>385</v>
      </c>
      <c r="CN389" s="14">
        <f t="shared" si="216"/>
        <v>53</v>
      </c>
      <c r="CO389" s="14">
        <f t="shared" si="217"/>
        <v>1</v>
      </c>
      <c r="CP389" s="14">
        <f t="shared" si="218"/>
        <v>7</v>
      </c>
      <c r="CQ389" s="14">
        <f t="shared" ref="CQ389:CQ452" si="243">INDEX($BS$6:$BS$81,CN389)</f>
        <v>5</v>
      </c>
      <c r="CR389" s="14">
        <f t="shared" ref="CR389:CR452" si="244">INDEX($BX$6:$BX$81,CN389)+CX389</f>
        <v>2053017</v>
      </c>
      <c r="CS389" s="13" t="str">
        <f t="shared" ref="CS389:CS452" si="245">INDEX($BY$6:$BY$81,CN389)&amp;"-"&amp;INDEX($CC$3:$CJ$3,CX389)</f>
        <v>150级寄灵人紫色-项链</v>
      </c>
      <c r="CT389" s="14">
        <f t="shared" ref="CT389:CT452" si="246">INDEX($BV$6:$BV$81,CN389)</f>
        <v>1</v>
      </c>
      <c r="CU389" s="14">
        <f t="shared" ref="CU389:CU452" si="247">INDEX($BU$6:$BU$81,CN389)</f>
        <v>3</v>
      </c>
      <c r="CV389" s="14">
        <f t="shared" si="219"/>
        <v>150</v>
      </c>
      <c r="CW389" s="14">
        <f t="shared" si="220"/>
        <v>150</v>
      </c>
      <c r="CX389" s="14">
        <f t="shared" si="221"/>
        <v>7</v>
      </c>
      <c r="CY389" s="14" t="str">
        <f t="shared" si="222"/>
        <v/>
      </c>
      <c r="CZ389" s="14">
        <f t="shared" si="223"/>
        <v>116</v>
      </c>
      <c r="DA389" s="14">
        <f t="shared" si="224"/>
        <v>320</v>
      </c>
      <c r="DB389" s="14">
        <f t="shared" si="225"/>
        <v>200</v>
      </c>
      <c r="DC389" s="14">
        <f t="shared" si="226"/>
        <v>0</v>
      </c>
      <c r="DD389" s="14">
        <f t="shared" si="227"/>
        <v>10.4</v>
      </c>
      <c r="DE389" s="14">
        <f t="shared" si="228"/>
        <v>6.4</v>
      </c>
      <c r="DF389" s="14">
        <f t="shared" si="229"/>
        <v>0</v>
      </c>
      <c r="DG389" s="14">
        <f t="shared" si="230"/>
        <v>19</v>
      </c>
      <c r="DH389" s="14">
        <f t="shared" si="231"/>
        <v>4</v>
      </c>
      <c r="DI389" s="14">
        <f t="shared" si="232"/>
        <v>15</v>
      </c>
      <c r="DL389" s="14">
        <f t="shared" ref="DL389:DL452" si="248">INDEX(AF$5:AF$12,$CX389)</f>
        <v>1</v>
      </c>
      <c r="DM389" s="14">
        <f t="shared" ref="DM389:DM452" si="249">INDEX(AG$5:AG$12,$CX389)</f>
        <v>2</v>
      </c>
      <c r="DN389" s="14" t="str">
        <f t="shared" si="233"/>
        <v>AtkExt</v>
      </c>
      <c r="DO389" s="14">
        <f t="shared" si="234"/>
        <v>320</v>
      </c>
      <c r="DP389" s="14">
        <f t="shared" si="235"/>
        <v>10.4</v>
      </c>
      <c r="DQ389" s="14" t="str">
        <f t="shared" si="236"/>
        <v>DefExt</v>
      </c>
      <c r="DR389" s="14">
        <f t="shared" si="237"/>
        <v>200</v>
      </c>
      <c r="DS389" s="14">
        <f t="shared" si="238"/>
        <v>6.4</v>
      </c>
      <c r="DT389" s="14">
        <f t="shared" si="239"/>
        <v>19</v>
      </c>
      <c r="DU389" s="14">
        <f t="shared" si="240"/>
        <v>4</v>
      </c>
      <c r="DV389" s="14">
        <f t="shared" si="241"/>
        <v>15</v>
      </c>
      <c r="DW389" s="29" t="s">
        <v>758</v>
      </c>
      <c r="DX389" s="14">
        <f t="shared" si="242"/>
        <v>225</v>
      </c>
    </row>
    <row r="390" spans="91:128" ht="16.5" x14ac:dyDescent="0.2">
      <c r="CM390" s="13">
        <v>386</v>
      </c>
      <c r="CN390" s="14">
        <f t="shared" ref="CN390:CN453" si="250">MATCH(CM390-1,$CB$5:$CB$81,1)</f>
        <v>53</v>
      </c>
      <c r="CO390" s="14">
        <f t="shared" ref="CO390:CO453" si="251">INDEX($BW$6:$BW$81,CN390)</f>
        <v>1</v>
      </c>
      <c r="CP390" s="14">
        <f t="shared" ref="CP390:CP453" si="252">CM390-INDEX($CB$5:$CB$81,CN390)</f>
        <v>8</v>
      </c>
      <c r="CQ390" s="14">
        <f t="shared" si="243"/>
        <v>5</v>
      </c>
      <c r="CR390" s="14">
        <f t="shared" si="244"/>
        <v>2053018</v>
      </c>
      <c r="CS390" s="13" t="str">
        <f t="shared" si="245"/>
        <v>150级寄灵人紫色-戒指</v>
      </c>
      <c r="CT390" s="14">
        <f t="shared" si="246"/>
        <v>1</v>
      </c>
      <c r="CU390" s="14">
        <f t="shared" si="247"/>
        <v>3</v>
      </c>
      <c r="CV390" s="14">
        <f t="shared" ref="CV390:CV453" si="253">INDEX($D$5:$D$16,(CT390-1)*6+CQ390)</f>
        <v>150</v>
      </c>
      <c r="CW390" s="14">
        <f t="shared" ref="CW390:CW453" si="254">INDEX($D$5:$D$16,(CT390-1)*6+CQ390)</f>
        <v>150</v>
      </c>
      <c r="CX390" s="14">
        <f t="shared" ref="CX390:CX453" si="255">INDEX($CC$6:$CJ$81,CN390,CP390)</f>
        <v>8</v>
      </c>
      <c r="CY390" s="14" t="str">
        <f t="shared" ref="CY390:CY453" si="256">IF(INDEX($BZ$6:$BZ$81,CN390)&gt;0,INDEX($BZ$6:$BZ$81,CN390),"")</f>
        <v/>
      </c>
      <c r="CZ390" s="14">
        <f t="shared" ref="CZ390:CZ453" si="257">INT(SUMPRODUCT($DD$3:$DF$3,DD390:DF390))</f>
        <v>92</v>
      </c>
      <c r="DA390" s="14">
        <f t="shared" ref="DA390:DA453" si="258">ROUND(INDEX(O$5:O$16,($CT390-1)*6+$CQ390)*INDEX(AC$5:AC$12,$CX390)*INDEX($AL$5:$AL$8,$CU390),0)</f>
        <v>320</v>
      </c>
      <c r="DB390" s="14">
        <f t="shared" ref="DB390:DB453" si="259">ROUND(INDEX(P$5:P$16,($CT390-1)*6+$CQ390)*INDEX(AD$5:AD$12,$CX390)*INDEX($AL$5:$AL$8,$CU390),0)</f>
        <v>0</v>
      </c>
      <c r="DC390" s="14">
        <f t="shared" ref="DC390:DC453" si="260">ROUND(INDEX(Q$5:Q$16,($CT390-1)*6+$CQ390)*INDEX(AE$5:AE$12,$CX390)*INDEX($AL$5:$AL$8,$CU390),0)</f>
        <v>1200</v>
      </c>
      <c r="DD390" s="14">
        <f t="shared" ref="DD390:DD453" si="261">ROUND(INDEX(H$5:H$16,($CT390-1)*6+$CQ390)*INDEX(AC$5:AC$12,$CX390) * INDEX($AL$5:$AL$8,$CU390),2)</f>
        <v>10.4</v>
      </c>
      <c r="DE390" s="14">
        <f t="shared" ref="DE390:DE453" si="262">ROUND(INDEX(I$5:I$16,($CT390-1)*6+$CQ390)*INDEX(AD$5:AD$12,$CX390) * INDEX($AL$5:$AL$8,$CU390),2)</f>
        <v>0</v>
      </c>
      <c r="DF390" s="14">
        <f t="shared" ref="DF390:DF453" si="263">ROUND(INDEX(J$5:J$16,($CT390-1)*6+$CQ390)*INDEX(AE$5:AE$12,$CX390) * INDEX($AL$5:$AL$8,$CU390),2)</f>
        <v>40</v>
      </c>
      <c r="DG390" s="14">
        <f t="shared" ref="DG390:DG453" si="264">(CQ390-1)*4+CU390</f>
        <v>19</v>
      </c>
      <c r="DH390" s="14">
        <f t="shared" ref="DH390:DH453" si="265">INDEX($BM$5:$BP$16,CQ390,CU390)</f>
        <v>4</v>
      </c>
      <c r="DI390" s="14">
        <f t="shared" ref="DI390:DI453" si="266">CT390*10+CQ390</f>
        <v>15</v>
      </c>
      <c r="DL390" s="14">
        <f t="shared" si="248"/>
        <v>1</v>
      </c>
      <c r="DM390" s="14">
        <f t="shared" si="249"/>
        <v>3</v>
      </c>
      <c r="DN390" s="14" t="str">
        <f t="shared" ref="DN390:DN453" si="267">INDEX($AA$3:$AC$3,DL390)</f>
        <v>AtkExt</v>
      </c>
      <c r="DO390" s="14">
        <f t="shared" ref="DO390:DO453" si="268">INDEX(DA390:DC390,DL390)</f>
        <v>320</v>
      </c>
      <c r="DP390" s="14">
        <f t="shared" ref="DP390:DP453" si="269">INDEX(DD390:DF390,DL390)</f>
        <v>10.4</v>
      </c>
      <c r="DQ390" s="14" t="str">
        <f t="shared" ref="DQ390:DQ453" si="270">IF(DM390&gt;0,INDEX($AA$3:$AC$3,DM390),"")</f>
        <v>HPExt</v>
      </c>
      <c r="DR390" s="14">
        <f t="shared" ref="DR390:DR453" si="271">IF(DM390&gt;0,INDEX(DA390:DC390,DM390),"")</f>
        <v>1200</v>
      </c>
      <c r="DS390" s="14">
        <f t="shared" ref="DS390:DS453" si="272">IF(DM390&gt;0,INDEX(DD390:DF390,DM390),"")</f>
        <v>40</v>
      </c>
      <c r="DT390" s="14">
        <f t="shared" ref="DT390:DT453" si="273">(CQ390-1)*4+CU390</f>
        <v>19</v>
      </c>
      <c r="DU390" s="14">
        <f t="shared" ref="DU390:DU453" si="274">INDEX($BM$5:$BP$16,CQ390,CU390)</f>
        <v>4</v>
      </c>
      <c r="DV390" s="14">
        <f t="shared" ref="DV390:DV453" si="275">CT390*10+CQ390</f>
        <v>15</v>
      </c>
      <c r="DW390" s="29" t="s">
        <v>758</v>
      </c>
      <c r="DX390" s="14">
        <f t="shared" ref="DX390:DX453" si="276">INDEX($T$5:$Y$8,CU390,CQ390)</f>
        <v>225</v>
      </c>
    </row>
    <row r="391" spans="91:128" ht="16.5" x14ac:dyDescent="0.2">
      <c r="CM391" s="13">
        <v>387</v>
      </c>
      <c r="CN391" s="14">
        <f t="shared" si="250"/>
        <v>54</v>
      </c>
      <c r="CO391" s="14">
        <f t="shared" si="251"/>
        <v>2</v>
      </c>
      <c r="CP391" s="14">
        <f t="shared" si="252"/>
        <v>1</v>
      </c>
      <c r="CQ391" s="14">
        <f t="shared" si="243"/>
        <v>5</v>
      </c>
      <c r="CR391" s="14">
        <f t="shared" si="244"/>
        <v>2053021</v>
      </c>
      <c r="CS391" s="13" t="str">
        <f t="shared" si="245"/>
        <v>150级守护灵紫色-武器</v>
      </c>
      <c r="CT391" s="14">
        <f t="shared" si="246"/>
        <v>2</v>
      </c>
      <c r="CU391" s="14">
        <f t="shared" si="247"/>
        <v>3</v>
      </c>
      <c r="CV391" s="14">
        <f t="shared" si="253"/>
        <v>150</v>
      </c>
      <c r="CW391" s="14">
        <f t="shared" si="254"/>
        <v>150</v>
      </c>
      <c r="CX391" s="14">
        <f t="shared" si="255"/>
        <v>1</v>
      </c>
      <c r="CY391" s="14" t="str">
        <f t="shared" si="256"/>
        <v/>
      </c>
      <c r="CZ391" s="14">
        <f t="shared" si="257"/>
        <v>156</v>
      </c>
      <c r="DA391" s="14">
        <f t="shared" si="258"/>
        <v>1200</v>
      </c>
      <c r="DB391" s="14">
        <f t="shared" si="259"/>
        <v>0</v>
      </c>
      <c r="DC391" s="14">
        <f t="shared" si="260"/>
        <v>0</v>
      </c>
      <c r="DD391" s="14">
        <f t="shared" si="261"/>
        <v>31.2</v>
      </c>
      <c r="DE391" s="14">
        <f t="shared" si="262"/>
        <v>0</v>
      </c>
      <c r="DF391" s="14">
        <f t="shared" si="263"/>
        <v>0</v>
      </c>
      <c r="DG391" s="14">
        <f t="shared" si="264"/>
        <v>19</v>
      </c>
      <c r="DH391" s="14">
        <f t="shared" si="265"/>
        <v>4</v>
      </c>
      <c r="DI391" s="14">
        <f t="shared" si="266"/>
        <v>25</v>
      </c>
      <c r="DL391" s="14">
        <f t="shared" si="248"/>
        <v>1</v>
      </c>
      <c r="DM391" s="14">
        <f t="shared" si="249"/>
        <v>0</v>
      </c>
      <c r="DN391" s="14" t="str">
        <f t="shared" si="267"/>
        <v>AtkExt</v>
      </c>
      <c r="DO391" s="14">
        <f t="shared" si="268"/>
        <v>1200</v>
      </c>
      <c r="DP391" s="14">
        <f t="shared" si="269"/>
        <v>31.2</v>
      </c>
      <c r="DQ391" s="14" t="str">
        <f t="shared" si="270"/>
        <v/>
      </c>
      <c r="DR391" s="14" t="str">
        <f t="shared" si="271"/>
        <v/>
      </c>
      <c r="DS391" s="14" t="str">
        <f t="shared" si="272"/>
        <v/>
      </c>
      <c r="DT391" s="14">
        <f t="shared" si="273"/>
        <v>19</v>
      </c>
      <c r="DU391" s="14">
        <f t="shared" si="274"/>
        <v>4</v>
      </c>
      <c r="DV391" s="14">
        <f t="shared" si="275"/>
        <v>25</v>
      </c>
      <c r="DW391" s="29" t="s">
        <v>758</v>
      </c>
      <c r="DX391" s="14">
        <f t="shared" si="276"/>
        <v>225</v>
      </c>
    </row>
    <row r="392" spans="91:128" ht="16.5" x14ac:dyDescent="0.2">
      <c r="CM392" s="13">
        <v>388</v>
      </c>
      <c r="CN392" s="14">
        <f t="shared" si="250"/>
        <v>54</v>
      </c>
      <c r="CO392" s="14">
        <f t="shared" si="251"/>
        <v>2</v>
      </c>
      <c r="CP392" s="14">
        <f t="shared" si="252"/>
        <v>2</v>
      </c>
      <c r="CQ392" s="14">
        <f t="shared" si="243"/>
        <v>5</v>
      </c>
      <c r="CR392" s="14">
        <f t="shared" si="244"/>
        <v>2053022</v>
      </c>
      <c r="CS392" s="13" t="str">
        <f t="shared" si="245"/>
        <v>150级守护灵紫色-头盔</v>
      </c>
      <c r="CT392" s="14">
        <f t="shared" si="246"/>
        <v>2</v>
      </c>
      <c r="CU392" s="14">
        <f t="shared" si="247"/>
        <v>3</v>
      </c>
      <c r="CV392" s="14">
        <f t="shared" si="253"/>
        <v>150</v>
      </c>
      <c r="CW392" s="14">
        <f t="shared" si="254"/>
        <v>150</v>
      </c>
      <c r="CX392" s="14">
        <f t="shared" si="255"/>
        <v>2</v>
      </c>
      <c r="CY392" s="14" t="str">
        <f t="shared" si="256"/>
        <v/>
      </c>
      <c r="CZ392" s="14">
        <f t="shared" si="257"/>
        <v>76</v>
      </c>
      <c r="DA392" s="14">
        <f t="shared" si="258"/>
        <v>0</v>
      </c>
      <c r="DB392" s="14">
        <f t="shared" si="259"/>
        <v>270</v>
      </c>
      <c r="DC392" s="14">
        <f t="shared" si="260"/>
        <v>0</v>
      </c>
      <c r="DD392" s="14">
        <f t="shared" si="261"/>
        <v>0</v>
      </c>
      <c r="DE392" s="14">
        <f t="shared" si="262"/>
        <v>7.68</v>
      </c>
      <c r="DF392" s="14">
        <f t="shared" si="263"/>
        <v>0</v>
      </c>
      <c r="DG392" s="14">
        <f t="shared" si="264"/>
        <v>19</v>
      </c>
      <c r="DH392" s="14">
        <f t="shared" si="265"/>
        <v>4</v>
      </c>
      <c r="DI392" s="14">
        <f t="shared" si="266"/>
        <v>25</v>
      </c>
      <c r="DL392" s="14">
        <f t="shared" si="248"/>
        <v>2</v>
      </c>
      <c r="DM392" s="14">
        <f t="shared" si="249"/>
        <v>0</v>
      </c>
      <c r="DN392" s="14" t="str">
        <f t="shared" si="267"/>
        <v>DefExt</v>
      </c>
      <c r="DO392" s="14">
        <f t="shared" si="268"/>
        <v>270</v>
      </c>
      <c r="DP392" s="14">
        <f t="shared" si="269"/>
        <v>7.68</v>
      </c>
      <c r="DQ392" s="14" t="str">
        <f t="shared" si="270"/>
        <v/>
      </c>
      <c r="DR392" s="14" t="str">
        <f t="shared" si="271"/>
        <v/>
      </c>
      <c r="DS392" s="14" t="str">
        <f t="shared" si="272"/>
        <v/>
      </c>
      <c r="DT392" s="14">
        <f t="shared" si="273"/>
        <v>19</v>
      </c>
      <c r="DU392" s="14">
        <f t="shared" si="274"/>
        <v>4</v>
      </c>
      <c r="DV392" s="14">
        <f t="shared" si="275"/>
        <v>25</v>
      </c>
      <c r="DW392" s="29" t="s">
        <v>758</v>
      </c>
      <c r="DX392" s="14">
        <f t="shared" si="276"/>
        <v>225</v>
      </c>
    </row>
    <row r="393" spans="91:128" ht="16.5" x14ac:dyDescent="0.2">
      <c r="CM393" s="13">
        <v>389</v>
      </c>
      <c r="CN393" s="14">
        <f t="shared" si="250"/>
        <v>54</v>
      </c>
      <c r="CO393" s="14">
        <f t="shared" si="251"/>
        <v>2</v>
      </c>
      <c r="CP393" s="14">
        <f t="shared" si="252"/>
        <v>3</v>
      </c>
      <c r="CQ393" s="14">
        <f t="shared" si="243"/>
        <v>5</v>
      </c>
      <c r="CR393" s="14">
        <f t="shared" si="244"/>
        <v>2053023</v>
      </c>
      <c r="CS393" s="13" t="str">
        <f t="shared" si="245"/>
        <v>150级守护灵紫色-肩甲</v>
      </c>
      <c r="CT393" s="14">
        <f t="shared" si="246"/>
        <v>2</v>
      </c>
      <c r="CU393" s="14">
        <f t="shared" si="247"/>
        <v>3</v>
      </c>
      <c r="CV393" s="14">
        <f t="shared" si="253"/>
        <v>150</v>
      </c>
      <c r="CW393" s="14">
        <f t="shared" si="254"/>
        <v>150</v>
      </c>
      <c r="CX393" s="14">
        <f t="shared" si="255"/>
        <v>3</v>
      </c>
      <c r="CY393" s="14" t="str">
        <f t="shared" si="256"/>
        <v/>
      </c>
      <c r="CZ393" s="14">
        <f t="shared" si="257"/>
        <v>80</v>
      </c>
      <c r="DA393" s="14">
        <f t="shared" si="258"/>
        <v>0</v>
      </c>
      <c r="DB393" s="14">
        <f t="shared" si="259"/>
        <v>135</v>
      </c>
      <c r="DC393" s="14">
        <f t="shared" si="260"/>
        <v>1440</v>
      </c>
      <c r="DD393" s="14">
        <f t="shared" si="261"/>
        <v>0</v>
      </c>
      <c r="DE393" s="14">
        <f t="shared" si="262"/>
        <v>3.84</v>
      </c>
      <c r="DF393" s="14">
        <f t="shared" si="263"/>
        <v>42</v>
      </c>
      <c r="DG393" s="14">
        <f t="shared" si="264"/>
        <v>19</v>
      </c>
      <c r="DH393" s="14">
        <f t="shared" si="265"/>
        <v>4</v>
      </c>
      <c r="DI393" s="14">
        <f t="shared" si="266"/>
        <v>25</v>
      </c>
      <c r="DL393" s="14">
        <f t="shared" si="248"/>
        <v>2</v>
      </c>
      <c r="DM393" s="14">
        <f t="shared" si="249"/>
        <v>3</v>
      </c>
      <c r="DN393" s="14" t="str">
        <f t="shared" si="267"/>
        <v>DefExt</v>
      </c>
      <c r="DO393" s="14">
        <f t="shared" si="268"/>
        <v>135</v>
      </c>
      <c r="DP393" s="14">
        <f t="shared" si="269"/>
        <v>3.84</v>
      </c>
      <c r="DQ393" s="14" t="str">
        <f t="shared" si="270"/>
        <v>HPExt</v>
      </c>
      <c r="DR393" s="14">
        <f t="shared" si="271"/>
        <v>1440</v>
      </c>
      <c r="DS393" s="14">
        <f t="shared" si="272"/>
        <v>42</v>
      </c>
      <c r="DT393" s="14">
        <f t="shared" si="273"/>
        <v>19</v>
      </c>
      <c r="DU393" s="14">
        <f t="shared" si="274"/>
        <v>4</v>
      </c>
      <c r="DV393" s="14">
        <f t="shared" si="275"/>
        <v>25</v>
      </c>
      <c r="DW393" s="29" t="s">
        <v>758</v>
      </c>
      <c r="DX393" s="14">
        <f t="shared" si="276"/>
        <v>225</v>
      </c>
    </row>
    <row r="394" spans="91:128" ht="16.5" x14ac:dyDescent="0.2">
      <c r="CM394" s="13">
        <v>390</v>
      </c>
      <c r="CN394" s="14">
        <f t="shared" si="250"/>
        <v>54</v>
      </c>
      <c r="CO394" s="14">
        <f t="shared" si="251"/>
        <v>2</v>
      </c>
      <c r="CP394" s="14">
        <f t="shared" si="252"/>
        <v>4</v>
      </c>
      <c r="CQ394" s="14">
        <f t="shared" si="243"/>
        <v>5</v>
      </c>
      <c r="CR394" s="14">
        <f t="shared" si="244"/>
        <v>2053024</v>
      </c>
      <c r="CS394" s="13" t="str">
        <f t="shared" si="245"/>
        <v>150级守护灵紫色-衣服</v>
      </c>
      <c r="CT394" s="14">
        <f t="shared" si="246"/>
        <v>2</v>
      </c>
      <c r="CU394" s="14">
        <f t="shared" si="247"/>
        <v>3</v>
      </c>
      <c r="CV394" s="14">
        <f t="shared" si="253"/>
        <v>150</v>
      </c>
      <c r="CW394" s="14">
        <f t="shared" si="254"/>
        <v>150</v>
      </c>
      <c r="CX394" s="14">
        <f t="shared" si="255"/>
        <v>4</v>
      </c>
      <c r="CY394" s="14" t="str">
        <f t="shared" si="256"/>
        <v/>
      </c>
      <c r="CZ394" s="14">
        <f t="shared" si="257"/>
        <v>76</v>
      </c>
      <c r="DA394" s="14">
        <f t="shared" si="258"/>
        <v>0</v>
      </c>
      <c r="DB394" s="14">
        <f t="shared" si="259"/>
        <v>270</v>
      </c>
      <c r="DC394" s="14">
        <f t="shared" si="260"/>
        <v>0</v>
      </c>
      <c r="DD394" s="14">
        <f t="shared" si="261"/>
        <v>0</v>
      </c>
      <c r="DE394" s="14">
        <f t="shared" si="262"/>
        <v>7.68</v>
      </c>
      <c r="DF394" s="14">
        <f t="shared" si="263"/>
        <v>0</v>
      </c>
      <c r="DG394" s="14">
        <f t="shared" si="264"/>
        <v>19</v>
      </c>
      <c r="DH394" s="14">
        <f t="shared" si="265"/>
        <v>4</v>
      </c>
      <c r="DI394" s="14">
        <f t="shared" si="266"/>
        <v>25</v>
      </c>
      <c r="DL394" s="14">
        <f t="shared" si="248"/>
        <v>2</v>
      </c>
      <c r="DM394" s="14">
        <f t="shared" si="249"/>
        <v>0</v>
      </c>
      <c r="DN394" s="14" t="str">
        <f t="shared" si="267"/>
        <v>DefExt</v>
      </c>
      <c r="DO394" s="14">
        <f t="shared" si="268"/>
        <v>270</v>
      </c>
      <c r="DP394" s="14">
        <f t="shared" si="269"/>
        <v>7.68</v>
      </c>
      <c r="DQ394" s="14" t="str">
        <f t="shared" si="270"/>
        <v/>
      </c>
      <c r="DR394" s="14" t="str">
        <f t="shared" si="271"/>
        <v/>
      </c>
      <c r="DS394" s="14" t="str">
        <f t="shared" si="272"/>
        <v/>
      </c>
      <c r="DT394" s="14">
        <f t="shared" si="273"/>
        <v>19</v>
      </c>
      <c r="DU394" s="14">
        <f t="shared" si="274"/>
        <v>4</v>
      </c>
      <c r="DV394" s="14">
        <f t="shared" si="275"/>
        <v>25</v>
      </c>
      <c r="DW394" s="29" t="s">
        <v>758</v>
      </c>
      <c r="DX394" s="14">
        <f t="shared" si="276"/>
        <v>225</v>
      </c>
    </row>
    <row r="395" spans="91:128" ht="16.5" x14ac:dyDescent="0.2">
      <c r="CM395" s="13">
        <v>391</v>
      </c>
      <c r="CN395" s="14">
        <f t="shared" si="250"/>
        <v>54</v>
      </c>
      <c r="CO395" s="14">
        <f t="shared" si="251"/>
        <v>2</v>
      </c>
      <c r="CP395" s="14">
        <f t="shared" si="252"/>
        <v>5</v>
      </c>
      <c r="CQ395" s="14">
        <f t="shared" si="243"/>
        <v>5</v>
      </c>
      <c r="CR395" s="14">
        <f t="shared" si="244"/>
        <v>2053025</v>
      </c>
      <c r="CS395" s="13" t="str">
        <f t="shared" si="245"/>
        <v>150级守护灵紫色-鞋子</v>
      </c>
      <c r="CT395" s="14">
        <f t="shared" si="246"/>
        <v>2</v>
      </c>
      <c r="CU395" s="14">
        <f t="shared" si="247"/>
        <v>3</v>
      </c>
      <c r="CV395" s="14">
        <f t="shared" si="253"/>
        <v>150</v>
      </c>
      <c r="CW395" s="14">
        <f t="shared" si="254"/>
        <v>150</v>
      </c>
      <c r="CX395" s="14">
        <f t="shared" si="255"/>
        <v>5</v>
      </c>
      <c r="CY395" s="14" t="str">
        <f t="shared" si="256"/>
        <v/>
      </c>
      <c r="CZ395" s="14">
        <f t="shared" si="257"/>
        <v>84</v>
      </c>
      <c r="DA395" s="14">
        <f t="shared" si="258"/>
        <v>0</v>
      </c>
      <c r="DB395" s="14">
        <f t="shared" si="259"/>
        <v>0</v>
      </c>
      <c r="DC395" s="14">
        <f t="shared" si="260"/>
        <v>2880</v>
      </c>
      <c r="DD395" s="14">
        <f t="shared" si="261"/>
        <v>0</v>
      </c>
      <c r="DE395" s="14">
        <f t="shared" si="262"/>
        <v>0</v>
      </c>
      <c r="DF395" s="14">
        <f t="shared" si="263"/>
        <v>84</v>
      </c>
      <c r="DG395" s="14">
        <f t="shared" si="264"/>
        <v>19</v>
      </c>
      <c r="DH395" s="14">
        <f t="shared" si="265"/>
        <v>4</v>
      </c>
      <c r="DI395" s="14">
        <f t="shared" si="266"/>
        <v>25</v>
      </c>
      <c r="DL395" s="14">
        <f t="shared" si="248"/>
        <v>3</v>
      </c>
      <c r="DM395" s="14">
        <f t="shared" si="249"/>
        <v>0</v>
      </c>
      <c r="DN395" s="14" t="str">
        <f t="shared" si="267"/>
        <v>HPExt</v>
      </c>
      <c r="DO395" s="14">
        <f t="shared" si="268"/>
        <v>2880</v>
      </c>
      <c r="DP395" s="14">
        <f t="shared" si="269"/>
        <v>84</v>
      </c>
      <c r="DQ395" s="14" t="str">
        <f t="shared" si="270"/>
        <v/>
      </c>
      <c r="DR395" s="14" t="str">
        <f t="shared" si="271"/>
        <v/>
      </c>
      <c r="DS395" s="14" t="str">
        <f t="shared" si="272"/>
        <v/>
      </c>
      <c r="DT395" s="14">
        <f t="shared" si="273"/>
        <v>19</v>
      </c>
      <c r="DU395" s="14">
        <f t="shared" si="274"/>
        <v>4</v>
      </c>
      <c r="DV395" s="14">
        <f t="shared" si="275"/>
        <v>25</v>
      </c>
      <c r="DW395" s="29" t="s">
        <v>758</v>
      </c>
      <c r="DX395" s="14">
        <f t="shared" si="276"/>
        <v>225</v>
      </c>
    </row>
    <row r="396" spans="91:128" ht="16.5" x14ac:dyDescent="0.2">
      <c r="CM396" s="13">
        <v>392</v>
      </c>
      <c r="CN396" s="14">
        <f t="shared" si="250"/>
        <v>54</v>
      </c>
      <c r="CO396" s="14">
        <f t="shared" si="251"/>
        <v>2</v>
      </c>
      <c r="CP396" s="14">
        <f t="shared" si="252"/>
        <v>6</v>
      </c>
      <c r="CQ396" s="14">
        <f t="shared" si="243"/>
        <v>5</v>
      </c>
      <c r="CR396" s="14">
        <f t="shared" si="244"/>
        <v>2053026</v>
      </c>
      <c r="CS396" s="13" t="str">
        <f t="shared" si="245"/>
        <v>150级守护灵紫色-护手</v>
      </c>
      <c r="CT396" s="14">
        <f t="shared" si="246"/>
        <v>2</v>
      </c>
      <c r="CU396" s="14">
        <f t="shared" si="247"/>
        <v>3</v>
      </c>
      <c r="CV396" s="14">
        <f t="shared" si="253"/>
        <v>150</v>
      </c>
      <c r="CW396" s="14">
        <f t="shared" si="254"/>
        <v>150</v>
      </c>
      <c r="CX396" s="14">
        <f t="shared" si="255"/>
        <v>6</v>
      </c>
      <c r="CY396" s="14" t="str">
        <f t="shared" si="256"/>
        <v/>
      </c>
      <c r="CZ396" s="14">
        <f t="shared" si="257"/>
        <v>84</v>
      </c>
      <c r="DA396" s="14">
        <f t="shared" si="258"/>
        <v>0</v>
      </c>
      <c r="DB396" s="14">
        <f t="shared" si="259"/>
        <v>0</v>
      </c>
      <c r="DC396" s="14">
        <f t="shared" si="260"/>
        <v>2880</v>
      </c>
      <c r="DD396" s="14">
        <f t="shared" si="261"/>
        <v>0</v>
      </c>
      <c r="DE396" s="14">
        <f t="shared" si="262"/>
        <v>0</v>
      </c>
      <c r="DF396" s="14">
        <f t="shared" si="263"/>
        <v>84</v>
      </c>
      <c r="DG396" s="14">
        <f t="shared" si="264"/>
        <v>19</v>
      </c>
      <c r="DH396" s="14">
        <f t="shared" si="265"/>
        <v>4</v>
      </c>
      <c r="DI396" s="14">
        <f t="shared" si="266"/>
        <v>25</v>
      </c>
      <c r="DL396" s="14">
        <f t="shared" si="248"/>
        <v>3</v>
      </c>
      <c r="DM396" s="14">
        <f t="shared" si="249"/>
        <v>0</v>
      </c>
      <c r="DN396" s="14" t="str">
        <f t="shared" si="267"/>
        <v>HPExt</v>
      </c>
      <c r="DO396" s="14">
        <f t="shared" si="268"/>
        <v>2880</v>
      </c>
      <c r="DP396" s="14">
        <f t="shared" si="269"/>
        <v>84</v>
      </c>
      <c r="DQ396" s="14" t="str">
        <f t="shared" si="270"/>
        <v/>
      </c>
      <c r="DR396" s="14" t="str">
        <f t="shared" si="271"/>
        <v/>
      </c>
      <c r="DS396" s="14" t="str">
        <f t="shared" si="272"/>
        <v/>
      </c>
      <c r="DT396" s="14">
        <f t="shared" si="273"/>
        <v>19</v>
      </c>
      <c r="DU396" s="14">
        <f t="shared" si="274"/>
        <v>4</v>
      </c>
      <c r="DV396" s="14">
        <f t="shared" si="275"/>
        <v>25</v>
      </c>
      <c r="DW396" s="29" t="s">
        <v>758</v>
      </c>
      <c r="DX396" s="14">
        <f t="shared" si="276"/>
        <v>225</v>
      </c>
    </row>
    <row r="397" spans="91:128" ht="16.5" x14ac:dyDescent="0.2">
      <c r="CM397" s="13">
        <v>393</v>
      </c>
      <c r="CN397" s="14">
        <f t="shared" si="250"/>
        <v>54</v>
      </c>
      <c r="CO397" s="14">
        <f t="shared" si="251"/>
        <v>2</v>
      </c>
      <c r="CP397" s="14">
        <f t="shared" si="252"/>
        <v>7</v>
      </c>
      <c r="CQ397" s="14">
        <f t="shared" si="243"/>
        <v>5</v>
      </c>
      <c r="CR397" s="14">
        <f t="shared" si="244"/>
        <v>2053027</v>
      </c>
      <c r="CS397" s="13" t="str">
        <f t="shared" si="245"/>
        <v>150级守护灵紫色-项链</v>
      </c>
      <c r="CT397" s="14">
        <f t="shared" si="246"/>
        <v>2</v>
      </c>
      <c r="CU397" s="14">
        <f t="shared" si="247"/>
        <v>3</v>
      </c>
      <c r="CV397" s="14">
        <f t="shared" si="253"/>
        <v>150</v>
      </c>
      <c r="CW397" s="14">
        <f t="shared" si="254"/>
        <v>150</v>
      </c>
      <c r="CX397" s="14">
        <f t="shared" si="255"/>
        <v>7</v>
      </c>
      <c r="CY397" s="14" t="str">
        <f t="shared" si="256"/>
        <v/>
      </c>
      <c r="CZ397" s="14">
        <f t="shared" si="257"/>
        <v>116</v>
      </c>
      <c r="DA397" s="14">
        <f t="shared" si="258"/>
        <v>400</v>
      </c>
      <c r="DB397" s="14">
        <f t="shared" si="259"/>
        <v>225</v>
      </c>
      <c r="DC397" s="14">
        <f t="shared" si="260"/>
        <v>0</v>
      </c>
      <c r="DD397" s="14">
        <f t="shared" si="261"/>
        <v>10.4</v>
      </c>
      <c r="DE397" s="14">
        <f t="shared" si="262"/>
        <v>6.4</v>
      </c>
      <c r="DF397" s="14">
        <f t="shared" si="263"/>
        <v>0</v>
      </c>
      <c r="DG397" s="14">
        <f t="shared" si="264"/>
        <v>19</v>
      </c>
      <c r="DH397" s="14">
        <f t="shared" si="265"/>
        <v>4</v>
      </c>
      <c r="DI397" s="14">
        <f t="shared" si="266"/>
        <v>25</v>
      </c>
      <c r="DL397" s="14">
        <f t="shared" si="248"/>
        <v>1</v>
      </c>
      <c r="DM397" s="14">
        <f t="shared" si="249"/>
        <v>2</v>
      </c>
      <c r="DN397" s="14" t="str">
        <f t="shared" si="267"/>
        <v>AtkExt</v>
      </c>
      <c r="DO397" s="14">
        <f t="shared" si="268"/>
        <v>400</v>
      </c>
      <c r="DP397" s="14">
        <f t="shared" si="269"/>
        <v>10.4</v>
      </c>
      <c r="DQ397" s="14" t="str">
        <f t="shared" si="270"/>
        <v>DefExt</v>
      </c>
      <c r="DR397" s="14">
        <f t="shared" si="271"/>
        <v>225</v>
      </c>
      <c r="DS397" s="14">
        <f t="shared" si="272"/>
        <v>6.4</v>
      </c>
      <c r="DT397" s="14">
        <f t="shared" si="273"/>
        <v>19</v>
      </c>
      <c r="DU397" s="14">
        <f t="shared" si="274"/>
        <v>4</v>
      </c>
      <c r="DV397" s="14">
        <f t="shared" si="275"/>
        <v>25</v>
      </c>
      <c r="DW397" s="29" t="s">
        <v>758</v>
      </c>
      <c r="DX397" s="14">
        <f t="shared" si="276"/>
        <v>225</v>
      </c>
    </row>
    <row r="398" spans="91:128" ht="16.5" x14ac:dyDescent="0.2">
      <c r="CM398" s="13">
        <v>394</v>
      </c>
      <c r="CN398" s="14">
        <f t="shared" si="250"/>
        <v>54</v>
      </c>
      <c r="CO398" s="14">
        <f t="shared" si="251"/>
        <v>2</v>
      </c>
      <c r="CP398" s="14">
        <f t="shared" si="252"/>
        <v>8</v>
      </c>
      <c r="CQ398" s="14">
        <f t="shared" si="243"/>
        <v>5</v>
      </c>
      <c r="CR398" s="14">
        <f t="shared" si="244"/>
        <v>2053028</v>
      </c>
      <c r="CS398" s="13" t="str">
        <f t="shared" si="245"/>
        <v>150级守护灵紫色-戒指</v>
      </c>
      <c r="CT398" s="14">
        <f t="shared" si="246"/>
        <v>2</v>
      </c>
      <c r="CU398" s="14">
        <f t="shared" si="247"/>
        <v>3</v>
      </c>
      <c r="CV398" s="14">
        <f t="shared" si="253"/>
        <v>150</v>
      </c>
      <c r="CW398" s="14">
        <f t="shared" si="254"/>
        <v>150</v>
      </c>
      <c r="CX398" s="14">
        <f t="shared" si="255"/>
        <v>8</v>
      </c>
      <c r="CY398" s="14" t="str">
        <f t="shared" si="256"/>
        <v/>
      </c>
      <c r="CZ398" s="14">
        <f t="shared" si="257"/>
        <v>122</v>
      </c>
      <c r="DA398" s="14">
        <f t="shared" si="258"/>
        <v>400</v>
      </c>
      <c r="DB398" s="14">
        <f t="shared" si="259"/>
        <v>0</v>
      </c>
      <c r="DC398" s="14">
        <f t="shared" si="260"/>
        <v>2400</v>
      </c>
      <c r="DD398" s="14">
        <f t="shared" si="261"/>
        <v>10.4</v>
      </c>
      <c r="DE398" s="14">
        <f t="shared" si="262"/>
        <v>0</v>
      </c>
      <c r="DF398" s="14">
        <f t="shared" si="263"/>
        <v>70</v>
      </c>
      <c r="DG398" s="14">
        <f t="shared" si="264"/>
        <v>19</v>
      </c>
      <c r="DH398" s="14">
        <f t="shared" si="265"/>
        <v>4</v>
      </c>
      <c r="DI398" s="14">
        <f t="shared" si="266"/>
        <v>25</v>
      </c>
      <c r="DL398" s="14">
        <f t="shared" si="248"/>
        <v>1</v>
      </c>
      <c r="DM398" s="14">
        <f t="shared" si="249"/>
        <v>3</v>
      </c>
      <c r="DN398" s="14" t="str">
        <f t="shared" si="267"/>
        <v>AtkExt</v>
      </c>
      <c r="DO398" s="14">
        <f t="shared" si="268"/>
        <v>400</v>
      </c>
      <c r="DP398" s="14">
        <f t="shared" si="269"/>
        <v>10.4</v>
      </c>
      <c r="DQ398" s="14" t="str">
        <f t="shared" si="270"/>
        <v>HPExt</v>
      </c>
      <c r="DR398" s="14">
        <f t="shared" si="271"/>
        <v>2400</v>
      </c>
      <c r="DS398" s="14">
        <f t="shared" si="272"/>
        <v>70</v>
      </c>
      <c r="DT398" s="14">
        <f t="shared" si="273"/>
        <v>19</v>
      </c>
      <c r="DU398" s="14">
        <f t="shared" si="274"/>
        <v>4</v>
      </c>
      <c r="DV398" s="14">
        <f t="shared" si="275"/>
        <v>25</v>
      </c>
      <c r="DW398" s="29" t="s">
        <v>758</v>
      </c>
      <c r="DX398" s="14">
        <f t="shared" si="276"/>
        <v>225</v>
      </c>
    </row>
    <row r="399" spans="91:128" ht="16.5" x14ac:dyDescent="0.2">
      <c r="CM399" s="13">
        <v>395</v>
      </c>
      <c r="CN399" s="14">
        <f t="shared" si="250"/>
        <v>55</v>
      </c>
      <c r="CO399" s="14">
        <f t="shared" si="251"/>
        <v>1</v>
      </c>
      <c r="CP399" s="14">
        <f t="shared" si="252"/>
        <v>1</v>
      </c>
      <c r="CQ399" s="14">
        <f t="shared" si="243"/>
        <v>5</v>
      </c>
      <c r="CR399" s="14">
        <f t="shared" si="244"/>
        <v>2054011</v>
      </c>
      <c r="CS399" s="13" t="str">
        <f t="shared" si="245"/>
        <v>150级寄灵人橙色-武器</v>
      </c>
      <c r="CT399" s="14">
        <f t="shared" si="246"/>
        <v>1</v>
      </c>
      <c r="CU399" s="14">
        <f t="shared" si="247"/>
        <v>4</v>
      </c>
      <c r="CV399" s="14">
        <f t="shared" si="253"/>
        <v>150</v>
      </c>
      <c r="CW399" s="14">
        <f t="shared" si="254"/>
        <v>150</v>
      </c>
      <c r="CX399" s="14">
        <f t="shared" si="255"/>
        <v>1</v>
      </c>
      <c r="CY399" s="14" t="str">
        <f t="shared" si="256"/>
        <v/>
      </c>
      <c r="CZ399" s="14">
        <f t="shared" si="257"/>
        <v>195</v>
      </c>
      <c r="DA399" s="14">
        <f t="shared" si="258"/>
        <v>1200</v>
      </c>
      <c r="DB399" s="14">
        <f t="shared" si="259"/>
        <v>0</v>
      </c>
      <c r="DC399" s="14">
        <f t="shared" si="260"/>
        <v>0</v>
      </c>
      <c r="DD399" s="14">
        <f t="shared" si="261"/>
        <v>39</v>
      </c>
      <c r="DE399" s="14">
        <f t="shared" si="262"/>
        <v>0</v>
      </c>
      <c r="DF399" s="14">
        <f t="shared" si="263"/>
        <v>0</v>
      </c>
      <c r="DG399" s="14">
        <f t="shared" si="264"/>
        <v>20</v>
      </c>
      <c r="DH399" s="14">
        <f t="shared" si="265"/>
        <v>5</v>
      </c>
      <c r="DI399" s="14">
        <f t="shared" si="266"/>
        <v>15</v>
      </c>
      <c r="DL399" s="14">
        <f t="shared" si="248"/>
        <v>1</v>
      </c>
      <c r="DM399" s="14">
        <f t="shared" si="249"/>
        <v>0</v>
      </c>
      <c r="DN399" s="14" t="str">
        <f t="shared" si="267"/>
        <v>AtkExt</v>
      </c>
      <c r="DO399" s="14">
        <f t="shared" si="268"/>
        <v>1200</v>
      </c>
      <c r="DP399" s="14">
        <f t="shared" si="269"/>
        <v>39</v>
      </c>
      <c r="DQ399" s="14" t="str">
        <f t="shared" si="270"/>
        <v/>
      </c>
      <c r="DR399" s="14" t="str">
        <f t="shared" si="271"/>
        <v/>
      </c>
      <c r="DS399" s="14" t="str">
        <f t="shared" si="272"/>
        <v/>
      </c>
      <c r="DT399" s="14">
        <f t="shared" si="273"/>
        <v>20</v>
      </c>
      <c r="DU399" s="14">
        <f t="shared" si="274"/>
        <v>5</v>
      </c>
      <c r="DV399" s="14">
        <f t="shared" si="275"/>
        <v>15</v>
      </c>
      <c r="DW399" s="29" t="s">
        <v>758</v>
      </c>
      <c r="DX399" s="14">
        <f t="shared" si="276"/>
        <v>450</v>
      </c>
    </row>
    <row r="400" spans="91:128" ht="16.5" x14ac:dyDescent="0.2">
      <c r="CM400" s="13">
        <v>396</v>
      </c>
      <c r="CN400" s="14">
        <f t="shared" si="250"/>
        <v>55</v>
      </c>
      <c r="CO400" s="14">
        <f t="shared" si="251"/>
        <v>1</v>
      </c>
      <c r="CP400" s="14">
        <f t="shared" si="252"/>
        <v>2</v>
      </c>
      <c r="CQ400" s="14">
        <f t="shared" si="243"/>
        <v>5</v>
      </c>
      <c r="CR400" s="14">
        <f t="shared" si="244"/>
        <v>2054012</v>
      </c>
      <c r="CS400" s="13" t="str">
        <f t="shared" si="245"/>
        <v>150级寄灵人橙色-头盔</v>
      </c>
      <c r="CT400" s="14">
        <f t="shared" si="246"/>
        <v>1</v>
      </c>
      <c r="CU400" s="14">
        <f t="shared" si="247"/>
        <v>4</v>
      </c>
      <c r="CV400" s="14">
        <f t="shared" si="253"/>
        <v>150</v>
      </c>
      <c r="CW400" s="14">
        <f t="shared" si="254"/>
        <v>150</v>
      </c>
      <c r="CX400" s="14">
        <f t="shared" si="255"/>
        <v>2</v>
      </c>
      <c r="CY400" s="14" t="str">
        <f t="shared" si="256"/>
        <v/>
      </c>
      <c r="CZ400" s="14">
        <f t="shared" si="257"/>
        <v>96</v>
      </c>
      <c r="DA400" s="14">
        <f t="shared" si="258"/>
        <v>0</v>
      </c>
      <c r="DB400" s="14">
        <f t="shared" si="259"/>
        <v>300</v>
      </c>
      <c r="DC400" s="14">
        <f t="shared" si="260"/>
        <v>0</v>
      </c>
      <c r="DD400" s="14">
        <f t="shared" si="261"/>
        <v>0</v>
      </c>
      <c r="DE400" s="14">
        <f t="shared" si="262"/>
        <v>9.6</v>
      </c>
      <c r="DF400" s="14">
        <f t="shared" si="263"/>
        <v>0</v>
      </c>
      <c r="DG400" s="14">
        <f t="shared" si="264"/>
        <v>20</v>
      </c>
      <c r="DH400" s="14">
        <f t="shared" si="265"/>
        <v>5</v>
      </c>
      <c r="DI400" s="14">
        <f t="shared" si="266"/>
        <v>15</v>
      </c>
      <c r="DL400" s="14">
        <f t="shared" si="248"/>
        <v>2</v>
      </c>
      <c r="DM400" s="14">
        <f t="shared" si="249"/>
        <v>0</v>
      </c>
      <c r="DN400" s="14" t="str">
        <f t="shared" si="267"/>
        <v>DefExt</v>
      </c>
      <c r="DO400" s="14">
        <f t="shared" si="268"/>
        <v>300</v>
      </c>
      <c r="DP400" s="14">
        <f t="shared" si="269"/>
        <v>9.6</v>
      </c>
      <c r="DQ400" s="14" t="str">
        <f t="shared" si="270"/>
        <v/>
      </c>
      <c r="DR400" s="14" t="str">
        <f t="shared" si="271"/>
        <v/>
      </c>
      <c r="DS400" s="14" t="str">
        <f t="shared" si="272"/>
        <v/>
      </c>
      <c r="DT400" s="14">
        <f t="shared" si="273"/>
        <v>20</v>
      </c>
      <c r="DU400" s="14">
        <f t="shared" si="274"/>
        <v>5</v>
      </c>
      <c r="DV400" s="14">
        <f t="shared" si="275"/>
        <v>15</v>
      </c>
      <c r="DW400" s="29" t="s">
        <v>758</v>
      </c>
      <c r="DX400" s="14">
        <f t="shared" si="276"/>
        <v>450</v>
      </c>
    </row>
    <row r="401" spans="91:128" ht="16.5" x14ac:dyDescent="0.2">
      <c r="CM401" s="13">
        <v>397</v>
      </c>
      <c r="CN401" s="14">
        <f t="shared" si="250"/>
        <v>55</v>
      </c>
      <c r="CO401" s="14">
        <f t="shared" si="251"/>
        <v>1</v>
      </c>
      <c r="CP401" s="14">
        <f t="shared" si="252"/>
        <v>3</v>
      </c>
      <c r="CQ401" s="14">
        <f t="shared" si="243"/>
        <v>5</v>
      </c>
      <c r="CR401" s="14">
        <f t="shared" si="244"/>
        <v>2054013</v>
      </c>
      <c r="CS401" s="13" t="str">
        <f t="shared" si="245"/>
        <v>150级寄灵人橙色-肩甲</v>
      </c>
      <c r="CT401" s="14">
        <f t="shared" si="246"/>
        <v>1</v>
      </c>
      <c r="CU401" s="14">
        <f t="shared" si="247"/>
        <v>4</v>
      </c>
      <c r="CV401" s="14">
        <f t="shared" si="253"/>
        <v>150</v>
      </c>
      <c r="CW401" s="14">
        <f t="shared" si="254"/>
        <v>150</v>
      </c>
      <c r="CX401" s="14">
        <f t="shared" si="255"/>
        <v>3</v>
      </c>
      <c r="CY401" s="14" t="str">
        <f t="shared" si="256"/>
        <v/>
      </c>
      <c r="CZ401" s="14">
        <f t="shared" si="257"/>
        <v>78</v>
      </c>
      <c r="DA401" s="14">
        <f t="shared" si="258"/>
        <v>0</v>
      </c>
      <c r="DB401" s="14">
        <f t="shared" si="259"/>
        <v>150</v>
      </c>
      <c r="DC401" s="14">
        <f t="shared" si="260"/>
        <v>900</v>
      </c>
      <c r="DD401" s="14">
        <f t="shared" si="261"/>
        <v>0</v>
      </c>
      <c r="DE401" s="14">
        <f t="shared" si="262"/>
        <v>4.8</v>
      </c>
      <c r="DF401" s="14">
        <f t="shared" si="263"/>
        <v>30</v>
      </c>
      <c r="DG401" s="14">
        <f t="shared" si="264"/>
        <v>20</v>
      </c>
      <c r="DH401" s="14">
        <f t="shared" si="265"/>
        <v>5</v>
      </c>
      <c r="DI401" s="14">
        <f t="shared" si="266"/>
        <v>15</v>
      </c>
      <c r="DL401" s="14">
        <f t="shared" si="248"/>
        <v>2</v>
      </c>
      <c r="DM401" s="14">
        <f t="shared" si="249"/>
        <v>3</v>
      </c>
      <c r="DN401" s="14" t="str">
        <f t="shared" si="267"/>
        <v>DefExt</v>
      </c>
      <c r="DO401" s="14">
        <f t="shared" si="268"/>
        <v>150</v>
      </c>
      <c r="DP401" s="14">
        <f t="shared" si="269"/>
        <v>4.8</v>
      </c>
      <c r="DQ401" s="14" t="str">
        <f t="shared" si="270"/>
        <v>HPExt</v>
      </c>
      <c r="DR401" s="14">
        <f t="shared" si="271"/>
        <v>900</v>
      </c>
      <c r="DS401" s="14">
        <f t="shared" si="272"/>
        <v>30</v>
      </c>
      <c r="DT401" s="14">
        <f t="shared" si="273"/>
        <v>20</v>
      </c>
      <c r="DU401" s="14">
        <f t="shared" si="274"/>
        <v>5</v>
      </c>
      <c r="DV401" s="14">
        <f t="shared" si="275"/>
        <v>15</v>
      </c>
      <c r="DW401" s="29" t="s">
        <v>758</v>
      </c>
      <c r="DX401" s="14">
        <f t="shared" si="276"/>
        <v>450</v>
      </c>
    </row>
    <row r="402" spans="91:128" ht="16.5" x14ac:dyDescent="0.2">
      <c r="CM402" s="13">
        <v>398</v>
      </c>
      <c r="CN402" s="14">
        <f t="shared" si="250"/>
        <v>55</v>
      </c>
      <c r="CO402" s="14">
        <f t="shared" si="251"/>
        <v>1</v>
      </c>
      <c r="CP402" s="14">
        <f t="shared" si="252"/>
        <v>4</v>
      </c>
      <c r="CQ402" s="14">
        <f t="shared" si="243"/>
        <v>5</v>
      </c>
      <c r="CR402" s="14">
        <f t="shared" si="244"/>
        <v>2054014</v>
      </c>
      <c r="CS402" s="13" t="str">
        <f t="shared" si="245"/>
        <v>150级寄灵人橙色-衣服</v>
      </c>
      <c r="CT402" s="14">
        <f t="shared" si="246"/>
        <v>1</v>
      </c>
      <c r="CU402" s="14">
        <f t="shared" si="247"/>
        <v>4</v>
      </c>
      <c r="CV402" s="14">
        <f t="shared" si="253"/>
        <v>150</v>
      </c>
      <c r="CW402" s="14">
        <f t="shared" si="254"/>
        <v>150</v>
      </c>
      <c r="CX402" s="14">
        <f t="shared" si="255"/>
        <v>4</v>
      </c>
      <c r="CY402" s="14" t="str">
        <f t="shared" si="256"/>
        <v/>
      </c>
      <c r="CZ402" s="14">
        <f t="shared" si="257"/>
        <v>96</v>
      </c>
      <c r="DA402" s="14">
        <f t="shared" si="258"/>
        <v>0</v>
      </c>
      <c r="DB402" s="14">
        <f t="shared" si="259"/>
        <v>300</v>
      </c>
      <c r="DC402" s="14">
        <f t="shared" si="260"/>
        <v>0</v>
      </c>
      <c r="DD402" s="14">
        <f t="shared" si="261"/>
        <v>0</v>
      </c>
      <c r="DE402" s="14">
        <f t="shared" si="262"/>
        <v>9.6</v>
      </c>
      <c r="DF402" s="14">
        <f t="shared" si="263"/>
        <v>0</v>
      </c>
      <c r="DG402" s="14">
        <f t="shared" si="264"/>
        <v>20</v>
      </c>
      <c r="DH402" s="14">
        <f t="shared" si="265"/>
        <v>5</v>
      </c>
      <c r="DI402" s="14">
        <f t="shared" si="266"/>
        <v>15</v>
      </c>
      <c r="DL402" s="14">
        <f t="shared" si="248"/>
        <v>2</v>
      </c>
      <c r="DM402" s="14">
        <f t="shared" si="249"/>
        <v>0</v>
      </c>
      <c r="DN402" s="14" t="str">
        <f t="shared" si="267"/>
        <v>DefExt</v>
      </c>
      <c r="DO402" s="14">
        <f t="shared" si="268"/>
        <v>300</v>
      </c>
      <c r="DP402" s="14">
        <f t="shared" si="269"/>
        <v>9.6</v>
      </c>
      <c r="DQ402" s="14" t="str">
        <f t="shared" si="270"/>
        <v/>
      </c>
      <c r="DR402" s="14" t="str">
        <f t="shared" si="271"/>
        <v/>
      </c>
      <c r="DS402" s="14" t="str">
        <f t="shared" si="272"/>
        <v/>
      </c>
      <c r="DT402" s="14">
        <f t="shared" si="273"/>
        <v>20</v>
      </c>
      <c r="DU402" s="14">
        <f t="shared" si="274"/>
        <v>5</v>
      </c>
      <c r="DV402" s="14">
        <f t="shared" si="275"/>
        <v>15</v>
      </c>
      <c r="DW402" s="29" t="s">
        <v>758</v>
      </c>
      <c r="DX402" s="14">
        <f t="shared" si="276"/>
        <v>450</v>
      </c>
    </row>
    <row r="403" spans="91:128" ht="16.5" x14ac:dyDescent="0.2">
      <c r="CM403" s="13">
        <v>399</v>
      </c>
      <c r="CN403" s="14">
        <f t="shared" si="250"/>
        <v>55</v>
      </c>
      <c r="CO403" s="14">
        <f t="shared" si="251"/>
        <v>1</v>
      </c>
      <c r="CP403" s="14">
        <f t="shared" si="252"/>
        <v>5</v>
      </c>
      <c r="CQ403" s="14">
        <f t="shared" si="243"/>
        <v>5</v>
      </c>
      <c r="CR403" s="14">
        <f t="shared" si="244"/>
        <v>2054015</v>
      </c>
      <c r="CS403" s="13" t="str">
        <f t="shared" si="245"/>
        <v>150级寄灵人橙色-鞋子</v>
      </c>
      <c r="CT403" s="14">
        <f t="shared" si="246"/>
        <v>1</v>
      </c>
      <c r="CU403" s="14">
        <f t="shared" si="247"/>
        <v>4</v>
      </c>
      <c r="CV403" s="14">
        <f t="shared" si="253"/>
        <v>150</v>
      </c>
      <c r="CW403" s="14">
        <f t="shared" si="254"/>
        <v>150</v>
      </c>
      <c r="CX403" s="14">
        <f t="shared" si="255"/>
        <v>5</v>
      </c>
      <c r="CY403" s="14" t="str">
        <f t="shared" si="256"/>
        <v/>
      </c>
      <c r="CZ403" s="14">
        <f t="shared" si="257"/>
        <v>60</v>
      </c>
      <c r="DA403" s="14">
        <f t="shared" si="258"/>
        <v>0</v>
      </c>
      <c r="DB403" s="14">
        <f t="shared" si="259"/>
        <v>0</v>
      </c>
      <c r="DC403" s="14">
        <f t="shared" si="260"/>
        <v>1800</v>
      </c>
      <c r="DD403" s="14">
        <f t="shared" si="261"/>
        <v>0</v>
      </c>
      <c r="DE403" s="14">
        <f t="shared" si="262"/>
        <v>0</v>
      </c>
      <c r="DF403" s="14">
        <f t="shared" si="263"/>
        <v>60</v>
      </c>
      <c r="DG403" s="14">
        <f t="shared" si="264"/>
        <v>20</v>
      </c>
      <c r="DH403" s="14">
        <f t="shared" si="265"/>
        <v>5</v>
      </c>
      <c r="DI403" s="14">
        <f t="shared" si="266"/>
        <v>15</v>
      </c>
      <c r="DL403" s="14">
        <f t="shared" si="248"/>
        <v>3</v>
      </c>
      <c r="DM403" s="14">
        <f t="shared" si="249"/>
        <v>0</v>
      </c>
      <c r="DN403" s="14" t="str">
        <f t="shared" si="267"/>
        <v>HPExt</v>
      </c>
      <c r="DO403" s="14">
        <f t="shared" si="268"/>
        <v>1800</v>
      </c>
      <c r="DP403" s="14">
        <f t="shared" si="269"/>
        <v>60</v>
      </c>
      <c r="DQ403" s="14" t="str">
        <f t="shared" si="270"/>
        <v/>
      </c>
      <c r="DR403" s="14" t="str">
        <f t="shared" si="271"/>
        <v/>
      </c>
      <c r="DS403" s="14" t="str">
        <f t="shared" si="272"/>
        <v/>
      </c>
      <c r="DT403" s="14">
        <f t="shared" si="273"/>
        <v>20</v>
      </c>
      <c r="DU403" s="14">
        <f t="shared" si="274"/>
        <v>5</v>
      </c>
      <c r="DV403" s="14">
        <f t="shared" si="275"/>
        <v>15</v>
      </c>
      <c r="DW403" s="29" t="s">
        <v>758</v>
      </c>
      <c r="DX403" s="14">
        <f t="shared" si="276"/>
        <v>450</v>
      </c>
    </row>
    <row r="404" spans="91:128" ht="16.5" x14ac:dyDescent="0.2">
      <c r="CM404" s="13">
        <v>400</v>
      </c>
      <c r="CN404" s="14">
        <f t="shared" si="250"/>
        <v>55</v>
      </c>
      <c r="CO404" s="14">
        <f t="shared" si="251"/>
        <v>1</v>
      </c>
      <c r="CP404" s="14">
        <f t="shared" si="252"/>
        <v>6</v>
      </c>
      <c r="CQ404" s="14">
        <f t="shared" si="243"/>
        <v>5</v>
      </c>
      <c r="CR404" s="14">
        <f t="shared" si="244"/>
        <v>2054016</v>
      </c>
      <c r="CS404" s="13" t="str">
        <f t="shared" si="245"/>
        <v>150级寄灵人橙色-护手</v>
      </c>
      <c r="CT404" s="14">
        <f t="shared" si="246"/>
        <v>1</v>
      </c>
      <c r="CU404" s="14">
        <f t="shared" si="247"/>
        <v>4</v>
      </c>
      <c r="CV404" s="14">
        <f t="shared" si="253"/>
        <v>150</v>
      </c>
      <c r="CW404" s="14">
        <f t="shared" si="254"/>
        <v>150</v>
      </c>
      <c r="CX404" s="14">
        <f t="shared" si="255"/>
        <v>6</v>
      </c>
      <c r="CY404" s="14" t="str">
        <f t="shared" si="256"/>
        <v/>
      </c>
      <c r="CZ404" s="14">
        <f t="shared" si="257"/>
        <v>60</v>
      </c>
      <c r="DA404" s="14">
        <f t="shared" si="258"/>
        <v>0</v>
      </c>
      <c r="DB404" s="14">
        <f t="shared" si="259"/>
        <v>0</v>
      </c>
      <c r="DC404" s="14">
        <f t="shared" si="260"/>
        <v>1800</v>
      </c>
      <c r="DD404" s="14">
        <f t="shared" si="261"/>
        <v>0</v>
      </c>
      <c r="DE404" s="14">
        <f t="shared" si="262"/>
        <v>0</v>
      </c>
      <c r="DF404" s="14">
        <f t="shared" si="263"/>
        <v>60</v>
      </c>
      <c r="DG404" s="14">
        <f t="shared" si="264"/>
        <v>20</v>
      </c>
      <c r="DH404" s="14">
        <f t="shared" si="265"/>
        <v>5</v>
      </c>
      <c r="DI404" s="14">
        <f t="shared" si="266"/>
        <v>15</v>
      </c>
      <c r="DL404" s="14">
        <f t="shared" si="248"/>
        <v>3</v>
      </c>
      <c r="DM404" s="14">
        <f t="shared" si="249"/>
        <v>0</v>
      </c>
      <c r="DN404" s="14" t="str">
        <f t="shared" si="267"/>
        <v>HPExt</v>
      </c>
      <c r="DO404" s="14">
        <f t="shared" si="268"/>
        <v>1800</v>
      </c>
      <c r="DP404" s="14">
        <f t="shared" si="269"/>
        <v>60</v>
      </c>
      <c r="DQ404" s="14" t="str">
        <f t="shared" si="270"/>
        <v/>
      </c>
      <c r="DR404" s="14" t="str">
        <f t="shared" si="271"/>
        <v/>
      </c>
      <c r="DS404" s="14" t="str">
        <f t="shared" si="272"/>
        <v/>
      </c>
      <c r="DT404" s="14">
        <f t="shared" si="273"/>
        <v>20</v>
      </c>
      <c r="DU404" s="14">
        <f t="shared" si="274"/>
        <v>5</v>
      </c>
      <c r="DV404" s="14">
        <f t="shared" si="275"/>
        <v>15</v>
      </c>
      <c r="DW404" s="29" t="s">
        <v>758</v>
      </c>
      <c r="DX404" s="14">
        <f t="shared" si="276"/>
        <v>450</v>
      </c>
    </row>
    <row r="405" spans="91:128" ht="16.5" x14ac:dyDescent="0.2">
      <c r="CM405" s="13">
        <v>401</v>
      </c>
      <c r="CN405" s="14">
        <f t="shared" si="250"/>
        <v>55</v>
      </c>
      <c r="CO405" s="14">
        <f t="shared" si="251"/>
        <v>1</v>
      </c>
      <c r="CP405" s="14">
        <f t="shared" si="252"/>
        <v>7</v>
      </c>
      <c r="CQ405" s="14">
        <f t="shared" si="243"/>
        <v>5</v>
      </c>
      <c r="CR405" s="14">
        <f t="shared" si="244"/>
        <v>2054017</v>
      </c>
      <c r="CS405" s="13" t="str">
        <f t="shared" si="245"/>
        <v>150级寄灵人橙色-项链</v>
      </c>
      <c r="CT405" s="14">
        <f t="shared" si="246"/>
        <v>1</v>
      </c>
      <c r="CU405" s="14">
        <f t="shared" si="247"/>
        <v>4</v>
      </c>
      <c r="CV405" s="14">
        <f t="shared" si="253"/>
        <v>150</v>
      </c>
      <c r="CW405" s="14">
        <f t="shared" si="254"/>
        <v>150</v>
      </c>
      <c r="CX405" s="14">
        <f t="shared" si="255"/>
        <v>7</v>
      </c>
      <c r="CY405" s="14" t="str">
        <f t="shared" si="256"/>
        <v/>
      </c>
      <c r="CZ405" s="14">
        <f t="shared" si="257"/>
        <v>145</v>
      </c>
      <c r="DA405" s="14">
        <f t="shared" si="258"/>
        <v>400</v>
      </c>
      <c r="DB405" s="14">
        <f t="shared" si="259"/>
        <v>250</v>
      </c>
      <c r="DC405" s="14">
        <f t="shared" si="260"/>
        <v>0</v>
      </c>
      <c r="DD405" s="14">
        <f t="shared" si="261"/>
        <v>13</v>
      </c>
      <c r="DE405" s="14">
        <f t="shared" si="262"/>
        <v>8</v>
      </c>
      <c r="DF405" s="14">
        <f t="shared" si="263"/>
        <v>0</v>
      </c>
      <c r="DG405" s="14">
        <f t="shared" si="264"/>
        <v>20</v>
      </c>
      <c r="DH405" s="14">
        <f t="shared" si="265"/>
        <v>5</v>
      </c>
      <c r="DI405" s="14">
        <f t="shared" si="266"/>
        <v>15</v>
      </c>
      <c r="DL405" s="14">
        <f t="shared" si="248"/>
        <v>1</v>
      </c>
      <c r="DM405" s="14">
        <f t="shared" si="249"/>
        <v>2</v>
      </c>
      <c r="DN405" s="14" t="str">
        <f t="shared" si="267"/>
        <v>AtkExt</v>
      </c>
      <c r="DO405" s="14">
        <f t="shared" si="268"/>
        <v>400</v>
      </c>
      <c r="DP405" s="14">
        <f t="shared" si="269"/>
        <v>13</v>
      </c>
      <c r="DQ405" s="14" t="str">
        <f t="shared" si="270"/>
        <v>DefExt</v>
      </c>
      <c r="DR405" s="14">
        <f t="shared" si="271"/>
        <v>250</v>
      </c>
      <c r="DS405" s="14">
        <f t="shared" si="272"/>
        <v>8</v>
      </c>
      <c r="DT405" s="14">
        <f t="shared" si="273"/>
        <v>20</v>
      </c>
      <c r="DU405" s="14">
        <f t="shared" si="274"/>
        <v>5</v>
      </c>
      <c r="DV405" s="14">
        <f t="shared" si="275"/>
        <v>15</v>
      </c>
      <c r="DW405" s="29" t="s">
        <v>758</v>
      </c>
      <c r="DX405" s="14">
        <f t="shared" si="276"/>
        <v>450</v>
      </c>
    </row>
    <row r="406" spans="91:128" ht="16.5" x14ac:dyDescent="0.2">
      <c r="CM406" s="13">
        <v>402</v>
      </c>
      <c r="CN406" s="14">
        <f t="shared" si="250"/>
        <v>55</v>
      </c>
      <c r="CO406" s="14">
        <f t="shared" si="251"/>
        <v>1</v>
      </c>
      <c r="CP406" s="14">
        <f t="shared" si="252"/>
        <v>8</v>
      </c>
      <c r="CQ406" s="14">
        <f t="shared" si="243"/>
        <v>5</v>
      </c>
      <c r="CR406" s="14">
        <f t="shared" si="244"/>
        <v>2054018</v>
      </c>
      <c r="CS406" s="13" t="str">
        <f t="shared" si="245"/>
        <v>150级寄灵人橙色-戒指</v>
      </c>
      <c r="CT406" s="14">
        <f t="shared" si="246"/>
        <v>1</v>
      </c>
      <c r="CU406" s="14">
        <f t="shared" si="247"/>
        <v>4</v>
      </c>
      <c r="CV406" s="14">
        <f t="shared" si="253"/>
        <v>150</v>
      </c>
      <c r="CW406" s="14">
        <f t="shared" si="254"/>
        <v>150</v>
      </c>
      <c r="CX406" s="14">
        <f t="shared" si="255"/>
        <v>8</v>
      </c>
      <c r="CY406" s="14" t="str">
        <f t="shared" si="256"/>
        <v/>
      </c>
      <c r="CZ406" s="14">
        <f t="shared" si="257"/>
        <v>115</v>
      </c>
      <c r="DA406" s="14">
        <f t="shared" si="258"/>
        <v>400</v>
      </c>
      <c r="DB406" s="14">
        <f t="shared" si="259"/>
        <v>0</v>
      </c>
      <c r="DC406" s="14">
        <f t="shared" si="260"/>
        <v>1500</v>
      </c>
      <c r="DD406" s="14">
        <f t="shared" si="261"/>
        <v>13</v>
      </c>
      <c r="DE406" s="14">
        <f t="shared" si="262"/>
        <v>0</v>
      </c>
      <c r="DF406" s="14">
        <f t="shared" si="263"/>
        <v>50</v>
      </c>
      <c r="DG406" s="14">
        <f t="shared" si="264"/>
        <v>20</v>
      </c>
      <c r="DH406" s="14">
        <f t="shared" si="265"/>
        <v>5</v>
      </c>
      <c r="DI406" s="14">
        <f t="shared" si="266"/>
        <v>15</v>
      </c>
      <c r="DL406" s="14">
        <f t="shared" si="248"/>
        <v>1</v>
      </c>
      <c r="DM406" s="14">
        <f t="shared" si="249"/>
        <v>3</v>
      </c>
      <c r="DN406" s="14" t="str">
        <f t="shared" si="267"/>
        <v>AtkExt</v>
      </c>
      <c r="DO406" s="14">
        <f t="shared" si="268"/>
        <v>400</v>
      </c>
      <c r="DP406" s="14">
        <f t="shared" si="269"/>
        <v>13</v>
      </c>
      <c r="DQ406" s="14" t="str">
        <f t="shared" si="270"/>
        <v>HPExt</v>
      </c>
      <c r="DR406" s="14">
        <f t="shared" si="271"/>
        <v>1500</v>
      </c>
      <c r="DS406" s="14">
        <f t="shared" si="272"/>
        <v>50</v>
      </c>
      <c r="DT406" s="14">
        <f t="shared" si="273"/>
        <v>20</v>
      </c>
      <c r="DU406" s="14">
        <f t="shared" si="274"/>
        <v>5</v>
      </c>
      <c r="DV406" s="14">
        <f t="shared" si="275"/>
        <v>15</v>
      </c>
      <c r="DW406" s="29" t="s">
        <v>758</v>
      </c>
      <c r="DX406" s="14">
        <f t="shared" si="276"/>
        <v>450</v>
      </c>
    </row>
    <row r="407" spans="91:128" ht="16.5" x14ac:dyDescent="0.2">
      <c r="CM407" s="13">
        <v>403</v>
      </c>
      <c r="CN407" s="14">
        <f t="shared" si="250"/>
        <v>56</v>
      </c>
      <c r="CO407" s="14">
        <f t="shared" si="251"/>
        <v>2</v>
      </c>
      <c r="CP407" s="14">
        <f t="shared" si="252"/>
        <v>1</v>
      </c>
      <c r="CQ407" s="14">
        <f t="shared" si="243"/>
        <v>5</v>
      </c>
      <c r="CR407" s="14">
        <f t="shared" si="244"/>
        <v>2054021</v>
      </c>
      <c r="CS407" s="13" t="str">
        <f t="shared" si="245"/>
        <v>150级守护灵橙色-武器</v>
      </c>
      <c r="CT407" s="14">
        <f t="shared" si="246"/>
        <v>2</v>
      </c>
      <c r="CU407" s="14">
        <f t="shared" si="247"/>
        <v>4</v>
      </c>
      <c r="CV407" s="14">
        <f t="shared" si="253"/>
        <v>150</v>
      </c>
      <c r="CW407" s="14">
        <f t="shared" si="254"/>
        <v>150</v>
      </c>
      <c r="CX407" s="14">
        <f t="shared" si="255"/>
        <v>1</v>
      </c>
      <c r="CY407" s="14" t="str">
        <f t="shared" si="256"/>
        <v/>
      </c>
      <c r="CZ407" s="14">
        <f t="shared" si="257"/>
        <v>195</v>
      </c>
      <c r="DA407" s="14">
        <f t="shared" si="258"/>
        <v>1500</v>
      </c>
      <c r="DB407" s="14">
        <f t="shared" si="259"/>
        <v>0</v>
      </c>
      <c r="DC407" s="14">
        <f t="shared" si="260"/>
        <v>0</v>
      </c>
      <c r="DD407" s="14">
        <f t="shared" si="261"/>
        <v>39</v>
      </c>
      <c r="DE407" s="14">
        <f t="shared" si="262"/>
        <v>0</v>
      </c>
      <c r="DF407" s="14">
        <f t="shared" si="263"/>
        <v>0</v>
      </c>
      <c r="DG407" s="14">
        <f t="shared" si="264"/>
        <v>20</v>
      </c>
      <c r="DH407" s="14">
        <f t="shared" si="265"/>
        <v>5</v>
      </c>
      <c r="DI407" s="14">
        <f t="shared" si="266"/>
        <v>25</v>
      </c>
      <c r="DL407" s="14">
        <f t="shared" si="248"/>
        <v>1</v>
      </c>
      <c r="DM407" s="14">
        <f t="shared" si="249"/>
        <v>0</v>
      </c>
      <c r="DN407" s="14" t="str">
        <f t="shared" si="267"/>
        <v>AtkExt</v>
      </c>
      <c r="DO407" s="14">
        <f t="shared" si="268"/>
        <v>1500</v>
      </c>
      <c r="DP407" s="14">
        <f t="shared" si="269"/>
        <v>39</v>
      </c>
      <c r="DQ407" s="14" t="str">
        <f t="shared" si="270"/>
        <v/>
      </c>
      <c r="DR407" s="14" t="str">
        <f t="shared" si="271"/>
        <v/>
      </c>
      <c r="DS407" s="14" t="str">
        <f t="shared" si="272"/>
        <v/>
      </c>
      <c r="DT407" s="14">
        <f t="shared" si="273"/>
        <v>20</v>
      </c>
      <c r="DU407" s="14">
        <f t="shared" si="274"/>
        <v>5</v>
      </c>
      <c r="DV407" s="14">
        <f t="shared" si="275"/>
        <v>25</v>
      </c>
      <c r="DW407" s="29" t="s">
        <v>758</v>
      </c>
      <c r="DX407" s="14">
        <f t="shared" si="276"/>
        <v>450</v>
      </c>
    </row>
    <row r="408" spans="91:128" ht="16.5" x14ac:dyDescent="0.2">
      <c r="CM408" s="13">
        <v>404</v>
      </c>
      <c r="CN408" s="14">
        <f t="shared" si="250"/>
        <v>56</v>
      </c>
      <c r="CO408" s="14">
        <f t="shared" si="251"/>
        <v>2</v>
      </c>
      <c r="CP408" s="14">
        <f t="shared" si="252"/>
        <v>2</v>
      </c>
      <c r="CQ408" s="14">
        <f t="shared" si="243"/>
        <v>5</v>
      </c>
      <c r="CR408" s="14">
        <f t="shared" si="244"/>
        <v>2054022</v>
      </c>
      <c r="CS408" s="13" t="str">
        <f t="shared" si="245"/>
        <v>150级守护灵橙色-头盔</v>
      </c>
      <c r="CT408" s="14">
        <f t="shared" si="246"/>
        <v>2</v>
      </c>
      <c r="CU408" s="14">
        <f t="shared" si="247"/>
        <v>4</v>
      </c>
      <c r="CV408" s="14">
        <f t="shared" si="253"/>
        <v>150</v>
      </c>
      <c r="CW408" s="14">
        <f t="shared" si="254"/>
        <v>150</v>
      </c>
      <c r="CX408" s="14">
        <f t="shared" si="255"/>
        <v>2</v>
      </c>
      <c r="CY408" s="14" t="str">
        <f t="shared" si="256"/>
        <v/>
      </c>
      <c r="CZ408" s="14">
        <f t="shared" si="257"/>
        <v>96</v>
      </c>
      <c r="DA408" s="14">
        <f t="shared" si="258"/>
        <v>0</v>
      </c>
      <c r="DB408" s="14">
        <f t="shared" si="259"/>
        <v>338</v>
      </c>
      <c r="DC408" s="14">
        <f t="shared" si="260"/>
        <v>0</v>
      </c>
      <c r="DD408" s="14">
        <f t="shared" si="261"/>
        <v>0</v>
      </c>
      <c r="DE408" s="14">
        <f t="shared" si="262"/>
        <v>9.6</v>
      </c>
      <c r="DF408" s="14">
        <f t="shared" si="263"/>
        <v>0</v>
      </c>
      <c r="DG408" s="14">
        <f t="shared" si="264"/>
        <v>20</v>
      </c>
      <c r="DH408" s="14">
        <f t="shared" si="265"/>
        <v>5</v>
      </c>
      <c r="DI408" s="14">
        <f t="shared" si="266"/>
        <v>25</v>
      </c>
      <c r="DL408" s="14">
        <f t="shared" si="248"/>
        <v>2</v>
      </c>
      <c r="DM408" s="14">
        <f t="shared" si="249"/>
        <v>0</v>
      </c>
      <c r="DN408" s="14" t="str">
        <f t="shared" si="267"/>
        <v>DefExt</v>
      </c>
      <c r="DO408" s="14">
        <f t="shared" si="268"/>
        <v>338</v>
      </c>
      <c r="DP408" s="14">
        <f t="shared" si="269"/>
        <v>9.6</v>
      </c>
      <c r="DQ408" s="14" t="str">
        <f t="shared" si="270"/>
        <v/>
      </c>
      <c r="DR408" s="14" t="str">
        <f t="shared" si="271"/>
        <v/>
      </c>
      <c r="DS408" s="14" t="str">
        <f t="shared" si="272"/>
        <v/>
      </c>
      <c r="DT408" s="14">
        <f t="shared" si="273"/>
        <v>20</v>
      </c>
      <c r="DU408" s="14">
        <f t="shared" si="274"/>
        <v>5</v>
      </c>
      <c r="DV408" s="14">
        <f t="shared" si="275"/>
        <v>25</v>
      </c>
      <c r="DW408" s="29" t="s">
        <v>758</v>
      </c>
      <c r="DX408" s="14">
        <f t="shared" si="276"/>
        <v>450</v>
      </c>
    </row>
    <row r="409" spans="91:128" ht="16.5" x14ac:dyDescent="0.2">
      <c r="CM409" s="13">
        <v>405</v>
      </c>
      <c r="CN409" s="14">
        <f t="shared" si="250"/>
        <v>56</v>
      </c>
      <c r="CO409" s="14">
        <f t="shared" si="251"/>
        <v>2</v>
      </c>
      <c r="CP409" s="14">
        <f t="shared" si="252"/>
        <v>3</v>
      </c>
      <c r="CQ409" s="14">
        <f t="shared" si="243"/>
        <v>5</v>
      </c>
      <c r="CR409" s="14">
        <f t="shared" si="244"/>
        <v>2054023</v>
      </c>
      <c r="CS409" s="13" t="str">
        <f t="shared" si="245"/>
        <v>150级守护灵橙色-肩甲</v>
      </c>
      <c r="CT409" s="14">
        <f t="shared" si="246"/>
        <v>2</v>
      </c>
      <c r="CU409" s="14">
        <f t="shared" si="247"/>
        <v>4</v>
      </c>
      <c r="CV409" s="14">
        <f t="shared" si="253"/>
        <v>150</v>
      </c>
      <c r="CW409" s="14">
        <f t="shared" si="254"/>
        <v>150</v>
      </c>
      <c r="CX409" s="14">
        <f t="shared" si="255"/>
        <v>3</v>
      </c>
      <c r="CY409" s="14" t="str">
        <f t="shared" si="256"/>
        <v/>
      </c>
      <c r="CZ409" s="14">
        <f t="shared" si="257"/>
        <v>100</v>
      </c>
      <c r="DA409" s="14">
        <f t="shared" si="258"/>
        <v>0</v>
      </c>
      <c r="DB409" s="14">
        <f t="shared" si="259"/>
        <v>169</v>
      </c>
      <c r="DC409" s="14">
        <f t="shared" si="260"/>
        <v>1800</v>
      </c>
      <c r="DD409" s="14">
        <f t="shared" si="261"/>
        <v>0</v>
      </c>
      <c r="DE409" s="14">
        <f t="shared" si="262"/>
        <v>4.8</v>
      </c>
      <c r="DF409" s="14">
        <f t="shared" si="263"/>
        <v>52.5</v>
      </c>
      <c r="DG409" s="14">
        <f t="shared" si="264"/>
        <v>20</v>
      </c>
      <c r="DH409" s="14">
        <f t="shared" si="265"/>
        <v>5</v>
      </c>
      <c r="DI409" s="14">
        <f t="shared" si="266"/>
        <v>25</v>
      </c>
      <c r="DL409" s="14">
        <f t="shared" si="248"/>
        <v>2</v>
      </c>
      <c r="DM409" s="14">
        <f t="shared" si="249"/>
        <v>3</v>
      </c>
      <c r="DN409" s="14" t="str">
        <f t="shared" si="267"/>
        <v>DefExt</v>
      </c>
      <c r="DO409" s="14">
        <f t="shared" si="268"/>
        <v>169</v>
      </c>
      <c r="DP409" s="14">
        <f t="shared" si="269"/>
        <v>4.8</v>
      </c>
      <c r="DQ409" s="14" t="str">
        <f t="shared" si="270"/>
        <v>HPExt</v>
      </c>
      <c r="DR409" s="14">
        <f t="shared" si="271"/>
        <v>1800</v>
      </c>
      <c r="DS409" s="14">
        <f t="shared" si="272"/>
        <v>52.5</v>
      </c>
      <c r="DT409" s="14">
        <f t="shared" si="273"/>
        <v>20</v>
      </c>
      <c r="DU409" s="14">
        <f t="shared" si="274"/>
        <v>5</v>
      </c>
      <c r="DV409" s="14">
        <f t="shared" si="275"/>
        <v>25</v>
      </c>
      <c r="DW409" s="29" t="s">
        <v>758</v>
      </c>
      <c r="DX409" s="14">
        <f t="shared" si="276"/>
        <v>450</v>
      </c>
    </row>
    <row r="410" spans="91:128" ht="16.5" x14ac:dyDescent="0.2">
      <c r="CM410" s="13">
        <v>406</v>
      </c>
      <c r="CN410" s="14">
        <f t="shared" si="250"/>
        <v>56</v>
      </c>
      <c r="CO410" s="14">
        <f t="shared" si="251"/>
        <v>2</v>
      </c>
      <c r="CP410" s="14">
        <f t="shared" si="252"/>
        <v>4</v>
      </c>
      <c r="CQ410" s="14">
        <f t="shared" si="243"/>
        <v>5</v>
      </c>
      <c r="CR410" s="14">
        <f t="shared" si="244"/>
        <v>2054024</v>
      </c>
      <c r="CS410" s="13" t="str">
        <f t="shared" si="245"/>
        <v>150级守护灵橙色-衣服</v>
      </c>
      <c r="CT410" s="14">
        <f t="shared" si="246"/>
        <v>2</v>
      </c>
      <c r="CU410" s="14">
        <f t="shared" si="247"/>
        <v>4</v>
      </c>
      <c r="CV410" s="14">
        <f t="shared" si="253"/>
        <v>150</v>
      </c>
      <c r="CW410" s="14">
        <f t="shared" si="254"/>
        <v>150</v>
      </c>
      <c r="CX410" s="14">
        <f t="shared" si="255"/>
        <v>4</v>
      </c>
      <c r="CY410" s="14" t="str">
        <f t="shared" si="256"/>
        <v/>
      </c>
      <c r="CZ410" s="14">
        <f t="shared" si="257"/>
        <v>96</v>
      </c>
      <c r="DA410" s="14">
        <f t="shared" si="258"/>
        <v>0</v>
      </c>
      <c r="DB410" s="14">
        <f t="shared" si="259"/>
        <v>338</v>
      </c>
      <c r="DC410" s="14">
        <f t="shared" si="260"/>
        <v>0</v>
      </c>
      <c r="DD410" s="14">
        <f t="shared" si="261"/>
        <v>0</v>
      </c>
      <c r="DE410" s="14">
        <f t="shared" si="262"/>
        <v>9.6</v>
      </c>
      <c r="DF410" s="14">
        <f t="shared" si="263"/>
        <v>0</v>
      </c>
      <c r="DG410" s="14">
        <f t="shared" si="264"/>
        <v>20</v>
      </c>
      <c r="DH410" s="14">
        <f t="shared" si="265"/>
        <v>5</v>
      </c>
      <c r="DI410" s="14">
        <f t="shared" si="266"/>
        <v>25</v>
      </c>
      <c r="DL410" s="14">
        <f t="shared" si="248"/>
        <v>2</v>
      </c>
      <c r="DM410" s="14">
        <f t="shared" si="249"/>
        <v>0</v>
      </c>
      <c r="DN410" s="14" t="str">
        <f t="shared" si="267"/>
        <v>DefExt</v>
      </c>
      <c r="DO410" s="14">
        <f t="shared" si="268"/>
        <v>338</v>
      </c>
      <c r="DP410" s="14">
        <f t="shared" si="269"/>
        <v>9.6</v>
      </c>
      <c r="DQ410" s="14" t="str">
        <f t="shared" si="270"/>
        <v/>
      </c>
      <c r="DR410" s="14" t="str">
        <f t="shared" si="271"/>
        <v/>
      </c>
      <c r="DS410" s="14" t="str">
        <f t="shared" si="272"/>
        <v/>
      </c>
      <c r="DT410" s="14">
        <f t="shared" si="273"/>
        <v>20</v>
      </c>
      <c r="DU410" s="14">
        <f t="shared" si="274"/>
        <v>5</v>
      </c>
      <c r="DV410" s="14">
        <f t="shared" si="275"/>
        <v>25</v>
      </c>
      <c r="DW410" s="29" t="s">
        <v>758</v>
      </c>
      <c r="DX410" s="14">
        <f t="shared" si="276"/>
        <v>450</v>
      </c>
    </row>
    <row r="411" spans="91:128" ht="16.5" x14ac:dyDescent="0.2">
      <c r="CM411" s="13">
        <v>407</v>
      </c>
      <c r="CN411" s="14">
        <f t="shared" si="250"/>
        <v>56</v>
      </c>
      <c r="CO411" s="14">
        <f t="shared" si="251"/>
        <v>2</v>
      </c>
      <c r="CP411" s="14">
        <f t="shared" si="252"/>
        <v>5</v>
      </c>
      <c r="CQ411" s="14">
        <f t="shared" si="243"/>
        <v>5</v>
      </c>
      <c r="CR411" s="14">
        <f t="shared" si="244"/>
        <v>2054025</v>
      </c>
      <c r="CS411" s="13" t="str">
        <f t="shared" si="245"/>
        <v>150级守护灵橙色-鞋子</v>
      </c>
      <c r="CT411" s="14">
        <f t="shared" si="246"/>
        <v>2</v>
      </c>
      <c r="CU411" s="14">
        <f t="shared" si="247"/>
        <v>4</v>
      </c>
      <c r="CV411" s="14">
        <f t="shared" si="253"/>
        <v>150</v>
      </c>
      <c r="CW411" s="14">
        <f t="shared" si="254"/>
        <v>150</v>
      </c>
      <c r="CX411" s="14">
        <f t="shared" si="255"/>
        <v>5</v>
      </c>
      <c r="CY411" s="14" t="str">
        <f t="shared" si="256"/>
        <v/>
      </c>
      <c r="CZ411" s="14">
        <f t="shared" si="257"/>
        <v>105</v>
      </c>
      <c r="DA411" s="14">
        <f t="shared" si="258"/>
        <v>0</v>
      </c>
      <c r="DB411" s="14">
        <f t="shared" si="259"/>
        <v>0</v>
      </c>
      <c r="DC411" s="14">
        <f t="shared" si="260"/>
        <v>3600</v>
      </c>
      <c r="DD411" s="14">
        <f t="shared" si="261"/>
        <v>0</v>
      </c>
      <c r="DE411" s="14">
        <f t="shared" si="262"/>
        <v>0</v>
      </c>
      <c r="DF411" s="14">
        <f t="shared" si="263"/>
        <v>105</v>
      </c>
      <c r="DG411" s="14">
        <f t="shared" si="264"/>
        <v>20</v>
      </c>
      <c r="DH411" s="14">
        <f t="shared" si="265"/>
        <v>5</v>
      </c>
      <c r="DI411" s="14">
        <f t="shared" si="266"/>
        <v>25</v>
      </c>
      <c r="DL411" s="14">
        <f t="shared" si="248"/>
        <v>3</v>
      </c>
      <c r="DM411" s="14">
        <f t="shared" si="249"/>
        <v>0</v>
      </c>
      <c r="DN411" s="14" t="str">
        <f t="shared" si="267"/>
        <v>HPExt</v>
      </c>
      <c r="DO411" s="14">
        <f t="shared" si="268"/>
        <v>3600</v>
      </c>
      <c r="DP411" s="14">
        <f t="shared" si="269"/>
        <v>105</v>
      </c>
      <c r="DQ411" s="14" t="str">
        <f t="shared" si="270"/>
        <v/>
      </c>
      <c r="DR411" s="14" t="str">
        <f t="shared" si="271"/>
        <v/>
      </c>
      <c r="DS411" s="14" t="str">
        <f t="shared" si="272"/>
        <v/>
      </c>
      <c r="DT411" s="14">
        <f t="shared" si="273"/>
        <v>20</v>
      </c>
      <c r="DU411" s="14">
        <f t="shared" si="274"/>
        <v>5</v>
      </c>
      <c r="DV411" s="14">
        <f t="shared" si="275"/>
        <v>25</v>
      </c>
      <c r="DW411" s="29" t="s">
        <v>758</v>
      </c>
      <c r="DX411" s="14">
        <f t="shared" si="276"/>
        <v>450</v>
      </c>
    </row>
    <row r="412" spans="91:128" ht="16.5" x14ac:dyDescent="0.2">
      <c r="CM412" s="13">
        <v>408</v>
      </c>
      <c r="CN412" s="14">
        <f t="shared" si="250"/>
        <v>56</v>
      </c>
      <c r="CO412" s="14">
        <f t="shared" si="251"/>
        <v>2</v>
      </c>
      <c r="CP412" s="14">
        <f t="shared" si="252"/>
        <v>6</v>
      </c>
      <c r="CQ412" s="14">
        <f t="shared" si="243"/>
        <v>5</v>
      </c>
      <c r="CR412" s="14">
        <f t="shared" si="244"/>
        <v>2054026</v>
      </c>
      <c r="CS412" s="13" t="str">
        <f t="shared" si="245"/>
        <v>150级守护灵橙色-护手</v>
      </c>
      <c r="CT412" s="14">
        <f t="shared" si="246"/>
        <v>2</v>
      </c>
      <c r="CU412" s="14">
        <f t="shared" si="247"/>
        <v>4</v>
      </c>
      <c r="CV412" s="14">
        <f t="shared" si="253"/>
        <v>150</v>
      </c>
      <c r="CW412" s="14">
        <f t="shared" si="254"/>
        <v>150</v>
      </c>
      <c r="CX412" s="14">
        <f t="shared" si="255"/>
        <v>6</v>
      </c>
      <c r="CY412" s="14" t="str">
        <f t="shared" si="256"/>
        <v/>
      </c>
      <c r="CZ412" s="14">
        <f t="shared" si="257"/>
        <v>105</v>
      </c>
      <c r="DA412" s="14">
        <f t="shared" si="258"/>
        <v>0</v>
      </c>
      <c r="DB412" s="14">
        <f t="shared" si="259"/>
        <v>0</v>
      </c>
      <c r="DC412" s="14">
        <f t="shared" si="260"/>
        <v>3600</v>
      </c>
      <c r="DD412" s="14">
        <f t="shared" si="261"/>
        <v>0</v>
      </c>
      <c r="DE412" s="14">
        <f t="shared" si="262"/>
        <v>0</v>
      </c>
      <c r="DF412" s="14">
        <f t="shared" si="263"/>
        <v>105</v>
      </c>
      <c r="DG412" s="14">
        <f t="shared" si="264"/>
        <v>20</v>
      </c>
      <c r="DH412" s="14">
        <f t="shared" si="265"/>
        <v>5</v>
      </c>
      <c r="DI412" s="14">
        <f t="shared" si="266"/>
        <v>25</v>
      </c>
      <c r="DL412" s="14">
        <f t="shared" si="248"/>
        <v>3</v>
      </c>
      <c r="DM412" s="14">
        <f t="shared" si="249"/>
        <v>0</v>
      </c>
      <c r="DN412" s="14" t="str">
        <f t="shared" si="267"/>
        <v>HPExt</v>
      </c>
      <c r="DO412" s="14">
        <f t="shared" si="268"/>
        <v>3600</v>
      </c>
      <c r="DP412" s="14">
        <f t="shared" si="269"/>
        <v>105</v>
      </c>
      <c r="DQ412" s="14" t="str">
        <f t="shared" si="270"/>
        <v/>
      </c>
      <c r="DR412" s="14" t="str">
        <f t="shared" si="271"/>
        <v/>
      </c>
      <c r="DS412" s="14" t="str">
        <f t="shared" si="272"/>
        <v/>
      </c>
      <c r="DT412" s="14">
        <f t="shared" si="273"/>
        <v>20</v>
      </c>
      <c r="DU412" s="14">
        <f t="shared" si="274"/>
        <v>5</v>
      </c>
      <c r="DV412" s="14">
        <f t="shared" si="275"/>
        <v>25</v>
      </c>
      <c r="DW412" s="29" t="s">
        <v>758</v>
      </c>
      <c r="DX412" s="14">
        <f t="shared" si="276"/>
        <v>450</v>
      </c>
    </row>
    <row r="413" spans="91:128" ht="16.5" x14ac:dyDescent="0.2">
      <c r="CM413" s="13">
        <v>409</v>
      </c>
      <c r="CN413" s="14">
        <f t="shared" si="250"/>
        <v>56</v>
      </c>
      <c r="CO413" s="14">
        <f t="shared" si="251"/>
        <v>2</v>
      </c>
      <c r="CP413" s="14">
        <f t="shared" si="252"/>
        <v>7</v>
      </c>
      <c r="CQ413" s="14">
        <f t="shared" si="243"/>
        <v>5</v>
      </c>
      <c r="CR413" s="14">
        <f t="shared" si="244"/>
        <v>2054027</v>
      </c>
      <c r="CS413" s="13" t="str">
        <f t="shared" si="245"/>
        <v>150级守护灵橙色-项链</v>
      </c>
      <c r="CT413" s="14">
        <f t="shared" si="246"/>
        <v>2</v>
      </c>
      <c r="CU413" s="14">
        <f t="shared" si="247"/>
        <v>4</v>
      </c>
      <c r="CV413" s="14">
        <f t="shared" si="253"/>
        <v>150</v>
      </c>
      <c r="CW413" s="14">
        <f t="shared" si="254"/>
        <v>150</v>
      </c>
      <c r="CX413" s="14">
        <f t="shared" si="255"/>
        <v>7</v>
      </c>
      <c r="CY413" s="14" t="str">
        <f t="shared" si="256"/>
        <v/>
      </c>
      <c r="CZ413" s="14">
        <f t="shared" si="257"/>
        <v>145</v>
      </c>
      <c r="DA413" s="14">
        <f t="shared" si="258"/>
        <v>500</v>
      </c>
      <c r="DB413" s="14">
        <f t="shared" si="259"/>
        <v>281</v>
      </c>
      <c r="DC413" s="14">
        <f t="shared" si="260"/>
        <v>0</v>
      </c>
      <c r="DD413" s="14">
        <f t="shared" si="261"/>
        <v>13</v>
      </c>
      <c r="DE413" s="14">
        <f t="shared" si="262"/>
        <v>8</v>
      </c>
      <c r="DF413" s="14">
        <f t="shared" si="263"/>
        <v>0</v>
      </c>
      <c r="DG413" s="14">
        <f t="shared" si="264"/>
        <v>20</v>
      </c>
      <c r="DH413" s="14">
        <f t="shared" si="265"/>
        <v>5</v>
      </c>
      <c r="DI413" s="14">
        <f t="shared" si="266"/>
        <v>25</v>
      </c>
      <c r="DL413" s="14">
        <f t="shared" si="248"/>
        <v>1</v>
      </c>
      <c r="DM413" s="14">
        <f t="shared" si="249"/>
        <v>2</v>
      </c>
      <c r="DN413" s="14" t="str">
        <f t="shared" si="267"/>
        <v>AtkExt</v>
      </c>
      <c r="DO413" s="14">
        <f t="shared" si="268"/>
        <v>500</v>
      </c>
      <c r="DP413" s="14">
        <f t="shared" si="269"/>
        <v>13</v>
      </c>
      <c r="DQ413" s="14" t="str">
        <f t="shared" si="270"/>
        <v>DefExt</v>
      </c>
      <c r="DR413" s="14">
        <f t="shared" si="271"/>
        <v>281</v>
      </c>
      <c r="DS413" s="14">
        <f t="shared" si="272"/>
        <v>8</v>
      </c>
      <c r="DT413" s="14">
        <f t="shared" si="273"/>
        <v>20</v>
      </c>
      <c r="DU413" s="14">
        <f t="shared" si="274"/>
        <v>5</v>
      </c>
      <c r="DV413" s="14">
        <f t="shared" si="275"/>
        <v>25</v>
      </c>
      <c r="DW413" s="29" t="s">
        <v>758</v>
      </c>
      <c r="DX413" s="14">
        <f t="shared" si="276"/>
        <v>450</v>
      </c>
    </row>
    <row r="414" spans="91:128" ht="16.5" x14ac:dyDescent="0.2">
      <c r="CM414" s="13">
        <v>410</v>
      </c>
      <c r="CN414" s="14">
        <f t="shared" si="250"/>
        <v>56</v>
      </c>
      <c r="CO414" s="14">
        <f t="shared" si="251"/>
        <v>2</v>
      </c>
      <c r="CP414" s="14">
        <f t="shared" si="252"/>
        <v>8</v>
      </c>
      <c r="CQ414" s="14">
        <f t="shared" si="243"/>
        <v>5</v>
      </c>
      <c r="CR414" s="14">
        <f t="shared" si="244"/>
        <v>2054028</v>
      </c>
      <c r="CS414" s="13" t="str">
        <f t="shared" si="245"/>
        <v>150级守护灵橙色-戒指</v>
      </c>
      <c r="CT414" s="14">
        <f t="shared" si="246"/>
        <v>2</v>
      </c>
      <c r="CU414" s="14">
        <f t="shared" si="247"/>
        <v>4</v>
      </c>
      <c r="CV414" s="14">
        <f t="shared" si="253"/>
        <v>150</v>
      </c>
      <c r="CW414" s="14">
        <f t="shared" si="254"/>
        <v>150</v>
      </c>
      <c r="CX414" s="14">
        <f t="shared" si="255"/>
        <v>8</v>
      </c>
      <c r="CY414" s="14" t="str">
        <f t="shared" si="256"/>
        <v/>
      </c>
      <c r="CZ414" s="14">
        <f t="shared" si="257"/>
        <v>152</v>
      </c>
      <c r="DA414" s="14">
        <f t="shared" si="258"/>
        <v>500</v>
      </c>
      <c r="DB414" s="14">
        <f t="shared" si="259"/>
        <v>0</v>
      </c>
      <c r="DC414" s="14">
        <f t="shared" si="260"/>
        <v>3000</v>
      </c>
      <c r="DD414" s="14">
        <f t="shared" si="261"/>
        <v>13</v>
      </c>
      <c r="DE414" s="14">
        <f t="shared" si="262"/>
        <v>0</v>
      </c>
      <c r="DF414" s="14">
        <f t="shared" si="263"/>
        <v>87.5</v>
      </c>
      <c r="DG414" s="14">
        <f t="shared" si="264"/>
        <v>20</v>
      </c>
      <c r="DH414" s="14">
        <f t="shared" si="265"/>
        <v>5</v>
      </c>
      <c r="DI414" s="14">
        <f t="shared" si="266"/>
        <v>25</v>
      </c>
      <c r="DL414" s="14">
        <f t="shared" si="248"/>
        <v>1</v>
      </c>
      <c r="DM414" s="14">
        <f t="shared" si="249"/>
        <v>3</v>
      </c>
      <c r="DN414" s="14" t="str">
        <f t="shared" si="267"/>
        <v>AtkExt</v>
      </c>
      <c r="DO414" s="14">
        <f t="shared" si="268"/>
        <v>500</v>
      </c>
      <c r="DP414" s="14">
        <f t="shared" si="269"/>
        <v>13</v>
      </c>
      <c r="DQ414" s="14" t="str">
        <f t="shared" si="270"/>
        <v>HPExt</v>
      </c>
      <c r="DR414" s="14">
        <f t="shared" si="271"/>
        <v>3000</v>
      </c>
      <c r="DS414" s="14">
        <f t="shared" si="272"/>
        <v>87.5</v>
      </c>
      <c r="DT414" s="14">
        <f t="shared" si="273"/>
        <v>20</v>
      </c>
      <c r="DU414" s="14">
        <f t="shared" si="274"/>
        <v>5</v>
      </c>
      <c r="DV414" s="14">
        <f t="shared" si="275"/>
        <v>25</v>
      </c>
      <c r="DW414" s="29" t="s">
        <v>758</v>
      </c>
      <c r="DX414" s="14">
        <f t="shared" si="276"/>
        <v>450</v>
      </c>
    </row>
    <row r="415" spans="91:128" ht="16.5" x14ac:dyDescent="0.2">
      <c r="CM415" s="13">
        <v>411</v>
      </c>
      <c r="CN415" s="14">
        <f t="shared" si="250"/>
        <v>57</v>
      </c>
      <c r="CO415" s="14">
        <f t="shared" si="251"/>
        <v>3</v>
      </c>
      <c r="CP415" s="14">
        <f t="shared" si="252"/>
        <v>1</v>
      </c>
      <c r="CQ415" s="14">
        <f t="shared" si="243"/>
        <v>5</v>
      </c>
      <c r="CR415" s="14">
        <f t="shared" si="244"/>
        <v>2054031</v>
      </c>
      <c r="CS415" s="13" t="str">
        <f t="shared" si="245"/>
        <v>150级寄灵人橙色套1-武器</v>
      </c>
      <c r="CT415" s="14">
        <f t="shared" si="246"/>
        <v>1</v>
      </c>
      <c r="CU415" s="14">
        <f t="shared" si="247"/>
        <v>4</v>
      </c>
      <c r="CV415" s="14">
        <f t="shared" si="253"/>
        <v>150</v>
      </c>
      <c r="CW415" s="14">
        <f t="shared" si="254"/>
        <v>150</v>
      </c>
      <c r="CX415" s="14">
        <f t="shared" si="255"/>
        <v>1</v>
      </c>
      <c r="CY415" s="14">
        <f t="shared" si="256"/>
        <v>1051</v>
      </c>
      <c r="CZ415" s="14">
        <f t="shared" si="257"/>
        <v>195</v>
      </c>
      <c r="DA415" s="14">
        <f t="shared" si="258"/>
        <v>1200</v>
      </c>
      <c r="DB415" s="14">
        <f t="shared" si="259"/>
        <v>0</v>
      </c>
      <c r="DC415" s="14">
        <f t="shared" si="260"/>
        <v>0</v>
      </c>
      <c r="DD415" s="14">
        <f t="shared" si="261"/>
        <v>39</v>
      </c>
      <c r="DE415" s="14">
        <f t="shared" si="262"/>
        <v>0</v>
      </c>
      <c r="DF415" s="14">
        <f t="shared" si="263"/>
        <v>0</v>
      </c>
      <c r="DG415" s="14">
        <f t="shared" si="264"/>
        <v>20</v>
      </c>
      <c r="DH415" s="14">
        <f t="shared" si="265"/>
        <v>5</v>
      </c>
      <c r="DI415" s="14">
        <f t="shared" si="266"/>
        <v>15</v>
      </c>
      <c r="DL415" s="14">
        <f t="shared" si="248"/>
        <v>1</v>
      </c>
      <c r="DM415" s="14">
        <f t="shared" si="249"/>
        <v>0</v>
      </c>
      <c r="DN415" s="14" t="str">
        <f t="shared" si="267"/>
        <v>AtkExt</v>
      </c>
      <c r="DO415" s="14">
        <f t="shared" si="268"/>
        <v>1200</v>
      </c>
      <c r="DP415" s="14">
        <f t="shared" si="269"/>
        <v>39</v>
      </c>
      <c r="DQ415" s="14" t="str">
        <f t="shared" si="270"/>
        <v/>
      </c>
      <c r="DR415" s="14" t="str">
        <f t="shared" si="271"/>
        <v/>
      </c>
      <c r="DS415" s="14" t="str">
        <f t="shared" si="272"/>
        <v/>
      </c>
      <c r="DT415" s="14">
        <f t="shared" si="273"/>
        <v>20</v>
      </c>
      <c r="DU415" s="14">
        <f t="shared" si="274"/>
        <v>5</v>
      </c>
      <c r="DV415" s="14">
        <f t="shared" si="275"/>
        <v>15</v>
      </c>
      <c r="DW415" s="29" t="s">
        <v>758</v>
      </c>
      <c r="DX415" s="14">
        <f t="shared" si="276"/>
        <v>450</v>
      </c>
    </row>
    <row r="416" spans="91:128" ht="16.5" x14ac:dyDescent="0.2">
      <c r="CM416" s="13">
        <v>412</v>
      </c>
      <c r="CN416" s="14">
        <f t="shared" si="250"/>
        <v>57</v>
      </c>
      <c r="CO416" s="14">
        <f t="shared" si="251"/>
        <v>3</v>
      </c>
      <c r="CP416" s="14">
        <f t="shared" si="252"/>
        <v>2</v>
      </c>
      <c r="CQ416" s="14">
        <f t="shared" si="243"/>
        <v>5</v>
      </c>
      <c r="CR416" s="14">
        <f t="shared" si="244"/>
        <v>2054032</v>
      </c>
      <c r="CS416" s="13" t="str">
        <f t="shared" si="245"/>
        <v>150级寄灵人橙色套1-头盔</v>
      </c>
      <c r="CT416" s="14">
        <f t="shared" si="246"/>
        <v>1</v>
      </c>
      <c r="CU416" s="14">
        <f t="shared" si="247"/>
        <v>4</v>
      </c>
      <c r="CV416" s="14">
        <f t="shared" si="253"/>
        <v>150</v>
      </c>
      <c r="CW416" s="14">
        <f t="shared" si="254"/>
        <v>150</v>
      </c>
      <c r="CX416" s="14">
        <f t="shared" si="255"/>
        <v>2</v>
      </c>
      <c r="CY416" s="14">
        <f t="shared" si="256"/>
        <v>1051</v>
      </c>
      <c r="CZ416" s="14">
        <f t="shared" si="257"/>
        <v>96</v>
      </c>
      <c r="DA416" s="14">
        <f t="shared" si="258"/>
        <v>0</v>
      </c>
      <c r="DB416" s="14">
        <f t="shared" si="259"/>
        <v>300</v>
      </c>
      <c r="DC416" s="14">
        <f t="shared" si="260"/>
        <v>0</v>
      </c>
      <c r="DD416" s="14">
        <f t="shared" si="261"/>
        <v>0</v>
      </c>
      <c r="DE416" s="14">
        <f t="shared" si="262"/>
        <v>9.6</v>
      </c>
      <c r="DF416" s="14">
        <f t="shared" si="263"/>
        <v>0</v>
      </c>
      <c r="DG416" s="14">
        <f t="shared" si="264"/>
        <v>20</v>
      </c>
      <c r="DH416" s="14">
        <f t="shared" si="265"/>
        <v>5</v>
      </c>
      <c r="DI416" s="14">
        <f t="shared" si="266"/>
        <v>15</v>
      </c>
      <c r="DL416" s="14">
        <f t="shared" si="248"/>
        <v>2</v>
      </c>
      <c r="DM416" s="14">
        <f t="shared" si="249"/>
        <v>0</v>
      </c>
      <c r="DN416" s="14" t="str">
        <f t="shared" si="267"/>
        <v>DefExt</v>
      </c>
      <c r="DO416" s="14">
        <f t="shared" si="268"/>
        <v>300</v>
      </c>
      <c r="DP416" s="14">
        <f t="shared" si="269"/>
        <v>9.6</v>
      </c>
      <c r="DQ416" s="14" t="str">
        <f t="shared" si="270"/>
        <v/>
      </c>
      <c r="DR416" s="14" t="str">
        <f t="shared" si="271"/>
        <v/>
      </c>
      <c r="DS416" s="14" t="str">
        <f t="shared" si="272"/>
        <v/>
      </c>
      <c r="DT416" s="14">
        <f t="shared" si="273"/>
        <v>20</v>
      </c>
      <c r="DU416" s="14">
        <f t="shared" si="274"/>
        <v>5</v>
      </c>
      <c r="DV416" s="14">
        <f t="shared" si="275"/>
        <v>15</v>
      </c>
      <c r="DW416" s="29" t="s">
        <v>758</v>
      </c>
      <c r="DX416" s="14">
        <f t="shared" si="276"/>
        <v>450</v>
      </c>
    </row>
    <row r="417" spans="91:128" ht="16.5" x14ac:dyDescent="0.2">
      <c r="CM417" s="13">
        <v>413</v>
      </c>
      <c r="CN417" s="14">
        <f t="shared" si="250"/>
        <v>57</v>
      </c>
      <c r="CO417" s="14">
        <f t="shared" si="251"/>
        <v>3</v>
      </c>
      <c r="CP417" s="14">
        <f t="shared" si="252"/>
        <v>3</v>
      </c>
      <c r="CQ417" s="14">
        <f t="shared" si="243"/>
        <v>5</v>
      </c>
      <c r="CR417" s="14">
        <f t="shared" si="244"/>
        <v>2054033</v>
      </c>
      <c r="CS417" s="13" t="str">
        <f t="shared" si="245"/>
        <v>150级寄灵人橙色套1-肩甲</v>
      </c>
      <c r="CT417" s="14">
        <f t="shared" si="246"/>
        <v>1</v>
      </c>
      <c r="CU417" s="14">
        <f t="shared" si="247"/>
        <v>4</v>
      </c>
      <c r="CV417" s="14">
        <f t="shared" si="253"/>
        <v>150</v>
      </c>
      <c r="CW417" s="14">
        <f t="shared" si="254"/>
        <v>150</v>
      </c>
      <c r="CX417" s="14">
        <f t="shared" si="255"/>
        <v>3</v>
      </c>
      <c r="CY417" s="14">
        <f t="shared" si="256"/>
        <v>1051</v>
      </c>
      <c r="CZ417" s="14">
        <f t="shared" si="257"/>
        <v>78</v>
      </c>
      <c r="DA417" s="14">
        <f t="shared" si="258"/>
        <v>0</v>
      </c>
      <c r="DB417" s="14">
        <f t="shared" si="259"/>
        <v>150</v>
      </c>
      <c r="DC417" s="14">
        <f t="shared" si="260"/>
        <v>900</v>
      </c>
      <c r="DD417" s="14">
        <f t="shared" si="261"/>
        <v>0</v>
      </c>
      <c r="DE417" s="14">
        <f t="shared" si="262"/>
        <v>4.8</v>
      </c>
      <c r="DF417" s="14">
        <f t="shared" si="263"/>
        <v>30</v>
      </c>
      <c r="DG417" s="14">
        <f t="shared" si="264"/>
        <v>20</v>
      </c>
      <c r="DH417" s="14">
        <f t="shared" si="265"/>
        <v>5</v>
      </c>
      <c r="DI417" s="14">
        <f t="shared" si="266"/>
        <v>15</v>
      </c>
      <c r="DL417" s="14">
        <f t="shared" si="248"/>
        <v>2</v>
      </c>
      <c r="DM417" s="14">
        <f t="shared" si="249"/>
        <v>3</v>
      </c>
      <c r="DN417" s="14" t="str">
        <f t="shared" si="267"/>
        <v>DefExt</v>
      </c>
      <c r="DO417" s="14">
        <f t="shared" si="268"/>
        <v>150</v>
      </c>
      <c r="DP417" s="14">
        <f t="shared" si="269"/>
        <v>4.8</v>
      </c>
      <c r="DQ417" s="14" t="str">
        <f t="shared" si="270"/>
        <v>HPExt</v>
      </c>
      <c r="DR417" s="14">
        <f t="shared" si="271"/>
        <v>900</v>
      </c>
      <c r="DS417" s="14">
        <f t="shared" si="272"/>
        <v>30</v>
      </c>
      <c r="DT417" s="14">
        <f t="shared" si="273"/>
        <v>20</v>
      </c>
      <c r="DU417" s="14">
        <f t="shared" si="274"/>
        <v>5</v>
      </c>
      <c r="DV417" s="14">
        <f t="shared" si="275"/>
        <v>15</v>
      </c>
      <c r="DW417" s="29" t="s">
        <v>758</v>
      </c>
      <c r="DX417" s="14">
        <f t="shared" si="276"/>
        <v>450</v>
      </c>
    </row>
    <row r="418" spans="91:128" ht="16.5" x14ac:dyDescent="0.2">
      <c r="CM418" s="13">
        <v>414</v>
      </c>
      <c r="CN418" s="14">
        <f t="shared" si="250"/>
        <v>57</v>
      </c>
      <c r="CO418" s="14">
        <f t="shared" si="251"/>
        <v>3</v>
      </c>
      <c r="CP418" s="14">
        <f t="shared" si="252"/>
        <v>4</v>
      </c>
      <c r="CQ418" s="14">
        <f t="shared" si="243"/>
        <v>5</v>
      </c>
      <c r="CR418" s="14">
        <f t="shared" si="244"/>
        <v>2054037</v>
      </c>
      <c r="CS418" s="13" t="str">
        <f t="shared" si="245"/>
        <v>150级寄灵人橙色套1-项链</v>
      </c>
      <c r="CT418" s="14">
        <f t="shared" si="246"/>
        <v>1</v>
      </c>
      <c r="CU418" s="14">
        <f t="shared" si="247"/>
        <v>4</v>
      </c>
      <c r="CV418" s="14">
        <f t="shared" si="253"/>
        <v>150</v>
      </c>
      <c r="CW418" s="14">
        <f t="shared" si="254"/>
        <v>150</v>
      </c>
      <c r="CX418" s="14">
        <f t="shared" si="255"/>
        <v>7</v>
      </c>
      <c r="CY418" s="14">
        <f t="shared" si="256"/>
        <v>1051</v>
      </c>
      <c r="CZ418" s="14">
        <f t="shared" si="257"/>
        <v>145</v>
      </c>
      <c r="DA418" s="14">
        <f t="shared" si="258"/>
        <v>400</v>
      </c>
      <c r="DB418" s="14">
        <f t="shared" si="259"/>
        <v>250</v>
      </c>
      <c r="DC418" s="14">
        <f t="shared" si="260"/>
        <v>0</v>
      </c>
      <c r="DD418" s="14">
        <f t="shared" si="261"/>
        <v>13</v>
      </c>
      <c r="DE418" s="14">
        <f t="shared" si="262"/>
        <v>8</v>
      </c>
      <c r="DF418" s="14">
        <f t="shared" si="263"/>
        <v>0</v>
      </c>
      <c r="DG418" s="14">
        <f t="shared" si="264"/>
        <v>20</v>
      </c>
      <c r="DH418" s="14">
        <f t="shared" si="265"/>
        <v>5</v>
      </c>
      <c r="DI418" s="14">
        <f t="shared" si="266"/>
        <v>15</v>
      </c>
      <c r="DL418" s="14">
        <f t="shared" si="248"/>
        <v>1</v>
      </c>
      <c r="DM418" s="14">
        <f t="shared" si="249"/>
        <v>2</v>
      </c>
      <c r="DN418" s="14" t="str">
        <f t="shared" si="267"/>
        <v>AtkExt</v>
      </c>
      <c r="DO418" s="14">
        <f t="shared" si="268"/>
        <v>400</v>
      </c>
      <c r="DP418" s="14">
        <f t="shared" si="269"/>
        <v>13</v>
      </c>
      <c r="DQ418" s="14" t="str">
        <f t="shared" si="270"/>
        <v>DefExt</v>
      </c>
      <c r="DR418" s="14">
        <f t="shared" si="271"/>
        <v>250</v>
      </c>
      <c r="DS418" s="14">
        <f t="shared" si="272"/>
        <v>8</v>
      </c>
      <c r="DT418" s="14">
        <f t="shared" si="273"/>
        <v>20</v>
      </c>
      <c r="DU418" s="14">
        <f t="shared" si="274"/>
        <v>5</v>
      </c>
      <c r="DV418" s="14">
        <f t="shared" si="275"/>
        <v>15</v>
      </c>
      <c r="DW418" s="29" t="s">
        <v>758</v>
      </c>
      <c r="DX418" s="14">
        <f t="shared" si="276"/>
        <v>450</v>
      </c>
    </row>
    <row r="419" spans="91:128" ht="16.5" x14ac:dyDescent="0.2">
      <c r="CM419" s="13">
        <v>415</v>
      </c>
      <c r="CN419" s="14">
        <f t="shared" si="250"/>
        <v>57</v>
      </c>
      <c r="CO419" s="14">
        <f t="shared" si="251"/>
        <v>3</v>
      </c>
      <c r="CP419" s="14">
        <f t="shared" si="252"/>
        <v>5</v>
      </c>
      <c r="CQ419" s="14">
        <f t="shared" si="243"/>
        <v>5</v>
      </c>
      <c r="CR419" s="14">
        <f t="shared" si="244"/>
        <v>2054038</v>
      </c>
      <c r="CS419" s="13" t="str">
        <f t="shared" si="245"/>
        <v>150级寄灵人橙色套1-戒指</v>
      </c>
      <c r="CT419" s="14">
        <f t="shared" si="246"/>
        <v>1</v>
      </c>
      <c r="CU419" s="14">
        <f t="shared" si="247"/>
        <v>4</v>
      </c>
      <c r="CV419" s="14">
        <f t="shared" si="253"/>
        <v>150</v>
      </c>
      <c r="CW419" s="14">
        <f t="shared" si="254"/>
        <v>150</v>
      </c>
      <c r="CX419" s="14">
        <f t="shared" si="255"/>
        <v>8</v>
      </c>
      <c r="CY419" s="14">
        <f t="shared" si="256"/>
        <v>1051</v>
      </c>
      <c r="CZ419" s="14">
        <f t="shared" si="257"/>
        <v>115</v>
      </c>
      <c r="DA419" s="14">
        <f t="shared" si="258"/>
        <v>400</v>
      </c>
      <c r="DB419" s="14">
        <f t="shared" si="259"/>
        <v>0</v>
      </c>
      <c r="DC419" s="14">
        <f t="shared" si="260"/>
        <v>1500</v>
      </c>
      <c r="DD419" s="14">
        <f t="shared" si="261"/>
        <v>13</v>
      </c>
      <c r="DE419" s="14">
        <f t="shared" si="262"/>
        <v>0</v>
      </c>
      <c r="DF419" s="14">
        <f t="shared" si="263"/>
        <v>50</v>
      </c>
      <c r="DG419" s="14">
        <f t="shared" si="264"/>
        <v>20</v>
      </c>
      <c r="DH419" s="14">
        <f t="shared" si="265"/>
        <v>5</v>
      </c>
      <c r="DI419" s="14">
        <f t="shared" si="266"/>
        <v>15</v>
      </c>
      <c r="DL419" s="14">
        <f t="shared" si="248"/>
        <v>1</v>
      </c>
      <c r="DM419" s="14">
        <f t="shared" si="249"/>
        <v>3</v>
      </c>
      <c r="DN419" s="14" t="str">
        <f t="shared" si="267"/>
        <v>AtkExt</v>
      </c>
      <c r="DO419" s="14">
        <f t="shared" si="268"/>
        <v>400</v>
      </c>
      <c r="DP419" s="14">
        <f t="shared" si="269"/>
        <v>13</v>
      </c>
      <c r="DQ419" s="14" t="str">
        <f t="shared" si="270"/>
        <v>HPExt</v>
      </c>
      <c r="DR419" s="14">
        <f t="shared" si="271"/>
        <v>1500</v>
      </c>
      <c r="DS419" s="14">
        <f t="shared" si="272"/>
        <v>50</v>
      </c>
      <c r="DT419" s="14">
        <f t="shared" si="273"/>
        <v>20</v>
      </c>
      <c r="DU419" s="14">
        <f t="shared" si="274"/>
        <v>5</v>
      </c>
      <c r="DV419" s="14">
        <f t="shared" si="275"/>
        <v>15</v>
      </c>
      <c r="DW419" s="29" t="s">
        <v>758</v>
      </c>
      <c r="DX419" s="14">
        <f t="shared" si="276"/>
        <v>450</v>
      </c>
    </row>
    <row r="420" spans="91:128" ht="16.5" x14ac:dyDescent="0.2">
      <c r="CM420" s="13">
        <v>416</v>
      </c>
      <c r="CN420" s="14">
        <f t="shared" si="250"/>
        <v>58</v>
      </c>
      <c r="CO420" s="14">
        <f t="shared" si="251"/>
        <v>4</v>
      </c>
      <c r="CP420" s="14">
        <f t="shared" si="252"/>
        <v>1</v>
      </c>
      <c r="CQ420" s="14">
        <f t="shared" si="243"/>
        <v>5</v>
      </c>
      <c r="CR420" s="14">
        <f t="shared" si="244"/>
        <v>2054041</v>
      </c>
      <c r="CS420" s="13" t="str">
        <f t="shared" si="245"/>
        <v>150级守护灵橙色套1-武器</v>
      </c>
      <c r="CT420" s="14">
        <f t="shared" si="246"/>
        <v>2</v>
      </c>
      <c r="CU420" s="14">
        <f t="shared" si="247"/>
        <v>4</v>
      </c>
      <c r="CV420" s="14">
        <f t="shared" si="253"/>
        <v>150</v>
      </c>
      <c r="CW420" s="14">
        <f t="shared" si="254"/>
        <v>150</v>
      </c>
      <c r="CX420" s="14">
        <f t="shared" si="255"/>
        <v>1</v>
      </c>
      <c r="CY420" s="14">
        <f t="shared" si="256"/>
        <v>2051</v>
      </c>
      <c r="CZ420" s="14">
        <f t="shared" si="257"/>
        <v>195</v>
      </c>
      <c r="DA420" s="14">
        <f t="shared" si="258"/>
        <v>1500</v>
      </c>
      <c r="DB420" s="14">
        <f t="shared" si="259"/>
        <v>0</v>
      </c>
      <c r="DC420" s="14">
        <f t="shared" si="260"/>
        <v>0</v>
      </c>
      <c r="DD420" s="14">
        <f t="shared" si="261"/>
        <v>39</v>
      </c>
      <c r="DE420" s="14">
        <f t="shared" si="262"/>
        <v>0</v>
      </c>
      <c r="DF420" s="14">
        <f t="shared" si="263"/>
        <v>0</v>
      </c>
      <c r="DG420" s="14">
        <f t="shared" si="264"/>
        <v>20</v>
      </c>
      <c r="DH420" s="14">
        <f t="shared" si="265"/>
        <v>5</v>
      </c>
      <c r="DI420" s="14">
        <f t="shared" si="266"/>
        <v>25</v>
      </c>
      <c r="DL420" s="14">
        <f t="shared" si="248"/>
        <v>1</v>
      </c>
      <c r="DM420" s="14">
        <f t="shared" si="249"/>
        <v>0</v>
      </c>
      <c r="DN420" s="14" t="str">
        <f t="shared" si="267"/>
        <v>AtkExt</v>
      </c>
      <c r="DO420" s="14">
        <f t="shared" si="268"/>
        <v>1500</v>
      </c>
      <c r="DP420" s="14">
        <f t="shared" si="269"/>
        <v>39</v>
      </c>
      <c r="DQ420" s="14" t="str">
        <f t="shared" si="270"/>
        <v/>
      </c>
      <c r="DR420" s="14" t="str">
        <f t="shared" si="271"/>
        <v/>
      </c>
      <c r="DS420" s="14" t="str">
        <f t="shared" si="272"/>
        <v/>
      </c>
      <c r="DT420" s="14">
        <f t="shared" si="273"/>
        <v>20</v>
      </c>
      <c r="DU420" s="14">
        <f t="shared" si="274"/>
        <v>5</v>
      </c>
      <c r="DV420" s="14">
        <f t="shared" si="275"/>
        <v>25</v>
      </c>
      <c r="DW420" s="29" t="s">
        <v>758</v>
      </c>
      <c r="DX420" s="14">
        <f t="shared" si="276"/>
        <v>450</v>
      </c>
    </row>
    <row r="421" spans="91:128" ht="16.5" x14ac:dyDescent="0.2">
      <c r="CM421" s="13">
        <v>417</v>
      </c>
      <c r="CN421" s="14">
        <f t="shared" si="250"/>
        <v>58</v>
      </c>
      <c r="CO421" s="14">
        <f t="shared" si="251"/>
        <v>4</v>
      </c>
      <c r="CP421" s="14">
        <f t="shared" si="252"/>
        <v>2</v>
      </c>
      <c r="CQ421" s="14">
        <f t="shared" si="243"/>
        <v>5</v>
      </c>
      <c r="CR421" s="14">
        <f t="shared" si="244"/>
        <v>2054042</v>
      </c>
      <c r="CS421" s="13" t="str">
        <f t="shared" si="245"/>
        <v>150级守护灵橙色套1-头盔</v>
      </c>
      <c r="CT421" s="14">
        <f t="shared" si="246"/>
        <v>2</v>
      </c>
      <c r="CU421" s="14">
        <f t="shared" si="247"/>
        <v>4</v>
      </c>
      <c r="CV421" s="14">
        <f t="shared" si="253"/>
        <v>150</v>
      </c>
      <c r="CW421" s="14">
        <f t="shared" si="254"/>
        <v>150</v>
      </c>
      <c r="CX421" s="14">
        <f t="shared" si="255"/>
        <v>2</v>
      </c>
      <c r="CY421" s="14">
        <f t="shared" si="256"/>
        <v>2051</v>
      </c>
      <c r="CZ421" s="14">
        <f t="shared" si="257"/>
        <v>96</v>
      </c>
      <c r="DA421" s="14">
        <f t="shared" si="258"/>
        <v>0</v>
      </c>
      <c r="DB421" s="14">
        <f t="shared" si="259"/>
        <v>338</v>
      </c>
      <c r="DC421" s="14">
        <f t="shared" si="260"/>
        <v>0</v>
      </c>
      <c r="DD421" s="14">
        <f t="shared" si="261"/>
        <v>0</v>
      </c>
      <c r="DE421" s="14">
        <f t="shared" si="262"/>
        <v>9.6</v>
      </c>
      <c r="DF421" s="14">
        <f t="shared" si="263"/>
        <v>0</v>
      </c>
      <c r="DG421" s="14">
        <f t="shared" si="264"/>
        <v>20</v>
      </c>
      <c r="DH421" s="14">
        <f t="shared" si="265"/>
        <v>5</v>
      </c>
      <c r="DI421" s="14">
        <f t="shared" si="266"/>
        <v>25</v>
      </c>
      <c r="DL421" s="14">
        <f t="shared" si="248"/>
        <v>2</v>
      </c>
      <c r="DM421" s="14">
        <f t="shared" si="249"/>
        <v>0</v>
      </c>
      <c r="DN421" s="14" t="str">
        <f t="shared" si="267"/>
        <v>DefExt</v>
      </c>
      <c r="DO421" s="14">
        <f t="shared" si="268"/>
        <v>338</v>
      </c>
      <c r="DP421" s="14">
        <f t="shared" si="269"/>
        <v>9.6</v>
      </c>
      <c r="DQ421" s="14" t="str">
        <f t="shared" si="270"/>
        <v/>
      </c>
      <c r="DR421" s="14" t="str">
        <f t="shared" si="271"/>
        <v/>
      </c>
      <c r="DS421" s="14" t="str">
        <f t="shared" si="272"/>
        <v/>
      </c>
      <c r="DT421" s="14">
        <f t="shared" si="273"/>
        <v>20</v>
      </c>
      <c r="DU421" s="14">
        <f t="shared" si="274"/>
        <v>5</v>
      </c>
      <c r="DV421" s="14">
        <f t="shared" si="275"/>
        <v>25</v>
      </c>
      <c r="DW421" s="29" t="s">
        <v>758</v>
      </c>
      <c r="DX421" s="14">
        <f t="shared" si="276"/>
        <v>450</v>
      </c>
    </row>
    <row r="422" spans="91:128" ht="16.5" x14ac:dyDescent="0.2">
      <c r="CM422" s="13">
        <v>418</v>
      </c>
      <c r="CN422" s="14">
        <f t="shared" si="250"/>
        <v>58</v>
      </c>
      <c r="CO422" s="14">
        <f t="shared" si="251"/>
        <v>4</v>
      </c>
      <c r="CP422" s="14">
        <f t="shared" si="252"/>
        <v>3</v>
      </c>
      <c r="CQ422" s="14">
        <f t="shared" si="243"/>
        <v>5</v>
      </c>
      <c r="CR422" s="14">
        <f t="shared" si="244"/>
        <v>2054043</v>
      </c>
      <c r="CS422" s="13" t="str">
        <f t="shared" si="245"/>
        <v>150级守护灵橙色套1-肩甲</v>
      </c>
      <c r="CT422" s="14">
        <f t="shared" si="246"/>
        <v>2</v>
      </c>
      <c r="CU422" s="14">
        <f t="shared" si="247"/>
        <v>4</v>
      </c>
      <c r="CV422" s="14">
        <f t="shared" si="253"/>
        <v>150</v>
      </c>
      <c r="CW422" s="14">
        <f t="shared" si="254"/>
        <v>150</v>
      </c>
      <c r="CX422" s="14">
        <f t="shared" si="255"/>
        <v>3</v>
      </c>
      <c r="CY422" s="14">
        <f t="shared" si="256"/>
        <v>2051</v>
      </c>
      <c r="CZ422" s="14">
        <f t="shared" si="257"/>
        <v>100</v>
      </c>
      <c r="DA422" s="14">
        <f t="shared" si="258"/>
        <v>0</v>
      </c>
      <c r="DB422" s="14">
        <f t="shared" si="259"/>
        <v>169</v>
      </c>
      <c r="DC422" s="14">
        <f t="shared" si="260"/>
        <v>1800</v>
      </c>
      <c r="DD422" s="14">
        <f t="shared" si="261"/>
        <v>0</v>
      </c>
      <c r="DE422" s="14">
        <f t="shared" si="262"/>
        <v>4.8</v>
      </c>
      <c r="DF422" s="14">
        <f t="shared" si="263"/>
        <v>52.5</v>
      </c>
      <c r="DG422" s="14">
        <f t="shared" si="264"/>
        <v>20</v>
      </c>
      <c r="DH422" s="14">
        <f t="shared" si="265"/>
        <v>5</v>
      </c>
      <c r="DI422" s="14">
        <f t="shared" si="266"/>
        <v>25</v>
      </c>
      <c r="DL422" s="14">
        <f t="shared" si="248"/>
        <v>2</v>
      </c>
      <c r="DM422" s="14">
        <f t="shared" si="249"/>
        <v>3</v>
      </c>
      <c r="DN422" s="14" t="str">
        <f t="shared" si="267"/>
        <v>DefExt</v>
      </c>
      <c r="DO422" s="14">
        <f t="shared" si="268"/>
        <v>169</v>
      </c>
      <c r="DP422" s="14">
        <f t="shared" si="269"/>
        <v>4.8</v>
      </c>
      <c r="DQ422" s="14" t="str">
        <f t="shared" si="270"/>
        <v>HPExt</v>
      </c>
      <c r="DR422" s="14">
        <f t="shared" si="271"/>
        <v>1800</v>
      </c>
      <c r="DS422" s="14">
        <f t="shared" si="272"/>
        <v>52.5</v>
      </c>
      <c r="DT422" s="14">
        <f t="shared" si="273"/>
        <v>20</v>
      </c>
      <c r="DU422" s="14">
        <f t="shared" si="274"/>
        <v>5</v>
      </c>
      <c r="DV422" s="14">
        <f t="shared" si="275"/>
        <v>25</v>
      </c>
      <c r="DW422" s="29" t="s">
        <v>758</v>
      </c>
      <c r="DX422" s="14">
        <f t="shared" si="276"/>
        <v>450</v>
      </c>
    </row>
    <row r="423" spans="91:128" ht="16.5" x14ac:dyDescent="0.2">
      <c r="CM423" s="13">
        <v>419</v>
      </c>
      <c r="CN423" s="14">
        <f t="shared" si="250"/>
        <v>58</v>
      </c>
      <c r="CO423" s="14">
        <f t="shared" si="251"/>
        <v>4</v>
      </c>
      <c r="CP423" s="14">
        <f t="shared" si="252"/>
        <v>4</v>
      </c>
      <c r="CQ423" s="14">
        <f t="shared" si="243"/>
        <v>5</v>
      </c>
      <c r="CR423" s="14">
        <f t="shared" si="244"/>
        <v>2054047</v>
      </c>
      <c r="CS423" s="13" t="str">
        <f t="shared" si="245"/>
        <v>150级守护灵橙色套1-项链</v>
      </c>
      <c r="CT423" s="14">
        <f t="shared" si="246"/>
        <v>2</v>
      </c>
      <c r="CU423" s="14">
        <f t="shared" si="247"/>
        <v>4</v>
      </c>
      <c r="CV423" s="14">
        <f t="shared" si="253"/>
        <v>150</v>
      </c>
      <c r="CW423" s="14">
        <f t="shared" si="254"/>
        <v>150</v>
      </c>
      <c r="CX423" s="14">
        <f t="shared" si="255"/>
        <v>7</v>
      </c>
      <c r="CY423" s="14">
        <f t="shared" si="256"/>
        <v>2051</v>
      </c>
      <c r="CZ423" s="14">
        <f t="shared" si="257"/>
        <v>145</v>
      </c>
      <c r="DA423" s="14">
        <f t="shared" si="258"/>
        <v>500</v>
      </c>
      <c r="DB423" s="14">
        <f t="shared" si="259"/>
        <v>281</v>
      </c>
      <c r="DC423" s="14">
        <f t="shared" si="260"/>
        <v>0</v>
      </c>
      <c r="DD423" s="14">
        <f t="shared" si="261"/>
        <v>13</v>
      </c>
      <c r="DE423" s="14">
        <f t="shared" si="262"/>
        <v>8</v>
      </c>
      <c r="DF423" s="14">
        <f t="shared" si="263"/>
        <v>0</v>
      </c>
      <c r="DG423" s="14">
        <f t="shared" si="264"/>
        <v>20</v>
      </c>
      <c r="DH423" s="14">
        <f t="shared" si="265"/>
        <v>5</v>
      </c>
      <c r="DI423" s="14">
        <f t="shared" si="266"/>
        <v>25</v>
      </c>
      <c r="DL423" s="14">
        <f t="shared" si="248"/>
        <v>1</v>
      </c>
      <c r="DM423" s="14">
        <f t="shared" si="249"/>
        <v>2</v>
      </c>
      <c r="DN423" s="14" t="str">
        <f t="shared" si="267"/>
        <v>AtkExt</v>
      </c>
      <c r="DO423" s="14">
        <f t="shared" si="268"/>
        <v>500</v>
      </c>
      <c r="DP423" s="14">
        <f t="shared" si="269"/>
        <v>13</v>
      </c>
      <c r="DQ423" s="14" t="str">
        <f t="shared" si="270"/>
        <v>DefExt</v>
      </c>
      <c r="DR423" s="14">
        <f t="shared" si="271"/>
        <v>281</v>
      </c>
      <c r="DS423" s="14">
        <f t="shared" si="272"/>
        <v>8</v>
      </c>
      <c r="DT423" s="14">
        <f t="shared" si="273"/>
        <v>20</v>
      </c>
      <c r="DU423" s="14">
        <f t="shared" si="274"/>
        <v>5</v>
      </c>
      <c r="DV423" s="14">
        <f t="shared" si="275"/>
        <v>25</v>
      </c>
      <c r="DW423" s="29" t="s">
        <v>758</v>
      </c>
      <c r="DX423" s="14">
        <f t="shared" si="276"/>
        <v>450</v>
      </c>
    </row>
    <row r="424" spans="91:128" ht="16.5" x14ac:dyDescent="0.2">
      <c r="CM424" s="13">
        <v>420</v>
      </c>
      <c r="CN424" s="14">
        <f t="shared" si="250"/>
        <v>58</v>
      </c>
      <c r="CO424" s="14">
        <f t="shared" si="251"/>
        <v>4</v>
      </c>
      <c r="CP424" s="14">
        <f t="shared" si="252"/>
        <v>5</v>
      </c>
      <c r="CQ424" s="14">
        <f t="shared" si="243"/>
        <v>5</v>
      </c>
      <c r="CR424" s="14">
        <f t="shared" si="244"/>
        <v>2054048</v>
      </c>
      <c r="CS424" s="13" t="str">
        <f t="shared" si="245"/>
        <v>150级守护灵橙色套1-戒指</v>
      </c>
      <c r="CT424" s="14">
        <f t="shared" si="246"/>
        <v>2</v>
      </c>
      <c r="CU424" s="14">
        <f t="shared" si="247"/>
        <v>4</v>
      </c>
      <c r="CV424" s="14">
        <f t="shared" si="253"/>
        <v>150</v>
      </c>
      <c r="CW424" s="14">
        <f t="shared" si="254"/>
        <v>150</v>
      </c>
      <c r="CX424" s="14">
        <f t="shared" si="255"/>
        <v>8</v>
      </c>
      <c r="CY424" s="14">
        <f t="shared" si="256"/>
        <v>2051</v>
      </c>
      <c r="CZ424" s="14">
        <f t="shared" si="257"/>
        <v>152</v>
      </c>
      <c r="DA424" s="14">
        <f t="shared" si="258"/>
        <v>500</v>
      </c>
      <c r="DB424" s="14">
        <f t="shared" si="259"/>
        <v>0</v>
      </c>
      <c r="DC424" s="14">
        <f t="shared" si="260"/>
        <v>3000</v>
      </c>
      <c r="DD424" s="14">
        <f t="shared" si="261"/>
        <v>13</v>
      </c>
      <c r="DE424" s="14">
        <f t="shared" si="262"/>
        <v>0</v>
      </c>
      <c r="DF424" s="14">
        <f t="shared" si="263"/>
        <v>87.5</v>
      </c>
      <c r="DG424" s="14">
        <f t="shared" si="264"/>
        <v>20</v>
      </c>
      <c r="DH424" s="14">
        <f t="shared" si="265"/>
        <v>5</v>
      </c>
      <c r="DI424" s="14">
        <f t="shared" si="266"/>
        <v>25</v>
      </c>
      <c r="DL424" s="14">
        <f t="shared" si="248"/>
        <v>1</v>
      </c>
      <c r="DM424" s="14">
        <f t="shared" si="249"/>
        <v>3</v>
      </c>
      <c r="DN424" s="14" t="str">
        <f t="shared" si="267"/>
        <v>AtkExt</v>
      </c>
      <c r="DO424" s="14">
        <f t="shared" si="268"/>
        <v>500</v>
      </c>
      <c r="DP424" s="14">
        <f t="shared" si="269"/>
        <v>13</v>
      </c>
      <c r="DQ424" s="14" t="str">
        <f t="shared" si="270"/>
        <v>HPExt</v>
      </c>
      <c r="DR424" s="14">
        <f t="shared" si="271"/>
        <v>3000</v>
      </c>
      <c r="DS424" s="14">
        <f t="shared" si="272"/>
        <v>87.5</v>
      </c>
      <c r="DT424" s="14">
        <f t="shared" si="273"/>
        <v>20</v>
      </c>
      <c r="DU424" s="14">
        <f t="shared" si="274"/>
        <v>5</v>
      </c>
      <c r="DV424" s="14">
        <f t="shared" si="275"/>
        <v>25</v>
      </c>
      <c r="DW424" s="29" t="s">
        <v>758</v>
      </c>
      <c r="DX424" s="14">
        <f t="shared" si="276"/>
        <v>450</v>
      </c>
    </row>
    <row r="425" spans="91:128" ht="16.5" x14ac:dyDescent="0.2">
      <c r="CM425" s="13">
        <v>421</v>
      </c>
      <c r="CN425" s="14">
        <f t="shared" si="250"/>
        <v>59</v>
      </c>
      <c r="CO425" s="14">
        <f t="shared" si="251"/>
        <v>5</v>
      </c>
      <c r="CP425" s="14">
        <f t="shared" si="252"/>
        <v>1</v>
      </c>
      <c r="CQ425" s="14">
        <f t="shared" si="243"/>
        <v>5</v>
      </c>
      <c r="CR425" s="14">
        <f t="shared" si="244"/>
        <v>2054051</v>
      </c>
      <c r="CS425" s="13" t="str">
        <f t="shared" si="245"/>
        <v>150级寄灵人橙色套2-武器</v>
      </c>
      <c r="CT425" s="14">
        <f t="shared" si="246"/>
        <v>1</v>
      </c>
      <c r="CU425" s="14">
        <f t="shared" si="247"/>
        <v>4</v>
      </c>
      <c r="CV425" s="14">
        <f t="shared" si="253"/>
        <v>150</v>
      </c>
      <c r="CW425" s="14">
        <f t="shared" si="254"/>
        <v>150</v>
      </c>
      <c r="CX425" s="14">
        <f t="shared" si="255"/>
        <v>1</v>
      </c>
      <c r="CY425" s="14">
        <f t="shared" si="256"/>
        <v>1052</v>
      </c>
      <c r="CZ425" s="14">
        <f t="shared" si="257"/>
        <v>195</v>
      </c>
      <c r="DA425" s="14">
        <f t="shared" si="258"/>
        <v>1200</v>
      </c>
      <c r="DB425" s="14">
        <f t="shared" si="259"/>
        <v>0</v>
      </c>
      <c r="DC425" s="14">
        <f t="shared" si="260"/>
        <v>0</v>
      </c>
      <c r="DD425" s="14">
        <f t="shared" si="261"/>
        <v>39</v>
      </c>
      <c r="DE425" s="14">
        <f t="shared" si="262"/>
        <v>0</v>
      </c>
      <c r="DF425" s="14">
        <f t="shared" si="263"/>
        <v>0</v>
      </c>
      <c r="DG425" s="14">
        <f t="shared" si="264"/>
        <v>20</v>
      </c>
      <c r="DH425" s="14">
        <f t="shared" si="265"/>
        <v>5</v>
      </c>
      <c r="DI425" s="14">
        <f t="shared" si="266"/>
        <v>15</v>
      </c>
      <c r="DL425" s="14">
        <f t="shared" si="248"/>
        <v>1</v>
      </c>
      <c r="DM425" s="14">
        <f t="shared" si="249"/>
        <v>0</v>
      </c>
      <c r="DN425" s="14" t="str">
        <f t="shared" si="267"/>
        <v>AtkExt</v>
      </c>
      <c r="DO425" s="14">
        <f t="shared" si="268"/>
        <v>1200</v>
      </c>
      <c r="DP425" s="14">
        <f t="shared" si="269"/>
        <v>39</v>
      </c>
      <c r="DQ425" s="14" t="str">
        <f t="shared" si="270"/>
        <v/>
      </c>
      <c r="DR425" s="14" t="str">
        <f t="shared" si="271"/>
        <v/>
      </c>
      <c r="DS425" s="14" t="str">
        <f t="shared" si="272"/>
        <v/>
      </c>
      <c r="DT425" s="14">
        <f t="shared" si="273"/>
        <v>20</v>
      </c>
      <c r="DU425" s="14">
        <f t="shared" si="274"/>
        <v>5</v>
      </c>
      <c r="DV425" s="14">
        <f t="shared" si="275"/>
        <v>15</v>
      </c>
      <c r="DW425" s="29" t="s">
        <v>758</v>
      </c>
      <c r="DX425" s="14">
        <f t="shared" si="276"/>
        <v>450</v>
      </c>
    </row>
    <row r="426" spans="91:128" ht="16.5" x14ac:dyDescent="0.2">
      <c r="CM426" s="13">
        <v>422</v>
      </c>
      <c r="CN426" s="14">
        <f t="shared" si="250"/>
        <v>59</v>
      </c>
      <c r="CO426" s="14">
        <f t="shared" si="251"/>
        <v>5</v>
      </c>
      <c r="CP426" s="14">
        <f t="shared" si="252"/>
        <v>2</v>
      </c>
      <c r="CQ426" s="14">
        <f t="shared" si="243"/>
        <v>5</v>
      </c>
      <c r="CR426" s="14">
        <f t="shared" si="244"/>
        <v>2054052</v>
      </c>
      <c r="CS426" s="13" t="str">
        <f t="shared" si="245"/>
        <v>150级寄灵人橙色套2-头盔</v>
      </c>
      <c r="CT426" s="14">
        <f t="shared" si="246"/>
        <v>1</v>
      </c>
      <c r="CU426" s="14">
        <f t="shared" si="247"/>
        <v>4</v>
      </c>
      <c r="CV426" s="14">
        <f t="shared" si="253"/>
        <v>150</v>
      </c>
      <c r="CW426" s="14">
        <f t="shared" si="254"/>
        <v>150</v>
      </c>
      <c r="CX426" s="14">
        <f t="shared" si="255"/>
        <v>2</v>
      </c>
      <c r="CY426" s="14">
        <f t="shared" si="256"/>
        <v>1052</v>
      </c>
      <c r="CZ426" s="14">
        <f t="shared" si="257"/>
        <v>96</v>
      </c>
      <c r="DA426" s="14">
        <f t="shared" si="258"/>
        <v>0</v>
      </c>
      <c r="DB426" s="14">
        <f t="shared" si="259"/>
        <v>300</v>
      </c>
      <c r="DC426" s="14">
        <f t="shared" si="260"/>
        <v>0</v>
      </c>
      <c r="DD426" s="14">
        <f t="shared" si="261"/>
        <v>0</v>
      </c>
      <c r="DE426" s="14">
        <f t="shared" si="262"/>
        <v>9.6</v>
      </c>
      <c r="DF426" s="14">
        <f t="shared" si="263"/>
        <v>0</v>
      </c>
      <c r="DG426" s="14">
        <f t="shared" si="264"/>
        <v>20</v>
      </c>
      <c r="DH426" s="14">
        <f t="shared" si="265"/>
        <v>5</v>
      </c>
      <c r="DI426" s="14">
        <f t="shared" si="266"/>
        <v>15</v>
      </c>
      <c r="DL426" s="14">
        <f t="shared" si="248"/>
        <v>2</v>
      </c>
      <c r="DM426" s="14">
        <f t="shared" si="249"/>
        <v>0</v>
      </c>
      <c r="DN426" s="14" t="str">
        <f t="shared" si="267"/>
        <v>DefExt</v>
      </c>
      <c r="DO426" s="14">
        <f t="shared" si="268"/>
        <v>300</v>
      </c>
      <c r="DP426" s="14">
        <f t="shared" si="269"/>
        <v>9.6</v>
      </c>
      <c r="DQ426" s="14" t="str">
        <f t="shared" si="270"/>
        <v/>
      </c>
      <c r="DR426" s="14" t="str">
        <f t="shared" si="271"/>
        <v/>
      </c>
      <c r="DS426" s="14" t="str">
        <f t="shared" si="272"/>
        <v/>
      </c>
      <c r="DT426" s="14">
        <f t="shared" si="273"/>
        <v>20</v>
      </c>
      <c r="DU426" s="14">
        <f t="shared" si="274"/>
        <v>5</v>
      </c>
      <c r="DV426" s="14">
        <f t="shared" si="275"/>
        <v>15</v>
      </c>
      <c r="DW426" s="29" t="s">
        <v>758</v>
      </c>
      <c r="DX426" s="14">
        <f t="shared" si="276"/>
        <v>450</v>
      </c>
    </row>
    <row r="427" spans="91:128" ht="16.5" x14ac:dyDescent="0.2">
      <c r="CM427" s="13">
        <v>423</v>
      </c>
      <c r="CN427" s="14">
        <f t="shared" si="250"/>
        <v>59</v>
      </c>
      <c r="CO427" s="14">
        <f t="shared" si="251"/>
        <v>5</v>
      </c>
      <c r="CP427" s="14">
        <f t="shared" si="252"/>
        <v>3</v>
      </c>
      <c r="CQ427" s="14">
        <f t="shared" si="243"/>
        <v>5</v>
      </c>
      <c r="CR427" s="14">
        <f t="shared" si="244"/>
        <v>2054053</v>
      </c>
      <c r="CS427" s="13" t="str">
        <f t="shared" si="245"/>
        <v>150级寄灵人橙色套2-肩甲</v>
      </c>
      <c r="CT427" s="14">
        <f t="shared" si="246"/>
        <v>1</v>
      </c>
      <c r="CU427" s="14">
        <f t="shared" si="247"/>
        <v>4</v>
      </c>
      <c r="CV427" s="14">
        <f t="shared" si="253"/>
        <v>150</v>
      </c>
      <c r="CW427" s="14">
        <f t="shared" si="254"/>
        <v>150</v>
      </c>
      <c r="CX427" s="14">
        <f t="shared" si="255"/>
        <v>3</v>
      </c>
      <c r="CY427" s="14">
        <f t="shared" si="256"/>
        <v>1052</v>
      </c>
      <c r="CZ427" s="14">
        <f t="shared" si="257"/>
        <v>78</v>
      </c>
      <c r="DA427" s="14">
        <f t="shared" si="258"/>
        <v>0</v>
      </c>
      <c r="DB427" s="14">
        <f t="shared" si="259"/>
        <v>150</v>
      </c>
      <c r="DC427" s="14">
        <f t="shared" si="260"/>
        <v>900</v>
      </c>
      <c r="DD427" s="14">
        <f t="shared" si="261"/>
        <v>0</v>
      </c>
      <c r="DE427" s="14">
        <f t="shared" si="262"/>
        <v>4.8</v>
      </c>
      <c r="DF427" s="14">
        <f t="shared" si="263"/>
        <v>30</v>
      </c>
      <c r="DG427" s="14">
        <f t="shared" si="264"/>
        <v>20</v>
      </c>
      <c r="DH427" s="14">
        <f t="shared" si="265"/>
        <v>5</v>
      </c>
      <c r="DI427" s="14">
        <f t="shared" si="266"/>
        <v>15</v>
      </c>
      <c r="DL427" s="14">
        <f t="shared" si="248"/>
        <v>2</v>
      </c>
      <c r="DM427" s="14">
        <f t="shared" si="249"/>
        <v>3</v>
      </c>
      <c r="DN427" s="14" t="str">
        <f t="shared" si="267"/>
        <v>DefExt</v>
      </c>
      <c r="DO427" s="14">
        <f t="shared" si="268"/>
        <v>150</v>
      </c>
      <c r="DP427" s="14">
        <f t="shared" si="269"/>
        <v>4.8</v>
      </c>
      <c r="DQ427" s="14" t="str">
        <f t="shared" si="270"/>
        <v>HPExt</v>
      </c>
      <c r="DR427" s="14">
        <f t="shared" si="271"/>
        <v>900</v>
      </c>
      <c r="DS427" s="14">
        <f t="shared" si="272"/>
        <v>30</v>
      </c>
      <c r="DT427" s="14">
        <f t="shared" si="273"/>
        <v>20</v>
      </c>
      <c r="DU427" s="14">
        <f t="shared" si="274"/>
        <v>5</v>
      </c>
      <c r="DV427" s="14">
        <f t="shared" si="275"/>
        <v>15</v>
      </c>
      <c r="DW427" s="29" t="s">
        <v>758</v>
      </c>
      <c r="DX427" s="14">
        <f t="shared" si="276"/>
        <v>450</v>
      </c>
    </row>
    <row r="428" spans="91:128" ht="16.5" x14ac:dyDescent="0.2">
      <c r="CM428" s="13">
        <v>424</v>
      </c>
      <c r="CN428" s="14">
        <f t="shared" si="250"/>
        <v>59</v>
      </c>
      <c r="CO428" s="14">
        <f t="shared" si="251"/>
        <v>5</v>
      </c>
      <c r="CP428" s="14">
        <f t="shared" si="252"/>
        <v>4</v>
      </c>
      <c r="CQ428" s="14">
        <f t="shared" si="243"/>
        <v>5</v>
      </c>
      <c r="CR428" s="14">
        <f t="shared" si="244"/>
        <v>2054054</v>
      </c>
      <c r="CS428" s="13" t="str">
        <f t="shared" si="245"/>
        <v>150级寄灵人橙色套2-衣服</v>
      </c>
      <c r="CT428" s="14">
        <f t="shared" si="246"/>
        <v>1</v>
      </c>
      <c r="CU428" s="14">
        <f t="shared" si="247"/>
        <v>4</v>
      </c>
      <c r="CV428" s="14">
        <f t="shared" si="253"/>
        <v>150</v>
      </c>
      <c r="CW428" s="14">
        <f t="shared" si="254"/>
        <v>150</v>
      </c>
      <c r="CX428" s="14">
        <f t="shared" si="255"/>
        <v>4</v>
      </c>
      <c r="CY428" s="14">
        <f t="shared" si="256"/>
        <v>1052</v>
      </c>
      <c r="CZ428" s="14">
        <f t="shared" si="257"/>
        <v>96</v>
      </c>
      <c r="DA428" s="14">
        <f t="shared" si="258"/>
        <v>0</v>
      </c>
      <c r="DB428" s="14">
        <f t="shared" si="259"/>
        <v>300</v>
      </c>
      <c r="DC428" s="14">
        <f t="shared" si="260"/>
        <v>0</v>
      </c>
      <c r="DD428" s="14">
        <f t="shared" si="261"/>
        <v>0</v>
      </c>
      <c r="DE428" s="14">
        <f t="shared" si="262"/>
        <v>9.6</v>
      </c>
      <c r="DF428" s="14">
        <f t="shared" si="263"/>
        <v>0</v>
      </c>
      <c r="DG428" s="14">
        <f t="shared" si="264"/>
        <v>20</v>
      </c>
      <c r="DH428" s="14">
        <f t="shared" si="265"/>
        <v>5</v>
      </c>
      <c r="DI428" s="14">
        <f t="shared" si="266"/>
        <v>15</v>
      </c>
      <c r="DL428" s="14">
        <f t="shared" si="248"/>
        <v>2</v>
      </c>
      <c r="DM428" s="14">
        <f t="shared" si="249"/>
        <v>0</v>
      </c>
      <c r="DN428" s="14" t="str">
        <f t="shared" si="267"/>
        <v>DefExt</v>
      </c>
      <c r="DO428" s="14">
        <f t="shared" si="268"/>
        <v>300</v>
      </c>
      <c r="DP428" s="14">
        <f t="shared" si="269"/>
        <v>9.6</v>
      </c>
      <c r="DQ428" s="14" t="str">
        <f t="shared" si="270"/>
        <v/>
      </c>
      <c r="DR428" s="14" t="str">
        <f t="shared" si="271"/>
        <v/>
      </c>
      <c r="DS428" s="14" t="str">
        <f t="shared" si="272"/>
        <v/>
      </c>
      <c r="DT428" s="14">
        <f t="shared" si="273"/>
        <v>20</v>
      </c>
      <c r="DU428" s="14">
        <f t="shared" si="274"/>
        <v>5</v>
      </c>
      <c r="DV428" s="14">
        <f t="shared" si="275"/>
        <v>15</v>
      </c>
      <c r="DW428" s="29" t="s">
        <v>758</v>
      </c>
      <c r="DX428" s="14">
        <f t="shared" si="276"/>
        <v>450</v>
      </c>
    </row>
    <row r="429" spans="91:128" ht="16.5" x14ac:dyDescent="0.2">
      <c r="CM429" s="13">
        <v>425</v>
      </c>
      <c r="CN429" s="14">
        <f t="shared" si="250"/>
        <v>59</v>
      </c>
      <c r="CO429" s="14">
        <f t="shared" si="251"/>
        <v>5</v>
      </c>
      <c r="CP429" s="14">
        <f t="shared" si="252"/>
        <v>5</v>
      </c>
      <c r="CQ429" s="14">
        <f t="shared" si="243"/>
        <v>5</v>
      </c>
      <c r="CR429" s="14">
        <f t="shared" si="244"/>
        <v>2054055</v>
      </c>
      <c r="CS429" s="13" t="str">
        <f t="shared" si="245"/>
        <v>150级寄灵人橙色套2-鞋子</v>
      </c>
      <c r="CT429" s="14">
        <f t="shared" si="246"/>
        <v>1</v>
      </c>
      <c r="CU429" s="14">
        <f t="shared" si="247"/>
        <v>4</v>
      </c>
      <c r="CV429" s="14">
        <f t="shared" si="253"/>
        <v>150</v>
      </c>
      <c r="CW429" s="14">
        <f t="shared" si="254"/>
        <v>150</v>
      </c>
      <c r="CX429" s="14">
        <f t="shared" si="255"/>
        <v>5</v>
      </c>
      <c r="CY429" s="14">
        <f t="shared" si="256"/>
        <v>1052</v>
      </c>
      <c r="CZ429" s="14">
        <f t="shared" si="257"/>
        <v>60</v>
      </c>
      <c r="DA429" s="14">
        <f t="shared" si="258"/>
        <v>0</v>
      </c>
      <c r="DB429" s="14">
        <f t="shared" si="259"/>
        <v>0</v>
      </c>
      <c r="DC429" s="14">
        <f t="shared" si="260"/>
        <v>1800</v>
      </c>
      <c r="DD429" s="14">
        <f t="shared" si="261"/>
        <v>0</v>
      </c>
      <c r="DE429" s="14">
        <f t="shared" si="262"/>
        <v>0</v>
      </c>
      <c r="DF429" s="14">
        <f t="shared" si="263"/>
        <v>60</v>
      </c>
      <c r="DG429" s="14">
        <f t="shared" si="264"/>
        <v>20</v>
      </c>
      <c r="DH429" s="14">
        <f t="shared" si="265"/>
        <v>5</v>
      </c>
      <c r="DI429" s="14">
        <f t="shared" si="266"/>
        <v>15</v>
      </c>
      <c r="DL429" s="14">
        <f t="shared" si="248"/>
        <v>3</v>
      </c>
      <c r="DM429" s="14">
        <f t="shared" si="249"/>
        <v>0</v>
      </c>
      <c r="DN429" s="14" t="str">
        <f t="shared" si="267"/>
        <v>HPExt</v>
      </c>
      <c r="DO429" s="14">
        <f t="shared" si="268"/>
        <v>1800</v>
      </c>
      <c r="DP429" s="14">
        <f t="shared" si="269"/>
        <v>60</v>
      </c>
      <c r="DQ429" s="14" t="str">
        <f t="shared" si="270"/>
        <v/>
      </c>
      <c r="DR429" s="14" t="str">
        <f t="shared" si="271"/>
        <v/>
      </c>
      <c r="DS429" s="14" t="str">
        <f t="shared" si="272"/>
        <v/>
      </c>
      <c r="DT429" s="14">
        <f t="shared" si="273"/>
        <v>20</v>
      </c>
      <c r="DU429" s="14">
        <f t="shared" si="274"/>
        <v>5</v>
      </c>
      <c r="DV429" s="14">
        <f t="shared" si="275"/>
        <v>15</v>
      </c>
      <c r="DW429" s="29" t="s">
        <v>758</v>
      </c>
      <c r="DX429" s="14">
        <f t="shared" si="276"/>
        <v>450</v>
      </c>
    </row>
    <row r="430" spans="91:128" ht="16.5" x14ac:dyDescent="0.2">
      <c r="CM430" s="13">
        <v>426</v>
      </c>
      <c r="CN430" s="14">
        <f t="shared" si="250"/>
        <v>59</v>
      </c>
      <c r="CO430" s="14">
        <f t="shared" si="251"/>
        <v>5</v>
      </c>
      <c r="CP430" s="14">
        <f t="shared" si="252"/>
        <v>6</v>
      </c>
      <c r="CQ430" s="14">
        <f t="shared" si="243"/>
        <v>5</v>
      </c>
      <c r="CR430" s="14">
        <f t="shared" si="244"/>
        <v>2054056</v>
      </c>
      <c r="CS430" s="13" t="str">
        <f t="shared" si="245"/>
        <v>150级寄灵人橙色套2-护手</v>
      </c>
      <c r="CT430" s="14">
        <f t="shared" si="246"/>
        <v>1</v>
      </c>
      <c r="CU430" s="14">
        <f t="shared" si="247"/>
        <v>4</v>
      </c>
      <c r="CV430" s="14">
        <f t="shared" si="253"/>
        <v>150</v>
      </c>
      <c r="CW430" s="14">
        <f t="shared" si="254"/>
        <v>150</v>
      </c>
      <c r="CX430" s="14">
        <f t="shared" si="255"/>
        <v>6</v>
      </c>
      <c r="CY430" s="14">
        <f t="shared" si="256"/>
        <v>1052</v>
      </c>
      <c r="CZ430" s="14">
        <f t="shared" si="257"/>
        <v>60</v>
      </c>
      <c r="DA430" s="14">
        <f t="shared" si="258"/>
        <v>0</v>
      </c>
      <c r="DB430" s="14">
        <f t="shared" si="259"/>
        <v>0</v>
      </c>
      <c r="DC430" s="14">
        <f t="shared" si="260"/>
        <v>1800</v>
      </c>
      <c r="DD430" s="14">
        <f t="shared" si="261"/>
        <v>0</v>
      </c>
      <c r="DE430" s="14">
        <f t="shared" si="262"/>
        <v>0</v>
      </c>
      <c r="DF430" s="14">
        <f t="shared" si="263"/>
        <v>60</v>
      </c>
      <c r="DG430" s="14">
        <f t="shared" si="264"/>
        <v>20</v>
      </c>
      <c r="DH430" s="14">
        <f t="shared" si="265"/>
        <v>5</v>
      </c>
      <c r="DI430" s="14">
        <f t="shared" si="266"/>
        <v>15</v>
      </c>
      <c r="DL430" s="14">
        <f t="shared" si="248"/>
        <v>3</v>
      </c>
      <c r="DM430" s="14">
        <f t="shared" si="249"/>
        <v>0</v>
      </c>
      <c r="DN430" s="14" t="str">
        <f t="shared" si="267"/>
        <v>HPExt</v>
      </c>
      <c r="DO430" s="14">
        <f t="shared" si="268"/>
        <v>1800</v>
      </c>
      <c r="DP430" s="14">
        <f t="shared" si="269"/>
        <v>60</v>
      </c>
      <c r="DQ430" s="14" t="str">
        <f t="shared" si="270"/>
        <v/>
      </c>
      <c r="DR430" s="14" t="str">
        <f t="shared" si="271"/>
        <v/>
      </c>
      <c r="DS430" s="14" t="str">
        <f t="shared" si="272"/>
        <v/>
      </c>
      <c r="DT430" s="14">
        <f t="shared" si="273"/>
        <v>20</v>
      </c>
      <c r="DU430" s="14">
        <f t="shared" si="274"/>
        <v>5</v>
      </c>
      <c r="DV430" s="14">
        <f t="shared" si="275"/>
        <v>15</v>
      </c>
      <c r="DW430" s="29" t="s">
        <v>758</v>
      </c>
      <c r="DX430" s="14">
        <f t="shared" si="276"/>
        <v>450</v>
      </c>
    </row>
    <row r="431" spans="91:128" ht="16.5" x14ac:dyDescent="0.2">
      <c r="CM431" s="13">
        <v>427</v>
      </c>
      <c r="CN431" s="14">
        <f t="shared" si="250"/>
        <v>60</v>
      </c>
      <c r="CO431" s="14">
        <f t="shared" si="251"/>
        <v>6</v>
      </c>
      <c r="CP431" s="14">
        <f t="shared" si="252"/>
        <v>1</v>
      </c>
      <c r="CQ431" s="14">
        <f t="shared" si="243"/>
        <v>5</v>
      </c>
      <c r="CR431" s="14">
        <f t="shared" si="244"/>
        <v>2054061</v>
      </c>
      <c r="CS431" s="13" t="str">
        <f t="shared" si="245"/>
        <v>150级守护灵橙色套2-武器</v>
      </c>
      <c r="CT431" s="14">
        <f t="shared" si="246"/>
        <v>2</v>
      </c>
      <c r="CU431" s="14">
        <f t="shared" si="247"/>
        <v>4</v>
      </c>
      <c r="CV431" s="14">
        <f t="shared" si="253"/>
        <v>150</v>
      </c>
      <c r="CW431" s="14">
        <f t="shared" si="254"/>
        <v>150</v>
      </c>
      <c r="CX431" s="14">
        <f t="shared" si="255"/>
        <v>1</v>
      </c>
      <c r="CY431" s="14">
        <f t="shared" si="256"/>
        <v>2052</v>
      </c>
      <c r="CZ431" s="14">
        <f t="shared" si="257"/>
        <v>195</v>
      </c>
      <c r="DA431" s="14">
        <f t="shared" si="258"/>
        <v>1500</v>
      </c>
      <c r="DB431" s="14">
        <f t="shared" si="259"/>
        <v>0</v>
      </c>
      <c r="DC431" s="14">
        <f t="shared" si="260"/>
        <v>0</v>
      </c>
      <c r="DD431" s="14">
        <f t="shared" si="261"/>
        <v>39</v>
      </c>
      <c r="DE431" s="14">
        <f t="shared" si="262"/>
        <v>0</v>
      </c>
      <c r="DF431" s="14">
        <f t="shared" si="263"/>
        <v>0</v>
      </c>
      <c r="DG431" s="14">
        <f t="shared" si="264"/>
        <v>20</v>
      </c>
      <c r="DH431" s="14">
        <f t="shared" si="265"/>
        <v>5</v>
      </c>
      <c r="DI431" s="14">
        <f t="shared" si="266"/>
        <v>25</v>
      </c>
      <c r="DL431" s="14">
        <f t="shared" si="248"/>
        <v>1</v>
      </c>
      <c r="DM431" s="14">
        <f t="shared" si="249"/>
        <v>0</v>
      </c>
      <c r="DN431" s="14" t="str">
        <f t="shared" si="267"/>
        <v>AtkExt</v>
      </c>
      <c r="DO431" s="14">
        <f t="shared" si="268"/>
        <v>1500</v>
      </c>
      <c r="DP431" s="14">
        <f t="shared" si="269"/>
        <v>39</v>
      </c>
      <c r="DQ431" s="14" t="str">
        <f t="shared" si="270"/>
        <v/>
      </c>
      <c r="DR431" s="14" t="str">
        <f t="shared" si="271"/>
        <v/>
      </c>
      <c r="DS431" s="14" t="str">
        <f t="shared" si="272"/>
        <v/>
      </c>
      <c r="DT431" s="14">
        <f t="shared" si="273"/>
        <v>20</v>
      </c>
      <c r="DU431" s="14">
        <f t="shared" si="274"/>
        <v>5</v>
      </c>
      <c r="DV431" s="14">
        <f t="shared" si="275"/>
        <v>25</v>
      </c>
      <c r="DW431" s="29" t="s">
        <v>758</v>
      </c>
      <c r="DX431" s="14">
        <f t="shared" si="276"/>
        <v>450</v>
      </c>
    </row>
    <row r="432" spans="91:128" ht="16.5" x14ac:dyDescent="0.2">
      <c r="CM432" s="13">
        <v>428</v>
      </c>
      <c r="CN432" s="14">
        <f t="shared" si="250"/>
        <v>60</v>
      </c>
      <c r="CO432" s="14">
        <f t="shared" si="251"/>
        <v>6</v>
      </c>
      <c r="CP432" s="14">
        <f t="shared" si="252"/>
        <v>2</v>
      </c>
      <c r="CQ432" s="14">
        <f t="shared" si="243"/>
        <v>5</v>
      </c>
      <c r="CR432" s="14">
        <f t="shared" si="244"/>
        <v>2054062</v>
      </c>
      <c r="CS432" s="13" t="str">
        <f t="shared" si="245"/>
        <v>150级守护灵橙色套2-头盔</v>
      </c>
      <c r="CT432" s="14">
        <f t="shared" si="246"/>
        <v>2</v>
      </c>
      <c r="CU432" s="14">
        <f t="shared" si="247"/>
        <v>4</v>
      </c>
      <c r="CV432" s="14">
        <f t="shared" si="253"/>
        <v>150</v>
      </c>
      <c r="CW432" s="14">
        <f t="shared" si="254"/>
        <v>150</v>
      </c>
      <c r="CX432" s="14">
        <f t="shared" si="255"/>
        <v>2</v>
      </c>
      <c r="CY432" s="14">
        <f t="shared" si="256"/>
        <v>2052</v>
      </c>
      <c r="CZ432" s="14">
        <f t="shared" si="257"/>
        <v>96</v>
      </c>
      <c r="DA432" s="14">
        <f t="shared" si="258"/>
        <v>0</v>
      </c>
      <c r="DB432" s="14">
        <f t="shared" si="259"/>
        <v>338</v>
      </c>
      <c r="DC432" s="14">
        <f t="shared" si="260"/>
        <v>0</v>
      </c>
      <c r="DD432" s="14">
        <f t="shared" si="261"/>
        <v>0</v>
      </c>
      <c r="DE432" s="14">
        <f t="shared" si="262"/>
        <v>9.6</v>
      </c>
      <c r="DF432" s="14">
        <f t="shared" si="263"/>
        <v>0</v>
      </c>
      <c r="DG432" s="14">
        <f t="shared" si="264"/>
        <v>20</v>
      </c>
      <c r="DH432" s="14">
        <f t="shared" si="265"/>
        <v>5</v>
      </c>
      <c r="DI432" s="14">
        <f t="shared" si="266"/>
        <v>25</v>
      </c>
      <c r="DL432" s="14">
        <f t="shared" si="248"/>
        <v>2</v>
      </c>
      <c r="DM432" s="14">
        <f t="shared" si="249"/>
        <v>0</v>
      </c>
      <c r="DN432" s="14" t="str">
        <f t="shared" si="267"/>
        <v>DefExt</v>
      </c>
      <c r="DO432" s="14">
        <f t="shared" si="268"/>
        <v>338</v>
      </c>
      <c r="DP432" s="14">
        <f t="shared" si="269"/>
        <v>9.6</v>
      </c>
      <c r="DQ432" s="14" t="str">
        <f t="shared" si="270"/>
        <v/>
      </c>
      <c r="DR432" s="14" t="str">
        <f t="shared" si="271"/>
        <v/>
      </c>
      <c r="DS432" s="14" t="str">
        <f t="shared" si="272"/>
        <v/>
      </c>
      <c r="DT432" s="14">
        <f t="shared" si="273"/>
        <v>20</v>
      </c>
      <c r="DU432" s="14">
        <f t="shared" si="274"/>
        <v>5</v>
      </c>
      <c r="DV432" s="14">
        <f t="shared" si="275"/>
        <v>25</v>
      </c>
      <c r="DW432" s="29" t="s">
        <v>758</v>
      </c>
      <c r="DX432" s="14">
        <f t="shared" si="276"/>
        <v>450</v>
      </c>
    </row>
    <row r="433" spans="91:128" ht="16.5" x14ac:dyDescent="0.2">
      <c r="CM433" s="13">
        <v>429</v>
      </c>
      <c r="CN433" s="14">
        <f t="shared" si="250"/>
        <v>60</v>
      </c>
      <c r="CO433" s="14">
        <f t="shared" si="251"/>
        <v>6</v>
      </c>
      <c r="CP433" s="14">
        <f t="shared" si="252"/>
        <v>3</v>
      </c>
      <c r="CQ433" s="14">
        <f t="shared" si="243"/>
        <v>5</v>
      </c>
      <c r="CR433" s="14">
        <f t="shared" si="244"/>
        <v>2054063</v>
      </c>
      <c r="CS433" s="13" t="str">
        <f t="shared" si="245"/>
        <v>150级守护灵橙色套2-肩甲</v>
      </c>
      <c r="CT433" s="14">
        <f t="shared" si="246"/>
        <v>2</v>
      </c>
      <c r="CU433" s="14">
        <f t="shared" si="247"/>
        <v>4</v>
      </c>
      <c r="CV433" s="14">
        <f t="shared" si="253"/>
        <v>150</v>
      </c>
      <c r="CW433" s="14">
        <f t="shared" si="254"/>
        <v>150</v>
      </c>
      <c r="CX433" s="14">
        <f t="shared" si="255"/>
        <v>3</v>
      </c>
      <c r="CY433" s="14">
        <f t="shared" si="256"/>
        <v>2052</v>
      </c>
      <c r="CZ433" s="14">
        <f t="shared" si="257"/>
        <v>100</v>
      </c>
      <c r="DA433" s="14">
        <f t="shared" si="258"/>
        <v>0</v>
      </c>
      <c r="DB433" s="14">
        <f t="shared" si="259"/>
        <v>169</v>
      </c>
      <c r="DC433" s="14">
        <f t="shared" si="260"/>
        <v>1800</v>
      </c>
      <c r="DD433" s="14">
        <f t="shared" si="261"/>
        <v>0</v>
      </c>
      <c r="DE433" s="14">
        <f t="shared" si="262"/>
        <v>4.8</v>
      </c>
      <c r="DF433" s="14">
        <f t="shared" si="263"/>
        <v>52.5</v>
      </c>
      <c r="DG433" s="14">
        <f t="shared" si="264"/>
        <v>20</v>
      </c>
      <c r="DH433" s="14">
        <f t="shared" si="265"/>
        <v>5</v>
      </c>
      <c r="DI433" s="14">
        <f t="shared" si="266"/>
        <v>25</v>
      </c>
      <c r="DL433" s="14">
        <f t="shared" si="248"/>
        <v>2</v>
      </c>
      <c r="DM433" s="14">
        <f t="shared" si="249"/>
        <v>3</v>
      </c>
      <c r="DN433" s="14" t="str">
        <f t="shared" si="267"/>
        <v>DefExt</v>
      </c>
      <c r="DO433" s="14">
        <f t="shared" si="268"/>
        <v>169</v>
      </c>
      <c r="DP433" s="14">
        <f t="shared" si="269"/>
        <v>4.8</v>
      </c>
      <c r="DQ433" s="14" t="str">
        <f t="shared" si="270"/>
        <v>HPExt</v>
      </c>
      <c r="DR433" s="14">
        <f t="shared" si="271"/>
        <v>1800</v>
      </c>
      <c r="DS433" s="14">
        <f t="shared" si="272"/>
        <v>52.5</v>
      </c>
      <c r="DT433" s="14">
        <f t="shared" si="273"/>
        <v>20</v>
      </c>
      <c r="DU433" s="14">
        <f t="shared" si="274"/>
        <v>5</v>
      </c>
      <c r="DV433" s="14">
        <f t="shared" si="275"/>
        <v>25</v>
      </c>
      <c r="DW433" s="29" t="s">
        <v>758</v>
      </c>
      <c r="DX433" s="14">
        <f t="shared" si="276"/>
        <v>450</v>
      </c>
    </row>
    <row r="434" spans="91:128" ht="16.5" x14ac:dyDescent="0.2">
      <c r="CM434" s="13">
        <v>430</v>
      </c>
      <c r="CN434" s="14">
        <f t="shared" si="250"/>
        <v>60</v>
      </c>
      <c r="CO434" s="14">
        <f t="shared" si="251"/>
        <v>6</v>
      </c>
      <c r="CP434" s="14">
        <f t="shared" si="252"/>
        <v>4</v>
      </c>
      <c r="CQ434" s="14">
        <f t="shared" si="243"/>
        <v>5</v>
      </c>
      <c r="CR434" s="14">
        <f t="shared" si="244"/>
        <v>2054064</v>
      </c>
      <c r="CS434" s="13" t="str">
        <f t="shared" si="245"/>
        <v>150级守护灵橙色套2-衣服</v>
      </c>
      <c r="CT434" s="14">
        <f t="shared" si="246"/>
        <v>2</v>
      </c>
      <c r="CU434" s="14">
        <f t="shared" si="247"/>
        <v>4</v>
      </c>
      <c r="CV434" s="14">
        <f t="shared" si="253"/>
        <v>150</v>
      </c>
      <c r="CW434" s="14">
        <f t="shared" si="254"/>
        <v>150</v>
      </c>
      <c r="CX434" s="14">
        <f t="shared" si="255"/>
        <v>4</v>
      </c>
      <c r="CY434" s="14">
        <f t="shared" si="256"/>
        <v>2052</v>
      </c>
      <c r="CZ434" s="14">
        <f t="shared" si="257"/>
        <v>96</v>
      </c>
      <c r="DA434" s="14">
        <f t="shared" si="258"/>
        <v>0</v>
      </c>
      <c r="DB434" s="14">
        <f t="shared" si="259"/>
        <v>338</v>
      </c>
      <c r="DC434" s="14">
        <f t="shared" si="260"/>
        <v>0</v>
      </c>
      <c r="DD434" s="14">
        <f t="shared" si="261"/>
        <v>0</v>
      </c>
      <c r="DE434" s="14">
        <f t="shared" si="262"/>
        <v>9.6</v>
      </c>
      <c r="DF434" s="14">
        <f t="shared" si="263"/>
        <v>0</v>
      </c>
      <c r="DG434" s="14">
        <f t="shared" si="264"/>
        <v>20</v>
      </c>
      <c r="DH434" s="14">
        <f t="shared" si="265"/>
        <v>5</v>
      </c>
      <c r="DI434" s="14">
        <f t="shared" si="266"/>
        <v>25</v>
      </c>
      <c r="DL434" s="14">
        <f t="shared" si="248"/>
        <v>2</v>
      </c>
      <c r="DM434" s="14">
        <f t="shared" si="249"/>
        <v>0</v>
      </c>
      <c r="DN434" s="14" t="str">
        <f t="shared" si="267"/>
        <v>DefExt</v>
      </c>
      <c r="DO434" s="14">
        <f t="shared" si="268"/>
        <v>338</v>
      </c>
      <c r="DP434" s="14">
        <f t="shared" si="269"/>
        <v>9.6</v>
      </c>
      <c r="DQ434" s="14" t="str">
        <f t="shared" si="270"/>
        <v/>
      </c>
      <c r="DR434" s="14" t="str">
        <f t="shared" si="271"/>
        <v/>
      </c>
      <c r="DS434" s="14" t="str">
        <f t="shared" si="272"/>
        <v/>
      </c>
      <c r="DT434" s="14">
        <f t="shared" si="273"/>
        <v>20</v>
      </c>
      <c r="DU434" s="14">
        <f t="shared" si="274"/>
        <v>5</v>
      </c>
      <c r="DV434" s="14">
        <f t="shared" si="275"/>
        <v>25</v>
      </c>
      <c r="DW434" s="29" t="s">
        <v>758</v>
      </c>
      <c r="DX434" s="14">
        <f t="shared" si="276"/>
        <v>450</v>
      </c>
    </row>
    <row r="435" spans="91:128" ht="16.5" x14ac:dyDescent="0.2">
      <c r="CM435" s="13">
        <v>431</v>
      </c>
      <c r="CN435" s="14">
        <f t="shared" si="250"/>
        <v>60</v>
      </c>
      <c r="CO435" s="14">
        <f t="shared" si="251"/>
        <v>6</v>
      </c>
      <c r="CP435" s="14">
        <f t="shared" si="252"/>
        <v>5</v>
      </c>
      <c r="CQ435" s="14">
        <f t="shared" si="243"/>
        <v>5</v>
      </c>
      <c r="CR435" s="14">
        <f t="shared" si="244"/>
        <v>2054065</v>
      </c>
      <c r="CS435" s="13" t="str">
        <f t="shared" si="245"/>
        <v>150级守护灵橙色套2-鞋子</v>
      </c>
      <c r="CT435" s="14">
        <f t="shared" si="246"/>
        <v>2</v>
      </c>
      <c r="CU435" s="14">
        <f t="shared" si="247"/>
        <v>4</v>
      </c>
      <c r="CV435" s="14">
        <f t="shared" si="253"/>
        <v>150</v>
      </c>
      <c r="CW435" s="14">
        <f t="shared" si="254"/>
        <v>150</v>
      </c>
      <c r="CX435" s="14">
        <f t="shared" si="255"/>
        <v>5</v>
      </c>
      <c r="CY435" s="14">
        <f t="shared" si="256"/>
        <v>2052</v>
      </c>
      <c r="CZ435" s="14">
        <f t="shared" si="257"/>
        <v>105</v>
      </c>
      <c r="DA435" s="14">
        <f t="shared" si="258"/>
        <v>0</v>
      </c>
      <c r="DB435" s="14">
        <f t="shared" si="259"/>
        <v>0</v>
      </c>
      <c r="DC435" s="14">
        <f t="shared" si="260"/>
        <v>3600</v>
      </c>
      <c r="DD435" s="14">
        <f t="shared" si="261"/>
        <v>0</v>
      </c>
      <c r="DE435" s="14">
        <f t="shared" si="262"/>
        <v>0</v>
      </c>
      <c r="DF435" s="14">
        <f t="shared" si="263"/>
        <v>105</v>
      </c>
      <c r="DG435" s="14">
        <f t="shared" si="264"/>
        <v>20</v>
      </c>
      <c r="DH435" s="14">
        <f t="shared" si="265"/>
        <v>5</v>
      </c>
      <c r="DI435" s="14">
        <f t="shared" si="266"/>
        <v>25</v>
      </c>
      <c r="DL435" s="14">
        <f t="shared" si="248"/>
        <v>3</v>
      </c>
      <c r="DM435" s="14">
        <f t="shared" si="249"/>
        <v>0</v>
      </c>
      <c r="DN435" s="14" t="str">
        <f t="shared" si="267"/>
        <v>HPExt</v>
      </c>
      <c r="DO435" s="14">
        <f t="shared" si="268"/>
        <v>3600</v>
      </c>
      <c r="DP435" s="14">
        <f t="shared" si="269"/>
        <v>105</v>
      </c>
      <c r="DQ435" s="14" t="str">
        <f t="shared" si="270"/>
        <v/>
      </c>
      <c r="DR435" s="14" t="str">
        <f t="shared" si="271"/>
        <v/>
      </c>
      <c r="DS435" s="14" t="str">
        <f t="shared" si="272"/>
        <v/>
      </c>
      <c r="DT435" s="14">
        <f t="shared" si="273"/>
        <v>20</v>
      </c>
      <c r="DU435" s="14">
        <f t="shared" si="274"/>
        <v>5</v>
      </c>
      <c r="DV435" s="14">
        <f t="shared" si="275"/>
        <v>25</v>
      </c>
      <c r="DW435" s="29" t="s">
        <v>758</v>
      </c>
      <c r="DX435" s="14">
        <f t="shared" si="276"/>
        <v>450</v>
      </c>
    </row>
    <row r="436" spans="91:128" ht="16.5" x14ac:dyDescent="0.2">
      <c r="CM436" s="13">
        <v>432</v>
      </c>
      <c r="CN436" s="14">
        <f t="shared" si="250"/>
        <v>60</v>
      </c>
      <c r="CO436" s="14">
        <f t="shared" si="251"/>
        <v>6</v>
      </c>
      <c r="CP436" s="14">
        <f t="shared" si="252"/>
        <v>6</v>
      </c>
      <c r="CQ436" s="14">
        <f t="shared" si="243"/>
        <v>5</v>
      </c>
      <c r="CR436" s="14">
        <f t="shared" si="244"/>
        <v>2054066</v>
      </c>
      <c r="CS436" s="13" t="str">
        <f t="shared" si="245"/>
        <v>150级守护灵橙色套2-护手</v>
      </c>
      <c r="CT436" s="14">
        <f t="shared" si="246"/>
        <v>2</v>
      </c>
      <c r="CU436" s="14">
        <f t="shared" si="247"/>
        <v>4</v>
      </c>
      <c r="CV436" s="14">
        <f t="shared" si="253"/>
        <v>150</v>
      </c>
      <c r="CW436" s="14">
        <f t="shared" si="254"/>
        <v>150</v>
      </c>
      <c r="CX436" s="14">
        <f t="shared" si="255"/>
        <v>6</v>
      </c>
      <c r="CY436" s="14">
        <f t="shared" si="256"/>
        <v>2052</v>
      </c>
      <c r="CZ436" s="14">
        <f t="shared" si="257"/>
        <v>105</v>
      </c>
      <c r="DA436" s="14">
        <f t="shared" si="258"/>
        <v>0</v>
      </c>
      <c r="DB436" s="14">
        <f t="shared" si="259"/>
        <v>0</v>
      </c>
      <c r="DC436" s="14">
        <f t="shared" si="260"/>
        <v>3600</v>
      </c>
      <c r="DD436" s="14">
        <f t="shared" si="261"/>
        <v>0</v>
      </c>
      <c r="DE436" s="14">
        <f t="shared" si="262"/>
        <v>0</v>
      </c>
      <c r="DF436" s="14">
        <f t="shared" si="263"/>
        <v>105</v>
      </c>
      <c r="DG436" s="14">
        <f t="shared" si="264"/>
        <v>20</v>
      </c>
      <c r="DH436" s="14">
        <f t="shared" si="265"/>
        <v>5</v>
      </c>
      <c r="DI436" s="14">
        <f t="shared" si="266"/>
        <v>25</v>
      </c>
      <c r="DL436" s="14">
        <f t="shared" si="248"/>
        <v>3</v>
      </c>
      <c r="DM436" s="14">
        <f t="shared" si="249"/>
        <v>0</v>
      </c>
      <c r="DN436" s="14" t="str">
        <f t="shared" si="267"/>
        <v>HPExt</v>
      </c>
      <c r="DO436" s="14">
        <f t="shared" si="268"/>
        <v>3600</v>
      </c>
      <c r="DP436" s="14">
        <f t="shared" si="269"/>
        <v>105</v>
      </c>
      <c r="DQ436" s="14" t="str">
        <f t="shared" si="270"/>
        <v/>
      </c>
      <c r="DR436" s="14" t="str">
        <f t="shared" si="271"/>
        <v/>
      </c>
      <c r="DS436" s="14" t="str">
        <f t="shared" si="272"/>
        <v/>
      </c>
      <c r="DT436" s="14">
        <f t="shared" si="273"/>
        <v>20</v>
      </c>
      <c r="DU436" s="14">
        <f t="shared" si="274"/>
        <v>5</v>
      </c>
      <c r="DV436" s="14">
        <f t="shared" si="275"/>
        <v>25</v>
      </c>
      <c r="DW436" s="29" t="s">
        <v>758</v>
      </c>
      <c r="DX436" s="14">
        <f t="shared" si="276"/>
        <v>450</v>
      </c>
    </row>
    <row r="437" spans="91:128" ht="16.5" x14ac:dyDescent="0.2">
      <c r="CM437" s="13">
        <v>433</v>
      </c>
      <c r="CN437" s="14">
        <f t="shared" si="250"/>
        <v>61</v>
      </c>
      <c r="CO437" s="14">
        <f t="shared" si="251"/>
        <v>7</v>
      </c>
      <c r="CP437" s="14">
        <f t="shared" si="252"/>
        <v>1</v>
      </c>
      <c r="CQ437" s="14">
        <f t="shared" si="243"/>
        <v>5</v>
      </c>
      <c r="CR437" s="14">
        <f t="shared" si="244"/>
        <v>2054071</v>
      </c>
      <c r="CS437" s="13" t="str">
        <f t="shared" si="245"/>
        <v>150级寄灵人橙色套3-武器</v>
      </c>
      <c r="CT437" s="14">
        <f t="shared" si="246"/>
        <v>1</v>
      </c>
      <c r="CU437" s="14">
        <f t="shared" si="247"/>
        <v>4</v>
      </c>
      <c r="CV437" s="14">
        <f t="shared" si="253"/>
        <v>150</v>
      </c>
      <c r="CW437" s="14">
        <f t="shared" si="254"/>
        <v>150</v>
      </c>
      <c r="CX437" s="14">
        <f t="shared" si="255"/>
        <v>1</v>
      </c>
      <c r="CY437" s="14">
        <f t="shared" si="256"/>
        <v>1053</v>
      </c>
      <c r="CZ437" s="14">
        <f t="shared" si="257"/>
        <v>195</v>
      </c>
      <c r="DA437" s="14">
        <f t="shared" si="258"/>
        <v>1200</v>
      </c>
      <c r="DB437" s="14">
        <f t="shared" si="259"/>
        <v>0</v>
      </c>
      <c r="DC437" s="14">
        <f t="shared" si="260"/>
        <v>0</v>
      </c>
      <c r="DD437" s="14">
        <f t="shared" si="261"/>
        <v>39</v>
      </c>
      <c r="DE437" s="14">
        <f t="shared" si="262"/>
        <v>0</v>
      </c>
      <c r="DF437" s="14">
        <f t="shared" si="263"/>
        <v>0</v>
      </c>
      <c r="DG437" s="14">
        <f t="shared" si="264"/>
        <v>20</v>
      </c>
      <c r="DH437" s="14">
        <f t="shared" si="265"/>
        <v>5</v>
      </c>
      <c r="DI437" s="14">
        <f t="shared" si="266"/>
        <v>15</v>
      </c>
      <c r="DL437" s="14">
        <f t="shared" si="248"/>
        <v>1</v>
      </c>
      <c r="DM437" s="14">
        <f t="shared" si="249"/>
        <v>0</v>
      </c>
      <c r="DN437" s="14" t="str">
        <f t="shared" si="267"/>
        <v>AtkExt</v>
      </c>
      <c r="DO437" s="14">
        <f t="shared" si="268"/>
        <v>1200</v>
      </c>
      <c r="DP437" s="14">
        <f t="shared" si="269"/>
        <v>39</v>
      </c>
      <c r="DQ437" s="14" t="str">
        <f t="shared" si="270"/>
        <v/>
      </c>
      <c r="DR437" s="14" t="str">
        <f t="shared" si="271"/>
        <v/>
      </c>
      <c r="DS437" s="14" t="str">
        <f t="shared" si="272"/>
        <v/>
      </c>
      <c r="DT437" s="14">
        <f t="shared" si="273"/>
        <v>20</v>
      </c>
      <c r="DU437" s="14">
        <f t="shared" si="274"/>
        <v>5</v>
      </c>
      <c r="DV437" s="14">
        <f t="shared" si="275"/>
        <v>15</v>
      </c>
      <c r="DW437" s="29" t="s">
        <v>758</v>
      </c>
      <c r="DX437" s="14">
        <f t="shared" si="276"/>
        <v>450</v>
      </c>
    </row>
    <row r="438" spans="91:128" ht="16.5" x14ac:dyDescent="0.2">
      <c r="CM438" s="13">
        <v>434</v>
      </c>
      <c r="CN438" s="14">
        <f t="shared" si="250"/>
        <v>61</v>
      </c>
      <c r="CO438" s="14">
        <f t="shared" si="251"/>
        <v>7</v>
      </c>
      <c r="CP438" s="14">
        <f t="shared" si="252"/>
        <v>2</v>
      </c>
      <c r="CQ438" s="14">
        <f t="shared" si="243"/>
        <v>5</v>
      </c>
      <c r="CR438" s="14">
        <f t="shared" si="244"/>
        <v>2054074</v>
      </c>
      <c r="CS438" s="13" t="str">
        <f t="shared" si="245"/>
        <v>150级寄灵人橙色套3-衣服</v>
      </c>
      <c r="CT438" s="14">
        <f t="shared" si="246"/>
        <v>1</v>
      </c>
      <c r="CU438" s="14">
        <f t="shared" si="247"/>
        <v>4</v>
      </c>
      <c r="CV438" s="14">
        <f t="shared" si="253"/>
        <v>150</v>
      </c>
      <c r="CW438" s="14">
        <f t="shared" si="254"/>
        <v>150</v>
      </c>
      <c r="CX438" s="14">
        <f t="shared" si="255"/>
        <v>4</v>
      </c>
      <c r="CY438" s="14">
        <f t="shared" si="256"/>
        <v>1053</v>
      </c>
      <c r="CZ438" s="14">
        <f t="shared" si="257"/>
        <v>96</v>
      </c>
      <c r="DA438" s="14">
        <f t="shared" si="258"/>
        <v>0</v>
      </c>
      <c r="DB438" s="14">
        <f t="shared" si="259"/>
        <v>300</v>
      </c>
      <c r="DC438" s="14">
        <f t="shared" si="260"/>
        <v>0</v>
      </c>
      <c r="DD438" s="14">
        <f t="shared" si="261"/>
        <v>0</v>
      </c>
      <c r="DE438" s="14">
        <f t="shared" si="262"/>
        <v>9.6</v>
      </c>
      <c r="DF438" s="14">
        <f t="shared" si="263"/>
        <v>0</v>
      </c>
      <c r="DG438" s="14">
        <f t="shared" si="264"/>
        <v>20</v>
      </c>
      <c r="DH438" s="14">
        <f t="shared" si="265"/>
        <v>5</v>
      </c>
      <c r="DI438" s="14">
        <f t="shared" si="266"/>
        <v>15</v>
      </c>
      <c r="DL438" s="14">
        <f t="shared" si="248"/>
        <v>2</v>
      </c>
      <c r="DM438" s="14">
        <f t="shared" si="249"/>
        <v>0</v>
      </c>
      <c r="DN438" s="14" t="str">
        <f t="shared" si="267"/>
        <v>DefExt</v>
      </c>
      <c r="DO438" s="14">
        <f t="shared" si="268"/>
        <v>300</v>
      </c>
      <c r="DP438" s="14">
        <f t="shared" si="269"/>
        <v>9.6</v>
      </c>
      <c r="DQ438" s="14" t="str">
        <f t="shared" si="270"/>
        <v/>
      </c>
      <c r="DR438" s="14" t="str">
        <f t="shared" si="271"/>
        <v/>
      </c>
      <c r="DS438" s="14" t="str">
        <f t="shared" si="272"/>
        <v/>
      </c>
      <c r="DT438" s="14">
        <f t="shared" si="273"/>
        <v>20</v>
      </c>
      <c r="DU438" s="14">
        <f t="shared" si="274"/>
        <v>5</v>
      </c>
      <c r="DV438" s="14">
        <f t="shared" si="275"/>
        <v>15</v>
      </c>
      <c r="DW438" s="29" t="s">
        <v>758</v>
      </c>
      <c r="DX438" s="14">
        <f t="shared" si="276"/>
        <v>450</v>
      </c>
    </row>
    <row r="439" spans="91:128" ht="16.5" x14ac:dyDescent="0.2">
      <c r="CM439" s="13">
        <v>435</v>
      </c>
      <c r="CN439" s="14">
        <f t="shared" si="250"/>
        <v>61</v>
      </c>
      <c r="CO439" s="14">
        <f t="shared" si="251"/>
        <v>7</v>
      </c>
      <c r="CP439" s="14">
        <f t="shared" si="252"/>
        <v>3</v>
      </c>
      <c r="CQ439" s="14">
        <f t="shared" si="243"/>
        <v>5</v>
      </c>
      <c r="CR439" s="14">
        <f t="shared" si="244"/>
        <v>2054075</v>
      </c>
      <c r="CS439" s="13" t="str">
        <f t="shared" si="245"/>
        <v>150级寄灵人橙色套3-鞋子</v>
      </c>
      <c r="CT439" s="14">
        <f t="shared" si="246"/>
        <v>1</v>
      </c>
      <c r="CU439" s="14">
        <f t="shared" si="247"/>
        <v>4</v>
      </c>
      <c r="CV439" s="14">
        <f t="shared" si="253"/>
        <v>150</v>
      </c>
      <c r="CW439" s="14">
        <f t="shared" si="254"/>
        <v>150</v>
      </c>
      <c r="CX439" s="14">
        <f t="shared" si="255"/>
        <v>5</v>
      </c>
      <c r="CY439" s="14">
        <f t="shared" si="256"/>
        <v>1053</v>
      </c>
      <c r="CZ439" s="14">
        <f t="shared" si="257"/>
        <v>60</v>
      </c>
      <c r="DA439" s="14">
        <f t="shared" si="258"/>
        <v>0</v>
      </c>
      <c r="DB439" s="14">
        <f t="shared" si="259"/>
        <v>0</v>
      </c>
      <c r="DC439" s="14">
        <f t="shared" si="260"/>
        <v>1800</v>
      </c>
      <c r="DD439" s="14">
        <f t="shared" si="261"/>
        <v>0</v>
      </c>
      <c r="DE439" s="14">
        <f t="shared" si="262"/>
        <v>0</v>
      </c>
      <c r="DF439" s="14">
        <f t="shared" si="263"/>
        <v>60</v>
      </c>
      <c r="DG439" s="14">
        <f t="shared" si="264"/>
        <v>20</v>
      </c>
      <c r="DH439" s="14">
        <f t="shared" si="265"/>
        <v>5</v>
      </c>
      <c r="DI439" s="14">
        <f t="shared" si="266"/>
        <v>15</v>
      </c>
      <c r="DL439" s="14">
        <f t="shared" si="248"/>
        <v>3</v>
      </c>
      <c r="DM439" s="14">
        <f t="shared" si="249"/>
        <v>0</v>
      </c>
      <c r="DN439" s="14" t="str">
        <f t="shared" si="267"/>
        <v>HPExt</v>
      </c>
      <c r="DO439" s="14">
        <f t="shared" si="268"/>
        <v>1800</v>
      </c>
      <c r="DP439" s="14">
        <f t="shared" si="269"/>
        <v>60</v>
      </c>
      <c r="DQ439" s="14" t="str">
        <f t="shared" si="270"/>
        <v/>
      </c>
      <c r="DR439" s="14" t="str">
        <f t="shared" si="271"/>
        <v/>
      </c>
      <c r="DS439" s="14" t="str">
        <f t="shared" si="272"/>
        <v/>
      </c>
      <c r="DT439" s="14">
        <f t="shared" si="273"/>
        <v>20</v>
      </c>
      <c r="DU439" s="14">
        <f t="shared" si="274"/>
        <v>5</v>
      </c>
      <c r="DV439" s="14">
        <f t="shared" si="275"/>
        <v>15</v>
      </c>
      <c r="DW439" s="29" t="s">
        <v>758</v>
      </c>
      <c r="DX439" s="14">
        <f t="shared" si="276"/>
        <v>450</v>
      </c>
    </row>
    <row r="440" spans="91:128" ht="16.5" x14ac:dyDescent="0.2">
      <c r="CM440" s="13">
        <v>436</v>
      </c>
      <c r="CN440" s="14">
        <f t="shared" si="250"/>
        <v>61</v>
      </c>
      <c r="CO440" s="14">
        <f t="shared" si="251"/>
        <v>7</v>
      </c>
      <c r="CP440" s="14">
        <f t="shared" si="252"/>
        <v>4</v>
      </c>
      <c r="CQ440" s="14">
        <f t="shared" si="243"/>
        <v>5</v>
      </c>
      <c r="CR440" s="14">
        <f t="shared" si="244"/>
        <v>2054076</v>
      </c>
      <c r="CS440" s="13" t="str">
        <f t="shared" si="245"/>
        <v>150级寄灵人橙色套3-护手</v>
      </c>
      <c r="CT440" s="14">
        <f t="shared" si="246"/>
        <v>1</v>
      </c>
      <c r="CU440" s="14">
        <f t="shared" si="247"/>
        <v>4</v>
      </c>
      <c r="CV440" s="14">
        <f t="shared" si="253"/>
        <v>150</v>
      </c>
      <c r="CW440" s="14">
        <f t="shared" si="254"/>
        <v>150</v>
      </c>
      <c r="CX440" s="14">
        <f t="shared" si="255"/>
        <v>6</v>
      </c>
      <c r="CY440" s="14">
        <f t="shared" si="256"/>
        <v>1053</v>
      </c>
      <c r="CZ440" s="14">
        <f t="shared" si="257"/>
        <v>60</v>
      </c>
      <c r="DA440" s="14">
        <f t="shared" si="258"/>
        <v>0</v>
      </c>
      <c r="DB440" s="14">
        <f t="shared" si="259"/>
        <v>0</v>
      </c>
      <c r="DC440" s="14">
        <f t="shared" si="260"/>
        <v>1800</v>
      </c>
      <c r="DD440" s="14">
        <f t="shared" si="261"/>
        <v>0</v>
      </c>
      <c r="DE440" s="14">
        <f t="shared" si="262"/>
        <v>0</v>
      </c>
      <c r="DF440" s="14">
        <f t="shared" si="263"/>
        <v>60</v>
      </c>
      <c r="DG440" s="14">
        <f t="shared" si="264"/>
        <v>20</v>
      </c>
      <c r="DH440" s="14">
        <f t="shared" si="265"/>
        <v>5</v>
      </c>
      <c r="DI440" s="14">
        <f t="shared" si="266"/>
        <v>15</v>
      </c>
      <c r="DL440" s="14">
        <f t="shared" si="248"/>
        <v>3</v>
      </c>
      <c r="DM440" s="14">
        <f t="shared" si="249"/>
        <v>0</v>
      </c>
      <c r="DN440" s="14" t="str">
        <f t="shared" si="267"/>
        <v>HPExt</v>
      </c>
      <c r="DO440" s="14">
        <f t="shared" si="268"/>
        <v>1800</v>
      </c>
      <c r="DP440" s="14">
        <f t="shared" si="269"/>
        <v>60</v>
      </c>
      <c r="DQ440" s="14" t="str">
        <f t="shared" si="270"/>
        <v/>
      </c>
      <c r="DR440" s="14" t="str">
        <f t="shared" si="271"/>
        <v/>
      </c>
      <c r="DS440" s="14" t="str">
        <f t="shared" si="272"/>
        <v/>
      </c>
      <c r="DT440" s="14">
        <f t="shared" si="273"/>
        <v>20</v>
      </c>
      <c r="DU440" s="14">
        <f t="shared" si="274"/>
        <v>5</v>
      </c>
      <c r="DV440" s="14">
        <f t="shared" si="275"/>
        <v>15</v>
      </c>
      <c r="DW440" s="29" t="s">
        <v>758</v>
      </c>
      <c r="DX440" s="14">
        <f t="shared" si="276"/>
        <v>450</v>
      </c>
    </row>
    <row r="441" spans="91:128" ht="16.5" x14ac:dyDescent="0.2">
      <c r="CM441" s="13">
        <v>437</v>
      </c>
      <c r="CN441" s="14">
        <f t="shared" si="250"/>
        <v>61</v>
      </c>
      <c r="CO441" s="14">
        <f t="shared" si="251"/>
        <v>7</v>
      </c>
      <c r="CP441" s="14">
        <f t="shared" si="252"/>
        <v>5</v>
      </c>
      <c r="CQ441" s="14">
        <f t="shared" si="243"/>
        <v>5</v>
      </c>
      <c r="CR441" s="14">
        <f t="shared" si="244"/>
        <v>2054077</v>
      </c>
      <c r="CS441" s="13" t="str">
        <f t="shared" si="245"/>
        <v>150级寄灵人橙色套3-项链</v>
      </c>
      <c r="CT441" s="14">
        <f t="shared" si="246"/>
        <v>1</v>
      </c>
      <c r="CU441" s="14">
        <f t="shared" si="247"/>
        <v>4</v>
      </c>
      <c r="CV441" s="14">
        <f t="shared" si="253"/>
        <v>150</v>
      </c>
      <c r="CW441" s="14">
        <f t="shared" si="254"/>
        <v>150</v>
      </c>
      <c r="CX441" s="14">
        <f t="shared" si="255"/>
        <v>7</v>
      </c>
      <c r="CY441" s="14">
        <f t="shared" si="256"/>
        <v>1053</v>
      </c>
      <c r="CZ441" s="14">
        <f t="shared" si="257"/>
        <v>145</v>
      </c>
      <c r="DA441" s="14">
        <f t="shared" si="258"/>
        <v>400</v>
      </c>
      <c r="DB441" s="14">
        <f t="shared" si="259"/>
        <v>250</v>
      </c>
      <c r="DC441" s="14">
        <f t="shared" si="260"/>
        <v>0</v>
      </c>
      <c r="DD441" s="14">
        <f t="shared" si="261"/>
        <v>13</v>
      </c>
      <c r="DE441" s="14">
        <f t="shared" si="262"/>
        <v>8</v>
      </c>
      <c r="DF441" s="14">
        <f t="shared" si="263"/>
        <v>0</v>
      </c>
      <c r="DG441" s="14">
        <f t="shared" si="264"/>
        <v>20</v>
      </c>
      <c r="DH441" s="14">
        <f t="shared" si="265"/>
        <v>5</v>
      </c>
      <c r="DI441" s="14">
        <f t="shared" si="266"/>
        <v>15</v>
      </c>
      <c r="DL441" s="14">
        <f t="shared" si="248"/>
        <v>1</v>
      </c>
      <c r="DM441" s="14">
        <f t="shared" si="249"/>
        <v>2</v>
      </c>
      <c r="DN441" s="14" t="str">
        <f t="shared" si="267"/>
        <v>AtkExt</v>
      </c>
      <c r="DO441" s="14">
        <f t="shared" si="268"/>
        <v>400</v>
      </c>
      <c r="DP441" s="14">
        <f t="shared" si="269"/>
        <v>13</v>
      </c>
      <c r="DQ441" s="14" t="str">
        <f t="shared" si="270"/>
        <v>DefExt</v>
      </c>
      <c r="DR441" s="14">
        <f t="shared" si="271"/>
        <v>250</v>
      </c>
      <c r="DS441" s="14">
        <f t="shared" si="272"/>
        <v>8</v>
      </c>
      <c r="DT441" s="14">
        <f t="shared" si="273"/>
        <v>20</v>
      </c>
      <c r="DU441" s="14">
        <f t="shared" si="274"/>
        <v>5</v>
      </c>
      <c r="DV441" s="14">
        <f t="shared" si="275"/>
        <v>15</v>
      </c>
      <c r="DW441" s="29" t="s">
        <v>758</v>
      </c>
      <c r="DX441" s="14">
        <f t="shared" si="276"/>
        <v>450</v>
      </c>
    </row>
    <row r="442" spans="91:128" ht="16.5" x14ac:dyDescent="0.2">
      <c r="CM442" s="13">
        <v>438</v>
      </c>
      <c r="CN442" s="14">
        <f t="shared" si="250"/>
        <v>61</v>
      </c>
      <c r="CO442" s="14">
        <f t="shared" si="251"/>
        <v>7</v>
      </c>
      <c r="CP442" s="14">
        <f t="shared" si="252"/>
        <v>6</v>
      </c>
      <c r="CQ442" s="14">
        <f t="shared" si="243"/>
        <v>5</v>
      </c>
      <c r="CR442" s="14">
        <f t="shared" si="244"/>
        <v>2054078</v>
      </c>
      <c r="CS442" s="13" t="str">
        <f t="shared" si="245"/>
        <v>150级寄灵人橙色套3-戒指</v>
      </c>
      <c r="CT442" s="14">
        <f t="shared" si="246"/>
        <v>1</v>
      </c>
      <c r="CU442" s="14">
        <f t="shared" si="247"/>
        <v>4</v>
      </c>
      <c r="CV442" s="14">
        <f t="shared" si="253"/>
        <v>150</v>
      </c>
      <c r="CW442" s="14">
        <f t="shared" si="254"/>
        <v>150</v>
      </c>
      <c r="CX442" s="14">
        <f t="shared" si="255"/>
        <v>8</v>
      </c>
      <c r="CY442" s="14">
        <f t="shared" si="256"/>
        <v>1053</v>
      </c>
      <c r="CZ442" s="14">
        <f t="shared" si="257"/>
        <v>115</v>
      </c>
      <c r="DA442" s="14">
        <f t="shared" si="258"/>
        <v>400</v>
      </c>
      <c r="DB442" s="14">
        <f t="shared" si="259"/>
        <v>0</v>
      </c>
      <c r="DC442" s="14">
        <f t="shared" si="260"/>
        <v>1500</v>
      </c>
      <c r="DD442" s="14">
        <f t="shared" si="261"/>
        <v>13</v>
      </c>
      <c r="DE442" s="14">
        <f t="shared" si="262"/>
        <v>0</v>
      </c>
      <c r="DF442" s="14">
        <f t="shared" si="263"/>
        <v>50</v>
      </c>
      <c r="DG442" s="14">
        <f t="shared" si="264"/>
        <v>20</v>
      </c>
      <c r="DH442" s="14">
        <f t="shared" si="265"/>
        <v>5</v>
      </c>
      <c r="DI442" s="14">
        <f t="shared" si="266"/>
        <v>15</v>
      </c>
      <c r="DL442" s="14">
        <f t="shared" si="248"/>
        <v>1</v>
      </c>
      <c r="DM442" s="14">
        <f t="shared" si="249"/>
        <v>3</v>
      </c>
      <c r="DN442" s="14" t="str">
        <f t="shared" si="267"/>
        <v>AtkExt</v>
      </c>
      <c r="DO442" s="14">
        <f t="shared" si="268"/>
        <v>400</v>
      </c>
      <c r="DP442" s="14">
        <f t="shared" si="269"/>
        <v>13</v>
      </c>
      <c r="DQ442" s="14" t="str">
        <f t="shared" si="270"/>
        <v>HPExt</v>
      </c>
      <c r="DR442" s="14">
        <f t="shared" si="271"/>
        <v>1500</v>
      </c>
      <c r="DS442" s="14">
        <f t="shared" si="272"/>
        <v>50</v>
      </c>
      <c r="DT442" s="14">
        <f t="shared" si="273"/>
        <v>20</v>
      </c>
      <c r="DU442" s="14">
        <f t="shared" si="274"/>
        <v>5</v>
      </c>
      <c r="DV442" s="14">
        <f t="shared" si="275"/>
        <v>15</v>
      </c>
      <c r="DW442" s="29" t="s">
        <v>758</v>
      </c>
      <c r="DX442" s="14">
        <f t="shared" si="276"/>
        <v>450</v>
      </c>
    </row>
    <row r="443" spans="91:128" ht="16.5" x14ac:dyDescent="0.2">
      <c r="CM443" s="13">
        <v>439</v>
      </c>
      <c r="CN443" s="14">
        <f t="shared" si="250"/>
        <v>62</v>
      </c>
      <c r="CO443" s="14">
        <f t="shared" si="251"/>
        <v>8</v>
      </c>
      <c r="CP443" s="14">
        <f t="shared" si="252"/>
        <v>1</v>
      </c>
      <c r="CQ443" s="14">
        <f t="shared" si="243"/>
        <v>5</v>
      </c>
      <c r="CR443" s="14">
        <f t="shared" si="244"/>
        <v>2054081</v>
      </c>
      <c r="CS443" s="13" t="str">
        <f t="shared" si="245"/>
        <v>150级守护灵橙色套3-武器</v>
      </c>
      <c r="CT443" s="14">
        <f t="shared" si="246"/>
        <v>2</v>
      </c>
      <c r="CU443" s="14">
        <f t="shared" si="247"/>
        <v>4</v>
      </c>
      <c r="CV443" s="14">
        <f t="shared" si="253"/>
        <v>150</v>
      </c>
      <c r="CW443" s="14">
        <f t="shared" si="254"/>
        <v>150</v>
      </c>
      <c r="CX443" s="14">
        <f t="shared" si="255"/>
        <v>1</v>
      </c>
      <c r="CY443" s="14">
        <f t="shared" si="256"/>
        <v>2053</v>
      </c>
      <c r="CZ443" s="14">
        <f t="shared" si="257"/>
        <v>195</v>
      </c>
      <c r="DA443" s="14">
        <f t="shared" si="258"/>
        <v>1500</v>
      </c>
      <c r="DB443" s="14">
        <f t="shared" si="259"/>
        <v>0</v>
      </c>
      <c r="DC443" s="14">
        <f t="shared" si="260"/>
        <v>0</v>
      </c>
      <c r="DD443" s="14">
        <f t="shared" si="261"/>
        <v>39</v>
      </c>
      <c r="DE443" s="14">
        <f t="shared" si="262"/>
        <v>0</v>
      </c>
      <c r="DF443" s="14">
        <f t="shared" si="263"/>
        <v>0</v>
      </c>
      <c r="DG443" s="14">
        <f t="shared" si="264"/>
        <v>20</v>
      </c>
      <c r="DH443" s="14">
        <f t="shared" si="265"/>
        <v>5</v>
      </c>
      <c r="DI443" s="14">
        <f t="shared" si="266"/>
        <v>25</v>
      </c>
      <c r="DL443" s="14">
        <f t="shared" si="248"/>
        <v>1</v>
      </c>
      <c r="DM443" s="14">
        <f t="shared" si="249"/>
        <v>0</v>
      </c>
      <c r="DN443" s="14" t="str">
        <f t="shared" si="267"/>
        <v>AtkExt</v>
      </c>
      <c r="DO443" s="14">
        <f t="shared" si="268"/>
        <v>1500</v>
      </c>
      <c r="DP443" s="14">
        <f t="shared" si="269"/>
        <v>39</v>
      </c>
      <c r="DQ443" s="14" t="str">
        <f t="shared" si="270"/>
        <v/>
      </c>
      <c r="DR443" s="14" t="str">
        <f t="shared" si="271"/>
        <v/>
      </c>
      <c r="DS443" s="14" t="str">
        <f t="shared" si="272"/>
        <v/>
      </c>
      <c r="DT443" s="14">
        <f t="shared" si="273"/>
        <v>20</v>
      </c>
      <c r="DU443" s="14">
        <f t="shared" si="274"/>
        <v>5</v>
      </c>
      <c r="DV443" s="14">
        <f t="shared" si="275"/>
        <v>25</v>
      </c>
      <c r="DW443" s="29" t="s">
        <v>758</v>
      </c>
      <c r="DX443" s="14">
        <f t="shared" si="276"/>
        <v>450</v>
      </c>
    </row>
    <row r="444" spans="91:128" ht="16.5" x14ac:dyDescent="0.2">
      <c r="CM444" s="13">
        <v>440</v>
      </c>
      <c r="CN444" s="14">
        <f t="shared" si="250"/>
        <v>62</v>
      </c>
      <c r="CO444" s="14">
        <f t="shared" si="251"/>
        <v>8</v>
      </c>
      <c r="CP444" s="14">
        <f t="shared" si="252"/>
        <v>2</v>
      </c>
      <c r="CQ444" s="14">
        <f t="shared" si="243"/>
        <v>5</v>
      </c>
      <c r="CR444" s="14">
        <f t="shared" si="244"/>
        <v>2054084</v>
      </c>
      <c r="CS444" s="13" t="str">
        <f t="shared" si="245"/>
        <v>150级守护灵橙色套3-衣服</v>
      </c>
      <c r="CT444" s="14">
        <f t="shared" si="246"/>
        <v>2</v>
      </c>
      <c r="CU444" s="14">
        <f t="shared" si="247"/>
        <v>4</v>
      </c>
      <c r="CV444" s="14">
        <f t="shared" si="253"/>
        <v>150</v>
      </c>
      <c r="CW444" s="14">
        <f t="shared" si="254"/>
        <v>150</v>
      </c>
      <c r="CX444" s="14">
        <f t="shared" si="255"/>
        <v>4</v>
      </c>
      <c r="CY444" s="14">
        <f t="shared" si="256"/>
        <v>2053</v>
      </c>
      <c r="CZ444" s="14">
        <f t="shared" si="257"/>
        <v>96</v>
      </c>
      <c r="DA444" s="14">
        <f t="shared" si="258"/>
        <v>0</v>
      </c>
      <c r="DB444" s="14">
        <f t="shared" si="259"/>
        <v>338</v>
      </c>
      <c r="DC444" s="14">
        <f t="shared" si="260"/>
        <v>0</v>
      </c>
      <c r="DD444" s="14">
        <f t="shared" si="261"/>
        <v>0</v>
      </c>
      <c r="DE444" s="14">
        <f t="shared" si="262"/>
        <v>9.6</v>
      </c>
      <c r="DF444" s="14">
        <f t="shared" si="263"/>
        <v>0</v>
      </c>
      <c r="DG444" s="14">
        <f t="shared" si="264"/>
        <v>20</v>
      </c>
      <c r="DH444" s="14">
        <f t="shared" si="265"/>
        <v>5</v>
      </c>
      <c r="DI444" s="14">
        <f t="shared" si="266"/>
        <v>25</v>
      </c>
      <c r="DL444" s="14">
        <f t="shared" si="248"/>
        <v>2</v>
      </c>
      <c r="DM444" s="14">
        <f t="shared" si="249"/>
        <v>0</v>
      </c>
      <c r="DN444" s="14" t="str">
        <f t="shared" si="267"/>
        <v>DefExt</v>
      </c>
      <c r="DO444" s="14">
        <f t="shared" si="268"/>
        <v>338</v>
      </c>
      <c r="DP444" s="14">
        <f t="shared" si="269"/>
        <v>9.6</v>
      </c>
      <c r="DQ444" s="14" t="str">
        <f t="shared" si="270"/>
        <v/>
      </c>
      <c r="DR444" s="14" t="str">
        <f t="shared" si="271"/>
        <v/>
      </c>
      <c r="DS444" s="14" t="str">
        <f t="shared" si="272"/>
        <v/>
      </c>
      <c r="DT444" s="14">
        <f t="shared" si="273"/>
        <v>20</v>
      </c>
      <c r="DU444" s="14">
        <f t="shared" si="274"/>
        <v>5</v>
      </c>
      <c r="DV444" s="14">
        <f t="shared" si="275"/>
        <v>25</v>
      </c>
      <c r="DW444" s="29" t="s">
        <v>758</v>
      </c>
      <c r="DX444" s="14">
        <f t="shared" si="276"/>
        <v>450</v>
      </c>
    </row>
    <row r="445" spans="91:128" ht="16.5" x14ac:dyDescent="0.2">
      <c r="CM445" s="13">
        <v>441</v>
      </c>
      <c r="CN445" s="14">
        <f t="shared" si="250"/>
        <v>62</v>
      </c>
      <c r="CO445" s="14">
        <f t="shared" si="251"/>
        <v>8</v>
      </c>
      <c r="CP445" s="14">
        <f t="shared" si="252"/>
        <v>3</v>
      </c>
      <c r="CQ445" s="14">
        <f t="shared" si="243"/>
        <v>5</v>
      </c>
      <c r="CR445" s="14">
        <f t="shared" si="244"/>
        <v>2054085</v>
      </c>
      <c r="CS445" s="13" t="str">
        <f t="shared" si="245"/>
        <v>150级守护灵橙色套3-鞋子</v>
      </c>
      <c r="CT445" s="14">
        <f t="shared" si="246"/>
        <v>2</v>
      </c>
      <c r="CU445" s="14">
        <f t="shared" si="247"/>
        <v>4</v>
      </c>
      <c r="CV445" s="14">
        <f t="shared" si="253"/>
        <v>150</v>
      </c>
      <c r="CW445" s="14">
        <f t="shared" si="254"/>
        <v>150</v>
      </c>
      <c r="CX445" s="14">
        <f t="shared" si="255"/>
        <v>5</v>
      </c>
      <c r="CY445" s="14">
        <f t="shared" si="256"/>
        <v>2053</v>
      </c>
      <c r="CZ445" s="14">
        <f t="shared" si="257"/>
        <v>105</v>
      </c>
      <c r="DA445" s="14">
        <f t="shared" si="258"/>
        <v>0</v>
      </c>
      <c r="DB445" s="14">
        <f t="shared" si="259"/>
        <v>0</v>
      </c>
      <c r="DC445" s="14">
        <f t="shared" si="260"/>
        <v>3600</v>
      </c>
      <c r="DD445" s="14">
        <f t="shared" si="261"/>
        <v>0</v>
      </c>
      <c r="DE445" s="14">
        <f t="shared" si="262"/>
        <v>0</v>
      </c>
      <c r="DF445" s="14">
        <f t="shared" si="263"/>
        <v>105</v>
      </c>
      <c r="DG445" s="14">
        <f t="shared" si="264"/>
        <v>20</v>
      </c>
      <c r="DH445" s="14">
        <f t="shared" si="265"/>
        <v>5</v>
      </c>
      <c r="DI445" s="14">
        <f t="shared" si="266"/>
        <v>25</v>
      </c>
      <c r="DL445" s="14">
        <f t="shared" si="248"/>
        <v>3</v>
      </c>
      <c r="DM445" s="14">
        <f t="shared" si="249"/>
        <v>0</v>
      </c>
      <c r="DN445" s="14" t="str">
        <f t="shared" si="267"/>
        <v>HPExt</v>
      </c>
      <c r="DO445" s="14">
        <f t="shared" si="268"/>
        <v>3600</v>
      </c>
      <c r="DP445" s="14">
        <f t="shared" si="269"/>
        <v>105</v>
      </c>
      <c r="DQ445" s="14" t="str">
        <f t="shared" si="270"/>
        <v/>
      </c>
      <c r="DR445" s="14" t="str">
        <f t="shared" si="271"/>
        <v/>
      </c>
      <c r="DS445" s="14" t="str">
        <f t="shared" si="272"/>
        <v/>
      </c>
      <c r="DT445" s="14">
        <f t="shared" si="273"/>
        <v>20</v>
      </c>
      <c r="DU445" s="14">
        <f t="shared" si="274"/>
        <v>5</v>
      </c>
      <c r="DV445" s="14">
        <f t="shared" si="275"/>
        <v>25</v>
      </c>
      <c r="DW445" s="29" t="s">
        <v>758</v>
      </c>
      <c r="DX445" s="14">
        <f t="shared" si="276"/>
        <v>450</v>
      </c>
    </row>
    <row r="446" spans="91:128" ht="16.5" x14ac:dyDescent="0.2">
      <c r="CM446" s="13">
        <v>442</v>
      </c>
      <c r="CN446" s="14">
        <f t="shared" si="250"/>
        <v>62</v>
      </c>
      <c r="CO446" s="14">
        <f t="shared" si="251"/>
        <v>8</v>
      </c>
      <c r="CP446" s="14">
        <f t="shared" si="252"/>
        <v>4</v>
      </c>
      <c r="CQ446" s="14">
        <f t="shared" si="243"/>
        <v>5</v>
      </c>
      <c r="CR446" s="14">
        <f t="shared" si="244"/>
        <v>2054086</v>
      </c>
      <c r="CS446" s="13" t="str">
        <f t="shared" si="245"/>
        <v>150级守护灵橙色套3-护手</v>
      </c>
      <c r="CT446" s="14">
        <f t="shared" si="246"/>
        <v>2</v>
      </c>
      <c r="CU446" s="14">
        <f t="shared" si="247"/>
        <v>4</v>
      </c>
      <c r="CV446" s="14">
        <f t="shared" si="253"/>
        <v>150</v>
      </c>
      <c r="CW446" s="14">
        <f t="shared" si="254"/>
        <v>150</v>
      </c>
      <c r="CX446" s="14">
        <f t="shared" si="255"/>
        <v>6</v>
      </c>
      <c r="CY446" s="14">
        <f t="shared" si="256"/>
        <v>2053</v>
      </c>
      <c r="CZ446" s="14">
        <f t="shared" si="257"/>
        <v>105</v>
      </c>
      <c r="DA446" s="14">
        <f t="shared" si="258"/>
        <v>0</v>
      </c>
      <c r="DB446" s="14">
        <f t="shared" si="259"/>
        <v>0</v>
      </c>
      <c r="DC446" s="14">
        <f t="shared" si="260"/>
        <v>3600</v>
      </c>
      <c r="DD446" s="14">
        <f t="shared" si="261"/>
        <v>0</v>
      </c>
      <c r="DE446" s="14">
        <f t="shared" si="262"/>
        <v>0</v>
      </c>
      <c r="DF446" s="14">
        <f t="shared" si="263"/>
        <v>105</v>
      </c>
      <c r="DG446" s="14">
        <f t="shared" si="264"/>
        <v>20</v>
      </c>
      <c r="DH446" s="14">
        <f t="shared" si="265"/>
        <v>5</v>
      </c>
      <c r="DI446" s="14">
        <f t="shared" si="266"/>
        <v>25</v>
      </c>
      <c r="DL446" s="14">
        <f t="shared" si="248"/>
        <v>3</v>
      </c>
      <c r="DM446" s="14">
        <f t="shared" si="249"/>
        <v>0</v>
      </c>
      <c r="DN446" s="14" t="str">
        <f t="shared" si="267"/>
        <v>HPExt</v>
      </c>
      <c r="DO446" s="14">
        <f t="shared" si="268"/>
        <v>3600</v>
      </c>
      <c r="DP446" s="14">
        <f t="shared" si="269"/>
        <v>105</v>
      </c>
      <c r="DQ446" s="14" t="str">
        <f t="shared" si="270"/>
        <v/>
      </c>
      <c r="DR446" s="14" t="str">
        <f t="shared" si="271"/>
        <v/>
      </c>
      <c r="DS446" s="14" t="str">
        <f t="shared" si="272"/>
        <v/>
      </c>
      <c r="DT446" s="14">
        <f t="shared" si="273"/>
        <v>20</v>
      </c>
      <c r="DU446" s="14">
        <f t="shared" si="274"/>
        <v>5</v>
      </c>
      <c r="DV446" s="14">
        <f t="shared" si="275"/>
        <v>25</v>
      </c>
      <c r="DW446" s="29" t="s">
        <v>758</v>
      </c>
      <c r="DX446" s="14">
        <f t="shared" si="276"/>
        <v>450</v>
      </c>
    </row>
    <row r="447" spans="91:128" ht="16.5" x14ac:dyDescent="0.2">
      <c r="CM447" s="13">
        <v>443</v>
      </c>
      <c r="CN447" s="14">
        <f t="shared" si="250"/>
        <v>62</v>
      </c>
      <c r="CO447" s="14">
        <f t="shared" si="251"/>
        <v>8</v>
      </c>
      <c r="CP447" s="14">
        <f t="shared" si="252"/>
        <v>5</v>
      </c>
      <c r="CQ447" s="14">
        <f t="shared" si="243"/>
        <v>5</v>
      </c>
      <c r="CR447" s="14">
        <f t="shared" si="244"/>
        <v>2054087</v>
      </c>
      <c r="CS447" s="13" t="str">
        <f t="shared" si="245"/>
        <v>150级守护灵橙色套3-项链</v>
      </c>
      <c r="CT447" s="14">
        <f t="shared" si="246"/>
        <v>2</v>
      </c>
      <c r="CU447" s="14">
        <f t="shared" si="247"/>
        <v>4</v>
      </c>
      <c r="CV447" s="14">
        <f t="shared" si="253"/>
        <v>150</v>
      </c>
      <c r="CW447" s="14">
        <f t="shared" si="254"/>
        <v>150</v>
      </c>
      <c r="CX447" s="14">
        <f t="shared" si="255"/>
        <v>7</v>
      </c>
      <c r="CY447" s="14">
        <f t="shared" si="256"/>
        <v>2053</v>
      </c>
      <c r="CZ447" s="14">
        <f t="shared" si="257"/>
        <v>145</v>
      </c>
      <c r="DA447" s="14">
        <f t="shared" si="258"/>
        <v>500</v>
      </c>
      <c r="DB447" s="14">
        <f t="shared" si="259"/>
        <v>281</v>
      </c>
      <c r="DC447" s="14">
        <f t="shared" si="260"/>
        <v>0</v>
      </c>
      <c r="DD447" s="14">
        <f t="shared" si="261"/>
        <v>13</v>
      </c>
      <c r="DE447" s="14">
        <f t="shared" si="262"/>
        <v>8</v>
      </c>
      <c r="DF447" s="14">
        <f t="shared" si="263"/>
        <v>0</v>
      </c>
      <c r="DG447" s="14">
        <f t="shared" si="264"/>
        <v>20</v>
      </c>
      <c r="DH447" s="14">
        <f t="shared" si="265"/>
        <v>5</v>
      </c>
      <c r="DI447" s="14">
        <f t="shared" si="266"/>
        <v>25</v>
      </c>
      <c r="DL447" s="14">
        <f t="shared" si="248"/>
        <v>1</v>
      </c>
      <c r="DM447" s="14">
        <f t="shared" si="249"/>
        <v>2</v>
      </c>
      <c r="DN447" s="14" t="str">
        <f t="shared" si="267"/>
        <v>AtkExt</v>
      </c>
      <c r="DO447" s="14">
        <f t="shared" si="268"/>
        <v>500</v>
      </c>
      <c r="DP447" s="14">
        <f t="shared" si="269"/>
        <v>13</v>
      </c>
      <c r="DQ447" s="14" t="str">
        <f t="shared" si="270"/>
        <v>DefExt</v>
      </c>
      <c r="DR447" s="14">
        <f t="shared" si="271"/>
        <v>281</v>
      </c>
      <c r="DS447" s="14">
        <f t="shared" si="272"/>
        <v>8</v>
      </c>
      <c r="DT447" s="14">
        <f t="shared" si="273"/>
        <v>20</v>
      </c>
      <c r="DU447" s="14">
        <f t="shared" si="274"/>
        <v>5</v>
      </c>
      <c r="DV447" s="14">
        <f t="shared" si="275"/>
        <v>25</v>
      </c>
      <c r="DW447" s="29" t="s">
        <v>758</v>
      </c>
      <c r="DX447" s="14">
        <f t="shared" si="276"/>
        <v>450</v>
      </c>
    </row>
    <row r="448" spans="91:128" ht="16.5" x14ac:dyDescent="0.2">
      <c r="CM448" s="13">
        <v>444</v>
      </c>
      <c r="CN448" s="14">
        <f t="shared" si="250"/>
        <v>62</v>
      </c>
      <c r="CO448" s="14">
        <f t="shared" si="251"/>
        <v>8</v>
      </c>
      <c r="CP448" s="14">
        <f t="shared" si="252"/>
        <v>6</v>
      </c>
      <c r="CQ448" s="14">
        <f t="shared" si="243"/>
        <v>5</v>
      </c>
      <c r="CR448" s="14">
        <f t="shared" si="244"/>
        <v>2054088</v>
      </c>
      <c r="CS448" s="13" t="str">
        <f t="shared" si="245"/>
        <v>150级守护灵橙色套3-戒指</v>
      </c>
      <c r="CT448" s="14">
        <f t="shared" si="246"/>
        <v>2</v>
      </c>
      <c r="CU448" s="14">
        <f t="shared" si="247"/>
        <v>4</v>
      </c>
      <c r="CV448" s="14">
        <f t="shared" si="253"/>
        <v>150</v>
      </c>
      <c r="CW448" s="14">
        <f t="shared" si="254"/>
        <v>150</v>
      </c>
      <c r="CX448" s="14">
        <f t="shared" si="255"/>
        <v>8</v>
      </c>
      <c r="CY448" s="14">
        <f t="shared" si="256"/>
        <v>2053</v>
      </c>
      <c r="CZ448" s="14">
        <f t="shared" si="257"/>
        <v>152</v>
      </c>
      <c r="DA448" s="14">
        <f t="shared" si="258"/>
        <v>500</v>
      </c>
      <c r="DB448" s="14">
        <f t="shared" si="259"/>
        <v>0</v>
      </c>
      <c r="DC448" s="14">
        <f t="shared" si="260"/>
        <v>3000</v>
      </c>
      <c r="DD448" s="14">
        <f t="shared" si="261"/>
        <v>13</v>
      </c>
      <c r="DE448" s="14">
        <f t="shared" si="262"/>
        <v>0</v>
      </c>
      <c r="DF448" s="14">
        <f t="shared" si="263"/>
        <v>87.5</v>
      </c>
      <c r="DG448" s="14">
        <f t="shared" si="264"/>
        <v>20</v>
      </c>
      <c r="DH448" s="14">
        <f t="shared" si="265"/>
        <v>5</v>
      </c>
      <c r="DI448" s="14">
        <f t="shared" si="266"/>
        <v>25</v>
      </c>
      <c r="DL448" s="14">
        <f t="shared" si="248"/>
        <v>1</v>
      </c>
      <c r="DM448" s="14">
        <f t="shared" si="249"/>
        <v>3</v>
      </c>
      <c r="DN448" s="14" t="str">
        <f t="shared" si="267"/>
        <v>AtkExt</v>
      </c>
      <c r="DO448" s="14">
        <f t="shared" si="268"/>
        <v>500</v>
      </c>
      <c r="DP448" s="14">
        <f t="shared" si="269"/>
        <v>13</v>
      </c>
      <c r="DQ448" s="14" t="str">
        <f t="shared" si="270"/>
        <v>HPExt</v>
      </c>
      <c r="DR448" s="14">
        <f t="shared" si="271"/>
        <v>3000</v>
      </c>
      <c r="DS448" s="14">
        <f t="shared" si="272"/>
        <v>87.5</v>
      </c>
      <c r="DT448" s="14">
        <f t="shared" si="273"/>
        <v>20</v>
      </c>
      <c r="DU448" s="14">
        <f t="shared" si="274"/>
        <v>5</v>
      </c>
      <c r="DV448" s="14">
        <f t="shared" si="275"/>
        <v>25</v>
      </c>
      <c r="DW448" s="29" t="s">
        <v>758</v>
      </c>
      <c r="DX448" s="14">
        <f t="shared" si="276"/>
        <v>450</v>
      </c>
    </row>
    <row r="449" spans="91:128" ht="16.5" x14ac:dyDescent="0.2">
      <c r="CM449" s="13">
        <v>445</v>
      </c>
      <c r="CN449" s="14">
        <f t="shared" si="250"/>
        <v>63</v>
      </c>
      <c r="CO449" s="14">
        <f t="shared" si="251"/>
        <v>1</v>
      </c>
      <c r="CP449" s="14">
        <f t="shared" si="252"/>
        <v>1</v>
      </c>
      <c r="CQ449" s="14">
        <f t="shared" si="243"/>
        <v>6</v>
      </c>
      <c r="CR449" s="14">
        <f t="shared" si="244"/>
        <v>2061011</v>
      </c>
      <c r="CS449" s="13" t="str">
        <f t="shared" si="245"/>
        <v>180级寄灵人绿色-武器</v>
      </c>
      <c r="CT449" s="14">
        <f t="shared" si="246"/>
        <v>1</v>
      </c>
      <c r="CU449" s="14">
        <f t="shared" si="247"/>
        <v>1</v>
      </c>
      <c r="CV449" s="14">
        <f t="shared" si="253"/>
        <v>180</v>
      </c>
      <c r="CW449" s="14">
        <f t="shared" si="254"/>
        <v>180</v>
      </c>
      <c r="CX449" s="14">
        <f t="shared" si="255"/>
        <v>1</v>
      </c>
      <c r="CY449" s="14" t="str">
        <f t="shared" si="256"/>
        <v/>
      </c>
      <c r="CZ449" s="14">
        <f t="shared" si="257"/>
        <v>180</v>
      </c>
      <c r="DA449" s="14">
        <f t="shared" si="258"/>
        <v>1350</v>
      </c>
      <c r="DB449" s="14">
        <f t="shared" si="259"/>
        <v>0</v>
      </c>
      <c r="DC449" s="14">
        <f t="shared" si="260"/>
        <v>0</v>
      </c>
      <c r="DD449" s="14">
        <f t="shared" si="261"/>
        <v>36</v>
      </c>
      <c r="DE449" s="14">
        <f t="shared" si="262"/>
        <v>0</v>
      </c>
      <c r="DF449" s="14">
        <f t="shared" si="263"/>
        <v>0</v>
      </c>
      <c r="DG449" s="14">
        <f t="shared" si="264"/>
        <v>21</v>
      </c>
      <c r="DH449" s="14">
        <f t="shared" si="265"/>
        <v>0</v>
      </c>
      <c r="DI449" s="14">
        <f t="shared" si="266"/>
        <v>16</v>
      </c>
      <c r="DL449" s="14">
        <f t="shared" si="248"/>
        <v>1</v>
      </c>
      <c r="DM449" s="14">
        <f t="shared" si="249"/>
        <v>0</v>
      </c>
      <c r="DN449" s="14" t="str">
        <f t="shared" si="267"/>
        <v>AtkExt</v>
      </c>
      <c r="DO449" s="14">
        <f t="shared" si="268"/>
        <v>1350</v>
      </c>
      <c r="DP449" s="14">
        <f t="shared" si="269"/>
        <v>36</v>
      </c>
      <c r="DQ449" s="14" t="str">
        <f t="shared" si="270"/>
        <v/>
      </c>
      <c r="DR449" s="14" t="str">
        <f t="shared" si="271"/>
        <v/>
      </c>
      <c r="DS449" s="14" t="str">
        <f t="shared" si="272"/>
        <v/>
      </c>
      <c r="DT449" s="14">
        <f t="shared" si="273"/>
        <v>21</v>
      </c>
      <c r="DU449" s="14">
        <f t="shared" si="274"/>
        <v>0</v>
      </c>
      <c r="DV449" s="14">
        <f t="shared" si="275"/>
        <v>16</v>
      </c>
      <c r="DW449" s="29" t="s">
        <v>758</v>
      </c>
      <c r="DX449" s="14">
        <f t="shared" si="276"/>
        <v>75</v>
      </c>
    </row>
    <row r="450" spans="91:128" ht="16.5" x14ac:dyDescent="0.2">
      <c r="CM450" s="13">
        <v>446</v>
      </c>
      <c r="CN450" s="14">
        <f t="shared" si="250"/>
        <v>63</v>
      </c>
      <c r="CO450" s="14">
        <f t="shared" si="251"/>
        <v>1</v>
      </c>
      <c r="CP450" s="14">
        <f t="shared" si="252"/>
        <v>2</v>
      </c>
      <c r="CQ450" s="14">
        <f t="shared" si="243"/>
        <v>6</v>
      </c>
      <c r="CR450" s="14">
        <f t="shared" si="244"/>
        <v>2061012</v>
      </c>
      <c r="CS450" s="13" t="str">
        <f t="shared" si="245"/>
        <v>180级寄灵人绿色-头盔</v>
      </c>
      <c r="CT450" s="14">
        <f t="shared" si="246"/>
        <v>1</v>
      </c>
      <c r="CU450" s="14">
        <f t="shared" si="247"/>
        <v>1</v>
      </c>
      <c r="CV450" s="14">
        <f t="shared" si="253"/>
        <v>180</v>
      </c>
      <c r="CW450" s="14">
        <f t="shared" si="254"/>
        <v>180</v>
      </c>
      <c r="CX450" s="14">
        <f t="shared" si="255"/>
        <v>2</v>
      </c>
      <c r="CY450" s="14" t="str">
        <f t="shared" si="256"/>
        <v/>
      </c>
      <c r="CZ450" s="14">
        <f t="shared" si="257"/>
        <v>90</v>
      </c>
      <c r="DA450" s="14">
        <f t="shared" si="258"/>
        <v>0</v>
      </c>
      <c r="DB450" s="14">
        <f t="shared" si="259"/>
        <v>338</v>
      </c>
      <c r="DC450" s="14">
        <f t="shared" si="260"/>
        <v>0</v>
      </c>
      <c r="DD450" s="14">
        <f t="shared" si="261"/>
        <v>0</v>
      </c>
      <c r="DE450" s="14">
        <f t="shared" si="262"/>
        <v>9</v>
      </c>
      <c r="DF450" s="14">
        <f t="shared" si="263"/>
        <v>0</v>
      </c>
      <c r="DG450" s="14">
        <f t="shared" si="264"/>
        <v>21</v>
      </c>
      <c r="DH450" s="14">
        <f t="shared" si="265"/>
        <v>0</v>
      </c>
      <c r="DI450" s="14">
        <f t="shared" si="266"/>
        <v>16</v>
      </c>
      <c r="DL450" s="14">
        <f t="shared" si="248"/>
        <v>2</v>
      </c>
      <c r="DM450" s="14">
        <f t="shared" si="249"/>
        <v>0</v>
      </c>
      <c r="DN450" s="14" t="str">
        <f t="shared" si="267"/>
        <v>DefExt</v>
      </c>
      <c r="DO450" s="14">
        <f t="shared" si="268"/>
        <v>338</v>
      </c>
      <c r="DP450" s="14">
        <f t="shared" si="269"/>
        <v>9</v>
      </c>
      <c r="DQ450" s="14" t="str">
        <f t="shared" si="270"/>
        <v/>
      </c>
      <c r="DR450" s="14" t="str">
        <f t="shared" si="271"/>
        <v/>
      </c>
      <c r="DS450" s="14" t="str">
        <f t="shared" si="272"/>
        <v/>
      </c>
      <c r="DT450" s="14">
        <f t="shared" si="273"/>
        <v>21</v>
      </c>
      <c r="DU450" s="14">
        <f t="shared" si="274"/>
        <v>0</v>
      </c>
      <c r="DV450" s="14">
        <f t="shared" si="275"/>
        <v>16</v>
      </c>
      <c r="DW450" s="29" t="s">
        <v>758</v>
      </c>
      <c r="DX450" s="14">
        <f t="shared" si="276"/>
        <v>75</v>
      </c>
    </row>
    <row r="451" spans="91:128" ht="16.5" x14ac:dyDescent="0.2">
      <c r="CM451" s="13">
        <v>447</v>
      </c>
      <c r="CN451" s="14">
        <f t="shared" si="250"/>
        <v>63</v>
      </c>
      <c r="CO451" s="14">
        <f t="shared" si="251"/>
        <v>1</v>
      </c>
      <c r="CP451" s="14">
        <f t="shared" si="252"/>
        <v>3</v>
      </c>
      <c r="CQ451" s="14">
        <f t="shared" si="243"/>
        <v>6</v>
      </c>
      <c r="CR451" s="14">
        <f t="shared" si="244"/>
        <v>2061013</v>
      </c>
      <c r="CS451" s="13" t="str">
        <f t="shared" si="245"/>
        <v>180级寄灵人绿色-肩甲</v>
      </c>
      <c r="CT451" s="14">
        <f t="shared" si="246"/>
        <v>1</v>
      </c>
      <c r="CU451" s="14">
        <f t="shared" si="247"/>
        <v>1</v>
      </c>
      <c r="CV451" s="14">
        <f t="shared" si="253"/>
        <v>180</v>
      </c>
      <c r="CW451" s="14">
        <f t="shared" si="254"/>
        <v>180</v>
      </c>
      <c r="CX451" s="14">
        <f t="shared" si="255"/>
        <v>3</v>
      </c>
      <c r="CY451" s="14" t="str">
        <f t="shared" si="256"/>
        <v/>
      </c>
      <c r="CZ451" s="14">
        <f t="shared" si="257"/>
        <v>72</v>
      </c>
      <c r="DA451" s="14">
        <f t="shared" si="258"/>
        <v>0</v>
      </c>
      <c r="DB451" s="14">
        <f t="shared" si="259"/>
        <v>169</v>
      </c>
      <c r="DC451" s="14">
        <f t="shared" si="260"/>
        <v>1013</v>
      </c>
      <c r="DD451" s="14">
        <f t="shared" si="261"/>
        <v>0</v>
      </c>
      <c r="DE451" s="14">
        <f t="shared" si="262"/>
        <v>4.5</v>
      </c>
      <c r="DF451" s="14">
        <f t="shared" si="263"/>
        <v>27</v>
      </c>
      <c r="DG451" s="14">
        <f t="shared" si="264"/>
        <v>21</v>
      </c>
      <c r="DH451" s="14">
        <f t="shared" si="265"/>
        <v>0</v>
      </c>
      <c r="DI451" s="14">
        <f t="shared" si="266"/>
        <v>16</v>
      </c>
      <c r="DL451" s="14">
        <f t="shared" si="248"/>
        <v>2</v>
      </c>
      <c r="DM451" s="14">
        <f t="shared" si="249"/>
        <v>3</v>
      </c>
      <c r="DN451" s="14" t="str">
        <f t="shared" si="267"/>
        <v>DefExt</v>
      </c>
      <c r="DO451" s="14">
        <f t="shared" si="268"/>
        <v>169</v>
      </c>
      <c r="DP451" s="14">
        <f t="shared" si="269"/>
        <v>4.5</v>
      </c>
      <c r="DQ451" s="14" t="str">
        <f t="shared" si="270"/>
        <v>HPExt</v>
      </c>
      <c r="DR451" s="14">
        <f t="shared" si="271"/>
        <v>1013</v>
      </c>
      <c r="DS451" s="14">
        <f t="shared" si="272"/>
        <v>27</v>
      </c>
      <c r="DT451" s="14">
        <f t="shared" si="273"/>
        <v>21</v>
      </c>
      <c r="DU451" s="14">
        <f t="shared" si="274"/>
        <v>0</v>
      </c>
      <c r="DV451" s="14">
        <f t="shared" si="275"/>
        <v>16</v>
      </c>
      <c r="DW451" s="29" t="s">
        <v>758</v>
      </c>
      <c r="DX451" s="14">
        <f t="shared" si="276"/>
        <v>75</v>
      </c>
    </row>
    <row r="452" spans="91:128" ht="16.5" x14ac:dyDescent="0.2">
      <c r="CM452" s="13">
        <v>448</v>
      </c>
      <c r="CN452" s="14">
        <f t="shared" si="250"/>
        <v>63</v>
      </c>
      <c r="CO452" s="14">
        <f t="shared" si="251"/>
        <v>1</v>
      </c>
      <c r="CP452" s="14">
        <f t="shared" si="252"/>
        <v>4</v>
      </c>
      <c r="CQ452" s="14">
        <f t="shared" si="243"/>
        <v>6</v>
      </c>
      <c r="CR452" s="14">
        <f t="shared" si="244"/>
        <v>2061014</v>
      </c>
      <c r="CS452" s="13" t="str">
        <f t="shared" si="245"/>
        <v>180级寄灵人绿色-衣服</v>
      </c>
      <c r="CT452" s="14">
        <f t="shared" si="246"/>
        <v>1</v>
      </c>
      <c r="CU452" s="14">
        <f t="shared" si="247"/>
        <v>1</v>
      </c>
      <c r="CV452" s="14">
        <f t="shared" si="253"/>
        <v>180</v>
      </c>
      <c r="CW452" s="14">
        <f t="shared" si="254"/>
        <v>180</v>
      </c>
      <c r="CX452" s="14">
        <f t="shared" si="255"/>
        <v>4</v>
      </c>
      <c r="CY452" s="14" t="str">
        <f t="shared" si="256"/>
        <v/>
      </c>
      <c r="CZ452" s="14">
        <f t="shared" si="257"/>
        <v>90</v>
      </c>
      <c r="DA452" s="14">
        <f t="shared" si="258"/>
        <v>0</v>
      </c>
      <c r="DB452" s="14">
        <f t="shared" si="259"/>
        <v>338</v>
      </c>
      <c r="DC452" s="14">
        <f t="shared" si="260"/>
        <v>0</v>
      </c>
      <c r="DD452" s="14">
        <f t="shared" si="261"/>
        <v>0</v>
      </c>
      <c r="DE452" s="14">
        <f t="shared" si="262"/>
        <v>9</v>
      </c>
      <c r="DF452" s="14">
        <f t="shared" si="263"/>
        <v>0</v>
      </c>
      <c r="DG452" s="14">
        <f t="shared" si="264"/>
        <v>21</v>
      </c>
      <c r="DH452" s="14">
        <f t="shared" si="265"/>
        <v>0</v>
      </c>
      <c r="DI452" s="14">
        <f t="shared" si="266"/>
        <v>16</v>
      </c>
      <c r="DL452" s="14">
        <f t="shared" si="248"/>
        <v>2</v>
      </c>
      <c r="DM452" s="14">
        <f t="shared" si="249"/>
        <v>0</v>
      </c>
      <c r="DN452" s="14" t="str">
        <f t="shared" si="267"/>
        <v>DefExt</v>
      </c>
      <c r="DO452" s="14">
        <f t="shared" si="268"/>
        <v>338</v>
      </c>
      <c r="DP452" s="14">
        <f t="shared" si="269"/>
        <v>9</v>
      </c>
      <c r="DQ452" s="14" t="str">
        <f t="shared" si="270"/>
        <v/>
      </c>
      <c r="DR452" s="14" t="str">
        <f t="shared" si="271"/>
        <v/>
      </c>
      <c r="DS452" s="14" t="str">
        <f t="shared" si="272"/>
        <v/>
      </c>
      <c r="DT452" s="14">
        <f t="shared" si="273"/>
        <v>21</v>
      </c>
      <c r="DU452" s="14">
        <f t="shared" si="274"/>
        <v>0</v>
      </c>
      <c r="DV452" s="14">
        <f t="shared" si="275"/>
        <v>16</v>
      </c>
      <c r="DW452" s="29" t="s">
        <v>758</v>
      </c>
      <c r="DX452" s="14">
        <f t="shared" si="276"/>
        <v>75</v>
      </c>
    </row>
    <row r="453" spans="91:128" ht="16.5" x14ac:dyDescent="0.2">
      <c r="CM453" s="13">
        <v>449</v>
      </c>
      <c r="CN453" s="14">
        <f t="shared" si="250"/>
        <v>63</v>
      </c>
      <c r="CO453" s="14">
        <f t="shared" si="251"/>
        <v>1</v>
      </c>
      <c r="CP453" s="14">
        <f t="shared" si="252"/>
        <v>5</v>
      </c>
      <c r="CQ453" s="14">
        <f t="shared" ref="CQ453:CQ516" si="277">INDEX($BS$6:$BS$81,CN453)</f>
        <v>6</v>
      </c>
      <c r="CR453" s="14">
        <f t="shared" ref="CR453:CR516" si="278">INDEX($BX$6:$BX$81,CN453)+CX453</f>
        <v>2061015</v>
      </c>
      <c r="CS453" s="13" t="str">
        <f t="shared" ref="CS453:CS516" si="279">INDEX($BY$6:$BY$81,CN453)&amp;"-"&amp;INDEX($CC$3:$CJ$3,CX453)</f>
        <v>180级寄灵人绿色-鞋子</v>
      </c>
      <c r="CT453" s="14">
        <f t="shared" ref="CT453:CT516" si="280">INDEX($BV$6:$BV$81,CN453)</f>
        <v>1</v>
      </c>
      <c r="CU453" s="14">
        <f t="shared" ref="CU453:CU516" si="281">INDEX($BU$6:$BU$81,CN453)</f>
        <v>1</v>
      </c>
      <c r="CV453" s="14">
        <f t="shared" si="253"/>
        <v>180</v>
      </c>
      <c r="CW453" s="14">
        <f t="shared" si="254"/>
        <v>180</v>
      </c>
      <c r="CX453" s="14">
        <f t="shared" si="255"/>
        <v>5</v>
      </c>
      <c r="CY453" s="14" t="str">
        <f t="shared" si="256"/>
        <v/>
      </c>
      <c r="CZ453" s="14">
        <f t="shared" si="257"/>
        <v>54</v>
      </c>
      <c r="DA453" s="14">
        <f t="shared" si="258"/>
        <v>0</v>
      </c>
      <c r="DB453" s="14">
        <f t="shared" si="259"/>
        <v>0</v>
      </c>
      <c r="DC453" s="14">
        <f t="shared" si="260"/>
        <v>2025</v>
      </c>
      <c r="DD453" s="14">
        <f t="shared" si="261"/>
        <v>0</v>
      </c>
      <c r="DE453" s="14">
        <f t="shared" si="262"/>
        <v>0</v>
      </c>
      <c r="DF453" s="14">
        <f t="shared" si="263"/>
        <v>54</v>
      </c>
      <c r="DG453" s="14">
        <f t="shared" si="264"/>
        <v>21</v>
      </c>
      <c r="DH453" s="14">
        <f t="shared" si="265"/>
        <v>0</v>
      </c>
      <c r="DI453" s="14">
        <f t="shared" si="266"/>
        <v>16</v>
      </c>
      <c r="DL453" s="14">
        <f t="shared" ref="DL453:DL516" si="282">INDEX(AF$5:AF$12,$CX453)</f>
        <v>3</v>
      </c>
      <c r="DM453" s="14">
        <f t="shared" ref="DM453:DM516" si="283">INDEX(AG$5:AG$12,$CX453)</f>
        <v>0</v>
      </c>
      <c r="DN453" s="14" t="str">
        <f t="shared" si="267"/>
        <v>HPExt</v>
      </c>
      <c r="DO453" s="14">
        <f t="shared" si="268"/>
        <v>2025</v>
      </c>
      <c r="DP453" s="14">
        <f t="shared" si="269"/>
        <v>54</v>
      </c>
      <c r="DQ453" s="14" t="str">
        <f t="shared" si="270"/>
        <v/>
      </c>
      <c r="DR453" s="14" t="str">
        <f t="shared" si="271"/>
        <v/>
      </c>
      <c r="DS453" s="14" t="str">
        <f t="shared" si="272"/>
        <v/>
      </c>
      <c r="DT453" s="14">
        <f t="shared" si="273"/>
        <v>21</v>
      </c>
      <c r="DU453" s="14">
        <f t="shared" si="274"/>
        <v>0</v>
      </c>
      <c r="DV453" s="14">
        <f t="shared" si="275"/>
        <v>16</v>
      </c>
      <c r="DW453" s="29" t="s">
        <v>758</v>
      </c>
      <c r="DX453" s="14">
        <f t="shared" si="276"/>
        <v>75</v>
      </c>
    </row>
    <row r="454" spans="91:128" ht="16.5" x14ac:dyDescent="0.2">
      <c r="CM454" s="13">
        <v>450</v>
      </c>
      <c r="CN454" s="14">
        <f t="shared" ref="CN454:CN517" si="284">MATCH(CM454-1,$CB$5:$CB$81,1)</f>
        <v>63</v>
      </c>
      <c r="CO454" s="14">
        <f t="shared" ref="CO454:CO517" si="285">INDEX($BW$6:$BW$81,CN454)</f>
        <v>1</v>
      </c>
      <c r="CP454" s="14">
        <f t="shared" ref="CP454:CP517" si="286">CM454-INDEX($CB$5:$CB$81,CN454)</f>
        <v>6</v>
      </c>
      <c r="CQ454" s="14">
        <f t="shared" si="277"/>
        <v>6</v>
      </c>
      <c r="CR454" s="14">
        <f t="shared" si="278"/>
        <v>2061016</v>
      </c>
      <c r="CS454" s="13" t="str">
        <f t="shared" si="279"/>
        <v>180级寄灵人绿色-护手</v>
      </c>
      <c r="CT454" s="14">
        <f t="shared" si="280"/>
        <v>1</v>
      </c>
      <c r="CU454" s="14">
        <f t="shared" si="281"/>
        <v>1</v>
      </c>
      <c r="CV454" s="14">
        <f t="shared" ref="CV454:CV517" si="287">INDEX($D$5:$D$16,(CT454-1)*6+CQ454)</f>
        <v>180</v>
      </c>
      <c r="CW454" s="14">
        <f t="shared" ref="CW454:CW517" si="288">INDEX($D$5:$D$16,(CT454-1)*6+CQ454)</f>
        <v>180</v>
      </c>
      <c r="CX454" s="14">
        <f t="shared" ref="CX454:CX517" si="289">INDEX($CC$6:$CJ$81,CN454,CP454)</f>
        <v>6</v>
      </c>
      <c r="CY454" s="14" t="str">
        <f t="shared" ref="CY454:CY517" si="290">IF(INDEX($BZ$6:$BZ$81,CN454)&gt;0,INDEX($BZ$6:$BZ$81,CN454),"")</f>
        <v/>
      </c>
      <c r="CZ454" s="14">
        <f t="shared" ref="CZ454:CZ517" si="291">INT(SUMPRODUCT($DD$3:$DF$3,DD454:DF454))</f>
        <v>54</v>
      </c>
      <c r="DA454" s="14">
        <f t="shared" ref="DA454:DA517" si="292">ROUND(INDEX(O$5:O$16,($CT454-1)*6+$CQ454)*INDEX(AC$5:AC$12,$CX454)*INDEX($AL$5:$AL$8,$CU454),0)</f>
        <v>0</v>
      </c>
      <c r="DB454" s="14">
        <f t="shared" ref="DB454:DB517" si="293">ROUND(INDEX(P$5:P$16,($CT454-1)*6+$CQ454)*INDEX(AD$5:AD$12,$CX454)*INDEX($AL$5:$AL$8,$CU454),0)</f>
        <v>0</v>
      </c>
      <c r="DC454" s="14">
        <f t="shared" ref="DC454:DC517" si="294">ROUND(INDEX(Q$5:Q$16,($CT454-1)*6+$CQ454)*INDEX(AE$5:AE$12,$CX454)*INDEX($AL$5:$AL$8,$CU454),0)</f>
        <v>2025</v>
      </c>
      <c r="DD454" s="14">
        <f t="shared" ref="DD454:DD517" si="295">ROUND(INDEX(H$5:H$16,($CT454-1)*6+$CQ454)*INDEX(AC$5:AC$12,$CX454) * INDEX($AL$5:$AL$8,$CU454),2)</f>
        <v>0</v>
      </c>
      <c r="DE454" s="14">
        <f t="shared" ref="DE454:DE517" si="296">ROUND(INDEX(I$5:I$16,($CT454-1)*6+$CQ454)*INDEX(AD$5:AD$12,$CX454) * INDEX($AL$5:$AL$8,$CU454),2)</f>
        <v>0</v>
      </c>
      <c r="DF454" s="14">
        <f t="shared" ref="DF454:DF517" si="297">ROUND(INDEX(J$5:J$16,($CT454-1)*6+$CQ454)*INDEX(AE$5:AE$12,$CX454) * INDEX($AL$5:$AL$8,$CU454),2)</f>
        <v>54</v>
      </c>
      <c r="DG454" s="14">
        <f t="shared" ref="DG454:DG517" si="298">(CQ454-1)*4+CU454</f>
        <v>21</v>
      </c>
      <c r="DH454" s="14">
        <f t="shared" ref="DH454:DH517" si="299">INDEX($BM$5:$BP$16,CQ454,CU454)</f>
        <v>0</v>
      </c>
      <c r="DI454" s="14">
        <f t="shared" ref="DI454:DI517" si="300">CT454*10+CQ454</f>
        <v>16</v>
      </c>
      <c r="DL454" s="14">
        <f t="shared" si="282"/>
        <v>3</v>
      </c>
      <c r="DM454" s="14">
        <f t="shared" si="283"/>
        <v>0</v>
      </c>
      <c r="DN454" s="14" t="str">
        <f t="shared" ref="DN454:DN517" si="301">INDEX($AA$3:$AC$3,DL454)</f>
        <v>HPExt</v>
      </c>
      <c r="DO454" s="14">
        <f t="shared" ref="DO454:DO517" si="302">INDEX(DA454:DC454,DL454)</f>
        <v>2025</v>
      </c>
      <c r="DP454" s="14">
        <f t="shared" ref="DP454:DP517" si="303">INDEX(DD454:DF454,DL454)</f>
        <v>54</v>
      </c>
      <c r="DQ454" s="14" t="str">
        <f t="shared" ref="DQ454:DQ517" si="304">IF(DM454&gt;0,INDEX($AA$3:$AC$3,DM454),"")</f>
        <v/>
      </c>
      <c r="DR454" s="14" t="str">
        <f t="shared" ref="DR454:DR517" si="305">IF(DM454&gt;0,INDEX(DA454:DC454,DM454),"")</f>
        <v/>
      </c>
      <c r="DS454" s="14" t="str">
        <f t="shared" ref="DS454:DS517" si="306">IF(DM454&gt;0,INDEX(DD454:DF454,DM454),"")</f>
        <v/>
      </c>
      <c r="DT454" s="14">
        <f t="shared" ref="DT454:DT517" si="307">(CQ454-1)*4+CU454</f>
        <v>21</v>
      </c>
      <c r="DU454" s="14">
        <f t="shared" ref="DU454:DU517" si="308">INDEX($BM$5:$BP$16,CQ454,CU454)</f>
        <v>0</v>
      </c>
      <c r="DV454" s="14">
        <f t="shared" ref="DV454:DV517" si="309">CT454*10+CQ454</f>
        <v>16</v>
      </c>
      <c r="DW454" s="29" t="s">
        <v>758</v>
      </c>
      <c r="DX454" s="14">
        <f t="shared" ref="DX454:DX517" si="310">INDEX($T$5:$Y$8,CU454,CQ454)</f>
        <v>75</v>
      </c>
    </row>
    <row r="455" spans="91:128" ht="16.5" x14ac:dyDescent="0.2">
      <c r="CM455" s="13">
        <v>451</v>
      </c>
      <c r="CN455" s="14">
        <f t="shared" si="284"/>
        <v>63</v>
      </c>
      <c r="CO455" s="14">
        <f t="shared" si="285"/>
        <v>1</v>
      </c>
      <c r="CP455" s="14">
        <f t="shared" si="286"/>
        <v>7</v>
      </c>
      <c r="CQ455" s="14">
        <f t="shared" si="277"/>
        <v>6</v>
      </c>
      <c r="CR455" s="14">
        <f t="shared" si="278"/>
        <v>2061017</v>
      </c>
      <c r="CS455" s="13" t="str">
        <f t="shared" si="279"/>
        <v>180级寄灵人绿色-项链</v>
      </c>
      <c r="CT455" s="14">
        <f t="shared" si="280"/>
        <v>1</v>
      </c>
      <c r="CU455" s="14">
        <f t="shared" si="281"/>
        <v>1</v>
      </c>
      <c r="CV455" s="14">
        <f t="shared" si="287"/>
        <v>180</v>
      </c>
      <c r="CW455" s="14">
        <f t="shared" si="288"/>
        <v>180</v>
      </c>
      <c r="CX455" s="14">
        <f t="shared" si="289"/>
        <v>7</v>
      </c>
      <c r="CY455" s="14" t="str">
        <f t="shared" si="290"/>
        <v/>
      </c>
      <c r="CZ455" s="14">
        <f t="shared" si="291"/>
        <v>135</v>
      </c>
      <c r="DA455" s="14">
        <f t="shared" si="292"/>
        <v>450</v>
      </c>
      <c r="DB455" s="14">
        <f t="shared" si="293"/>
        <v>281</v>
      </c>
      <c r="DC455" s="14">
        <f t="shared" si="294"/>
        <v>0</v>
      </c>
      <c r="DD455" s="14">
        <f t="shared" si="295"/>
        <v>12</v>
      </c>
      <c r="DE455" s="14">
        <f t="shared" si="296"/>
        <v>7.5</v>
      </c>
      <c r="DF455" s="14">
        <f t="shared" si="297"/>
        <v>0</v>
      </c>
      <c r="DG455" s="14">
        <f t="shared" si="298"/>
        <v>21</v>
      </c>
      <c r="DH455" s="14">
        <f t="shared" si="299"/>
        <v>0</v>
      </c>
      <c r="DI455" s="14">
        <f t="shared" si="300"/>
        <v>16</v>
      </c>
      <c r="DL455" s="14">
        <f t="shared" si="282"/>
        <v>1</v>
      </c>
      <c r="DM455" s="14">
        <f t="shared" si="283"/>
        <v>2</v>
      </c>
      <c r="DN455" s="14" t="str">
        <f t="shared" si="301"/>
        <v>AtkExt</v>
      </c>
      <c r="DO455" s="14">
        <f t="shared" si="302"/>
        <v>450</v>
      </c>
      <c r="DP455" s="14">
        <f t="shared" si="303"/>
        <v>12</v>
      </c>
      <c r="DQ455" s="14" t="str">
        <f t="shared" si="304"/>
        <v>DefExt</v>
      </c>
      <c r="DR455" s="14">
        <f t="shared" si="305"/>
        <v>281</v>
      </c>
      <c r="DS455" s="14">
        <f t="shared" si="306"/>
        <v>7.5</v>
      </c>
      <c r="DT455" s="14">
        <f t="shared" si="307"/>
        <v>21</v>
      </c>
      <c r="DU455" s="14">
        <f t="shared" si="308"/>
        <v>0</v>
      </c>
      <c r="DV455" s="14">
        <f t="shared" si="309"/>
        <v>16</v>
      </c>
      <c r="DW455" s="29" t="s">
        <v>758</v>
      </c>
      <c r="DX455" s="14">
        <f t="shared" si="310"/>
        <v>75</v>
      </c>
    </row>
    <row r="456" spans="91:128" ht="16.5" x14ac:dyDescent="0.2">
      <c r="CM456" s="13">
        <v>452</v>
      </c>
      <c r="CN456" s="14">
        <f t="shared" si="284"/>
        <v>63</v>
      </c>
      <c r="CO456" s="14">
        <f t="shared" si="285"/>
        <v>1</v>
      </c>
      <c r="CP456" s="14">
        <f t="shared" si="286"/>
        <v>8</v>
      </c>
      <c r="CQ456" s="14">
        <f t="shared" si="277"/>
        <v>6</v>
      </c>
      <c r="CR456" s="14">
        <f t="shared" si="278"/>
        <v>2061018</v>
      </c>
      <c r="CS456" s="13" t="str">
        <f t="shared" si="279"/>
        <v>180级寄灵人绿色-戒指</v>
      </c>
      <c r="CT456" s="14">
        <f t="shared" si="280"/>
        <v>1</v>
      </c>
      <c r="CU456" s="14">
        <f t="shared" si="281"/>
        <v>1</v>
      </c>
      <c r="CV456" s="14">
        <f t="shared" si="287"/>
        <v>180</v>
      </c>
      <c r="CW456" s="14">
        <f t="shared" si="288"/>
        <v>180</v>
      </c>
      <c r="CX456" s="14">
        <f t="shared" si="289"/>
        <v>8</v>
      </c>
      <c r="CY456" s="14" t="str">
        <f t="shared" si="290"/>
        <v/>
      </c>
      <c r="CZ456" s="14">
        <f t="shared" si="291"/>
        <v>105</v>
      </c>
      <c r="DA456" s="14">
        <f t="shared" si="292"/>
        <v>450</v>
      </c>
      <c r="DB456" s="14">
        <f t="shared" si="293"/>
        <v>0</v>
      </c>
      <c r="DC456" s="14">
        <f t="shared" si="294"/>
        <v>1688</v>
      </c>
      <c r="DD456" s="14">
        <f t="shared" si="295"/>
        <v>12</v>
      </c>
      <c r="DE456" s="14">
        <f t="shared" si="296"/>
        <v>0</v>
      </c>
      <c r="DF456" s="14">
        <f t="shared" si="297"/>
        <v>45</v>
      </c>
      <c r="DG456" s="14">
        <f t="shared" si="298"/>
        <v>21</v>
      </c>
      <c r="DH456" s="14">
        <f t="shared" si="299"/>
        <v>0</v>
      </c>
      <c r="DI456" s="14">
        <f t="shared" si="300"/>
        <v>16</v>
      </c>
      <c r="DL456" s="14">
        <f t="shared" si="282"/>
        <v>1</v>
      </c>
      <c r="DM456" s="14">
        <f t="shared" si="283"/>
        <v>3</v>
      </c>
      <c r="DN456" s="14" t="str">
        <f t="shared" si="301"/>
        <v>AtkExt</v>
      </c>
      <c r="DO456" s="14">
        <f t="shared" si="302"/>
        <v>450</v>
      </c>
      <c r="DP456" s="14">
        <f t="shared" si="303"/>
        <v>12</v>
      </c>
      <c r="DQ456" s="14" t="str">
        <f t="shared" si="304"/>
        <v>HPExt</v>
      </c>
      <c r="DR456" s="14">
        <f t="shared" si="305"/>
        <v>1688</v>
      </c>
      <c r="DS456" s="14">
        <f t="shared" si="306"/>
        <v>45</v>
      </c>
      <c r="DT456" s="14">
        <f t="shared" si="307"/>
        <v>21</v>
      </c>
      <c r="DU456" s="14">
        <f t="shared" si="308"/>
        <v>0</v>
      </c>
      <c r="DV456" s="14">
        <f t="shared" si="309"/>
        <v>16</v>
      </c>
      <c r="DW456" s="29" t="s">
        <v>758</v>
      </c>
      <c r="DX456" s="14">
        <f t="shared" si="310"/>
        <v>75</v>
      </c>
    </row>
    <row r="457" spans="91:128" ht="16.5" x14ac:dyDescent="0.2">
      <c r="CM457" s="13">
        <v>453</v>
      </c>
      <c r="CN457" s="14">
        <f t="shared" si="284"/>
        <v>64</v>
      </c>
      <c r="CO457" s="14">
        <f t="shared" si="285"/>
        <v>2</v>
      </c>
      <c r="CP457" s="14">
        <f t="shared" si="286"/>
        <v>1</v>
      </c>
      <c r="CQ457" s="14">
        <f t="shared" si="277"/>
        <v>6</v>
      </c>
      <c r="CR457" s="14">
        <f t="shared" si="278"/>
        <v>2061021</v>
      </c>
      <c r="CS457" s="13" t="str">
        <f t="shared" si="279"/>
        <v>180级守护灵绿色-武器</v>
      </c>
      <c r="CT457" s="14">
        <f t="shared" si="280"/>
        <v>2</v>
      </c>
      <c r="CU457" s="14">
        <f t="shared" si="281"/>
        <v>1</v>
      </c>
      <c r="CV457" s="14">
        <f t="shared" si="287"/>
        <v>180</v>
      </c>
      <c r="CW457" s="14">
        <f t="shared" si="288"/>
        <v>180</v>
      </c>
      <c r="CX457" s="14">
        <f t="shared" si="289"/>
        <v>1</v>
      </c>
      <c r="CY457" s="14" t="str">
        <f t="shared" si="290"/>
        <v/>
      </c>
      <c r="CZ457" s="14">
        <f t="shared" si="291"/>
        <v>180</v>
      </c>
      <c r="DA457" s="14">
        <f t="shared" si="292"/>
        <v>1275</v>
      </c>
      <c r="DB457" s="14">
        <f t="shared" si="293"/>
        <v>0</v>
      </c>
      <c r="DC457" s="14">
        <f t="shared" si="294"/>
        <v>0</v>
      </c>
      <c r="DD457" s="14">
        <f t="shared" si="295"/>
        <v>36</v>
      </c>
      <c r="DE457" s="14">
        <f t="shared" si="296"/>
        <v>0</v>
      </c>
      <c r="DF457" s="14">
        <f t="shared" si="297"/>
        <v>0</v>
      </c>
      <c r="DG457" s="14">
        <f t="shared" si="298"/>
        <v>21</v>
      </c>
      <c r="DH457" s="14">
        <f t="shared" si="299"/>
        <v>0</v>
      </c>
      <c r="DI457" s="14">
        <f t="shared" si="300"/>
        <v>26</v>
      </c>
      <c r="DL457" s="14">
        <f t="shared" si="282"/>
        <v>1</v>
      </c>
      <c r="DM457" s="14">
        <f t="shared" si="283"/>
        <v>0</v>
      </c>
      <c r="DN457" s="14" t="str">
        <f t="shared" si="301"/>
        <v>AtkExt</v>
      </c>
      <c r="DO457" s="14">
        <f t="shared" si="302"/>
        <v>1275</v>
      </c>
      <c r="DP457" s="14">
        <f t="shared" si="303"/>
        <v>36</v>
      </c>
      <c r="DQ457" s="14" t="str">
        <f t="shared" si="304"/>
        <v/>
      </c>
      <c r="DR457" s="14" t="str">
        <f t="shared" si="305"/>
        <v/>
      </c>
      <c r="DS457" s="14" t="str">
        <f t="shared" si="306"/>
        <v/>
      </c>
      <c r="DT457" s="14">
        <f t="shared" si="307"/>
        <v>21</v>
      </c>
      <c r="DU457" s="14">
        <f t="shared" si="308"/>
        <v>0</v>
      </c>
      <c r="DV457" s="14">
        <f t="shared" si="309"/>
        <v>26</v>
      </c>
      <c r="DW457" s="29" t="s">
        <v>758</v>
      </c>
      <c r="DX457" s="14">
        <f t="shared" si="310"/>
        <v>75</v>
      </c>
    </row>
    <row r="458" spans="91:128" ht="16.5" x14ac:dyDescent="0.2">
      <c r="CM458" s="13">
        <v>454</v>
      </c>
      <c r="CN458" s="14">
        <f t="shared" si="284"/>
        <v>64</v>
      </c>
      <c r="CO458" s="14">
        <f t="shared" si="285"/>
        <v>2</v>
      </c>
      <c r="CP458" s="14">
        <f t="shared" si="286"/>
        <v>2</v>
      </c>
      <c r="CQ458" s="14">
        <f t="shared" si="277"/>
        <v>6</v>
      </c>
      <c r="CR458" s="14">
        <f t="shared" si="278"/>
        <v>2061022</v>
      </c>
      <c r="CS458" s="13" t="str">
        <f t="shared" si="279"/>
        <v>180级守护灵绿色-头盔</v>
      </c>
      <c r="CT458" s="14">
        <f t="shared" si="280"/>
        <v>2</v>
      </c>
      <c r="CU458" s="14">
        <f t="shared" si="281"/>
        <v>1</v>
      </c>
      <c r="CV458" s="14">
        <f t="shared" si="287"/>
        <v>180</v>
      </c>
      <c r="CW458" s="14">
        <f t="shared" si="288"/>
        <v>180</v>
      </c>
      <c r="CX458" s="14">
        <f t="shared" si="289"/>
        <v>2</v>
      </c>
      <c r="CY458" s="14" t="str">
        <f t="shared" si="290"/>
        <v/>
      </c>
      <c r="CZ458" s="14">
        <f t="shared" si="291"/>
        <v>90</v>
      </c>
      <c r="DA458" s="14">
        <f t="shared" si="292"/>
        <v>0</v>
      </c>
      <c r="DB458" s="14">
        <f t="shared" si="293"/>
        <v>319</v>
      </c>
      <c r="DC458" s="14">
        <f t="shared" si="294"/>
        <v>0</v>
      </c>
      <c r="DD458" s="14">
        <f t="shared" si="295"/>
        <v>0</v>
      </c>
      <c r="DE458" s="14">
        <f t="shared" si="296"/>
        <v>9</v>
      </c>
      <c r="DF458" s="14">
        <f t="shared" si="297"/>
        <v>0</v>
      </c>
      <c r="DG458" s="14">
        <f t="shared" si="298"/>
        <v>21</v>
      </c>
      <c r="DH458" s="14">
        <f t="shared" si="299"/>
        <v>0</v>
      </c>
      <c r="DI458" s="14">
        <f t="shared" si="300"/>
        <v>26</v>
      </c>
      <c r="DL458" s="14">
        <f t="shared" si="282"/>
        <v>2</v>
      </c>
      <c r="DM458" s="14">
        <f t="shared" si="283"/>
        <v>0</v>
      </c>
      <c r="DN458" s="14" t="str">
        <f t="shared" si="301"/>
        <v>DefExt</v>
      </c>
      <c r="DO458" s="14">
        <f t="shared" si="302"/>
        <v>319</v>
      </c>
      <c r="DP458" s="14">
        <f t="shared" si="303"/>
        <v>9</v>
      </c>
      <c r="DQ458" s="14" t="str">
        <f t="shared" si="304"/>
        <v/>
      </c>
      <c r="DR458" s="14" t="str">
        <f t="shared" si="305"/>
        <v/>
      </c>
      <c r="DS458" s="14" t="str">
        <f t="shared" si="306"/>
        <v/>
      </c>
      <c r="DT458" s="14">
        <f t="shared" si="307"/>
        <v>21</v>
      </c>
      <c r="DU458" s="14">
        <f t="shared" si="308"/>
        <v>0</v>
      </c>
      <c r="DV458" s="14">
        <f t="shared" si="309"/>
        <v>26</v>
      </c>
      <c r="DW458" s="29" t="s">
        <v>758</v>
      </c>
      <c r="DX458" s="14">
        <f t="shared" si="310"/>
        <v>75</v>
      </c>
    </row>
    <row r="459" spans="91:128" ht="16.5" x14ac:dyDescent="0.2">
      <c r="CM459" s="13">
        <v>455</v>
      </c>
      <c r="CN459" s="14">
        <f t="shared" si="284"/>
        <v>64</v>
      </c>
      <c r="CO459" s="14">
        <f t="shared" si="285"/>
        <v>2</v>
      </c>
      <c r="CP459" s="14">
        <f t="shared" si="286"/>
        <v>3</v>
      </c>
      <c r="CQ459" s="14">
        <f t="shared" si="277"/>
        <v>6</v>
      </c>
      <c r="CR459" s="14">
        <f t="shared" si="278"/>
        <v>2061023</v>
      </c>
      <c r="CS459" s="13" t="str">
        <f t="shared" si="279"/>
        <v>180级守护灵绿色-肩甲</v>
      </c>
      <c r="CT459" s="14">
        <f t="shared" si="280"/>
        <v>2</v>
      </c>
      <c r="CU459" s="14">
        <f t="shared" si="281"/>
        <v>1</v>
      </c>
      <c r="CV459" s="14">
        <f t="shared" si="287"/>
        <v>180</v>
      </c>
      <c r="CW459" s="14">
        <f t="shared" si="288"/>
        <v>180</v>
      </c>
      <c r="CX459" s="14">
        <f t="shared" si="289"/>
        <v>3</v>
      </c>
      <c r="CY459" s="14" t="str">
        <f t="shared" si="290"/>
        <v/>
      </c>
      <c r="CZ459" s="14">
        <f t="shared" si="291"/>
        <v>93</v>
      </c>
      <c r="DA459" s="14">
        <f t="shared" si="292"/>
        <v>0</v>
      </c>
      <c r="DB459" s="14">
        <f t="shared" si="293"/>
        <v>159</v>
      </c>
      <c r="DC459" s="14">
        <f t="shared" si="294"/>
        <v>1500</v>
      </c>
      <c r="DD459" s="14">
        <f t="shared" si="295"/>
        <v>0</v>
      </c>
      <c r="DE459" s="14">
        <f t="shared" si="296"/>
        <v>4.5</v>
      </c>
      <c r="DF459" s="14">
        <f t="shared" si="297"/>
        <v>48.75</v>
      </c>
      <c r="DG459" s="14">
        <f t="shared" si="298"/>
        <v>21</v>
      </c>
      <c r="DH459" s="14">
        <f t="shared" si="299"/>
        <v>0</v>
      </c>
      <c r="DI459" s="14">
        <f t="shared" si="300"/>
        <v>26</v>
      </c>
      <c r="DL459" s="14">
        <f t="shared" si="282"/>
        <v>2</v>
      </c>
      <c r="DM459" s="14">
        <f t="shared" si="283"/>
        <v>3</v>
      </c>
      <c r="DN459" s="14" t="str">
        <f t="shared" si="301"/>
        <v>DefExt</v>
      </c>
      <c r="DO459" s="14">
        <f t="shared" si="302"/>
        <v>159</v>
      </c>
      <c r="DP459" s="14">
        <f t="shared" si="303"/>
        <v>4.5</v>
      </c>
      <c r="DQ459" s="14" t="str">
        <f t="shared" si="304"/>
        <v>HPExt</v>
      </c>
      <c r="DR459" s="14">
        <f t="shared" si="305"/>
        <v>1500</v>
      </c>
      <c r="DS459" s="14">
        <f t="shared" si="306"/>
        <v>48.75</v>
      </c>
      <c r="DT459" s="14">
        <f t="shared" si="307"/>
        <v>21</v>
      </c>
      <c r="DU459" s="14">
        <f t="shared" si="308"/>
        <v>0</v>
      </c>
      <c r="DV459" s="14">
        <f t="shared" si="309"/>
        <v>26</v>
      </c>
      <c r="DW459" s="29" t="s">
        <v>758</v>
      </c>
      <c r="DX459" s="14">
        <f t="shared" si="310"/>
        <v>75</v>
      </c>
    </row>
    <row r="460" spans="91:128" ht="16.5" x14ac:dyDescent="0.2">
      <c r="CM460" s="13">
        <v>456</v>
      </c>
      <c r="CN460" s="14">
        <f t="shared" si="284"/>
        <v>64</v>
      </c>
      <c r="CO460" s="14">
        <f t="shared" si="285"/>
        <v>2</v>
      </c>
      <c r="CP460" s="14">
        <f t="shared" si="286"/>
        <v>4</v>
      </c>
      <c r="CQ460" s="14">
        <f t="shared" si="277"/>
        <v>6</v>
      </c>
      <c r="CR460" s="14">
        <f t="shared" si="278"/>
        <v>2061024</v>
      </c>
      <c r="CS460" s="13" t="str">
        <f t="shared" si="279"/>
        <v>180级守护灵绿色-衣服</v>
      </c>
      <c r="CT460" s="14">
        <f t="shared" si="280"/>
        <v>2</v>
      </c>
      <c r="CU460" s="14">
        <f t="shared" si="281"/>
        <v>1</v>
      </c>
      <c r="CV460" s="14">
        <f t="shared" si="287"/>
        <v>180</v>
      </c>
      <c r="CW460" s="14">
        <f t="shared" si="288"/>
        <v>180</v>
      </c>
      <c r="CX460" s="14">
        <f t="shared" si="289"/>
        <v>4</v>
      </c>
      <c r="CY460" s="14" t="str">
        <f t="shared" si="290"/>
        <v/>
      </c>
      <c r="CZ460" s="14">
        <f t="shared" si="291"/>
        <v>90</v>
      </c>
      <c r="DA460" s="14">
        <f t="shared" si="292"/>
        <v>0</v>
      </c>
      <c r="DB460" s="14">
        <f t="shared" si="293"/>
        <v>319</v>
      </c>
      <c r="DC460" s="14">
        <f t="shared" si="294"/>
        <v>0</v>
      </c>
      <c r="DD460" s="14">
        <f t="shared" si="295"/>
        <v>0</v>
      </c>
      <c r="DE460" s="14">
        <f t="shared" si="296"/>
        <v>9</v>
      </c>
      <c r="DF460" s="14">
        <f t="shared" si="297"/>
        <v>0</v>
      </c>
      <c r="DG460" s="14">
        <f t="shared" si="298"/>
        <v>21</v>
      </c>
      <c r="DH460" s="14">
        <f t="shared" si="299"/>
        <v>0</v>
      </c>
      <c r="DI460" s="14">
        <f t="shared" si="300"/>
        <v>26</v>
      </c>
      <c r="DL460" s="14">
        <f t="shared" si="282"/>
        <v>2</v>
      </c>
      <c r="DM460" s="14">
        <f t="shared" si="283"/>
        <v>0</v>
      </c>
      <c r="DN460" s="14" t="str">
        <f t="shared" si="301"/>
        <v>DefExt</v>
      </c>
      <c r="DO460" s="14">
        <f t="shared" si="302"/>
        <v>319</v>
      </c>
      <c r="DP460" s="14">
        <f t="shared" si="303"/>
        <v>9</v>
      </c>
      <c r="DQ460" s="14" t="str">
        <f t="shared" si="304"/>
        <v/>
      </c>
      <c r="DR460" s="14" t="str">
        <f t="shared" si="305"/>
        <v/>
      </c>
      <c r="DS460" s="14" t="str">
        <f t="shared" si="306"/>
        <v/>
      </c>
      <c r="DT460" s="14">
        <f t="shared" si="307"/>
        <v>21</v>
      </c>
      <c r="DU460" s="14">
        <f t="shared" si="308"/>
        <v>0</v>
      </c>
      <c r="DV460" s="14">
        <f t="shared" si="309"/>
        <v>26</v>
      </c>
      <c r="DW460" s="29" t="s">
        <v>758</v>
      </c>
      <c r="DX460" s="14">
        <f t="shared" si="310"/>
        <v>75</v>
      </c>
    </row>
    <row r="461" spans="91:128" ht="16.5" x14ac:dyDescent="0.2">
      <c r="CM461" s="13">
        <v>457</v>
      </c>
      <c r="CN461" s="14">
        <f t="shared" si="284"/>
        <v>64</v>
      </c>
      <c r="CO461" s="14">
        <f t="shared" si="285"/>
        <v>2</v>
      </c>
      <c r="CP461" s="14">
        <f t="shared" si="286"/>
        <v>5</v>
      </c>
      <c r="CQ461" s="14">
        <f t="shared" si="277"/>
        <v>6</v>
      </c>
      <c r="CR461" s="14">
        <f t="shared" si="278"/>
        <v>2061025</v>
      </c>
      <c r="CS461" s="13" t="str">
        <f t="shared" si="279"/>
        <v>180级守护灵绿色-鞋子</v>
      </c>
      <c r="CT461" s="14">
        <f t="shared" si="280"/>
        <v>2</v>
      </c>
      <c r="CU461" s="14">
        <f t="shared" si="281"/>
        <v>1</v>
      </c>
      <c r="CV461" s="14">
        <f t="shared" si="287"/>
        <v>180</v>
      </c>
      <c r="CW461" s="14">
        <f t="shared" si="288"/>
        <v>180</v>
      </c>
      <c r="CX461" s="14">
        <f t="shared" si="289"/>
        <v>5</v>
      </c>
      <c r="CY461" s="14" t="str">
        <f t="shared" si="290"/>
        <v/>
      </c>
      <c r="CZ461" s="14">
        <f t="shared" si="291"/>
        <v>97</v>
      </c>
      <c r="DA461" s="14">
        <f t="shared" si="292"/>
        <v>0</v>
      </c>
      <c r="DB461" s="14">
        <f t="shared" si="293"/>
        <v>0</v>
      </c>
      <c r="DC461" s="14">
        <f t="shared" si="294"/>
        <v>3000</v>
      </c>
      <c r="DD461" s="14">
        <f t="shared" si="295"/>
        <v>0</v>
      </c>
      <c r="DE461" s="14">
        <f t="shared" si="296"/>
        <v>0</v>
      </c>
      <c r="DF461" s="14">
        <f t="shared" si="297"/>
        <v>97.5</v>
      </c>
      <c r="DG461" s="14">
        <f t="shared" si="298"/>
        <v>21</v>
      </c>
      <c r="DH461" s="14">
        <f t="shared" si="299"/>
        <v>0</v>
      </c>
      <c r="DI461" s="14">
        <f t="shared" si="300"/>
        <v>26</v>
      </c>
      <c r="DL461" s="14">
        <f t="shared" si="282"/>
        <v>3</v>
      </c>
      <c r="DM461" s="14">
        <f t="shared" si="283"/>
        <v>0</v>
      </c>
      <c r="DN461" s="14" t="str">
        <f t="shared" si="301"/>
        <v>HPExt</v>
      </c>
      <c r="DO461" s="14">
        <f t="shared" si="302"/>
        <v>3000</v>
      </c>
      <c r="DP461" s="14">
        <f t="shared" si="303"/>
        <v>97.5</v>
      </c>
      <c r="DQ461" s="14" t="str">
        <f t="shared" si="304"/>
        <v/>
      </c>
      <c r="DR461" s="14" t="str">
        <f t="shared" si="305"/>
        <v/>
      </c>
      <c r="DS461" s="14" t="str">
        <f t="shared" si="306"/>
        <v/>
      </c>
      <c r="DT461" s="14">
        <f t="shared" si="307"/>
        <v>21</v>
      </c>
      <c r="DU461" s="14">
        <f t="shared" si="308"/>
        <v>0</v>
      </c>
      <c r="DV461" s="14">
        <f t="shared" si="309"/>
        <v>26</v>
      </c>
      <c r="DW461" s="29" t="s">
        <v>758</v>
      </c>
      <c r="DX461" s="14">
        <f t="shared" si="310"/>
        <v>75</v>
      </c>
    </row>
    <row r="462" spans="91:128" ht="16.5" x14ac:dyDescent="0.2">
      <c r="CM462" s="13">
        <v>458</v>
      </c>
      <c r="CN462" s="14">
        <f t="shared" si="284"/>
        <v>64</v>
      </c>
      <c r="CO462" s="14">
        <f t="shared" si="285"/>
        <v>2</v>
      </c>
      <c r="CP462" s="14">
        <f t="shared" si="286"/>
        <v>6</v>
      </c>
      <c r="CQ462" s="14">
        <f t="shared" si="277"/>
        <v>6</v>
      </c>
      <c r="CR462" s="14">
        <f t="shared" si="278"/>
        <v>2061026</v>
      </c>
      <c r="CS462" s="13" t="str">
        <f t="shared" si="279"/>
        <v>180级守护灵绿色-护手</v>
      </c>
      <c r="CT462" s="14">
        <f t="shared" si="280"/>
        <v>2</v>
      </c>
      <c r="CU462" s="14">
        <f t="shared" si="281"/>
        <v>1</v>
      </c>
      <c r="CV462" s="14">
        <f t="shared" si="287"/>
        <v>180</v>
      </c>
      <c r="CW462" s="14">
        <f t="shared" si="288"/>
        <v>180</v>
      </c>
      <c r="CX462" s="14">
        <f t="shared" si="289"/>
        <v>6</v>
      </c>
      <c r="CY462" s="14" t="str">
        <f t="shared" si="290"/>
        <v/>
      </c>
      <c r="CZ462" s="14">
        <f t="shared" si="291"/>
        <v>97</v>
      </c>
      <c r="DA462" s="14">
        <f t="shared" si="292"/>
        <v>0</v>
      </c>
      <c r="DB462" s="14">
        <f t="shared" si="293"/>
        <v>0</v>
      </c>
      <c r="DC462" s="14">
        <f t="shared" si="294"/>
        <v>3000</v>
      </c>
      <c r="DD462" s="14">
        <f t="shared" si="295"/>
        <v>0</v>
      </c>
      <c r="DE462" s="14">
        <f t="shared" si="296"/>
        <v>0</v>
      </c>
      <c r="DF462" s="14">
        <f t="shared" si="297"/>
        <v>97.5</v>
      </c>
      <c r="DG462" s="14">
        <f t="shared" si="298"/>
        <v>21</v>
      </c>
      <c r="DH462" s="14">
        <f t="shared" si="299"/>
        <v>0</v>
      </c>
      <c r="DI462" s="14">
        <f t="shared" si="300"/>
        <v>26</v>
      </c>
      <c r="DL462" s="14">
        <f t="shared" si="282"/>
        <v>3</v>
      </c>
      <c r="DM462" s="14">
        <f t="shared" si="283"/>
        <v>0</v>
      </c>
      <c r="DN462" s="14" t="str">
        <f t="shared" si="301"/>
        <v>HPExt</v>
      </c>
      <c r="DO462" s="14">
        <f t="shared" si="302"/>
        <v>3000</v>
      </c>
      <c r="DP462" s="14">
        <f t="shared" si="303"/>
        <v>97.5</v>
      </c>
      <c r="DQ462" s="14" t="str">
        <f t="shared" si="304"/>
        <v/>
      </c>
      <c r="DR462" s="14" t="str">
        <f t="shared" si="305"/>
        <v/>
      </c>
      <c r="DS462" s="14" t="str">
        <f t="shared" si="306"/>
        <v/>
      </c>
      <c r="DT462" s="14">
        <f t="shared" si="307"/>
        <v>21</v>
      </c>
      <c r="DU462" s="14">
        <f t="shared" si="308"/>
        <v>0</v>
      </c>
      <c r="DV462" s="14">
        <f t="shared" si="309"/>
        <v>26</v>
      </c>
      <c r="DW462" s="29" t="s">
        <v>758</v>
      </c>
      <c r="DX462" s="14">
        <f t="shared" si="310"/>
        <v>75</v>
      </c>
    </row>
    <row r="463" spans="91:128" ht="16.5" x14ac:dyDescent="0.2">
      <c r="CM463" s="13">
        <v>459</v>
      </c>
      <c r="CN463" s="14">
        <f t="shared" si="284"/>
        <v>64</v>
      </c>
      <c r="CO463" s="14">
        <f t="shared" si="285"/>
        <v>2</v>
      </c>
      <c r="CP463" s="14">
        <f t="shared" si="286"/>
        <v>7</v>
      </c>
      <c r="CQ463" s="14">
        <f t="shared" si="277"/>
        <v>6</v>
      </c>
      <c r="CR463" s="14">
        <f t="shared" si="278"/>
        <v>2061027</v>
      </c>
      <c r="CS463" s="13" t="str">
        <f t="shared" si="279"/>
        <v>180级守护灵绿色-项链</v>
      </c>
      <c r="CT463" s="14">
        <f t="shared" si="280"/>
        <v>2</v>
      </c>
      <c r="CU463" s="14">
        <f t="shared" si="281"/>
        <v>1</v>
      </c>
      <c r="CV463" s="14">
        <f t="shared" si="287"/>
        <v>180</v>
      </c>
      <c r="CW463" s="14">
        <f t="shared" si="288"/>
        <v>180</v>
      </c>
      <c r="CX463" s="14">
        <f t="shared" si="289"/>
        <v>7</v>
      </c>
      <c r="CY463" s="14" t="str">
        <f t="shared" si="290"/>
        <v/>
      </c>
      <c r="CZ463" s="14">
        <f t="shared" si="291"/>
        <v>135</v>
      </c>
      <c r="DA463" s="14">
        <f t="shared" si="292"/>
        <v>425</v>
      </c>
      <c r="DB463" s="14">
        <f t="shared" si="293"/>
        <v>266</v>
      </c>
      <c r="DC463" s="14">
        <f t="shared" si="294"/>
        <v>0</v>
      </c>
      <c r="DD463" s="14">
        <f t="shared" si="295"/>
        <v>12</v>
      </c>
      <c r="DE463" s="14">
        <f t="shared" si="296"/>
        <v>7.5</v>
      </c>
      <c r="DF463" s="14">
        <f t="shared" si="297"/>
        <v>0</v>
      </c>
      <c r="DG463" s="14">
        <f t="shared" si="298"/>
        <v>21</v>
      </c>
      <c r="DH463" s="14">
        <f t="shared" si="299"/>
        <v>0</v>
      </c>
      <c r="DI463" s="14">
        <f t="shared" si="300"/>
        <v>26</v>
      </c>
      <c r="DL463" s="14">
        <f t="shared" si="282"/>
        <v>1</v>
      </c>
      <c r="DM463" s="14">
        <f t="shared" si="283"/>
        <v>2</v>
      </c>
      <c r="DN463" s="14" t="str">
        <f t="shared" si="301"/>
        <v>AtkExt</v>
      </c>
      <c r="DO463" s="14">
        <f t="shared" si="302"/>
        <v>425</v>
      </c>
      <c r="DP463" s="14">
        <f t="shared" si="303"/>
        <v>12</v>
      </c>
      <c r="DQ463" s="14" t="str">
        <f t="shared" si="304"/>
        <v>DefExt</v>
      </c>
      <c r="DR463" s="14">
        <f t="shared" si="305"/>
        <v>266</v>
      </c>
      <c r="DS463" s="14">
        <f t="shared" si="306"/>
        <v>7.5</v>
      </c>
      <c r="DT463" s="14">
        <f t="shared" si="307"/>
        <v>21</v>
      </c>
      <c r="DU463" s="14">
        <f t="shared" si="308"/>
        <v>0</v>
      </c>
      <c r="DV463" s="14">
        <f t="shared" si="309"/>
        <v>26</v>
      </c>
      <c r="DW463" s="29" t="s">
        <v>758</v>
      </c>
      <c r="DX463" s="14">
        <f t="shared" si="310"/>
        <v>75</v>
      </c>
    </row>
    <row r="464" spans="91:128" ht="16.5" x14ac:dyDescent="0.2">
      <c r="CM464" s="13">
        <v>460</v>
      </c>
      <c r="CN464" s="14">
        <f t="shared" si="284"/>
        <v>64</v>
      </c>
      <c r="CO464" s="14">
        <f t="shared" si="285"/>
        <v>2</v>
      </c>
      <c r="CP464" s="14">
        <f t="shared" si="286"/>
        <v>8</v>
      </c>
      <c r="CQ464" s="14">
        <f t="shared" si="277"/>
        <v>6</v>
      </c>
      <c r="CR464" s="14">
        <f t="shared" si="278"/>
        <v>2061028</v>
      </c>
      <c r="CS464" s="13" t="str">
        <f t="shared" si="279"/>
        <v>180级守护灵绿色-戒指</v>
      </c>
      <c r="CT464" s="14">
        <f t="shared" si="280"/>
        <v>2</v>
      </c>
      <c r="CU464" s="14">
        <f t="shared" si="281"/>
        <v>1</v>
      </c>
      <c r="CV464" s="14">
        <f t="shared" si="287"/>
        <v>180</v>
      </c>
      <c r="CW464" s="14">
        <f t="shared" si="288"/>
        <v>180</v>
      </c>
      <c r="CX464" s="14">
        <f t="shared" si="289"/>
        <v>8</v>
      </c>
      <c r="CY464" s="14" t="str">
        <f t="shared" si="290"/>
        <v/>
      </c>
      <c r="CZ464" s="14">
        <f t="shared" si="291"/>
        <v>141</v>
      </c>
      <c r="DA464" s="14">
        <f t="shared" si="292"/>
        <v>425</v>
      </c>
      <c r="DB464" s="14">
        <f t="shared" si="293"/>
        <v>0</v>
      </c>
      <c r="DC464" s="14">
        <f t="shared" si="294"/>
        <v>2500</v>
      </c>
      <c r="DD464" s="14">
        <f t="shared" si="295"/>
        <v>12</v>
      </c>
      <c r="DE464" s="14">
        <f t="shared" si="296"/>
        <v>0</v>
      </c>
      <c r="DF464" s="14">
        <f t="shared" si="297"/>
        <v>81.25</v>
      </c>
      <c r="DG464" s="14">
        <f t="shared" si="298"/>
        <v>21</v>
      </c>
      <c r="DH464" s="14">
        <f t="shared" si="299"/>
        <v>0</v>
      </c>
      <c r="DI464" s="14">
        <f t="shared" si="300"/>
        <v>26</v>
      </c>
      <c r="DL464" s="14">
        <f t="shared" si="282"/>
        <v>1</v>
      </c>
      <c r="DM464" s="14">
        <f t="shared" si="283"/>
        <v>3</v>
      </c>
      <c r="DN464" s="14" t="str">
        <f t="shared" si="301"/>
        <v>AtkExt</v>
      </c>
      <c r="DO464" s="14">
        <f t="shared" si="302"/>
        <v>425</v>
      </c>
      <c r="DP464" s="14">
        <f t="shared" si="303"/>
        <v>12</v>
      </c>
      <c r="DQ464" s="14" t="str">
        <f t="shared" si="304"/>
        <v>HPExt</v>
      </c>
      <c r="DR464" s="14">
        <f t="shared" si="305"/>
        <v>2500</v>
      </c>
      <c r="DS464" s="14">
        <f t="shared" si="306"/>
        <v>81.25</v>
      </c>
      <c r="DT464" s="14">
        <f t="shared" si="307"/>
        <v>21</v>
      </c>
      <c r="DU464" s="14">
        <f t="shared" si="308"/>
        <v>0</v>
      </c>
      <c r="DV464" s="14">
        <f t="shared" si="309"/>
        <v>26</v>
      </c>
      <c r="DW464" s="29" t="s">
        <v>758</v>
      </c>
      <c r="DX464" s="14">
        <f t="shared" si="310"/>
        <v>75</v>
      </c>
    </row>
    <row r="465" spans="91:128" ht="16.5" x14ac:dyDescent="0.2">
      <c r="CM465" s="13">
        <v>461</v>
      </c>
      <c r="CN465" s="14">
        <f t="shared" si="284"/>
        <v>65</v>
      </c>
      <c r="CO465" s="14">
        <f t="shared" si="285"/>
        <v>1</v>
      </c>
      <c r="CP465" s="14">
        <f t="shared" si="286"/>
        <v>1</v>
      </c>
      <c r="CQ465" s="14">
        <f t="shared" si="277"/>
        <v>6</v>
      </c>
      <c r="CR465" s="14">
        <f t="shared" si="278"/>
        <v>2062011</v>
      </c>
      <c r="CS465" s="13" t="str">
        <f t="shared" si="279"/>
        <v>180级寄灵人蓝色-武器</v>
      </c>
      <c r="CT465" s="14">
        <f t="shared" si="280"/>
        <v>1</v>
      </c>
      <c r="CU465" s="14">
        <f t="shared" si="281"/>
        <v>2</v>
      </c>
      <c r="CV465" s="14">
        <f t="shared" si="287"/>
        <v>180</v>
      </c>
      <c r="CW465" s="14">
        <f t="shared" si="288"/>
        <v>180</v>
      </c>
      <c r="CX465" s="14">
        <f t="shared" si="289"/>
        <v>1</v>
      </c>
      <c r="CY465" s="14" t="str">
        <f t="shared" si="290"/>
        <v/>
      </c>
      <c r="CZ465" s="14">
        <f t="shared" si="291"/>
        <v>270</v>
      </c>
      <c r="DA465" s="14">
        <f t="shared" si="292"/>
        <v>2025</v>
      </c>
      <c r="DB465" s="14">
        <f t="shared" si="293"/>
        <v>0</v>
      </c>
      <c r="DC465" s="14">
        <f t="shared" si="294"/>
        <v>0</v>
      </c>
      <c r="DD465" s="14">
        <f t="shared" si="295"/>
        <v>54</v>
      </c>
      <c r="DE465" s="14">
        <f t="shared" si="296"/>
        <v>0</v>
      </c>
      <c r="DF465" s="14">
        <f t="shared" si="297"/>
        <v>0</v>
      </c>
      <c r="DG465" s="14">
        <f t="shared" si="298"/>
        <v>22</v>
      </c>
      <c r="DH465" s="14">
        <f t="shared" si="299"/>
        <v>0</v>
      </c>
      <c r="DI465" s="14">
        <f t="shared" si="300"/>
        <v>16</v>
      </c>
      <c r="DL465" s="14">
        <f t="shared" si="282"/>
        <v>1</v>
      </c>
      <c r="DM465" s="14">
        <f t="shared" si="283"/>
        <v>0</v>
      </c>
      <c r="DN465" s="14" t="str">
        <f t="shared" si="301"/>
        <v>AtkExt</v>
      </c>
      <c r="DO465" s="14">
        <f t="shared" si="302"/>
        <v>2025</v>
      </c>
      <c r="DP465" s="14">
        <f t="shared" si="303"/>
        <v>54</v>
      </c>
      <c r="DQ465" s="14" t="str">
        <f t="shared" si="304"/>
        <v/>
      </c>
      <c r="DR465" s="14" t="str">
        <f t="shared" si="305"/>
        <v/>
      </c>
      <c r="DS465" s="14" t="str">
        <f t="shared" si="306"/>
        <v/>
      </c>
      <c r="DT465" s="14">
        <f t="shared" si="307"/>
        <v>22</v>
      </c>
      <c r="DU465" s="14">
        <f t="shared" si="308"/>
        <v>0</v>
      </c>
      <c r="DV465" s="14">
        <f t="shared" si="309"/>
        <v>16</v>
      </c>
      <c r="DW465" s="29" t="s">
        <v>758</v>
      </c>
      <c r="DX465" s="14">
        <f t="shared" si="310"/>
        <v>225</v>
      </c>
    </row>
    <row r="466" spans="91:128" ht="16.5" x14ac:dyDescent="0.2">
      <c r="CM466" s="13">
        <v>462</v>
      </c>
      <c r="CN466" s="14">
        <f t="shared" si="284"/>
        <v>65</v>
      </c>
      <c r="CO466" s="14">
        <f t="shared" si="285"/>
        <v>1</v>
      </c>
      <c r="CP466" s="14">
        <f t="shared" si="286"/>
        <v>2</v>
      </c>
      <c r="CQ466" s="14">
        <f t="shared" si="277"/>
        <v>6</v>
      </c>
      <c r="CR466" s="14">
        <f t="shared" si="278"/>
        <v>2062012</v>
      </c>
      <c r="CS466" s="13" t="str">
        <f t="shared" si="279"/>
        <v>180级寄灵人蓝色-头盔</v>
      </c>
      <c r="CT466" s="14">
        <f t="shared" si="280"/>
        <v>1</v>
      </c>
      <c r="CU466" s="14">
        <f t="shared" si="281"/>
        <v>2</v>
      </c>
      <c r="CV466" s="14">
        <f t="shared" si="287"/>
        <v>180</v>
      </c>
      <c r="CW466" s="14">
        <f t="shared" si="288"/>
        <v>180</v>
      </c>
      <c r="CX466" s="14">
        <f t="shared" si="289"/>
        <v>2</v>
      </c>
      <c r="CY466" s="14" t="str">
        <f t="shared" si="290"/>
        <v/>
      </c>
      <c r="CZ466" s="14">
        <f t="shared" si="291"/>
        <v>135</v>
      </c>
      <c r="DA466" s="14">
        <f t="shared" si="292"/>
        <v>0</v>
      </c>
      <c r="DB466" s="14">
        <f t="shared" si="293"/>
        <v>506</v>
      </c>
      <c r="DC466" s="14">
        <f t="shared" si="294"/>
        <v>0</v>
      </c>
      <c r="DD466" s="14">
        <f t="shared" si="295"/>
        <v>0</v>
      </c>
      <c r="DE466" s="14">
        <f t="shared" si="296"/>
        <v>13.5</v>
      </c>
      <c r="DF466" s="14">
        <f t="shared" si="297"/>
        <v>0</v>
      </c>
      <c r="DG466" s="14">
        <f t="shared" si="298"/>
        <v>22</v>
      </c>
      <c r="DH466" s="14">
        <f t="shared" si="299"/>
        <v>0</v>
      </c>
      <c r="DI466" s="14">
        <f t="shared" si="300"/>
        <v>16</v>
      </c>
      <c r="DL466" s="14">
        <f t="shared" si="282"/>
        <v>2</v>
      </c>
      <c r="DM466" s="14">
        <f t="shared" si="283"/>
        <v>0</v>
      </c>
      <c r="DN466" s="14" t="str">
        <f t="shared" si="301"/>
        <v>DefExt</v>
      </c>
      <c r="DO466" s="14">
        <f t="shared" si="302"/>
        <v>506</v>
      </c>
      <c r="DP466" s="14">
        <f t="shared" si="303"/>
        <v>13.5</v>
      </c>
      <c r="DQ466" s="14" t="str">
        <f t="shared" si="304"/>
        <v/>
      </c>
      <c r="DR466" s="14" t="str">
        <f t="shared" si="305"/>
        <v/>
      </c>
      <c r="DS466" s="14" t="str">
        <f t="shared" si="306"/>
        <v/>
      </c>
      <c r="DT466" s="14">
        <f t="shared" si="307"/>
        <v>22</v>
      </c>
      <c r="DU466" s="14">
        <f t="shared" si="308"/>
        <v>0</v>
      </c>
      <c r="DV466" s="14">
        <f t="shared" si="309"/>
        <v>16</v>
      </c>
      <c r="DW466" s="29" t="s">
        <v>758</v>
      </c>
      <c r="DX466" s="14">
        <f t="shared" si="310"/>
        <v>225</v>
      </c>
    </row>
    <row r="467" spans="91:128" ht="16.5" x14ac:dyDescent="0.2">
      <c r="CM467" s="13">
        <v>463</v>
      </c>
      <c r="CN467" s="14">
        <f t="shared" si="284"/>
        <v>65</v>
      </c>
      <c r="CO467" s="14">
        <f t="shared" si="285"/>
        <v>1</v>
      </c>
      <c r="CP467" s="14">
        <f t="shared" si="286"/>
        <v>3</v>
      </c>
      <c r="CQ467" s="14">
        <f t="shared" si="277"/>
        <v>6</v>
      </c>
      <c r="CR467" s="14">
        <f t="shared" si="278"/>
        <v>2062013</v>
      </c>
      <c r="CS467" s="13" t="str">
        <f t="shared" si="279"/>
        <v>180级寄灵人蓝色-肩甲</v>
      </c>
      <c r="CT467" s="14">
        <f t="shared" si="280"/>
        <v>1</v>
      </c>
      <c r="CU467" s="14">
        <f t="shared" si="281"/>
        <v>2</v>
      </c>
      <c r="CV467" s="14">
        <f t="shared" si="287"/>
        <v>180</v>
      </c>
      <c r="CW467" s="14">
        <f t="shared" si="288"/>
        <v>180</v>
      </c>
      <c r="CX467" s="14">
        <f t="shared" si="289"/>
        <v>3</v>
      </c>
      <c r="CY467" s="14" t="str">
        <f t="shared" si="290"/>
        <v/>
      </c>
      <c r="CZ467" s="14">
        <f t="shared" si="291"/>
        <v>108</v>
      </c>
      <c r="DA467" s="14">
        <f t="shared" si="292"/>
        <v>0</v>
      </c>
      <c r="DB467" s="14">
        <f t="shared" si="293"/>
        <v>253</v>
      </c>
      <c r="DC467" s="14">
        <f t="shared" si="294"/>
        <v>1519</v>
      </c>
      <c r="DD467" s="14">
        <f t="shared" si="295"/>
        <v>0</v>
      </c>
      <c r="DE467" s="14">
        <f t="shared" si="296"/>
        <v>6.75</v>
      </c>
      <c r="DF467" s="14">
        <f t="shared" si="297"/>
        <v>40.5</v>
      </c>
      <c r="DG467" s="14">
        <f t="shared" si="298"/>
        <v>22</v>
      </c>
      <c r="DH467" s="14">
        <f t="shared" si="299"/>
        <v>0</v>
      </c>
      <c r="DI467" s="14">
        <f t="shared" si="300"/>
        <v>16</v>
      </c>
      <c r="DL467" s="14">
        <f t="shared" si="282"/>
        <v>2</v>
      </c>
      <c r="DM467" s="14">
        <f t="shared" si="283"/>
        <v>3</v>
      </c>
      <c r="DN467" s="14" t="str">
        <f t="shared" si="301"/>
        <v>DefExt</v>
      </c>
      <c r="DO467" s="14">
        <f t="shared" si="302"/>
        <v>253</v>
      </c>
      <c r="DP467" s="14">
        <f t="shared" si="303"/>
        <v>6.75</v>
      </c>
      <c r="DQ467" s="14" t="str">
        <f t="shared" si="304"/>
        <v>HPExt</v>
      </c>
      <c r="DR467" s="14">
        <f t="shared" si="305"/>
        <v>1519</v>
      </c>
      <c r="DS467" s="14">
        <f t="shared" si="306"/>
        <v>40.5</v>
      </c>
      <c r="DT467" s="14">
        <f t="shared" si="307"/>
        <v>22</v>
      </c>
      <c r="DU467" s="14">
        <f t="shared" si="308"/>
        <v>0</v>
      </c>
      <c r="DV467" s="14">
        <f t="shared" si="309"/>
        <v>16</v>
      </c>
      <c r="DW467" s="29" t="s">
        <v>758</v>
      </c>
      <c r="DX467" s="14">
        <f t="shared" si="310"/>
        <v>225</v>
      </c>
    </row>
    <row r="468" spans="91:128" ht="16.5" x14ac:dyDescent="0.2">
      <c r="CM468" s="13">
        <v>464</v>
      </c>
      <c r="CN468" s="14">
        <f t="shared" si="284"/>
        <v>65</v>
      </c>
      <c r="CO468" s="14">
        <f t="shared" si="285"/>
        <v>1</v>
      </c>
      <c r="CP468" s="14">
        <f t="shared" si="286"/>
        <v>4</v>
      </c>
      <c r="CQ468" s="14">
        <f t="shared" si="277"/>
        <v>6</v>
      </c>
      <c r="CR468" s="14">
        <f t="shared" si="278"/>
        <v>2062014</v>
      </c>
      <c r="CS468" s="13" t="str">
        <f t="shared" si="279"/>
        <v>180级寄灵人蓝色-衣服</v>
      </c>
      <c r="CT468" s="14">
        <f t="shared" si="280"/>
        <v>1</v>
      </c>
      <c r="CU468" s="14">
        <f t="shared" si="281"/>
        <v>2</v>
      </c>
      <c r="CV468" s="14">
        <f t="shared" si="287"/>
        <v>180</v>
      </c>
      <c r="CW468" s="14">
        <f t="shared" si="288"/>
        <v>180</v>
      </c>
      <c r="CX468" s="14">
        <f t="shared" si="289"/>
        <v>4</v>
      </c>
      <c r="CY468" s="14" t="str">
        <f t="shared" si="290"/>
        <v/>
      </c>
      <c r="CZ468" s="14">
        <f t="shared" si="291"/>
        <v>135</v>
      </c>
      <c r="DA468" s="14">
        <f t="shared" si="292"/>
        <v>0</v>
      </c>
      <c r="DB468" s="14">
        <f t="shared" si="293"/>
        <v>506</v>
      </c>
      <c r="DC468" s="14">
        <f t="shared" si="294"/>
        <v>0</v>
      </c>
      <c r="DD468" s="14">
        <f t="shared" si="295"/>
        <v>0</v>
      </c>
      <c r="DE468" s="14">
        <f t="shared" si="296"/>
        <v>13.5</v>
      </c>
      <c r="DF468" s="14">
        <f t="shared" si="297"/>
        <v>0</v>
      </c>
      <c r="DG468" s="14">
        <f t="shared" si="298"/>
        <v>22</v>
      </c>
      <c r="DH468" s="14">
        <f t="shared" si="299"/>
        <v>0</v>
      </c>
      <c r="DI468" s="14">
        <f t="shared" si="300"/>
        <v>16</v>
      </c>
      <c r="DL468" s="14">
        <f t="shared" si="282"/>
        <v>2</v>
      </c>
      <c r="DM468" s="14">
        <f t="shared" si="283"/>
        <v>0</v>
      </c>
      <c r="DN468" s="14" t="str">
        <f t="shared" si="301"/>
        <v>DefExt</v>
      </c>
      <c r="DO468" s="14">
        <f t="shared" si="302"/>
        <v>506</v>
      </c>
      <c r="DP468" s="14">
        <f t="shared" si="303"/>
        <v>13.5</v>
      </c>
      <c r="DQ468" s="14" t="str">
        <f t="shared" si="304"/>
        <v/>
      </c>
      <c r="DR468" s="14" t="str">
        <f t="shared" si="305"/>
        <v/>
      </c>
      <c r="DS468" s="14" t="str">
        <f t="shared" si="306"/>
        <v/>
      </c>
      <c r="DT468" s="14">
        <f t="shared" si="307"/>
        <v>22</v>
      </c>
      <c r="DU468" s="14">
        <f t="shared" si="308"/>
        <v>0</v>
      </c>
      <c r="DV468" s="14">
        <f t="shared" si="309"/>
        <v>16</v>
      </c>
      <c r="DW468" s="29" t="s">
        <v>758</v>
      </c>
      <c r="DX468" s="14">
        <f t="shared" si="310"/>
        <v>225</v>
      </c>
    </row>
    <row r="469" spans="91:128" ht="16.5" x14ac:dyDescent="0.2">
      <c r="CM469" s="13">
        <v>465</v>
      </c>
      <c r="CN469" s="14">
        <f t="shared" si="284"/>
        <v>65</v>
      </c>
      <c r="CO469" s="14">
        <f t="shared" si="285"/>
        <v>1</v>
      </c>
      <c r="CP469" s="14">
        <f t="shared" si="286"/>
        <v>5</v>
      </c>
      <c r="CQ469" s="14">
        <f t="shared" si="277"/>
        <v>6</v>
      </c>
      <c r="CR469" s="14">
        <f t="shared" si="278"/>
        <v>2062015</v>
      </c>
      <c r="CS469" s="13" t="str">
        <f t="shared" si="279"/>
        <v>180级寄灵人蓝色-鞋子</v>
      </c>
      <c r="CT469" s="14">
        <f t="shared" si="280"/>
        <v>1</v>
      </c>
      <c r="CU469" s="14">
        <f t="shared" si="281"/>
        <v>2</v>
      </c>
      <c r="CV469" s="14">
        <f t="shared" si="287"/>
        <v>180</v>
      </c>
      <c r="CW469" s="14">
        <f t="shared" si="288"/>
        <v>180</v>
      </c>
      <c r="CX469" s="14">
        <f t="shared" si="289"/>
        <v>5</v>
      </c>
      <c r="CY469" s="14" t="str">
        <f t="shared" si="290"/>
        <v/>
      </c>
      <c r="CZ469" s="14">
        <f t="shared" si="291"/>
        <v>81</v>
      </c>
      <c r="DA469" s="14">
        <f t="shared" si="292"/>
        <v>0</v>
      </c>
      <c r="DB469" s="14">
        <f t="shared" si="293"/>
        <v>0</v>
      </c>
      <c r="DC469" s="14">
        <f t="shared" si="294"/>
        <v>3038</v>
      </c>
      <c r="DD469" s="14">
        <f t="shared" si="295"/>
        <v>0</v>
      </c>
      <c r="DE469" s="14">
        <f t="shared" si="296"/>
        <v>0</v>
      </c>
      <c r="DF469" s="14">
        <f t="shared" si="297"/>
        <v>81</v>
      </c>
      <c r="DG469" s="14">
        <f t="shared" si="298"/>
        <v>22</v>
      </c>
      <c r="DH469" s="14">
        <f t="shared" si="299"/>
        <v>0</v>
      </c>
      <c r="DI469" s="14">
        <f t="shared" si="300"/>
        <v>16</v>
      </c>
      <c r="DL469" s="14">
        <f t="shared" si="282"/>
        <v>3</v>
      </c>
      <c r="DM469" s="14">
        <f t="shared" si="283"/>
        <v>0</v>
      </c>
      <c r="DN469" s="14" t="str">
        <f t="shared" si="301"/>
        <v>HPExt</v>
      </c>
      <c r="DO469" s="14">
        <f t="shared" si="302"/>
        <v>3038</v>
      </c>
      <c r="DP469" s="14">
        <f t="shared" si="303"/>
        <v>81</v>
      </c>
      <c r="DQ469" s="14" t="str">
        <f t="shared" si="304"/>
        <v/>
      </c>
      <c r="DR469" s="14" t="str">
        <f t="shared" si="305"/>
        <v/>
      </c>
      <c r="DS469" s="14" t="str">
        <f t="shared" si="306"/>
        <v/>
      </c>
      <c r="DT469" s="14">
        <f t="shared" si="307"/>
        <v>22</v>
      </c>
      <c r="DU469" s="14">
        <f t="shared" si="308"/>
        <v>0</v>
      </c>
      <c r="DV469" s="14">
        <f t="shared" si="309"/>
        <v>16</v>
      </c>
      <c r="DW469" s="29" t="s">
        <v>758</v>
      </c>
      <c r="DX469" s="14">
        <f t="shared" si="310"/>
        <v>225</v>
      </c>
    </row>
    <row r="470" spans="91:128" ht="16.5" x14ac:dyDescent="0.2">
      <c r="CM470" s="13">
        <v>466</v>
      </c>
      <c r="CN470" s="14">
        <f t="shared" si="284"/>
        <v>65</v>
      </c>
      <c r="CO470" s="14">
        <f t="shared" si="285"/>
        <v>1</v>
      </c>
      <c r="CP470" s="14">
        <f t="shared" si="286"/>
        <v>6</v>
      </c>
      <c r="CQ470" s="14">
        <f t="shared" si="277"/>
        <v>6</v>
      </c>
      <c r="CR470" s="14">
        <f t="shared" si="278"/>
        <v>2062016</v>
      </c>
      <c r="CS470" s="13" t="str">
        <f t="shared" si="279"/>
        <v>180级寄灵人蓝色-护手</v>
      </c>
      <c r="CT470" s="14">
        <f t="shared" si="280"/>
        <v>1</v>
      </c>
      <c r="CU470" s="14">
        <f t="shared" si="281"/>
        <v>2</v>
      </c>
      <c r="CV470" s="14">
        <f t="shared" si="287"/>
        <v>180</v>
      </c>
      <c r="CW470" s="14">
        <f t="shared" si="288"/>
        <v>180</v>
      </c>
      <c r="CX470" s="14">
        <f t="shared" si="289"/>
        <v>6</v>
      </c>
      <c r="CY470" s="14" t="str">
        <f t="shared" si="290"/>
        <v/>
      </c>
      <c r="CZ470" s="14">
        <f t="shared" si="291"/>
        <v>81</v>
      </c>
      <c r="DA470" s="14">
        <f t="shared" si="292"/>
        <v>0</v>
      </c>
      <c r="DB470" s="14">
        <f t="shared" si="293"/>
        <v>0</v>
      </c>
      <c r="DC470" s="14">
        <f t="shared" si="294"/>
        <v>3038</v>
      </c>
      <c r="DD470" s="14">
        <f t="shared" si="295"/>
        <v>0</v>
      </c>
      <c r="DE470" s="14">
        <f t="shared" si="296"/>
        <v>0</v>
      </c>
      <c r="DF470" s="14">
        <f t="shared" si="297"/>
        <v>81</v>
      </c>
      <c r="DG470" s="14">
        <f t="shared" si="298"/>
        <v>22</v>
      </c>
      <c r="DH470" s="14">
        <f t="shared" si="299"/>
        <v>0</v>
      </c>
      <c r="DI470" s="14">
        <f t="shared" si="300"/>
        <v>16</v>
      </c>
      <c r="DL470" s="14">
        <f t="shared" si="282"/>
        <v>3</v>
      </c>
      <c r="DM470" s="14">
        <f t="shared" si="283"/>
        <v>0</v>
      </c>
      <c r="DN470" s="14" t="str">
        <f t="shared" si="301"/>
        <v>HPExt</v>
      </c>
      <c r="DO470" s="14">
        <f t="shared" si="302"/>
        <v>3038</v>
      </c>
      <c r="DP470" s="14">
        <f t="shared" si="303"/>
        <v>81</v>
      </c>
      <c r="DQ470" s="14" t="str">
        <f t="shared" si="304"/>
        <v/>
      </c>
      <c r="DR470" s="14" t="str">
        <f t="shared" si="305"/>
        <v/>
      </c>
      <c r="DS470" s="14" t="str">
        <f t="shared" si="306"/>
        <v/>
      </c>
      <c r="DT470" s="14">
        <f t="shared" si="307"/>
        <v>22</v>
      </c>
      <c r="DU470" s="14">
        <f t="shared" si="308"/>
        <v>0</v>
      </c>
      <c r="DV470" s="14">
        <f t="shared" si="309"/>
        <v>16</v>
      </c>
      <c r="DW470" s="29" t="s">
        <v>758</v>
      </c>
      <c r="DX470" s="14">
        <f t="shared" si="310"/>
        <v>225</v>
      </c>
    </row>
    <row r="471" spans="91:128" ht="16.5" x14ac:dyDescent="0.2">
      <c r="CM471" s="13">
        <v>467</v>
      </c>
      <c r="CN471" s="14">
        <f t="shared" si="284"/>
        <v>65</v>
      </c>
      <c r="CO471" s="14">
        <f t="shared" si="285"/>
        <v>1</v>
      </c>
      <c r="CP471" s="14">
        <f t="shared" si="286"/>
        <v>7</v>
      </c>
      <c r="CQ471" s="14">
        <f t="shared" si="277"/>
        <v>6</v>
      </c>
      <c r="CR471" s="14">
        <f t="shared" si="278"/>
        <v>2062017</v>
      </c>
      <c r="CS471" s="13" t="str">
        <f t="shared" si="279"/>
        <v>180级寄灵人蓝色-项链</v>
      </c>
      <c r="CT471" s="14">
        <f t="shared" si="280"/>
        <v>1</v>
      </c>
      <c r="CU471" s="14">
        <f t="shared" si="281"/>
        <v>2</v>
      </c>
      <c r="CV471" s="14">
        <f t="shared" si="287"/>
        <v>180</v>
      </c>
      <c r="CW471" s="14">
        <f t="shared" si="288"/>
        <v>180</v>
      </c>
      <c r="CX471" s="14">
        <f t="shared" si="289"/>
        <v>7</v>
      </c>
      <c r="CY471" s="14" t="str">
        <f t="shared" si="290"/>
        <v/>
      </c>
      <c r="CZ471" s="14">
        <f t="shared" si="291"/>
        <v>202</v>
      </c>
      <c r="DA471" s="14">
        <f t="shared" si="292"/>
        <v>675</v>
      </c>
      <c r="DB471" s="14">
        <f t="shared" si="293"/>
        <v>422</v>
      </c>
      <c r="DC471" s="14">
        <f t="shared" si="294"/>
        <v>0</v>
      </c>
      <c r="DD471" s="14">
        <f t="shared" si="295"/>
        <v>18</v>
      </c>
      <c r="DE471" s="14">
        <f t="shared" si="296"/>
        <v>11.25</v>
      </c>
      <c r="DF471" s="14">
        <f t="shared" si="297"/>
        <v>0</v>
      </c>
      <c r="DG471" s="14">
        <f t="shared" si="298"/>
        <v>22</v>
      </c>
      <c r="DH471" s="14">
        <f t="shared" si="299"/>
        <v>0</v>
      </c>
      <c r="DI471" s="14">
        <f t="shared" si="300"/>
        <v>16</v>
      </c>
      <c r="DL471" s="14">
        <f t="shared" si="282"/>
        <v>1</v>
      </c>
      <c r="DM471" s="14">
        <f t="shared" si="283"/>
        <v>2</v>
      </c>
      <c r="DN471" s="14" t="str">
        <f t="shared" si="301"/>
        <v>AtkExt</v>
      </c>
      <c r="DO471" s="14">
        <f t="shared" si="302"/>
        <v>675</v>
      </c>
      <c r="DP471" s="14">
        <f t="shared" si="303"/>
        <v>18</v>
      </c>
      <c r="DQ471" s="14" t="str">
        <f t="shared" si="304"/>
        <v>DefExt</v>
      </c>
      <c r="DR471" s="14">
        <f t="shared" si="305"/>
        <v>422</v>
      </c>
      <c r="DS471" s="14">
        <f t="shared" si="306"/>
        <v>11.25</v>
      </c>
      <c r="DT471" s="14">
        <f t="shared" si="307"/>
        <v>22</v>
      </c>
      <c r="DU471" s="14">
        <f t="shared" si="308"/>
        <v>0</v>
      </c>
      <c r="DV471" s="14">
        <f t="shared" si="309"/>
        <v>16</v>
      </c>
      <c r="DW471" s="29" t="s">
        <v>758</v>
      </c>
      <c r="DX471" s="14">
        <f t="shared" si="310"/>
        <v>225</v>
      </c>
    </row>
    <row r="472" spans="91:128" ht="16.5" x14ac:dyDescent="0.2">
      <c r="CM472" s="13">
        <v>468</v>
      </c>
      <c r="CN472" s="14">
        <f t="shared" si="284"/>
        <v>65</v>
      </c>
      <c r="CO472" s="14">
        <f t="shared" si="285"/>
        <v>1</v>
      </c>
      <c r="CP472" s="14">
        <f t="shared" si="286"/>
        <v>8</v>
      </c>
      <c r="CQ472" s="14">
        <f t="shared" si="277"/>
        <v>6</v>
      </c>
      <c r="CR472" s="14">
        <f t="shared" si="278"/>
        <v>2062018</v>
      </c>
      <c r="CS472" s="13" t="str">
        <f t="shared" si="279"/>
        <v>180级寄灵人蓝色-戒指</v>
      </c>
      <c r="CT472" s="14">
        <f t="shared" si="280"/>
        <v>1</v>
      </c>
      <c r="CU472" s="14">
        <f t="shared" si="281"/>
        <v>2</v>
      </c>
      <c r="CV472" s="14">
        <f t="shared" si="287"/>
        <v>180</v>
      </c>
      <c r="CW472" s="14">
        <f t="shared" si="288"/>
        <v>180</v>
      </c>
      <c r="CX472" s="14">
        <f t="shared" si="289"/>
        <v>8</v>
      </c>
      <c r="CY472" s="14" t="str">
        <f t="shared" si="290"/>
        <v/>
      </c>
      <c r="CZ472" s="14">
        <f t="shared" si="291"/>
        <v>157</v>
      </c>
      <c r="DA472" s="14">
        <f t="shared" si="292"/>
        <v>675</v>
      </c>
      <c r="DB472" s="14">
        <f t="shared" si="293"/>
        <v>0</v>
      </c>
      <c r="DC472" s="14">
        <f t="shared" si="294"/>
        <v>2531</v>
      </c>
      <c r="DD472" s="14">
        <f t="shared" si="295"/>
        <v>18</v>
      </c>
      <c r="DE472" s="14">
        <f t="shared" si="296"/>
        <v>0</v>
      </c>
      <c r="DF472" s="14">
        <f t="shared" si="297"/>
        <v>67.5</v>
      </c>
      <c r="DG472" s="14">
        <f t="shared" si="298"/>
        <v>22</v>
      </c>
      <c r="DH472" s="14">
        <f t="shared" si="299"/>
        <v>0</v>
      </c>
      <c r="DI472" s="14">
        <f t="shared" si="300"/>
        <v>16</v>
      </c>
      <c r="DL472" s="14">
        <f t="shared" si="282"/>
        <v>1</v>
      </c>
      <c r="DM472" s="14">
        <f t="shared" si="283"/>
        <v>3</v>
      </c>
      <c r="DN472" s="14" t="str">
        <f t="shared" si="301"/>
        <v>AtkExt</v>
      </c>
      <c r="DO472" s="14">
        <f t="shared" si="302"/>
        <v>675</v>
      </c>
      <c r="DP472" s="14">
        <f t="shared" si="303"/>
        <v>18</v>
      </c>
      <c r="DQ472" s="14" t="str">
        <f t="shared" si="304"/>
        <v>HPExt</v>
      </c>
      <c r="DR472" s="14">
        <f t="shared" si="305"/>
        <v>2531</v>
      </c>
      <c r="DS472" s="14">
        <f t="shared" si="306"/>
        <v>67.5</v>
      </c>
      <c r="DT472" s="14">
        <f t="shared" si="307"/>
        <v>22</v>
      </c>
      <c r="DU472" s="14">
        <f t="shared" si="308"/>
        <v>0</v>
      </c>
      <c r="DV472" s="14">
        <f t="shared" si="309"/>
        <v>16</v>
      </c>
      <c r="DW472" s="29" t="s">
        <v>758</v>
      </c>
      <c r="DX472" s="14">
        <f t="shared" si="310"/>
        <v>225</v>
      </c>
    </row>
    <row r="473" spans="91:128" ht="16.5" x14ac:dyDescent="0.2">
      <c r="CM473" s="13">
        <v>469</v>
      </c>
      <c r="CN473" s="14">
        <f t="shared" si="284"/>
        <v>66</v>
      </c>
      <c r="CO473" s="14">
        <f t="shared" si="285"/>
        <v>2</v>
      </c>
      <c r="CP473" s="14">
        <f t="shared" si="286"/>
        <v>1</v>
      </c>
      <c r="CQ473" s="14">
        <f t="shared" si="277"/>
        <v>6</v>
      </c>
      <c r="CR473" s="14">
        <f t="shared" si="278"/>
        <v>2062021</v>
      </c>
      <c r="CS473" s="13" t="str">
        <f t="shared" si="279"/>
        <v>180级守护灵蓝色-武器</v>
      </c>
      <c r="CT473" s="14">
        <f t="shared" si="280"/>
        <v>2</v>
      </c>
      <c r="CU473" s="14">
        <f t="shared" si="281"/>
        <v>2</v>
      </c>
      <c r="CV473" s="14">
        <f t="shared" si="287"/>
        <v>180</v>
      </c>
      <c r="CW473" s="14">
        <f t="shared" si="288"/>
        <v>180</v>
      </c>
      <c r="CX473" s="14">
        <f t="shared" si="289"/>
        <v>1</v>
      </c>
      <c r="CY473" s="14" t="str">
        <f t="shared" si="290"/>
        <v/>
      </c>
      <c r="CZ473" s="14">
        <f t="shared" si="291"/>
        <v>270</v>
      </c>
      <c r="DA473" s="14">
        <f t="shared" si="292"/>
        <v>1913</v>
      </c>
      <c r="DB473" s="14">
        <f t="shared" si="293"/>
        <v>0</v>
      </c>
      <c r="DC473" s="14">
        <f t="shared" si="294"/>
        <v>0</v>
      </c>
      <c r="DD473" s="14">
        <f t="shared" si="295"/>
        <v>54</v>
      </c>
      <c r="DE473" s="14">
        <f t="shared" si="296"/>
        <v>0</v>
      </c>
      <c r="DF473" s="14">
        <f t="shared" si="297"/>
        <v>0</v>
      </c>
      <c r="DG473" s="14">
        <f t="shared" si="298"/>
        <v>22</v>
      </c>
      <c r="DH473" s="14">
        <f t="shared" si="299"/>
        <v>0</v>
      </c>
      <c r="DI473" s="14">
        <f t="shared" si="300"/>
        <v>26</v>
      </c>
      <c r="DL473" s="14">
        <f t="shared" si="282"/>
        <v>1</v>
      </c>
      <c r="DM473" s="14">
        <f t="shared" si="283"/>
        <v>0</v>
      </c>
      <c r="DN473" s="14" t="str">
        <f t="shared" si="301"/>
        <v>AtkExt</v>
      </c>
      <c r="DO473" s="14">
        <f t="shared" si="302"/>
        <v>1913</v>
      </c>
      <c r="DP473" s="14">
        <f t="shared" si="303"/>
        <v>54</v>
      </c>
      <c r="DQ473" s="14" t="str">
        <f t="shared" si="304"/>
        <v/>
      </c>
      <c r="DR473" s="14" t="str">
        <f t="shared" si="305"/>
        <v/>
      </c>
      <c r="DS473" s="14" t="str">
        <f t="shared" si="306"/>
        <v/>
      </c>
      <c r="DT473" s="14">
        <f t="shared" si="307"/>
        <v>22</v>
      </c>
      <c r="DU473" s="14">
        <f t="shared" si="308"/>
        <v>0</v>
      </c>
      <c r="DV473" s="14">
        <f t="shared" si="309"/>
        <v>26</v>
      </c>
      <c r="DW473" s="29" t="s">
        <v>758</v>
      </c>
      <c r="DX473" s="14">
        <f t="shared" si="310"/>
        <v>225</v>
      </c>
    </row>
    <row r="474" spans="91:128" ht="16.5" x14ac:dyDescent="0.2">
      <c r="CM474" s="13">
        <v>470</v>
      </c>
      <c r="CN474" s="14">
        <f t="shared" si="284"/>
        <v>66</v>
      </c>
      <c r="CO474" s="14">
        <f t="shared" si="285"/>
        <v>2</v>
      </c>
      <c r="CP474" s="14">
        <f t="shared" si="286"/>
        <v>2</v>
      </c>
      <c r="CQ474" s="14">
        <f t="shared" si="277"/>
        <v>6</v>
      </c>
      <c r="CR474" s="14">
        <f t="shared" si="278"/>
        <v>2062022</v>
      </c>
      <c r="CS474" s="13" t="str">
        <f t="shared" si="279"/>
        <v>180级守护灵蓝色-头盔</v>
      </c>
      <c r="CT474" s="14">
        <f t="shared" si="280"/>
        <v>2</v>
      </c>
      <c r="CU474" s="14">
        <f t="shared" si="281"/>
        <v>2</v>
      </c>
      <c r="CV474" s="14">
        <f t="shared" si="287"/>
        <v>180</v>
      </c>
      <c r="CW474" s="14">
        <f t="shared" si="288"/>
        <v>180</v>
      </c>
      <c r="CX474" s="14">
        <f t="shared" si="289"/>
        <v>2</v>
      </c>
      <c r="CY474" s="14" t="str">
        <f t="shared" si="290"/>
        <v/>
      </c>
      <c r="CZ474" s="14">
        <f t="shared" si="291"/>
        <v>135</v>
      </c>
      <c r="DA474" s="14">
        <f t="shared" si="292"/>
        <v>0</v>
      </c>
      <c r="DB474" s="14">
        <f t="shared" si="293"/>
        <v>478</v>
      </c>
      <c r="DC474" s="14">
        <f t="shared" si="294"/>
        <v>0</v>
      </c>
      <c r="DD474" s="14">
        <f t="shared" si="295"/>
        <v>0</v>
      </c>
      <c r="DE474" s="14">
        <f t="shared" si="296"/>
        <v>13.5</v>
      </c>
      <c r="DF474" s="14">
        <f t="shared" si="297"/>
        <v>0</v>
      </c>
      <c r="DG474" s="14">
        <f t="shared" si="298"/>
        <v>22</v>
      </c>
      <c r="DH474" s="14">
        <f t="shared" si="299"/>
        <v>0</v>
      </c>
      <c r="DI474" s="14">
        <f t="shared" si="300"/>
        <v>26</v>
      </c>
      <c r="DL474" s="14">
        <f t="shared" si="282"/>
        <v>2</v>
      </c>
      <c r="DM474" s="14">
        <f t="shared" si="283"/>
        <v>0</v>
      </c>
      <c r="DN474" s="14" t="str">
        <f t="shared" si="301"/>
        <v>DefExt</v>
      </c>
      <c r="DO474" s="14">
        <f t="shared" si="302"/>
        <v>478</v>
      </c>
      <c r="DP474" s="14">
        <f t="shared" si="303"/>
        <v>13.5</v>
      </c>
      <c r="DQ474" s="14" t="str">
        <f t="shared" si="304"/>
        <v/>
      </c>
      <c r="DR474" s="14" t="str">
        <f t="shared" si="305"/>
        <v/>
      </c>
      <c r="DS474" s="14" t="str">
        <f t="shared" si="306"/>
        <v/>
      </c>
      <c r="DT474" s="14">
        <f t="shared" si="307"/>
        <v>22</v>
      </c>
      <c r="DU474" s="14">
        <f t="shared" si="308"/>
        <v>0</v>
      </c>
      <c r="DV474" s="14">
        <f t="shared" si="309"/>
        <v>26</v>
      </c>
      <c r="DW474" s="29" t="s">
        <v>758</v>
      </c>
      <c r="DX474" s="14">
        <f t="shared" si="310"/>
        <v>225</v>
      </c>
    </row>
    <row r="475" spans="91:128" ht="16.5" x14ac:dyDescent="0.2">
      <c r="CM475" s="13">
        <v>471</v>
      </c>
      <c r="CN475" s="14">
        <f t="shared" si="284"/>
        <v>66</v>
      </c>
      <c r="CO475" s="14">
        <f t="shared" si="285"/>
        <v>2</v>
      </c>
      <c r="CP475" s="14">
        <f t="shared" si="286"/>
        <v>3</v>
      </c>
      <c r="CQ475" s="14">
        <f t="shared" si="277"/>
        <v>6</v>
      </c>
      <c r="CR475" s="14">
        <f t="shared" si="278"/>
        <v>2062023</v>
      </c>
      <c r="CS475" s="13" t="str">
        <f t="shared" si="279"/>
        <v>180级守护灵蓝色-肩甲</v>
      </c>
      <c r="CT475" s="14">
        <f t="shared" si="280"/>
        <v>2</v>
      </c>
      <c r="CU475" s="14">
        <f t="shared" si="281"/>
        <v>2</v>
      </c>
      <c r="CV475" s="14">
        <f t="shared" si="287"/>
        <v>180</v>
      </c>
      <c r="CW475" s="14">
        <f t="shared" si="288"/>
        <v>180</v>
      </c>
      <c r="CX475" s="14">
        <f t="shared" si="289"/>
        <v>3</v>
      </c>
      <c r="CY475" s="14" t="str">
        <f t="shared" si="290"/>
        <v/>
      </c>
      <c r="CZ475" s="14">
        <f t="shared" si="291"/>
        <v>140</v>
      </c>
      <c r="DA475" s="14">
        <f t="shared" si="292"/>
        <v>0</v>
      </c>
      <c r="DB475" s="14">
        <f t="shared" si="293"/>
        <v>239</v>
      </c>
      <c r="DC475" s="14">
        <f t="shared" si="294"/>
        <v>2250</v>
      </c>
      <c r="DD475" s="14">
        <f t="shared" si="295"/>
        <v>0</v>
      </c>
      <c r="DE475" s="14">
        <f t="shared" si="296"/>
        <v>6.75</v>
      </c>
      <c r="DF475" s="14">
        <f t="shared" si="297"/>
        <v>73.13</v>
      </c>
      <c r="DG475" s="14">
        <f t="shared" si="298"/>
        <v>22</v>
      </c>
      <c r="DH475" s="14">
        <f t="shared" si="299"/>
        <v>0</v>
      </c>
      <c r="DI475" s="14">
        <f t="shared" si="300"/>
        <v>26</v>
      </c>
      <c r="DL475" s="14">
        <f t="shared" si="282"/>
        <v>2</v>
      </c>
      <c r="DM475" s="14">
        <f t="shared" si="283"/>
        <v>3</v>
      </c>
      <c r="DN475" s="14" t="str">
        <f t="shared" si="301"/>
        <v>DefExt</v>
      </c>
      <c r="DO475" s="14">
        <f t="shared" si="302"/>
        <v>239</v>
      </c>
      <c r="DP475" s="14">
        <f t="shared" si="303"/>
        <v>6.75</v>
      </c>
      <c r="DQ475" s="14" t="str">
        <f t="shared" si="304"/>
        <v>HPExt</v>
      </c>
      <c r="DR475" s="14">
        <f t="shared" si="305"/>
        <v>2250</v>
      </c>
      <c r="DS475" s="14">
        <f t="shared" si="306"/>
        <v>73.13</v>
      </c>
      <c r="DT475" s="14">
        <f t="shared" si="307"/>
        <v>22</v>
      </c>
      <c r="DU475" s="14">
        <f t="shared" si="308"/>
        <v>0</v>
      </c>
      <c r="DV475" s="14">
        <f t="shared" si="309"/>
        <v>26</v>
      </c>
      <c r="DW475" s="29" t="s">
        <v>758</v>
      </c>
      <c r="DX475" s="14">
        <f t="shared" si="310"/>
        <v>225</v>
      </c>
    </row>
    <row r="476" spans="91:128" ht="16.5" x14ac:dyDescent="0.2">
      <c r="CM476" s="13">
        <v>472</v>
      </c>
      <c r="CN476" s="14">
        <f t="shared" si="284"/>
        <v>66</v>
      </c>
      <c r="CO476" s="14">
        <f t="shared" si="285"/>
        <v>2</v>
      </c>
      <c r="CP476" s="14">
        <f t="shared" si="286"/>
        <v>4</v>
      </c>
      <c r="CQ476" s="14">
        <f t="shared" si="277"/>
        <v>6</v>
      </c>
      <c r="CR476" s="14">
        <f t="shared" si="278"/>
        <v>2062024</v>
      </c>
      <c r="CS476" s="13" t="str">
        <f t="shared" si="279"/>
        <v>180级守护灵蓝色-衣服</v>
      </c>
      <c r="CT476" s="14">
        <f t="shared" si="280"/>
        <v>2</v>
      </c>
      <c r="CU476" s="14">
        <f t="shared" si="281"/>
        <v>2</v>
      </c>
      <c r="CV476" s="14">
        <f t="shared" si="287"/>
        <v>180</v>
      </c>
      <c r="CW476" s="14">
        <f t="shared" si="288"/>
        <v>180</v>
      </c>
      <c r="CX476" s="14">
        <f t="shared" si="289"/>
        <v>4</v>
      </c>
      <c r="CY476" s="14" t="str">
        <f t="shared" si="290"/>
        <v/>
      </c>
      <c r="CZ476" s="14">
        <f t="shared" si="291"/>
        <v>135</v>
      </c>
      <c r="DA476" s="14">
        <f t="shared" si="292"/>
        <v>0</v>
      </c>
      <c r="DB476" s="14">
        <f t="shared" si="293"/>
        <v>478</v>
      </c>
      <c r="DC476" s="14">
        <f t="shared" si="294"/>
        <v>0</v>
      </c>
      <c r="DD476" s="14">
        <f t="shared" si="295"/>
        <v>0</v>
      </c>
      <c r="DE476" s="14">
        <f t="shared" si="296"/>
        <v>13.5</v>
      </c>
      <c r="DF476" s="14">
        <f t="shared" si="297"/>
        <v>0</v>
      </c>
      <c r="DG476" s="14">
        <f t="shared" si="298"/>
        <v>22</v>
      </c>
      <c r="DH476" s="14">
        <f t="shared" si="299"/>
        <v>0</v>
      </c>
      <c r="DI476" s="14">
        <f t="shared" si="300"/>
        <v>26</v>
      </c>
      <c r="DL476" s="14">
        <f t="shared" si="282"/>
        <v>2</v>
      </c>
      <c r="DM476" s="14">
        <f t="shared" si="283"/>
        <v>0</v>
      </c>
      <c r="DN476" s="14" t="str">
        <f t="shared" si="301"/>
        <v>DefExt</v>
      </c>
      <c r="DO476" s="14">
        <f t="shared" si="302"/>
        <v>478</v>
      </c>
      <c r="DP476" s="14">
        <f t="shared" si="303"/>
        <v>13.5</v>
      </c>
      <c r="DQ476" s="14" t="str">
        <f t="shared" si="304"/>
        <v/>
      </c>
      <c r="DR476" s="14" t="str">
        <f t="shared" si="305"/>
        <v/>
      </c>
      <c r="DS476" s="14" t="str">
        <f t="shared" si="306"/>
        <v/>
      </c>
      <c r="DT476" s="14">
        <f t="shared" si="307"/>
        <v>22</v>
      </c>
      <c r="DU476" s="14">
        <f t="shared" si="308"/>
        <v>0</v>
      </c>
      <c r="DV476" s="14">
        <f t="shared" si="309"/>
        <v>26</v>
      </c>
      <c r="DW476" s="29" t="s">
        <v>758</v>
      </c>
      <c r="DX476" s="14">
        <f t="shared" si="310"/>
        <v>225</v>
      </c>
    </row>
    <row r="477" spans="91:128" ht="16.5" x14ac:dyDescent="0.2">
      <c r="CM477" s="13">
        <v>473</v>
      </c>
      <c r="CN477" s="14">
        <f t="shared" si="284"/>
        <v>66</v>
      </c>
      <c r="CO477" s="14">
        <f t="shared" si="285"/>
        <v>2</v>
      </c>
      <c r="CP477" s="14">
        <f t="shared" si="286"/>
        <v>5</v>
      </c>
      <c r="CQ477" s="14">
        <f t="shared" si="277"/>
        <v>6</v>
      </c>
      <c r="CR477" s="14">
        <f t="shared" si="278"/>
        <v>2062025</v>
      </c>
      <c r="CS477" s="13" t="str">
        <f t="shared" si="279"/>
        <v>180级守护灵蓝色-鞋子</v>
      </c>
      <c r="CT477" s="14">
        <f t="shared" si="280"/>
        <v>2</v>
      </c>
      <c r="CU477" s="14">
        <f t="shared" si="281"/>
        <v>2</v>
      </c>
      <c r="CV477" s="14">
        <f t="shared" si="287"/>
        <v>180</v>
      </c>
      <c r="CW477" s="14">
        <f t="shared" si="288"/>
        <v>180</v>
      </c>
      <c r="CX477" s="14">
        <f t="shared" si="289"/>
        <v>5</v>
      </c>
      <c r="CY477" s="14" t="str">
        <f t="shared" si="290"/>
        <v/>
      </c>
      <c r="CZ477" s="14">
        <f t="shared" si="291"/>
        <v>146</v>
      </c>
      <c r="DA477" s="14">
        <f t="shared" si="292"/>
        <v>0</v>
      </c>
      <c r="DB477" s="14">
        <f t="shared" si="293"/>
        <v>0</v>
      </c>
      <c r="DC477" s="14">
        <f t="shared" si="294"/>
        <v>4500</v>
      </c>
      <c r="DD477" s="14">
        <f t="shared" si="295"/>
        <v>0</v>
      </c>
      <c r="DE477" s="14">
        <f t="shared" si="296"/>
        <v>0</v>
      </c>
      <c r="DF477" s="14">
        <f t="shared" si="297"/>
        <v>146.25</v>
      </c>
      <c r="DG477" s="14">
        <f t="shared" si="298"/>
        <v>22</v>
      </c>
      <c r="DH477" s="14">
        <f t="shared" si="299"/>
        <v>0</v>
      </c>
      <c r="DI477" s="14">
        <f t="shared" si="300"/>
        <v>26</v>
      </c>
      <c r="DL477" s="14">
        <f t="shared" si="282"/>
        <v>3</v>
      </c>
      <c r="DM477" s="14">
        <f t="shared" si="283"/>
        <v>0</v>
      </c>
      <c r="DN477" s="14" t="str">
        <f t="shared" si="301"/>
        <v>HPExt</v>
      </c>
      <c r="DO477" s="14">
        <f t="shared" si="302"/>
        <v>4500</v>
      </c>
      <c r="DP477" s="14">
        <f t="shared" si="303"/>
        <v>146.25</v>
      </c>
      <c r="DQ477" s="14" t="str">
        <f t="shared" si="304"/>
        <v/>
      </c>
      <c r="DR477" s="14" t="str">
        <f t="shared" si="305"/>
        <v/>
      </c>
      <c r="DS477" s="14" t="str">
        <f t="shared" si="306"/>
        <v/>
      </c>
      <c r="DT477" s="14">
        <f t="shared" si="307"/>
        <v>22</v>
      </c>
      <c r="DU477" s="14">
        <f t="shared" si="308"/>
        <v>0</v>
      </c>
      <c r="DV477" s="14">
        <f t="shared" si="309"/>
        <v>26</v>
      </c>
      <c r="DW477" s="29" t="s">
        <v>758</v>
      </c>
      <c r="DX477" s="14">
        <f t="shared" si="310"/>
        <v>225</v>
      </c>
    </row>
    <row r="478" spans="91:128" ht="16.5" x14ac:dyDescent="0.2">
      <c r="CM478" s="13">
        <v>474</v>
      </c>
      <c r="CN478" s="14">
        <f t="shared" si="284"/>
        <v>66</v>
      </c>
      <c r="CO478" s="14">
        <f t="shared" si="285"/>
        <v>2</v>
      </c>
      <c r="CP478" s="14">
        <f t="shared" si="286"/>
        <v>6</v>
      </c>
      <c r="CQ478" s="14">
        <f t="shared" si="277"/>
        <v>6</v>
      </c>
      <c r="CR478" s="14">
        <f t="shared" si="278"/>
        <v>2062026</v>
      </c>
      <c r="CS478" s="13" t="str">
        <f t="shared" si="279"/>
        <v>180级守护灵蓝色-护手</v>
      </c>
      <c r="CT478" s="14">
        <f t="shared" si="280"/>
        <v>2</v>
      </c>
      <c r="CU478" s="14">
        <f t="shared" si="281"/>
        <v>2</v>
      </c>
      <c r="CV478" s="14">
        <f t="shared" si="287"/>
        <v>180</v>
      </c>
      <c r="CW478" s="14">
        <f t="shared" si="288"/>
        <v>180</v>
      </c>
      <c r="CX478" s="14">
        <f t="shared" si="289"/>
        <v>6</v>
      </c>
      <c r="CY478" s="14" t="str">
        <f t="shared" si="290"/>
        <v/>
      </c>
      <c r="CZ478" s="14">
        <f t="shared" si="291"/>
        <v>146</v>
      </c>
      <c r="DA478" s="14">
        <f t="shared" si="292"/>
        <v>0</v>
      </c>
      <c r="DB478" s="14">
        <f t="shared" si="293"/>
        <v>0</v>
      </c>
      <c r="DC478" s="14">
        <f t="shared" si="294"/>
        <v>4500</v>
      </c>
      <c r="DD478" s="14">
        <f t="shared" si="295"/>
        <v>0</v>
      </c>
      <c r="DE478" s="14">
        <f t="shared" si="296"/>
        <v>0</v>
      </c>
      <c r="DF478" s="14">
        <f t="shared" si="297"/>
        <v>146.25</v>
      </c>
      <c r="DG478" s="14">
        <f t="shared" si="298"/>
        <v>22</v>
      </c>
      <c r="DH478" s="14">
        <f t="shared" si="299"/>
        <v>0</v>
      </c>
      <c r="DI478" s="14">
        <f t="shared" si="300"/>
        <v>26</v>
      </c>
      <c r="DL478" s="14">
        <f t="shared" si="282"/>
        <v>3</v>
      </c>
      <c r="DM478" s="14">
        <f t="shared" si="283"/>
        <v>0</v>
      </c>
      <c r="DN478" s="14" t="str">
        <f t="shared" si="301"/>
        <v>HPExt</v>
      </c>
      <c r="DO478" s="14">
        <f t="shared" si="302"/>
        <v>4500</v>
      </c>
      <c r="DP478" s="14">
        <f t="shared" si="303"/>
        <v>146.25</v>
      </c>
      <c r="DQ478" s="14" t="str">
        <f t="shared" si="304"/>
        <v/>
      </c>
      <c r="DR478" s="14" t="str">
        <f t="shared" si="305"/>
        <v/>
      </c>
      <c r="DS478" s="14" t="str">
        <f t="shared" si="306"/>
        <v/>
      </c>
      <c r="DT478" s="14">
        <f t="shared" si="307"/>
        <v>22</v>
      </c>
      <c r="DU478" s="14">
        <f t="shared" si="308"/>
        <v>0</v>
      </c>
      <c r="DV478" s="14">
        <f t="shared" si="309"/>
        <v>26</v>
      </c>
      <c r="DW478" s="29" t="s">
        <v>758</v>
      </c>
      <c r="DX478" s="14">
        <f t="shared" si="310"/>
        <v>225</v>
      </c>
    </row>
    <row r="479" spans="91:128" ht="16.5" x14ac:dyDescent="0.2">
      <c r="CM479" s="13">
        <v>475</v>
      </c>
      <c r="CN479" s="14">
        <f t="shared" si="284"/>
        <v>66</v>
      </c>
      <c r="CO479" s="14">
        <f t="shared" si="285"/>
        <v>2</v>
      </c>
      <c r="CP479" s="14">
        <f t="shared" si="286"/>
        <v>7</v>
      </c>
      <c r="CQ479" s="14">
        <f t="shared" si="277"/>
        <v>6</v>
      </c>
      <c r="CR479" s="14">
        <f t="shared" si="278"/>
        <v>2062027</v>
      </c>
      <c r="CS479" s="13" t="str">
        <f t="shared" si="279"/>
        <v>180级守护灵蓝色-项链</v>
      </c>
      <c r="CT479" s="14">
        <f t="shared" si="280"/>
        <v>2</v>
      </c>
      <c r="CU479" s="14">
        <f t="shared" si="281"/>
        <v>2</v>
      </c>
      <c r="CV479" s="14">
        <f t="shared" si="287"/>
        <v>180</v>
      </c>
      <c r="CW479" s="14">
        <f t="shared" si="288"/>
        <v>180</v>
      </c>
      <c r="CX479" s="14">
        <f t="shared" si="289"/>
        <v>7</v>
      </c>
      <c r="CY479" s="14" t="str">
        <f t="shared" si="290"/>
        <v/>
      </c>
      <c r="CZ479" s="14">
        <f t="shared" si="291"/>
        <v>202</v>
      </c>
      <c r="DA479" s="14">
        <f t="shared" si="292"/>
        <v>638</v>
      </c>
      <c r="DB479" s="14">
        <f t="shared" si="293"/>
        <v>398</v>
      </c>
      <c r="DC479" s="14">
        <f t="shared" si="294"/>
        <v>0</v>
      </c>
      <c r="DD479" s="14">
        <f t="shared" si="295"/>
        <v>18</v>
      </c>
      <c r="DE479" s="14">
        <f t="shared" si="296"/>
        <v>11.25</v>
      </c>
      <c r="DF479" s="14">
        <f t="shared" si="297"/>
        <v>0</v>
      </c>
      <c r="DG479" s="14">
        <f t="shared" si="298"/>
        <v>22</v>
      </c>
      <c r="DH479" s="14">
        <f t="shared" si="299"/>
        <v>0</v>
      </c>
      <c r="DI479" s="14">
        <f t="shared" si="300"/>
        <v>26</v>
      </c>
      <c r="DL479" s="14">
        <f t="shared" si="282"/>
        <v>1</v>
      </c>
      <c r="DM479" s="14">
        <f t="shared" si="283"/>
        <v>2</v>
      </c>
      <c r="DN479" s="14" t="str">
        <f t="shared" si="301"/>
        <v>AtkExt</v>
      </c>
      <c r="DO479" s="14">
        <f t="shared" si="302"/>
        <v>638</v>
      </c>
      <c r="DP479" s="14">
        <f t="shared" si="303"/>
        <v>18</v>
      </c>
      <c r="DQ479" s="14" t="str">
        <f t="shared" si="304"/>
        <v>DefExt</v>
      </c>
      <c r="DR479" s="14">
        <f t="shared" si="305"/>
        <v>398</v>
      </c>
      <c r="DS479" s="14">
        <f t="shared" si="306"/>
        <v>11.25</v>
      </c>
      <c r="DT479" s="14">
        <f t="shared" si="307"/>
        <v>22</v>
      </c>
      <c r="DU479" s="14">
        <f t="shared" si="308"/>
        <v>0</v>
      </c>
      <c r="DV479" s="14">
        <f t="shared" si="309"/>
        <v>26</v>
      </c>
      <c r="DW479" s="29" t="s">
        <v>758</v>
      </c>
      <c r="DX479" s="14">
        <f t="shared" si="310"/>
        <v>225</v>
      </c>
    </row>
    <row r="480" spans="91:128" ht="16.5" x14ac:dyDescent="0.2">
      <c r="CM480" s="13">
        <v>476</v>
      </c>
      <c r="CN480" s="14">
        <f t="shared" si="284"/>
        <v>66</v>
      </c>
      <c r="CO480" s="14">
        <f t="shared" si="285"/>
        <v>2</v>
      </c>
      <c r="CP480" s="14">
        <f t="shared" si="286"/>
        <v>8</v>
      </c>
      <c r="CQ480" s="14">
        <f t="shared" si="277"/>
        <v>6</v>
      </c>
      <c r="CR480" s="14">
        <f t="shared" si="278"/>
        <v>2062028</v>
      </c>
      <c r="CS480" s="13" t="str">
        <f t="shared" si="279"/>
        <v>180级守护灵蓝色-戒指</v>
      </c>
      <c r="CT480" s="14">
        <f t="shared" si="280"/>
        <v>2</v>
      </c>
      <c r="CU480" s="14">
        <f t="shared" si="281"/>
        <v>2</v>
      </c>
      <c r="CV480" s="14">
        <f t="shared" si="287"/>
        <v>180</v>
      </c>
      <c r="CW480" s="14">
        <f t="shared" si="288"/>
        <v>180</v>
      </c>
      <c r="CX480" s="14">
        <f t="shared" si="289"/>
        <v>8</v>
      </c>
      <c r="CY480" s="14" t="str">
        <f t="shared" si="290"/>
        <v/>
      </c>
      <c r="CZ480" s="14">
        <f t="shared" si="291"/>
        <v>211</v>
      </c>
      <c r="DA480" s="14">
        <f t="shared" si="292"/>
        <v>638</v>
      </c>
      <c r="DB480" s="14">
        <f t="shared" si="293"/>
        <v>0</v>
      </c>
      <c r="DC480" s="14">
        <f t="shared" si="294"/>
        <v>3750</v>
      </c>
      <c r="DD480" s="14">
        <f t="shared" si="295"/>
        <v>18</v>
      </c>
      <c r="DE480" s="14">
        <f t="shared" si="296"/>
        <v>0</v>
      </c>
      <c r="DF480" s="14">
        <f t="shared" si="297"/>
        <v>121.88</v>
      </c>
      <c r="DG480" s="14">
        <f t="shared" si="298"/>
        <v>22</v>
      </c>
      <c r="DH480" s="14">
        <f t="shared" si="299"/>
        <v>0</v>
      </c>
      <c r="DI480" s="14">
        <f t="shared" si="300"/>
        <v>26</v>
      </c>
      <c r="DL480" s="14">
        <f t="shared" si="282"/>
        <v>1</v>
      </c>
      <c r="DM480" s="14">
        <f t="shared" si="283"/>
        <v>3</v>
      </c>
      <c r="DN480" s="14" t="str">
        <f t="shared" si="301"/>
        <v>AtkExt</v>
      </c>
      <c r="DO480" s="14">
        <f t="shared" si="302"/>
        <v>638</v>
      </c>
      <c r="DP480" s="14">
        <f t="shared" si="303"/>
        <v>18</v>
      </c>
      <c r="DQ480" s="14" t="str">
        <f t="shared" si="304"/>
        <v>HPExt</v>
      </c>
      <c r="DR480" s="14">
        <f t="shared" si="305"/>
        <v>3750</v>
      </c>
      <c r="DS480" s="14">
        <f t="shared" si="306"/>
        <v>121.88</v>
      </c>
      <c r="DT480" s="14">
        <f t="shared" si="307"/>
        <v>22</v>
      </c>
      <c r="DU480" s="14">
        <f t="shared" si="308"/>
        <v>0</v>
      </c>
      <c r="DV480" s="14">
        <f t="shared" si="309"/>
        <v>26</v>
      </c>
      <c r="DW480" s="29" t="s">
        <v>758</v>
      </c>
      <c r="DX480" s="14">
        <f t="shared" si="310"/>
        <v>225</v>
      </c>
    </row>
    <row r="481" spans="91:128" ht="16.5" x14ac:dyDescent="0.2">
      <c r="CM481" s="13">
        <v>477</v>
      </c>
      <c r="CN481" s="14">
        <f t="shared" si="284"/>
        <v>67</v>
      </c>
      <c r="CO481" s="14">
        <f t="shared" si="285"/>
        <v>1</v>
      </c>
      <c r="CP481" s="14">
        <f t="shared" si="286"/>
        <v>1</v>
      </c>
      <c r="CQ481" s="14">
        <f t="shared" si="277"/>
        <v>6</v>
      </c>
      <c r="CR481" s="14">
        <f t="shared" si="278"/>
        <v>2063011</v>
      </c>
      <c r="CS481" s="13" t="str">
        <f t="shared" si="279"/>
        <v>180级寄灵人紫色-武器</v>
      </c>
      <c r="CT481" s="14">
        <f t="shared" si="280"/>
        <v>1</v>
      </c>
      <c r="CU481" s="14">
        <f t="shared" si="281"/>
        <v>3</v>
      </c>
      <c r="CV481" s="14">
        <f t="shared" si="287"/>
        <v>180</v>
      </c>
      <c r="CW481" s="14">
        <f t="shared" si="288"/>
        <v>180</v>
      </c>
      <c r="CX481" s="14">
        <f t="shared" si="289"/>
        <v>1</v>
      </c>
      <c r="CY481" s="14" t="str">
        <f t="shared" si="290"/>
        <v/>
      </c>
      <c r="CZ481" s="14">
        <f t="shared" si="291"/>
        <v>288</v>
      </c>
      <c r="DA481" s="14">
        <f t="shared" si="292"/>
        <v>2160</v>
      </c>
      <c r="DB481" s="14">
        <f t="shared" si="293"/>
        <v>0</v>
      </c>
      <c r="DC481" s="14">
        <f t="shared" si="294"/>
        <v>0</v>
      </c>
      <c r="DD481" s="14">
        <f t="shared" si="295"/>
        <v>57.6</v>
      </c>
      <c r="DE481" s="14">
        <f t="shared" si="296"/>
        <v>0</v>
      </c>
      <c r="DF481" s="14">
        <f t="shared" si="297"/>
        <v>0</v>
      </c>
      <c r="DG481" s="14">
        <f t="shared" si="298"/>
        <v>23</v>
      </c>
      <c r="DH481" s="14">
        <f t="shared" si="299"/>
        <v>5</v>
      </c>
      <c r="DI481" s="14">
        <f t="shared" si="300"/>
        <v>16</v>
      </c>
      <c r="DL481" s="14">
        <f t="shared" si="282"/>
        <v>1</v>
      </c>
      <c r="DM481" s="14">
        <f t="shared" si="283"/>
        <v>0</v>
      </c>
      <c r="DN481" s="14" t="str">
        <f t="shared" si="301"/>
        <v>AtkExt</v>
      </c>
      <c r="DO481" s="14">
        <f t="shared" si="302"/>
        <v>2160</v>
      </c>
      <c r="DP481" s="14">
        <f t="shared" si="303"/>
        <v>57.6</v>
      </c>
      <c r="DQ481" s="14" t="str">
        <f t="shared" si="304"/>
        <v/>
      </c>
      <c r="DR481" s="14" t="str">
        <f t="shared" si="305"/>
        <v/>
      </c>
      <c r="DS481" s="14" t="str">
        <f t="shared" si="306"/>
        <v/>
      </c>
      <c r="DT481" s="14">
        <f t="shared" si="307"/>
        <v>23</v>
      </c>
      <c r="DU481" s="14">
        <f t="shared" si="308"/>
        <v>5</v>
      </c>
      <c r="DV481" s="14">
        <f t="shared" si="309"/>
        <v>16</v>
      </c>
      <c r="DW481" s="29" t="s">
        <v>758</v>
      </c>
      <c r="DX481" s="14">
        <f t="shared" si="310"/>
        <v>375</v>
      </c>
    </row>
    <row r="482" spans="91:128" ht="16.5" x14ac:dyDescent="0.2">
      <c r="CM482" s="13">
        <v>478</v>
      </c>
      <c r="CN482" s="14">
        <f t="shared" si="284"/>
        <v>67</v>
      </c>
      <c r="CO482" s="14">
        <f t="shared" si="285"/>
        <v>1</v>
      </c>
      <c r="CP482" s="14">
        <f t="shared" si="286"/>
        <v>2</v>
      </c>
      <c r="CQ482" s="14">
        <f t="shared" si="277"/>
        <v>6</v>
      </c>
      <c r="CR482" s="14">
        <f t="shared" si="278"/>
        <v>2063012</v>
      </c>
      <c r="CS482" s="13" t="str">
        <f t="shared" si="279"/>
        <v>180级寄灵人紫色-头盔</v>
      </c>
      <c r="CT482" s="14">
        <f t="shared" si="280"/>
        <v>1</v>
      </c>
      <c r="CU482" s="14">
        <f t="shared" si="281"/>
        <v>3</v>
      </c>
      <c r="CV482" s="14">
        <f t="shared" si="287"/>
        <v>180</v>
      </c>
      <c r="CW482" s="14">
        <f t="shared" si="288"/>
        <v>180</v>
      </c>
      <c r="CX482" s="14">
        <f t="shared" si="289"/>
        <v>2</v>
      </c>
      <c r="CY482" s="14" t="str">
        <f t="shared" si="290"/>
        <v/>
      </c>
      <c r="CZ482" s="14">
        <f t="shared" si="291"/>
        <v>144</v>
      </c>
      <c r="DA482" s="14">
        <f t="shared" si="292"/>
        <v>0</v>
      </c>
      <c r="DB482" s="14">
        <f t="shared" si="293"/>
        <v>540</v>
      </c>
      <c r="DC482" s="14">
        <f t="shared" si="294"/>
        <v>0</v>
      </c>
      <c r="DD482" s="14">
        <f t="shared" si="295"/>
        <v>0</v>
      </c>
      <c r="DE482" s="14">
        <f t="shared" si="296"/>
        <v>14.4</v>
      </c>
      <c r="DF482" s="14">
        <f t="shared" si="297"/>
        <v>0</v>
      </c>
      <c r="DG482" s="14">
        <f t="shared" si="298"/>
        <v>23</v>
      </c>
      <c r="DH482" s="14">
        <f t="shared" si="299"/>
        <v>5</v>
      </c>
      <c r="DI482" s="14">
        <f t="shared" si="300"/>
        <v>16</v>
      </c>
      <c r="DL482" s="14">
        <f t="shared" si="282"/>
        <v>2</v>
      </c>
      <c r="DM482" s="14">
        <f t="shared" si="283"/>
        <v>0</v>
      </c>
      <c r="DN482" s="14" t="str">
        <f t="shared" si="301"/>
        <v>DefExt</v>
      </c>
      <c r="DO482" s="14">
        <f t="shared" si="302"/>
        <v>540</v>
      </c>
      <c r="DP482" s="14">
        <f t="shared" si="303"/>
        <v>14.4</v>
      </c>
      <c r="DQ482" s="14" t="str">
        <f t="shared" si="304"/>
        <v/>
      </c>
      <c r="DR482" s="14" t="str">
        <f t="shared" si="305"/>
        <v/>
      </c>
      <c r="DS482" s="14" t="str">
        <f t="shared" si="306"/>
        <v/>
      </c>
      <c r="DT482" s="14">
        <f t="shared" si="307"/>
        <v>23</v>
      </c>
      <c r="DU482" s="14">
        <f t="shared" si="308"/>
        <v>5</v>
      </c>
      <c r="DV482" s="14">
        <f t="shared" si="309"/>
        <v>16</v>
      </c>
      <c r="DW482" s="29" t="s">
        <v>758</v>
      </c>
      <c r="DX482" s="14">
        <f t="shared" si="310"/>
        <v>375</v>
      </c>
    </row>
    <row r="483" spans="91:128" ht="16.5" x14ac:dyDescent="0.2">
      <c r="CM483" s="13">
        <v>479</v>
      </c>
      <c r="CN483" s="14">
        <f t="shared" si="284"/>
        <v>67</v>
      </c>
      <c r="CO483" s="14">
        <f t="shared" si="285"/>
        <v>1</v>
      </c>
      <c r="CP483" s="14">
        <f t="shared" si="286"/>
        <v>3</v>
      </c>
      <c r="CQ483" s="14">
        <f t="shared" si="277"/>
        <v>6</v>
      </c>
      <c r="CR483" s="14">
        <f t="shared" si="278"/>
        <v>2063013</v>
      </c>
      <c r="CS483" s="13" t="str">
        <f t="shared" si="279"/>
        <v>180级寄灵人紫色-肩甲</v>
      </c>
      <c r="CT483" s="14">
        <f t="shared" si="280"/>
        <v>1</v>
      </c>
      <c r="CU483" s="14">
        <f t="shared" si="281"/>
        <v>3</v>
      </c>
      <c r="CV483" s="14">
        <f t="shared" si="287"/>
        <v>180</v>
      </c>
      <c r="CW483" s="14">
        <f t="shared" si="288"/>
        <v>180</v>
      </c>
      <c r="CX483" s="14">
        <f t="shared" si="289"/>
        <v>3</v>
      </c>
      <c r="CY483" s="14" t="str">
        <f t="shared" si="290"/>
        <v/>
      </c>
      <c r="CZ483" s="14">
        <f t="shared" si="291"/>
        <v>115</v>
      </c>
      <c r="DA483" s="14">
        <f t="shared" si="292"/>
        <v>0</v>
      </c>
      <c r="DB483" s="14">
        <f t="shared" si="293"/>
        <v>270</v>
      </c>
      <c r="DC483" s="14">
        <f t="shared" si="294"/>
        <v>1620</v>
      </c>
      <c r="DD483" s="14">
        <f t="shared" si="295"/>
        <v>0</v>
      </c>
      <c r="DE483" s="14">
        <f t="shared" si="296"/>
        <v>7.2</v>
      </c>
      <c r="DF483" s="14">
        <f t="shared" si="297"/>
        <v>43.2</v>
      </c>
      <c r="DG483" s="14">
        <f t="shared" si="298"/>
        <v>23</v>
      </c>
      <c r="DH483" s="14">
        <f t="shared" si="299"/>
        <v>5</v>
      </c>
      <c r="DI483" s="14">
        <f t="shared" si="300"/>
        <v>16</v>
      </c>
      <c r="DL483" s="14">
        <f t="shared" si="282"/>
        <v>2</v>
      </c>
      <c r="DM483" s="14">
        <f t="shared" si="283"/>
        <v>3</v>
      </c>
      <c r="DN483" s="14" t="str">
        <f t="shared" si="301"/>
        <v>DefExt</v>
      </c>
      <c r="DO483" s="14">
        <f t="shared" si="302"/>
        <v>270</v>
      </c>
      <c r="DP483" s="14">
        <f t="shared" si="303"/>
        <v>7.2</v>
      </c>
      <c r="DQ483" s="14" t="str">
        <f t="shared" si="304"/>
        <v>HPExt</v>
      </c>
      <c r="DR483" s="14">
        <f t="shared" si="305"/>
        <v>1620</v>
      </c>
      <c r="DS483" s="14">
        <f t="shared" si="306"/>
        <v>43.2</v>
      </c>
      <c r="DT483" s="14">
        <f t="shared" si="307"/>
        <v>23</v>
      </c>
      <c r="DU483" s="14">
        <f t="shared" si="308"/>
        <v>5</v>
      </c>
      <c r="DV483" s="14">
        <f t="shared" si="309"/>
        <v>16</v>
      </c>
      <c r="DW483" s="29" t="s">
        <v>758</v>
      </c>
      <c r="DX483" s="14">
        <f t="shared" si="310"/>
        <v>375</v>
      </c>
    </row>
    <row r="484" spans="91:128" ht="16.5" x14ac:dyDescent="0.2">
      <c r="CM484" s="13">
        <v>480</v>
      </c>
      <c r="CN484" s="14">
        <f t="shared" si="284"/>
        <v>67</v>
      </c>
      <c r="CO484" s="14">
        <f t="shared" si="285"/>
        <v>1</v>
      </c>
      <c r="CP484" s="14">
        <f t="shared" si="286"/>
        <v>4</v>
      </c>
      <c r="CQ484" s="14">
        <f t="shared" si="277"/>
        <v>6</v>
      </c>
      <c r="CR484" s="14">
        <f t="shared" si="278"/>
        <v>2063014</v>
      </c>
      <c r="CS484" s="13" t="str">
        <f t="shared" si="279"/>
        <v>180级寄灵人紫色-衣服</v>
      </c>
      <c r="CT484" s="14">
        <f t="shared" si="280"/>
        <v>1</v>
      </c>
      <c r="CU484" s="14">
        <f t="shared" si="281"/>
        <v>3</v>
      </c>
      <c r="CV484" s="14">
        <f t="shared" si="287"/>
        <v>180</v>
      </c>
      <c r="CW484" s="14">
        <f t="shared" si="288"/>
        <v>180</v>
      </c>
      <c r="CX484" s="14">
        <f t="shared" si="289"/>
        <v>4</v>
      </c>
      <c r="CY484" s="14" t="str">
        <f t="shared" si="290"/>
        <v/>
      </c>
      <c r="CZ484" s="14">
        <f t="shared" si="291"/>
        <v>144</v>
      </c>
      <c r="DA484" s="14">
        <f t="shared" si="292"/>
        <v>0</v>
      </c>
      <c r="DB484" s="14">
        <f t="shared" si="293"/>
        <v>540</v>
      </c>
      <c r="DC484" s="14">
        <f t="shared" si="294"/>
        <v>0</v>
      </c>
      <c r="DD484" s="14">
        <f t="shared" si="295"/>
        <v>0</v>
      </c>
      <c r="DE484" s="14">
        <f t="shared" si="296"/>
        <v>14.4</v>
      </c>
      <c r="DF484" s="14">
        <f t="shared" si="297"/>
        <v>0</v>
      </c>
      <c r="DG484" s="14">
        <f t="shared" si="298"/>
        <v>23</v>
      </c>
      <c r="DH484" s="14">
        <f t="shared" si="299"/>
        <v>5</v>
      </c>
      <c r="DI484" s="14">
        <f t="shared" si="300"/>
        <v>16</v>
      </c>
      <c r="DL484" s="14">
        <f t="shared" si="282"/>
        <v>2</v>
      </c>
      <c r="DM484" s="14">
        <f t="shared" si="283"/>
        <v>0</v>
      </c>
      <c r="DN484" s="14" t="str">
        <f t="shared" si="301"/>
        <v>DefExt</v>
      </c>
      <c r="DO484" s="14">
        <f t="shared" si="302"/>
        <v>540</v>
      </c>
      <c r="DP484" s="14">
        <f t="shared" si="303"/>
        <v>14.4</v>
      </c>
      <c r="DQ484" s="14" t="str">
        <f t="shared" si="304"/>
        <v/>
      </c>
      <c r="DR484" s="14" t="str">
        <f t="shared" si="305"/>
        <v/>
      </c>
      <c r="DS484" s="14" t="str">
        <f t="shared" si="306"/>
        <v/>
      </c>
      <c r="DT484" s="14">
        <f t="shared" si="307"/>
        <v>23</v>
      </c>
      <c r="DU484" s="14">
        <f t="shared" si="308"/>
        <v>5</v>
      </c>
      <c r="DV484" s="14">
        <f t="shared" si="309"/>
        <v>16</v>
      </c>
      <c r="DW484" s="29" t="s">
        <v>758</v>
      </c>
      <c r="DX484" s="14">
        <f t="shared" si="310"/>
        <v>375</v>
      </c>
    </row>
    <row r="485" spans="91:128" ht="16.5" x14ac:dyDescent="0.2">
      <c r="CM485" s="13">
        <v>481</v>
      </c>
      <c r="CN485" s="14">
        <f t="shared" si="284"/>
        <v>67</v>
      </c>
      <c r="CO485" s="14">
        <f t="shared" si="285"/>
        <v>1</v>
      </c>
      <c r="CP485" s="14">
        <f t="shared" si="286"/>
        <v>5</v>
      </c>
      <c r="CQ485" s="14">
        <f t="shared" si="277"/>
        <v>6</v>
      </c>
      <c r="CR485" s="14">
        <f t="shared" si="278"/>
        <v>2063015</v>
      </c>
      <c r="CS485" s="13" t="str">
        <f t="shared" si="279"/>
        <v>180级寄灵人紫色-鞋子</v>
      </c>
      <c r="CT485" s="14">
        <f t="shared" si="280"/>
        <v>1</v>
      </c>
      <c r="CU485" s="14">
        <f t="shared" si="281"/>
        <v>3</v>
      </c>
      <c r="CV485" s="14">
        <f t="shared" si="287"/>
        <v>180</v>
      </c>
      <c r="CW485" s="14">
        <f t="shared" si="288"/>
        <v>180</v>
      </c>
      <c r="CX485" s="14">
        <f t="shared" si="289"/>
        <v>5</v>
      </c>
      <c r="CY485" s="14" t="str">
        <f t="shared" si="290"/>
        <v/>
      </c>
      <c r="CZ485" s="14">
        <f t="shared" si="291"/>
        <v>86</v>
      </c>
      <c r="DA485" s="14">
        <f t="shared" si="292"/>
        <v>0</v>
      </c>
      <c r="DB485" s="14">
        <f t="shared" si="293"/>
        <v>0</v>
      </c>
      <c r="DC485" s="14">
        <f t="shared" si="294"/>
        <v>3240</v>
      </c>
      <c r="DD485" s="14">
        <f t="shared" si="295"/>
        <v>0</v>
      </c>
      <c r="DE485" s="14">
        <f t="shared" si="296"/>
        <v>0</v>
      </c>
      <c r="DF485" s="14">
        <f t="shared" si="297"/>
        <v>86.4</v>
      </c>
      <c r="DG485" s="14">
        <f t="shared" si="298"/>
        <v>23</v>
      </c>
      <c r="DH485" s="14">
        <f t="shared" si="299"/>
        <v>5</v>
      </c>
      <c r="DI485" s="14">
        <f t="shared" si="300"/>
        <v>16</v>
      </c>
      <c r="DL485" s="14">
        <f t="shared" si="282"/>
        <v>3</v>
      </c>
      <c r="DM485" s="14">
        <f t="shared" si="283"/>
        <v>0</v>
      </c>
      <c r="DN485" s="14" t="str">
        <f t="shared" si="301"/>
        <v>HPExt</v>
      </c>
      <c r="DO485" s="14">
        <f t="shared" si="302"/>
        <v>3240</v>
      </c>
      <c r="DP485" s="14">
        <f t="shared" si="303"/>
        <v>86.4</v>
      </c>
      <c r="DQ485" s="14" t="str">
        <f t="shared" si="304"/>
        <v/>
      </c>
      <c r="DR485" s="14" t="str">
        <f t="shared" si="305"/>
        <v/>
      </c>
      <c r="DS485" s="14" t="str">
        <f t="shared" si="306"/>
        <v/>
      </c>
      <c r="DT485" s="14">
        <f t="shared" si="307"/>
        <v>23</v>
      </c>
      <c r="DU485" s="14">
        <f t="shared" si="308"/>
        <v>5</v>
      </c>
      <c r="DV485" s="14">
        <f t="shared" si="309"/>
        <v>16</v>
      </c>
      <c r="DW485" s="29" t="s">
        <v>758</v>
      </c>
      <c r="DX485" s="14">
        <f t="shared" si="310"/>
        <v>375</v>
      </c>
    </row>
    <row r="486" spans="91:128" ht="16.5" x14ac:dyDescent="0.2">
      <c r="CM486" s="13">
        <v>482</v>
      </c>
      <c r="CN486" s="14">
        <f t="shared" si="284"/>
        <v>67</v>
      </c>
      <c r="CO486" s="14">
        <f t="shared" si="285"/>
        <v>1</v>
      </c>
      <c r="CP486" s="14">
        <f t="shared" si="286"/>
        <v>6</v>
      </c>
      <c r="CQ486" s="14">
        <f t="shared" si="277"/>
        <v>6</v>
      </c>
      <c r="CR486" s="14">
        <f t="shared" si="278"/>
        <v>2063016</v>
      </c>
      <c r="CS486" s="13" t="str">
        <f t="shared" si="279"/>
        <v>180级寄灵人紫色-护手</v>
      </c>
      <c r="CT486" s="14">
        <f t="shared" si="280"/>
        <v>1</v>
      </c>
      <c r="CU486" s="14">
        <f t="shared" si="281"/>
        <v>3</v>
      </c>
      <c r="CV486" s="14">
        <f t="shared" si="287"/>
        <v>180</v>
      </c>
      <c r="CW486" s="14">
        <f t="shared" si="288"/>
        <v>180</v>
      </c>
      <c r="CX486" s="14">
        <f t="shared" si="289"/>
        <v>6</v>
      </c>
      <c r="CY486" s="14" t="str">
        <f t="shared" si="290"/>
        <v/>
      </c>
      <c r="CZ486" s="14">
        <f t="shared" si="291"/>
        <v>86</v>
      </c>
      <c r="DA486" s="14">
        <f t="shared" si="292"/>
        <v>0</v>
      </c>
      <c r="DB486" s="14">
        <f t="shared" si="293"/>
        <v>0</v>
      </c>
      <c r="DC486" s="14">
        <f t="shared" si="294"/>
        <v>3240</v>
      </c>
      <c r="DD486" s="14">
        <f t="shared" si="295"/>
        <v>0</v>
      </c>
      <c r="DE486" s="14">
        <f t="shared" si="296"/>
        <v>0</v>
      </c>
      <c r="DF486" s="14">
        <f t="shared" si="297"/>
        <v>86.4</v>
      </c>
      <c r="DG486" s="14">
        <f t="shared" si="298"/>
        <v>23</v>
      </c>
      <c r="DH486" s="14">
        <f t="shared" si="299"/>
        <v>5</v>
      </c>
      <c r="DI486" s="14">
        <f t="shared" si="300"/>
        <v>16</v>
      </c>
      <c r="DL486" s="14">
        <f t="shared" si="282"/>
        <v>3</v>
      </c>
      <c r="DM486" s="14">
        <f t="shared" si="283"/>
        <v>0</v>
      </c>
      <c r="DN486" s="14" t="str">
        <f t="shared" si="301"/>
        <v>HPExt</v>
      </c>
      <c r="DO486" s="14">
        <f t="shared" si="302"/>
        <v>3240</v>
      </c>
      <c r="DP486" s="14">
        <f t="shared" si="303"/>
        <v>86.4</v>
      </c>
      <c r="DQ486" s="14" t="str">
        <f t="shared" si="304"/>
        <v/>
      </c>
      <c r="DR486" s="14" t="str">
        <f t="shared" si="305"/>
        <v/>
      </c>
      <c r="DS486" s="14" t="str">
        <f t="shared" si="306"/>
        <v/>
      </c>
      <c r="DT486" s="14">
        <f t="shared" si="307"/>
        <v>23</v>
      </c>
      <c r="DU486" s="14">
        <f t="shared" si="308"/>
        <v>5</v>
      </c>
      <c r="DV486" s="14">
        <f t="shared" si="309"/>
        <v>16</v>
      </c>
      <c r="DW486" s="29" t="s">
        <v>758</v>
      </c>
      <c r="DX486" s="14">
        <f t="shared" si="310"/>
        <v>375</v>
      </c>
    </row>
    <row r="487" spans="91:128" ht="16.5" x14ac:dyDescent="0.2">
      <c r="CM487" s="13">
        <v>483</v>
      </c>
      <c r="CN487" s="14">
        <f t="shared" si="284"/>
        <v>67</v>
      </c>
      <c r="CO487" s="14">
        <f t="shared" si="285"/>
        <v>1</v>
      </c>
      <c r="CP487" s="14">
        <f t="shared" si="286"/>
        <v>7</v>
      </c>
      <c r="CQ487" s="14">
        <f t="shared" si="277"/>
        <v>6</v>
      </c>
      <c r="CR487" s="14">
        <f t="shared" si="278"/>
        <v>2063017</v>
      </c>
      <c r="CS487" s="13" t="str">
        <f t="shared" si="279"/>
        <v>180级寄灵人紫色-项链</v>
      </c>
      <c r="CT487" s="14">
        <f t="shared" si="280"/>
        <v>1</v>
      </c>
      <c r="CU487" s="14">
        <f t="shared" si="281"/>
        <v>3</v>
      </c>
      <c r="CV487" s="14">
        <f t="shared" si="287"/>
        <v>180</v>
      </c>
      <c r="CW487" s="14">
        <f t="shared" si="288"/>
        <v>180</v>
      </c>
      <c r="CX487" s="14">
        <f t="shared" si="289"/>
        <v>7</v>
      </c>
      <c r="CY487" s="14" t="str">
        <f t="shared" si="290"/>
        <v/>
      </c>
      <c r="CZ487" s="14">
        <f t="shared" si="291"/>
        <v>216</v>
      </c>
      <c r="DA487" s="14">
        <f t="shared" si="292"/>
        <v>720</v>
      </c>
      <c r="DB487" s="14">
        <f t="shared" si="293"/>
        <v>450</v>
      </c>
      <c r="DC487" s="14">
        <f t="shared" si="294"/>
        <v>0</v>
      </c>
      <c r="DD487" s="14">
        <f t="shared" si="295"/>
        <v>19.2</v>
      </c>
      <c r="DE487" s="14">
        <f t="shared" si="296"/>
        <v>12</v>
      </c>
      <c r="DF487" s="14">
        <f t="shared" si="297"/>
        <v>0</v>
      </c>
      <c r="DG487" s="14">
        <f t="shared" si="298"/>
        <v>23</v>
      </c>
      <c r="DH487" s="14">
        <f t="shared" si="299"/>
        <v>5</v>
      </c>
      <c r="DI487" s="14">
        <f t="shared" si="300"/>
        <v>16</v>
      </c>
      <c r="DL487" s="14">
        <f t="shared" si="282"/>
        <v>1</v>
      </c>
      <c r="DM487" s="14">
        <f t="shared" si="283"/>
        <v>2</v>
      </c>
      <c r="DN487" s="14" t="str">
        <f t="shared" si="301"/>
        <v>AtkExt</v>
      </c>
      <c r="DO487" s="14">
        <f t="shared" si="302"/>
        <v>720</v>
      </c>
      <c r="DP487" s="14">
        <f t="shared" si="303"/>
        <v>19.2</v>
      </c>
      <c r="DQ487" s="14" t="str">
        <f t="shared" si="304"/>
        <v>DefExt</v>
      </c>
      <c r="DR487" s="14">
        <f t="shared" si="305"/>
        <v>450</v>
      </c>
      <c r="DS487" s="14">
        <f t="shared" si="306"/>
        <v>12</v>
      </c>
      <c r="DT487" s="14">
        <f t="shared" si="307"/>
        <v>23</v>
      </c>
      <c r="DU487" s="14">
        <f t="shared" si="308"/>
        <v>5</v>
      </c>
      <c r="DV487" s="14">
        <f t="shared" si="309"/>
        <v>16</v>
      </c>
      <c r="DW487" s="29" t="s">
        <v>758</v>
      </c>
      <c r="DX487" s="14">
        <f t="shared" si="310"/>
        <v>375</v>
      </c>
    </row>
    <row r="488" spans="91:128" ht="16.5" x14ac:dyDescent="0.2">
      <c r="CM488" s="13">
        <v>484</v>
      </c>
      <c r="CN488" s="14">
        <f t="shared" si="284"/>
        <v>67</v>
      </c>
      <c r="CO488" s="14">
        <f t="shared" si="285"/>
        <v>1</v>
      </c>
      <c r="CP488" s="14">
        <f t="shared" si="286"/>
        <v>8</v>
      </c>
      <c r="CQ488" s="14">
        <f t="shared" si="277"/>
        <v>6</v>
      </c>
      <c r="CR488" s="14">
        <f t="shared" si="278"/>
        <v>2063018</v>
      </c>
      <c r="CS488" s="13" t="str">
        <f t="shared" si="279"/>
        <v>180级寄灵人紫色-戒指</v>
      </c>
      <c r="CT488" s="14">
        <f t="shared" si="280"/>
        <v>1</v>
      </c>
      <c r="CU488" s="14">
        <f t="shared" si="281"/>
        <v>3</v>
      </c>
      <c r="CV488" s="14">
        <f t="shared" si="287"/>
        <v>180</v>
      </c>
      <c r="CW488" s="14">
        <f t="shared" si="288"/>
        <v>180</v>
      </c>
      <c r="CX488" s="14">
        <f t="shared" si="289"/>
        <v>8</v>
      </c>
      <c r="CY488" s="14" t="str">
        <f t="shared" si="290"/>
        <v/>
      </c>
      <c r="CZ488" s="14">
        <f t="shared" si="291"/>
        <v>168</v>
      </c>
      <c r="DA488" s="14">
        <f t="shared" si="292"/>
        <v>720</v>
      </c>
      <c r="DB488" s="14">
        <f t="shared" si="293"/>
        <v>0</v>
      </c>
      <c r="DC488" s="14">
        <f t="shared" si="294"/>
        <v>2700</v>
      </c>
      <c r="DD488" s="14">
        <f t="shared" si="295"/>
        <v>19.2</v>
      </c>
      <c r="DE488" s="14">
        <f t="shared" si="296"/>
        <v>0</v>
      </c>
      <c r="DF488" s="14">
        <f t="shared" si="297"/>
        <v>72</v>
      </c>
      <c r="DG488" s="14">
        <f t="shared" si="298"/>
        <v>23</v>
      </c>
      <c r="DH488" s="14">
        <f t="shared" si="299"/>
        <v>5</v>
      </c>
      <c r="DI488" s="14">
        <f t="shared" si="300"/>
        <v>16</v>
      </c>
      <c r="DL488" s="14">
        <f t="shared" si="282"/>
        <v>1</v>
      </c>
      <c r="DM488" s="14">
        <f t="shared" si="283"/>
        <v>3</v>
      </c>
      <c r="DN488" s="14" t="str">
        <f t="shared" si="301"/>
        <v>AtkExt</v>
      </c>
      <c r="DO488" s="14">
        <f t="shared" si="302"/>
        <v>720</v>
      </c>
      <c r="DP488" s="14">
        <f t="shared" si="303"/>
        <v>19.2</v>
      </c>
      <c r="DQ488" s="14" t="str">
        <f t="shared" si="304"/>
        <v>HPExt</v>
      </c>
      <c r="DR488" s="14">
        <f t="shared" si="305"/>
        <v>2700</v>
      </c>
      <c r="DS488" s="14">
        <f t="shared" si="306"/>
        <v>72</v>
      </c>
      <c r="DT488" s="14">
        <f t="shared" si="307"/>
        <v>23</v>
      </c>
      <c r="DU488" s="14">
        <f t="shared" si="308"/>
        <v>5</v>
      </c>
      <c r="DV488" s="14">
        <f t="shared" si="309"/>
        <v>16</v>
      </c>
      <c r="DW488" s="29" t="s">
        <v>758</v>
      </c>
      <c r="DX488" s="14">
        <f t="shared" si="310"/>
        <v>375</v>
      </c>
    </row>
    <row r="489" spans="91:128" ht="16.5" x14ac:dyDescent="0.2">
      <c r="CM489" s="13">
        <v>485</v>
      </c>
      <c r="CN489" s="14">
        <f t="shared" si="284"/>
        <v>68</v>
      </c>
      <c r="CO489" s="14">
        <f t="shared" si="285"/>
        <v>2</v>
      </c>
      <c r="CP489" s="14">
        <f t="shared" si="286"/>
        <v>1</v>
      </c>
      <c r="CQ489" s="14">
        <f t="shared" si="277"/>
        <v>6</v>
      </c>
      <c r="CR489" s="14">
        <f t="shared" si="278"/>
        <v>2063021</v>
      </c>
      <c r="CS489" s="13" t="str">
        <f t="shared" si="279"/>
        <v>180级守护灵紫色-武器</v>
      </c>
      <c r="CT489" s="14">
        <f t="shared" si="280"/>
        <v>2</v>
      </c>
      <c r="CU489" s="14">
        <f t="shared" si="281"/>
        <v>3</v>
      </c>
      <c r="CV489" s="14">
        <f t="shared" si="287"/>
        <v>180</v>
      </c>
      <c r="CW489" s="14">
        <f t="shared" si="288"/>
        <v>180</v>
      </c>
      <c r="CX489" s="14">
        <f t="shared" si="289"/>
        <v>1</v>
      </c>
      <c r="CY489" s="14" t="str">
        <f t="shared" si="290"/>
        <v/>
      </c>
      <c r="CZ489" s="14">
        <f t="shared" si="291"/>
        <v>288</v>
      </c>
      <c r="DA489" s="14">
        <f t="shared" si="292"/>
        <v>2040</v>
      </c>
      <c r="DB489" s="14">
        <f t="shared" si="293"/>
        <v>0</v>
      </c>
      <c r="DC489" s="14">
        <f t="shared" si="294"/>
        <v>0</v>
      </c>
      <c r="DD489" s="14">
        <f t="shared" si="295"/>
        <v>57.6</v>
      </c>
      <c r="DE489" s="14">
        <f t="shared" si="296"/>
        <v>0</v>
      </c>
      <c r="DF489" s="14">
        <f t="shared" si="297"/>
        <v>0</v>
      </c>
      <c r="DG489" s="14">
        <f t="shared" si="298"/>
        <v>23</v>
      </c>
      <c r="DH489" s="14">
        <f t="shared" si="299"/>
        <v>5</v>
      </c>
      <c r="DI489" s="14">
        <f t="shared" si="300"/>
        <v>26</v>
      </c>
      <c r="DL489" s="14">
        <f t="shared" si="282"/>
        <v>1</v>
      </c>
      <c r="DM489" s="14">
        <f t="shared" si="283"/>
        <v>0</v>
      </c>
      <c r="DN489" s="14" t="str">
        <f t="shared" si="301"/>
        <v>AtkExt</v>
      </c>
      <c r="DO489" s="14">
        <f t="shared" si="302"/>
        <v>2040</v>
      </c>
      <c r="DP489" s="14">
        <f t="shared" si="303"/>
        <v>57.6</v>
      </c>
      <c r="DQ489" s="14" t="str">
        <f t="shared" si="304"/>
        <v/>
      </c>
      <c r="DR489" s="14" t="str">
        <f t="shared" si="305"/>
        <v/>
      </c>
      <c r="DS489" s="14" t="str">
        <f t="shared" si="306"/>
        <v/>
      </c>
      <c r="DT489" s="14">
        <f t="shared" si="307"/>
        <v>23</v>
      </c>
      <c r="DU489" s="14">
        <f t="shared" si="308"/>
        <v>5</v>
      </c>
      <c r="DV489" s="14">
        <f t="shared" si="309"/>
        <v>26</v>
      </c>
      <c r="DW489" s="29" t="s">
        <v>758</v>
      </c>
      <c r="DX489" s="14">
        <f t="shared" si="310"/>
        <v>375</v>
      </c>
    </row>
    <row r="490" spans="91:128" ht="16.5" x14ac:dyDescent="0.2">
      <c r="CM490" s="13">
        <v>486</v>
      </c>
      <c r="CN490" s="14">
        <f t="shared" si="284"/>
        <v>68</v>
      </c>
      <c r="CO490" s="14">
        <f t="shared" si="285"/>
        <v>2</v>
      </c>
      <c r="CP490" s="14">
        <f t="shared" si="286"/>
        <v>2</v>
      </c>
      <c r="CQ490" s="14">
        <f t="shared" si="277"/>
        <v>6</v>
      </c>
      <c r="CR490" s="14">
        <f t="shared" si="278"/>
        <v>2063022</v>
      </c>
      <c r="CS490" s="13" t="str">
        <f t="shared" si="279"/>
        <v>180级守护灵紫色-头盔</v>
      </c>
      <c r="CT490" s="14">
        <f t="shared" si="280"/>
        <v>2</v>
      </c>
      <c r="CU490" s="14">
        <f t="shared" si="281"/>
        <v>3</v>
      </c>
      <c r="CV490" s="14">
        <f t="shared" si="287"/>
        <v>180</v>
      </c>
      <c r="CW490" s="14">
        <f t="shared" si="288"/>
        <v>180</v>
      </c>
      <c r="CX490" s="14">
        <f t="shared" si="289"/>
        <v>2</v>
      </c>
      <c r="CY490" s="14" t="str">
        <f t="shared" si="290"/>
        <v/>
      </c>
      <c r="CZ490" s="14">
        <f t="shared" si="291"/>
        <v>144</v>
      </c>
      <c r="DA490" s="14">
        <f t="shared" si="292"/>
        <v>0</v>
      </c>
      <c r="DB490" s="14">
        <f t="shared" si="293"/>
        <v>510</v>
      </c>
      <c r="DC490" s="14">
        <f t="shared" si="294"/>
        <v>0</v>
      </c>
      <c r="DD490" s="14">
        <f t="shared" si="295"/>
        <v>0</v>
      </c>
      <c r="DE490" s="14">
        <f t="shared" si="296"/>
        <v>14.4</v>
      </c>
      <c r="DF490" s="14">
        <f t="shared" si="297"/>
        <v>0</v>
      </c>
      <c r="DG490" s="14">
        <f t="shared" si="298"/>
        <v>23</v>
      </c>
      <c r="DH490" s="14">
        <f t="shared" si="299"/>
        <v>5</v>
      </c>
      <c r="DI490" s="14">
        <f t="shared" si="300"/>
        <v>26</v>
      </c>
      <c r="DL490" s="14">
        <f t="shared" si="282"/>
        <v>2</v>
      </c>
      <c r="DM490" s="14">
        <f t="shared" si="283"/>
        <v>0</v>
      </c>
      <c r="DN490" s="14" t="str">
        <f t="shared" si="301"/>
        <v>DefExt</v>
      </c>
      <c r="DO490" s="14">
        <f t="shared" si="302"/>
        <v>510</v>
      </c>
      <c r="DP490" s="14">
        <f t="shared" si="303"/>
        <v>14.4</v>
      </c>
      <c r="DQ490" s="14" t="str">
        <f t="shared" si="304"/>
        <v/>
      </c>
      <c r="DR490" s="14" t="str">
        <f t="shared" si="305"/>
        <v/>
      </c>
      <c r="DS490" s="14" t="str">
        <f t="shared" si="306"/>
        <v/>
      </c>
      <c r="DT490" s="14">
        <f t="shared" si="307"/>
        <v>23</v>
      </c>
      <c r="DU490" s="14">
        <f t="shared" si="308"/>
        <v>5</v>
      </c>
      <c r="DV490" s="14">
        <f t="shared" si="309"/>
        <v>26</v>
      </c>
      <c r="DW490" s="29" t="s">
        <v>758</v>
      </c>
      <c r="DX490" s="14">
        <f t="shared" si="310"/>
        <v>375</v>
      </c>
    </row>
    <row r="491" spans="91:128" ht="16.5" x14ac:dyDescent="0.2">
      <c r="CM491" s="13">
        <v>487</v>
      </c>
      <c r="CN491" s="14">
        <f t="shared" si="284"/>
        <v>68</v>
      </c>
      <c r="CO491" s="14">
        <f t="shared" si="285"/>
        <v>2</v>
      </c>
      <c r="CP491" s="14">
        <f t="shared" si="286"/>
        <v>3</v>
      </c>
      <c r="CQ491" s="14">
        <f t="shared" si="277"/>
        <v>6</v>
      </c>
      <c r="CR491" s="14">
        <f t="shared" si="278"/>
        <v>2063023</v>
      </c>
      <c r="CS491" s="13" t="str">
        <f t="shared" si="279"/>
        <v>180级守护灵紫色-肩甲</v>
      </c>
      <c r="CT491" s="14">
        <f t="shared" si="280"/>
        <v>2</v>
      </c>
      <c r="CU491" s="14">
        <f t="shared" si="281"/>
        <v>3</v>
      </c>
      <c r="CV491" s="14">
        <f t="shared" si="287"/>
        <v>180</v>
      </c>
      <c r="CW491" s="14">
        <f t="shared" si="288"/>
        <v>180</v>
      </c>
      <c r="CX491" s="14">
        <f t="shared" si="289"/>
        <v>3</v>
      </c>
      <c r="CY491" s="14" t="str">
        <f t="shared" si="290"/>
        <v/>
      </c>
      <c r="CZ491" s="14">
        <f t="shared" si="291"/>
        <v>150</v>
      </c>
      <c r="DA491" s="14">
        <f t="shared" si="292"/>
        <v>0</v>
      </c>
      <c r="DB491" s="14">
        <f t="shared" si="293"/>
        <v>255</v>
      </c>
      <c r="DC491" s="14">
        <f t="shared" si="294"/>
        <v>2400</v>
      </c>
      <c r="DD491" s="14">
        <f t="shared" si="295"/>
        <v>0</v>
      </c>
      <c r="DE491" s="14">
        <f t="shared" si="296"/>
        <v>7.2</v>
      </c>
      <c r="DF491" s="14">
        <f t="shared" si="297"/>
        <v>78</v>
      </c>
      <c r="DG491" s="14">
        <f t="shared" si="298"/>
        <v>23</v>
      </c>
      <c r="DH491" s="14">
        <f t="shared" si="299"/>
        <v>5</v>
      </c>
      <c r="DI491" s="14">
        <f t="shared" si="300"/>
        <v>26</v>
      </c>
      <c r="DL491" s="14">
        <f t="shared" si="282"/>
        <v>2</v>
      </c>
      <c r="DM491" s="14">
        <f t="shared" si="283"/>
        <v>3</v>
      </c>
      <c r="DN491" s="14" t="str">
        <f t="shared" si="301"/>
        <v>DefExt</v>
      </c>
      <c r="DO491" s="14">
        <f t="shared" si="302"/>
        <v>255</v>
      </c>
      <c r="DP491" s="14">
        <f t="shared" si="303"/>
        <v>7.2</v>
      </c>
      <c r="DQ491" s="14" t="str">
        <f t="shared" si="304"/>
        <v>HPExt</v>
      </c>
      <c r="DR491" s="14">
        <f t="shared" si="305"/>
        <v>2400</v>
      </c>
      <c r="DS491" s="14">
        <f t="shared" si="306"/>
        <v>78</v>
      </c>
      <c r="DT491" s="14">
        <f t="shared" si="307"/>
        <v>23</v>
      </c>
      <c r="DU491" s="14">
        <f t="shared" si="308"/>
        <v>5</v>
      </c>
      <c r="DV491" s="14">
        <f t="shared" si="309"/>
        <v>26</v>
      </c>
      <c r="DW491" s="29" t="s">
        <v>758</v>
      </c>
      <c r="DX491" s="14">
        <f t="shared" si="310"/>
        <v>375</v>
      </c>
    </row>
    <row r="492" spans="91:128" ht="16.5" x14ac:dyDescent="0.2">
      <c r="CM492" s="13">
        <v>488</v>
      </c>
      <c r="CN492" s="14">
        <f t="shared" si="284"/>
        <v>68</v>
      </c>
      <c r="CO492" s="14">
        <f t="shared" si="285"/>
        <v>2</v>
      </c>
      <c r="CP492" s="14">
        <f t="shared" si="286"/>
        <v>4</v>
      </c>
      <c r="CQ492" s="14">
        <f t="shared" si="277"/>
        <v>6</v>
      </c>
      <c r="CR492" s="14">
        <f t="shared" si="278"/>
        <v>2063024</v>
      </c>
      <c r="CS492" s="13" t="str">
        <f t="shared" si="279"/>
        <v>180级守护灵紫色-衣服</v>
      </c>
      <c r="CT492" s="14">
        <f t="shared" si="280"/>
        <v>2</v>
      </c>
      <c r="CU492" s="14">
        <f t="shared" si="281"/>
        <v>3</v>
      </c>
      <c r="CV492" s="14">
        <f t="shared" si="287"/>
        <v>180</v>
      </c>
      <c r="CW492" s="14">
        <f t="shared" si="288"/>
        <v>180</v>
      </c>
      <c r="CX492" s="14">
        <f t="shared" si="289"/>
        <v>4</v>
      </c>
      <c r="CY492" s="14" t="str">
        <f t="shared" si="290"/>
        <v/>
      </c>
      <c r="CZ492" s="14">
        <f t="shared" si="291"/>
        <v>144</v>
      </c>
      <c r="DA492" s="14">
        <f t="shared" si="292"/>
        <v>0</v>
      </c>
      <c r="DB492" s="14">
        <f t="shared" si="293"/>
        <v>510</v>
      </c>
      <c r="DC492" s="14">
        <f t="shared" si="294"/>
        <v>0</v>
      </c>
      <c r="DD492" s="14">
        <f t="shared" si="295"/>
        <v>0</v>
      </c>
      <c r="DE492" s="14">
        <f t="shared" si="296"/>
        <v>14.4</v>
      </c>
      <c r="DF492" s="14">
        <f t="shared" si="297"/>
        <v>0</v>
      </c>
      <c r="DG492" s="14">
        <f t="shared" si="298"/>
        <v>23</v>
      </c>
      <c r="DH492" s="14">
        <f t="shared" si="299"/>
        <v>5</v>
      </c>
      <c r="DI492" s="14">
        <f t="shared" si="300"/>
        <v>26</v>
      </c>
      <c r="DL492" s="14">
        <f t="shared" si="282"/>
        <v>2</v>
      </c>
      <c r="DM492" s="14">
        <f t="shared" si="283"/>
        <v>0</v>
      </c>
      <c r="DN492" s="14" t="str">
        <f t="shared" si="301"/>
        <v>DefExt</v>
      </c>
      <c r="DO492" s="14">
        <f t="shared" si="302"/>
        <v>510</v>
      </c>
      <c r="DP492" s="14">
        <f t="shared" si="303"/>
        <v>14.4</v>
      </c>
      <c r="DQ492" s="14" t="str">
        <f t="shared" si="304"/>
        <v/>
      </c>
      <c r="DR492" s="14" t="str">
        <f t="shared" si="305"/>
        <v/>
      </c>
      <c r="DS492" s="14" t="str">
        <f t="shared" si="306"/>
        <v/>
      </c>
      <c r="DT492" s="14">
        <f t="shared" si="307"/>
        <v>23</v>
      </c>
      <c r="DU492" s="14">
        <f t="shared" si="308"/>
        <v>5</v>
      </c>
      <c r="DV492" s="14">
        <f t="shared" si="309"/>
        <v>26</v>
      </c>
      <c r="DW492" s="29" t="s">
        <v>758</v>
      </c>
      <c r="DX492" s="14">
        <f t="shared" si="310"/>
        <v>375</v>
      </c>
    </row>
    <row r="493" spans="91:128" ht="16.5" x14ac:dyDescent="0.2">
      <c r="CM493" s="13">
        <v>489</v>
      </c>
      <c r="CN493" s="14">
        <f t="shared" si="284"/>
        <v>68</v>
      </c>
      <c r="CO493" s="14">
        <f t="shared" si="285"/>
        <v>2</v>
      </c>
      <c r="CP493" s="14">
        <f t="shared" si="286"/>
        <v>5</v>
      </c>
      <c r="CQ493" s="14">
        <f t="shared" si="277"/>
        <v>6</v>
      </c>
      <c r="CR493" s="14">
        <f t="shared" si="278"/>
        <v>2063025</v>
      </c>
      <c r="CS493" s="13" t="str">
        <f t="shared" si="279"/>
        <v>180级守护灵紫色-鞋子</v>
      </c>
      <c r="CT493" s="14">
        <f t="shared" si="280"/>
        <v>2</v>
      </c>
      <c r="CU493" s="14">
        <f t="shared" si="281"/>
        <v>3</v>
      </c>
      <c r="CV493" s="14">
        <f t="shared" si="287"/>
        <v>180</v>
      </c>
      <c r="CW493" s="14">
        <f t="shared" si="288"/>
        <v>180</v>
      </c>
      <c r="CX493" s="14">
        <f t="shared" si="289"/>
        <v>5</v>
      </c>
      <c r="CY493" s="14" t="str">
        <f t="shared" si="290"/>
        <v/>
      </c>
      <c r="CZ493" s="14">
        <f t="shared" si="291"/>
        <v>156</v>
      </c>
      <c r="DA493" s="14">
        <f t="shared" si="292"/>
        <v>0</v>
      </c>
      <c r="DB493" s="14">
        <f t="shared" si="293"/>
        <v>0</v>
      </c>
      <c r="DC493" s="14">
        <f t="shared" si="294"/>
        <v>4800</v>
      </c>
      <c r="DD493" s="14">
        <f t="shared" si="295"/>
        <v>0</v>
      </c>
      <c r="DE493" s="14">
        <f t="shared" si="296"/>
        <v>0</v>
      </c>
      <c r="DF493" s="14">
        <f t="shared" si="297"/>
        <v>156</v>
      </c>
      <c r="DG493" s="14">
        <f t="shared" si="298"/>
        <v>23</v>
      </c>
      <c r="DH493" s="14">
        <f t="shared" si="299"/>
        <v>5</v>
      </c>
      <c r="DI493" s="14">
        <f t="shared" si="300"/>
        <v>26</v>
      </c>
      <c r="DL493" s="14">
        <f t="shared" si="282"/>
        <v>3</v>
      </c>
      <c r="DM493" s="14">
        <f t="shared" si="283"/>
        <v>0</v>
      </c>
      <c r="DN493" s="14" t="str">
        <f t="shared" si="301"/>
        <v>HPExt</v>
      </c>
      <c r="DO493" s="14">
        <f t="shared" si="302"/>
        <v>4800</v>
      </c>
      <c r="DP493" s="14">
        <f t="shared" si="303"/>
        <v>156</v>
      </c>
      <c r="DQ493" s="14" t="str">
        <f t="shared" si="304"/>
        <v/>
      </c>
      <c r="DR493" s="14" t="str">
        <f t="shared" si="305"/>
        <v/>
      </c>
      <c r="DS493" s="14" t="str">
        <f t="shared" si="306"/>
        <v/>
      </c>
      <c r="DT493" s="14">
        <f t="shared" si="307"/>
        <v>23</v>
      </c>
      <c r="DU493" s="14">
        <f t="shared" si="308"/>
        <v>5</v>
      </c>
      <c r="DV493" s="14">
        <f t="shared" si="309"/>
        <v>26</v>
      </c>
      <c r="DW493" s="29" t="s">
        <v>758</v>
      </c>
      <c r="DX493" s="14">
        <f t="shared" si="310"/>
        <v>375</v>
      </c>
    </row>
    <row r="494" spans="91:128" ht="16.5" x14ac:dyDescent="0.2">
      <c r="CM494" s="13">
        <v>490</v>
      </c>
      <c r="CN494" s="14">
        <f t="shared" si="284"/>
        <v>68</v>
      </c>
      <c r="CO494" s="14">
        <f t="shared" si="285"/>
        <v>2</v>
      </c>
      <c r="CP494" s="14">
        <f t="shared" si="286"/>
        <v>6</v>
      </c>
      <c r="CQ494" s="14">
        <f t="shared" si="277"/>
        <v>6</v>
      </c>
      <c r="CR494" s="14">
        <f t="shared" si="278"/>
        <v>2063026</v>
      </c>
      <c r="CS494" s="13" t="str">
        <f t="shared" si="279"/>
        <v>180级守护灵紫色-护手</v>
      </c>
      <c r="CT494" s="14">
        <f t="shared" si="280"/>
        <v>2</v>
      </c>
      <c r="CU494" s="14">
        <f t="shared" si="281"/>
        <v>3</v>
      </c>
      <c r="CV494" s="14">
        <f t="shared" si="287"/>
        <v>180</v>
      </c>
      <c r="CW494" s="14">
        <f t="shared" si="288"/>
        <v>180</v>
      </c>
      <c r="CX494" s="14">
        <f t="shared" si="289"/>
        <v>6</v>
      </c>
      <c r="CY494" s="14" t="str">
        <f t="shared" si="290"/>
        <v/>
      </c>
      <c r="CZ494" s="14">
        <f t="shared" si="291"/>
        <v>156</v>
      </c>
      <c r="DA494" s="14">
        <f t="shared" si="292"/>
        <v>0</v>
      </c>
      <c r="DB494" s="14">
        <f t="shared" si="293"/>
        <v>0</v>
      </c>
      <c r="DC494" s="14">
        <f t="shared" si="294"/>
        <v>4800</v>
      </c>
      <c r="DD494" s="14">
        <f t="shared" si="295"/>
        <v>0</v>
      </c>
      <c r="DE494" s="14">
        <f t="shared" si="296"/>
        <v>0</v>
      </c>
      <c r="DF494" s="14">
        <f t="shared" si="297"/>
        <v>156</v>
      </c>
      <c r="DG494" s="14">
        <f t="shared" si="298"/>
        <v>23</v>
      </c>
      <c r="DH494" s="14">
        <f t="shared" si="299"/>
        <v>5</v>
      </c>
      <c r="DI494" s="14">
        <f t="shared" si="300"/>
        <v>26</v>
      </c>
      <c r="DL494" s="14">
        <f t="shared" si="282"/>
        <v>3</v>
      </c>
      <c r="DM494" s="14">
        <f t="shared" si="283"/>
        <v>0</v>
      </c>
      <c r="DN494" s="14" t="str">
        <f t="shared" si="301"/>
        <v>HPExt</v>
      </c>
      <c r="DO494" s="14">
        <f t="shared" si="302"/>
        <v>4800</v>
      </c>
      <c r="DP494" s="14">
        <f t="shared" si="303"/>
        <v>156</v>
      </c>
      <c r="DQ494" s="14" t="str">
        <f t="shared" si="304"/>
        <v/>
      </c>
      <c r="DR494" s="14" t="str">
        <f t="shared" si="305"/>
        <v/>
      </c>
      <c r="DS494" s="14" t="str">
        <f t="shared" si="306"/>
        <v/>
      </c>
      <c r="DT494" s="14">
        <f t="shared" si="307"/>
        <v>23</v>
      </c>
      <c r="DU494" s="14">
        <f t="shared" si="308"/>
        <v>5</v>
      </c>
      <c r="DV494" s="14">
        <f t="shared" si="309"/>
        <v>26</v>
      </c>
      <c r="DW494" s="29" t="s">
        <v>758</v>
      </c>
      <c r="DX494" s="14">
        <f t="shared" si="310"/>
        <v>375</v>
      </c>
    </row>
    <row r="495" spans="91:128" ht="16.5" x14ac:dyDescent="0.2">
      <c r="CM495" s="13">
        <v>491</v>
      </c>
      <c r="CN495" s="14">
        <f t="shared" si="284"/>
        <v>68</v>
      </c>
      <c r="CO495" s="14">
        <f t="shared" si="285"/>
        <v>2</v>
      </c>
      <c r="CP495" s="14">
        <f t="shared" si="286"/>
        <v>7</v>
      </c>
      <c r="CQ495" s="14">
        <f t="shared" si="277"/>
        <v>6</v>
      </c>
      <c r="CR495" s="14">
        <f t="shared" si="278"/>
        <v>2063027</v>
      </c>
      <c r="CS495" s="13" t="str">
        <f t="shared" si="279"/>
        <v>180级守护灵紫色-项链</v>
      </c>
      <c r="CT495" s="14">
        <f t="shared" si="280"/>
        <v>2</v>
      </c>
      <c r="CU495" s="14">
        <f t="shared" si="281"/>
        <v>3</v>
      </c>
      <c r="CV495" s="14">
        <f t="shared" si="287"/>
        <v>180</v>
      </c>
      <c r="CW495" s="14">
        <f t="shared" si="288"/>
        <v>180</v>
      </c>
      <c r="CX495" s="14">
        <f t="shared" si="289"/>
        <v>7</v>
      </c>
      <c r="CY495" s="14" t="str">
        <f t="shared" si="290"/>
        <v/>
      </c>
      <c r="CZ495" s="14">
        <f t="shared" si="291"/>
        <v>216</v>
      </c>
      <c r="DA495" s="14">
        <f t="shared" si="292"/>
        <v>680</v>
      </c>
      <c r="DB495" s="14">
        <f t="shared" si="293"/>
        <v>425</v>
      </c>
      <c r="DC495" s="14">
        <f t="shared" si="294"/>
        <v>0</v>
      </c>
      <c r="DD495" s="14">
        <f t="shared" si="295"/>
        <v>19.2</v>
      </c>
      <c r="DE495" s="14">
        <f t="shared" si="296"/>
        <v>12</v>
      </c>
      <c r="DF495" s="14">
        <f t="shared" si="297"/>
        <v>0</v>
      </c>
      <c r="DG495" s="14">
        <f t="shared" si="298"/>
        <v>23</v>
      </c>
      <c r="DH495" s="14">
        <f t="shared" si="299"/>
        <v>5</v>
      </c>
      <c r="DI495" s="14">
        <f t="shared" si="300"/>
        <v>26</v>
      </c>
      <c r="DL495" s="14">
        <f t="shared" si="282"/>
        <v>1</v>
      </c>
      <c r="DM495" s="14">
        <f t="shared" si="283"/>
        <v>2</v>
      </c>
      <c r="DN495" s="14" t="str">
        <f t="shared" si="301"/>
        <v>AtkExt</v>
      </c>
      <c r="DO495" s="14">
        <f t="shared" si="302"/>
        <v>680</v>
      </c>
      <c r="DP495" s="14">
        <f t="shared" si="303"/>
        <v>19.2</v>
      </c>
      <c r="DQ495" s="14" t="str">
        <f t="shared" si="304"/>
        <v>DefExt</v>
      </c>
      <c r="DR495" s="14">
        <f t="shared" si="305"/>
        <v>425</v>
      </c>
      <c r="DS495" s="14">
        <f t="shared" si="306"/>
        <v>12</v>
      </c>
      <c r="DT495" s="14">
        <f t="shared" si="307"/>
        <v>23</v>
      </c>
      <c r="DU495" s="14">
        <f t="shared" si="308"/>
        <v>5</v>
      </c>
      <c r="DV495" s="14">
        <f t="shared" si="309"/>
        <v>26</v>
      </c>
      <c r="DW495" s="29" t="s">
        <v>758</v>
      </c>
      <c r="DX495" s="14">
        <f t="shared" si="310"/>
        <v>375</v>
      </c>
    </row>
    <row r="496" spans="91:128" ht="16.5" x14ac:dyDescent="0.2">
      <c r="CM496" s="13">
        <v>492</v>
      </c>
      <c r="CN496" s="14">
        <f t="shared" si="284"/>
        <v>68</v>
      </c>
      <c r="CO496" s="14">
        <f t="shared" si="285"/>
        <v>2</v>
      </c>
      <c r="CP496" s="14">
        <f t="shared" si="286"/>
        <v>8</v>
      </c>
      <c r="CQ496" s="14">
        <f t="shared" si="277"/>
        <v>6</v>
      </c>
      <c r="CR496" s="14">
        <f t="shared" si="278"/>
        <v>2063028</v>
      </c>
      <c r="CS496" s="13" t="str">
        <f t="shared" si="279"/>
        <v>180级守护灵紫色-戒指</v>
      </c>
      <c r="CT496" s="14">
        <f t="shared" si="280"/>
        <v>2</v>
      </c>
      <c r="CU496" s="14">
        <f t="shared" si="281"/>
        <v>3</v>
      </c>
      <c r="CV496" s="14">
        <f t="shared" si="287"/>
        <v>180</v>
      </c>
      <c r="CW496" s="14">
        <f t="shared" si="288"/>
        <v>180</v>
      </c>
      <c r="CX496" s="14">
        <f t="shared" si="289"/>
        <v>8</v>
      </c>
      <c r="CY496" s="14" t="str">
        <f t="shared" si="290"/>
        <v/>
      </c>
      <c r="CZ496" s="14">
        <f t="shared" si="291"/>
        <v>226</v>
      </c>
      <c r="DA496" s="14">
        <f t="shared" si="292"/>
        <v>680</v>
      </c>
      <c r="DB496" s="14">
        <f t="shared" si="293"/>
        <v>0</v>
      </c>
      <c r="DC496" s="14">
        <f t="shared" si="294"/>
        <v>4000</v>
      </c>
      <c r="DD496" s="14">
        <f t="shared" si="295"/>
        <v>19.2</v>
      </c>
      <c r="DE496" s="14">
        <f t="shared" si="296"/>
        <v>0</v>
      </c>
      <c r="DF496" s="14">
        <f t="shared" si="297"/>
        <v>130</v>
      </c>
      <c r="DG496" s="14">
        <f t="shared" si="298"/>
        <v>23</v>
      </c>
      <c r="DH496" s="14">
        <f t="shared" si="299"/>
        <v>5</v>
      </c>
      <c r="DI496" s="14">
        <f t="shared" si="300"/>
        <v>26</v>
      </c>
      <c r="DL496" s="14">
        <f t="shared" si="282"/>
        <v>1</v>
      </c>
      <c r="DM496" s="14">
        <f t="shared" si="283"/>
        <v>3</v>
      </c>
      <c r="DN496" s="14" t="str">
        <f t="shared" si="301"/>
        <v>AtkExt</v>
      </c>
      <c r="DO496" s="14">
        <f t="shared" si="302"/>
        <v>680</v>
      </c>
      <c r="DP496" s="14">
        <f t="shared" si="303"/>
        <v>19.2</v>
      </c>
      <c r="DQ496" s="14" t="str">
        <f t="shared" si="304"/>
        <v>HPExt</v>
      </c>
      <c r="DR496" s="14">
        <f t="shared" si="305"/>
        <v>4000</v>
      </c>
      <c r="DS496" s="14">
        <f t="shared" si="306"/>
        <v>130</v>
      </c>
      <c r="DT496" s="14">
        <f t="shared" si="307"/>
        <v>23</v>
      </c>
      <c r="DU496" s="14">
        <f t="shared" si="308"/>
        <v>5</v>
      </c>
      <c r="DV496" s="14">
        <f t="shared" si="309"/>
        <v>26</v>
      </c>
      <c r="DW496" s="29" t="s">
        <v>758</v>
      </c>
      <c r="DX496" s="14">
        <f t="shared" si="310"/>
        <v>375</v>
      </c>
    </row>
    <row r="497" spans="91:128" ht="16.5" x14ac:dyDescent="0.2">
      <c r="CM497" s="13">
        <v>493</v>
      </c>
      <c r="CN497" s="14">
        <f t="shared" si="284"/>
        <v>69</v>
      </c>
      <c r="CO497" s="14">
        <f t="shared" si="285"/>
        <v>1</v>
      </c>
      <c r="CP497" s="14">
        <f t="shared" si="286"/>
        <v>1</v>
      </c>
      <c r="CQ497" s="14">
        <f t="shared" si="277"/>
        <v>6</v>
      </c>
      <c r="CR497" s="14">
        <f t="shared" si="278"/>
        <v>2064011</v>
      </c>
      <c r="CS497" s="13" t="str">
        <f t="shared" si="279"/>
        <v>180级寄灵人橙色-武器</v>
      </c>
      <c r="CT497" s="14">
        <f t="shared" si="280"/>
        <v>1</v>
      </c>
      <c r="CU497" s="14">
        <f t="shared" si="281"/>
        <v>4</v>
      </c>
      <c r="CV497" s="14">
        <f t="shared" si="287"/>
        <v>180</v>
      </c>
      <c r="CW497" s="14">
        <f t="shared" si="288"/>
        <v>180</v>
      </c>
      <c r="CX497" s="14">
        <f t="shared" si="289"/>
        <v>1</v>
      </c>
      <c r="CY497" s="14" t="str">
        <f t="shared" si="290"/>
        <v/>
      </c>
      <c r="CZ497" s="14">
        <f t="shared" si="291"/>
        <v>360</v>
      </c>
      <c r="DA497" s="14">
        <f t="shared" si="292"/>
        <v>2700</v>
      </c>
      <c r="DB497" s="14">
        <f t="shared" si="293"/>
        <v>0</v>
      </c>
      <c r="DC497" s="14">
        <f t="shared" si="294"/>
        <v>0</v>
      </c>
      <c r="DD497" s="14">
        <f t="shared" si="295"/>
        <v>72</v>
      </c>
      <c r="DE497" s="14">
        <f t="shared" si="296"/>
        <v>0</v>
      </c>
      <c r="DF497" s="14">
        <f t="shared" si="297"/>
        <v>0</v>
      </c>
      <c r="DG497" s="14">
        <f t="shared" si="298"/>
        <v>24</v>
      </c>
      <c r="DH497" s="14">
        <f t="shared" si="299"/>
        <v>6</v>
      </c>
      <c r="DI497" s="14">
        <f t="shared" si="300"/>
        <v>16</v>
      </c>
      <c r="DL497" s="14">
        <f t="shared" si="282"/>
        <v>1</v>
      </c>
      <c r="DM497" s="14">
        <f t="shared" si="283"/>
        <v>0</v>
      </c>
      <c r="DN497" s="14" t="str">
        <f t="shared" si="301"/>
        <v>AtkExt</v>
      </c>
      <c r="DO497" s="14">
        <f t="shared" si="302"/>
        <v>2700</v>
      </c>
      <c r="DP497" s="14">
        <f t="shared" si="303"/>
        <v>72</v>
      </c>
      <c r="DQ497" s="14" t="str">
        <f t="shared" si="304"/>
        <v/>
      </c>
      <c r="DR497" s="14" t="str">
        <f t="shared" si="305"/>
        <v/>
      </c>
      <c r="DS497" s="14" t="str">
        <f t="shared" si="306"/>
        <v/>
      </c>
      <c r="DT497" s="14">
        <f t="shared" si="307"/>
        <v>24</v>
      </c>
      <c r="DU497" s="14">
        <f t="shared" si="308"/>
        <v>6</v>
      </c>
      <c r="DV497" s="14">
        <f t="shared" si="309"/>
        <v>16</v>
      </c>
      <c r="DW497" s="29" t="s">
        <v>758</v>
      </c>
      <c r="DX497" s="14">
        <f t="shared" si="310"/>
        <v>750</v>
      </c>
    </row>
    <row r="498" spans="91:128" ht="16.5" x14ac:dyDescent="0.2">
      <c r="CM498" s="13">
        <v>494</v>
      </c>
      <c r="CN498" s="14">
        <f t="shared" si="284"/>
        <v>69</v>
      </c>
      <c r="CO498" s="14">
        <f t="shared" si="285"/>
        <v>1</v>
      </c>
      <c r="CP498" s="14">
        <f t="shared" si="286"/>
        <v>2</v>
      </c>
      <c r="CQ498" s="14">
        <f t="shared" si="277"/>
        <v>6</v>
      </c>
      <c r="CR498" s="14">
        <f t="shared" si="278"/>
        <v>2064012</v>
      </c>
      <c r="CS498" s="13" t="str">
        <f t="shared" si="279"/>
        <v>180级寄灵人橙色-头盔</v>
      </c>
      <c r="CT498" s="14">
        <f t="shared" si="280"/>
        <v>1</v>
      </c>
      <c r="CU498" s="14">
        <f t="shared" si="281"/>
        <v>4</v>
      </c>
      <c r="CV498" s="14">
        <f t="shared" si="287"/>
        <v>180</v>
      </c>
      <c r="CW498" s="14">
        <f t="shared" si="288"/>
        <v>180</v>
      </c>
      <c r="CX498" s="14">
        <f t="shared" si="289"/>
        <v>2</v>
      </c>
      <c r="CY498" s="14" t="str">
        <f t="shared" si="290"/>
        <v/>
      </c>
      <c r="CZ498" s="14">
        <f t="shared" si="291"/>
        <v>180</v>
      </c>
      <c r="DA498" s="14">
        <f t="shared" si="292"/>
        <v>0</v>
      </c>
      <c r="DB498" s="14">
        <f t="shared" si="293"/>
        <v>675</v>
      </c>
      <c r="DC498" s="14">
        <f t="shared" si="294"/>
        <v>0</v>
      </c>
      <c r="DD498" s="14">
        <f t="shared" si="295"/>
        <v>0</v>
      </c>
      <c r="DE498" s="14">
        <f t="shared" si="296"/>
        <v>18</v>
      </c>
      <c r="DF498" s="14">
        <f t="shared" si="297"/>
        <v>0</v>
      </c>
      <c r="DG498" s="14">
        <f t="shared" si="298"/>
        <v>24</v>
      </c>
      <c r="DH498" s="14">
        <f t="shared" si="299"/>
        <v>6</v>
      </c>
      <c r="DI498" s="14">
        <f t="shared" si="300"/>
        <v>16</v>
      </c>
      <c r="DL498" s="14">
        <f t="shared" si="282"/>
        <v>2</v>
      </c>
      <c r="DM498" s="14">
        <f t="shared" si="283"/>
        <v>0</v>
      </c>
      <c r="DN498" s="14" t="str">
        <f t="shared" si="301"/>
        <v>DefExt</v>
      </c>
      <c r="DO498" s="14">
        <f t="shared" si="302"/>
        <v>675</v>
      </c>
      <c r="DP498" s="14">
        <f t="shared" si="303"/>
        <v>18</v>
      </c>
      <c r="DQ498" s="14" t="str">
        <f t="shared" si="304"/>
        <v/>
      </c>
      <c r="DR498" s="14" t="str">
        <f t="shared" si="305"/>
        <v/>
      </c>
      <c r="DS498" s="14" t="str">
        <f t="shared" si="306"/>
        <v/>
      </c>
      <c r="DT498" s="14">
        <f t="shared" si="307"/>
        <v>24</v>
      </c>
      <c r="DU498" s="14">
        <f t="shared" si="308"/>
        <v>6</v>
      </c>
      <c r="DV498" s="14">
        <f t="shared" si="309"/>
        <v>16</v>
      </c>
      <c r="DW498" s="29" t="s">
        <v>758</v>
      </c>
      <c r="DX498" s="14">
        <f t="shared" si="310"/>
        <v>750</v>
      </c>
    </row>
    <row r="499" spans="91:128" ht="16.5" x14ac:dyDescent="0.2">
      <c r="CM499" s="13">
        <v>495</v>
      </c>
      <c r="CN499" s="14">
        <f t="shared" si="284"/>
        <v>69</v>
      </c>
      <c r="CO499" s="14">
        <f t="shared" si="285"/>
        <v>1</v>
      </c>
      <c r="CP499" s="14">
        <f t="shared" si="286"/>
        <v>3</v>
      </c>
      <c r="CQ499" s="14">
        <f t="shared" si="277"/>
        <v>6</v>
      </c>
      <c r="CR499" s="14">
        <f t="shared" si="278"/>
        <v>2064013</v>
      </c>
      <c r="CS499" s="13" t="str">
        <f t="shared" si="279"/>
        <v>180级寄灵人橙色-肩甲</v>
      </c>
      <c r="CT499" s="14">
        <f t="shared" si="280"/>
        <v>1</v>
      </c>
      <c r="CU499" s="14">
        <f t="shared" si="281"/>
        <v>4</v>
      </c>
      <c r="CV499" s="14">
        <f t="shared" si="287"/>
        <v>180</v>
      </c>
      <c r="CW499" s="14">
        <f t="shared" si="288"/>
        <v>180</v>
      </c>
      <c r="CX499" s="14">
        <f t="shared" si="289"/>
        <v>3</v>
      </c>
      <c r="CY499" s="14" t="str">
        <f t="shared" si="290"/>
        <v/>
      </c>
      <c r="CZ499" s="14">
        <f t="shared" si="291"/>
        <v>144</v>
      </c>
      <c r="DA499" s="14">
        <f t="shared" si="292"/>
        <v>0</v>
      </c>
      <c r="DB499" s="14">
        <f t="shared" si="293"/>
        <v>338</v>
      </c>
      <c r="DC499" s="14">
        <f t="shared" si="294"/>
        <v>2025</v>
      </c>
      <c r="DD499" s="14">
        <f t="shared" si="295"/>
        <v>0</v>
      </c>
      <c r="DE499" s="14">
        <f t="shared" si="296"/>
        <v>9</v>
      </c>
      <c r="DF499" s="14">
        <f t="shared" si="297"/>
        <v>54</v>
      </c>
      <c r="DG499" s="14">
        <f t="shared" si="298"/>
        <v>24</v>
      </c>
      <c r="DH499" s="14">
        <f t="shared" si="299"/>
        <v>6</v>
      </c>
      <c r="DI499" s="14">
        <f t="shared" si="300"/>
        <v>16</v>
      </c>
      <c r="DL499" s="14">
        <f t="shared" si="282"/>
        <v>2</v>
      </c>
      <c r="DM499" s="14">
        <f t="shared" si="283"/>
        <v>3</v>
      </c>
      <c r="DN499" s="14" t="str">
        <f t="shared" si="301"/>
        <v>DefExt</v>
      </c>
      <c r="DO499" s="14">
        <f t="shared" si="302"/>
        <v>338</v>
      </c>
      <c r="DP499" s="14">
        <f t="shared" si="303"/>
        <v>9</v>
      </c>
      <c r="DQ499" s="14" t="str">
        <f t="shared" si="304"/>
        <v>HPExt</v>
      </c>
      <c r="DR499" s="14">
        <f t="shared" si="305"/>
        <v>2025</v>
      </c>
      <c r="DS499" s="14">
        <f t="shared" si="306"/>
        <v>54</v>
      </c>
      <c r="DT499" s="14">
        <f t="shared" si="307"/>
        <v>24</v>
      </c>
      <c r="DU499" s="14">
        <f t="shared" si="308"/>
        <v>6</v>
      </c>
      <c r="DV499" s="14">
        <f t="shared" si="309"/>
        <v>16</v>
      </c>
      <c r="DW499" s="29" t="s">
        <v>758</v>
      </c>
      <c r="DX499" s="14">
        <f t="shared" si="310"/>
        <v>750</v>
      </c>
    </row>
    <row r="500" spans="91:128" ht="16.5" x14ac:dyDescent="0.2">
      <c r="CM500" s="13">
        <v>496</v>
      </c>
      <c r="CN500" s="14">
        <f t="shared" si="284"/>
        <v>69</v>
      </c>
      <c r="CO500" s="14">
        <f t="shared" si="285"/>
        <v>1</v>
      </c>
      <c r="CP500" s="14">
        <f t="shared" si="286"/>
        <v>4</v>
      </c>
      <c r="CQ500" s="14">
        <f t="shared" si="277"/>
        <v>6</v>
      </c>
      <c r="CR500" s="14">
        <f t="shared" si="278"/>
        <v>2064014</v>
      </c>
      <c r="CS500" s="13" t="str">
        <f t="shared" si="279"/>
        <v>180级寄灵人橙色-衣服</v>
      </c>
      <c r="CT500" s="14">
        <f t="shared" si="280"/>
        <v>1</v>
      </c>
      <c r="CU500" s="14">
        <f t="shared" si="281"/>
        <v>4</v>
      </c>
      <c r="CV500" s="14">
        <f t="shared" si="287"/>
        <v>180</v>
      </c>
      <c r="CW500" s="14">
        <f t="shared" si="288"/>
        <v>180</v>
      </c>
      <c r="CX500" s="14">
        <f t="shared" si="289"/>
        <v>4</v>
      </c>
      <c r="CY500" s="14" t="str">
        <f t="shared" si="290"/>
        <v/>
      </c>
      <c r="CZ500" s="14">
        <f t="shared" si="291"/>
        <v>180</v>
      </c>
      <c r="DA500" s="14">
        <f t="shared" si="292"/>
        <v>0</v>
      </c>
      <c r="DB500" s="14">
        <f t="shared" si="293"/>
        <v>675</v>
      </c>
      <c r="DC500" s="14">
        <f t="shared" si="294"/>
        <v>0</v>
      </c>
      <c r="DD500" s="14">
        <f t="shared" si="295"/>
        <v>0</v>
      </c>
      <c r="DE500" s="14">
        <f t="shared" si="296"/>
        <v>18</v>
      </c>
      <c r="DF500" s="14">
        <f t="shared" si="297"/>
        <v>0</v>
      </c>
      <c r="DG500" s="14">
        <f t="shared" si="298"/>
        <v>24</v>
      </c>
      <c r="DH500" s="14">
        <f t="shared" si="299"/>
        <v>6</v>
      </c>
      <c r="DI500" s="14">
        <f t="shared" si="300"/>
        <v>16</v>
      </c>
      <c r="DL500" s="14">
        <f t="shared" si="282"/>
        <v>2</v>
      </c>
      <c r="DM500" s="14">
        <f t="shared" si="283"/>
        <v>0</v>
      </c>
      <c r="DN500" s="14" t="str">
        <f t="shared" si="301"/>
        <v>DefExt</v>
      </c>
      <c r="DO500" s="14">
        <f t="shared" si="302"/>
        <v>675</v>
      </c>
      <c r="DP500" s="14">
        <f t="shared" si="303"/>
        <v>18</v>
      </c>
      <c r="DQ500" s="14" t="str">
        <f t="shared" si="304"/>
        <v/>
      </c>
      <c r="DR500" s="14" t="str">
        <f t="shared" si="305"/>
        <v/>
      </c>
      <c r="DS500" s="14" t="str">
        <f t="shared" si="306"/>
        <v/>
      </c>
      <c r="DT500" s="14">
        <f t="shared" si="307"/>
        <v>24</v>
      </c>
      <c r="DU500" s="14">
        <f t="shared" si="308"/>
        <v>6</v>
      </c>
      <c r="DV500" s="14">
        <f t="shared" si="309"/>
        <v>16</v>
      </c>
      <c r="DW500" s="29" t="s">
        <v>758</v>
      </c>
      <c r="DX500" s="14">
        <f t="shared" si="310"/>
        <v>750</v>
      </c>
    </row>
    <row r="501" spans="91:128" ht="16.5" x14ac:dyDescent="0.2">
      <c r="CM501" s="13">
        <v>497</v>
      </c>
      <c r="CN501" s="14">
        <f t="shared" si="284"/>
        <v>69</v>
      </c>
      <c r="CO501" s="14">
        <f t="shared" si="285"/>
        <v>1</v>
      </c>
      <c r="CP501" s="14">
        <f t="shared" si="286"/>
        <v>5</v>
      </c>
      <c r="CQ501" s="14">
        <f t="shared" si="277"/>
        <v>6</v>
      </c>
      <c r="CR501" s="14">
        <f t="shared" si="278"/>
        <v>2064015</v>
      </c>
      <c r="CS501" s="13" t="str">
        <f t="shared" si="279"/>
        <v>180级寄灵人橙色-鞋子</v>
      </c>
      <c r="CT501" s="14">
        <f t="shared" si="280"/>
        <v>1</v>
      </c>
      <c r="CU501" s="14">
        <f t="shared" si="281"/>
        <v>4</v>
      </c>
      <c r="CV501" s="14">
        <f t="shared" si="287"/>
        <v>180</v>
      </c>
      <c r="CW501" s="14">
        <f t="shared" si="288"/>
        <v>180</v>
      </c>
      <c r="CX501" s="14">
        <f t="shared" si="289"/>
        <v>5</v>
      </c>
      <c r="CY501" s="14" t="str">
        <f t="shared" si="290"/>
        <v/>
      </c>
      <c r="CZ501" s="14">
        <f t="shared" si="291"/>
        <v>108</v>
      </c>
      <c r="DA501" s="14">
        <f t="shared" si="292"/>
        <v>0</v>
      </c>
      <c r="DB501" s="14">
        <f t="shared" si="293"/>
        <v>0</v>
      </c>
      <c r="DC501" s="14">
        <f t="shared" si="294"/>
        <v>4050</v>
      </c>
      <c r="DD501" s="14">
        <f t="shared" si="295"/>
        <v>0</v>
      </c>
      <c r="DE501" s="14">
        <f t="shared" si="296"/>
        <v>0</v>
      </c>
      <c r="DF501" s="14">
        <f t="shared" si="297"/>
        <v>108</v>
      </c>
      <c r="DG501" s="14">
        <f t="shared" si="298"/>
        <v>24</v>
      </c>
      <c r="DH501" s="14">
        <f t="shared" si="299"/>
        <v>6</v>
      </c>
      <c r="DI501" s="14">
        <f t="shared" si="300"/>
        <v>16</v>
      </c>
      <c r="DL501" s="14">
        <f t="shared" si="282"/>
        <v>3</v>
      </c>
      <c r="DM501" s="14">
        <f t="shared" si="283"/>
        <v>0</v>
      </c>
      <c r="DN501" s="14" t="str">
        <f t="shared" si="301"/>
        <v>HPExt</v>
      </c>
      <c r="DO501" s="14">
        <f t="shared" si="302"/>
        <v>4050</v>
      </c>
      <c r="DP501" s="14">
        <f t="shared" si="303"/>
        <v>108</v>
      </c>
      <c r="DQ501" s="14" t="str">
        <f t="shared" si="304"/>
        <v/>
      </c>
      <c r="DR501" s="14" t="str">
        <f t="shared" si="305"/>
        <v/>
      </c>
      <c r="DS501" s="14" t="str">
        <f t="shared" si="306"/>
        <v/>
      </c>
      <c r="DT501" s="14">
        <f t="shared" si="307"/>
        <v>24</v>
      </c>
      <c r="DU501" s="14">
        <f t="shared" si="308"/>
        <v>6</v>
      </c>
      <c r="DV501" s="14">
        <f t="shared" si="309"/>
        <v>16</v>
      </c>
      <c r="DW501" s="29" t="s">
        <v>758</v>
      </c>
      <c r="DX501" s="14">
        <f t="shared" si="310"/>
        <v>750</v>
      </c>
    </row>
    <row r="502" spans="91:128" ht="16.5" x14ac:dyDescent="0.2">
      <c r="CM502" s="13">
        <v>498</v>
      </c>
      <c r="CN502" s="14">
        <f t="shared" si="284"/>
        <v>69</v>
      </c>
      <c r="CO502" s="14">
        <f t="shared" si="285"/>
        <v>1</v>
      </c>
      <c r="CP502" s="14">
        <f t="shared" si="286"/>
        <v>6</v>
      </c>
      <c r="CQ502" s="14">
        <f t="shared" si="277"/>
        <v>6</v>
      </c>
      <c r="CR502" s="14">
        <f t="shared" si="278"/>
        <v>2064016</v>
      </c>
      <c r="CS502" s="13" t="str">
        <f t="shared" si="279"/>
        <v>180级寄灵人橙色-护手</v>
      </c>
      <c r="CT502" s="14">
        <f t="shared" si="280"/>
        <v>1</v>
      </c>
      <c r="CU502" s="14">
        <f t="shared" si="281"/>
        <v>4</v>
      </c>
      <c r="CV502" s="14">
        <f t="shared" si="287"/>
        <v>180</v>
      </c>
      <c r="CW502" s="14">
        <f t="shared" si="288"/>
        <v>180</v>
      </c>
      <c r="CX502" s="14">
        <f t="shared" si="289"/>
        <v>6</v>
      </c>
      <c r="CY502" s="14" t="str">
        <f t="shared" si="290"/>
        <v/>
      </c>
      <c r="CZ502" s="14">
        <f t="shared" si="291"/>
        <v>108</v>
      </c>
      <c r="DA502" s="14">
        <f t="shared" si="292"/>
        <v>0</v>
      </c>
      <c r="DB502" s="14">
        <f t="shared" si="293"/>
        <v>0</v>
      </c>
      <c r="DC502" s="14">
        <f t="shared" si="294"/>
        <v>4050</v>
      </c>
      <c r="DD502" s="14">
        <f t="shared" si="295"/>
        <v>0</v>
      </c>
      <c r="DE502" s="14">
        <f t="shared" si="296"/>
        <v>0</v>
      </c>
      <c r="DF502" s="14">
        <f t="shared" si="297"/>
        <v>108</v>
      </c>
      <c r="DG502" s="14">
        <f t="shared" si="298"/>
        <v>24</v>
      </c>
      <c r="DH502" s="14">
        <f t="shared" si="299"/>
        <v>6</v>
      </c>
      <c r="DI502" s="14">
        <f t="shared" si="300"/>
        <v>16</v>
      </c>
      <c r="DL502" s="14">
        <f t="shared" si="282"/>
        <v>3</v>
      </c>
      <c r="DM502" s="14">
        <f t="shared" si="283"/>
        <v>0</v>
      </c>
      <c r="DN502" s="14" t="str">
        <f t="shared" si="301"/>
        <v>HPExt</v>
      </c>
      <c r="DO502" s="14">
        <f t="shared" si="302"/>
        <v>4050</v>
      </c>
      <c r="DP502" s="14">
        <f t="shared" si="303"/>
        <v>108</v>
      </c>
      <c r="DQ502" s="14" t="str">
        <f t="shared" si="304"/>
        <v/>
      </c>
      <c r="DR502" s="14" t="str">
        <f t="shared" si="305"/>
        <v/>
      </c>
      <c r="DS502" s="14" t="str">
        <f t="shared" si="306"/>
        <v/>
      </c>
      <c r="DT502" s="14">
        <f t="shared" si="307"/>
        <v>24</v>
      </c>
      <c r="DU502" s="14">
        <f t="shared" si="308"/>
        <v>6</v>
      </c>
      <c r="DV502" s="14">
        <f t="shared" si="309"/>
        <v>16</v>
      </c>
      <c r="DW502" s="29" t="s">
        <v>758</v>
      </c>
      <c r="DX502" s="14">
        <f t="shared" si="310"/>
        <v>750</v>
      </c>
    </row>
    <row r="503" spans="91:128" ht="16.5" x14ac:dyDescent="0.2">
      <c r="CM503" s="13">
        <v>499</v>
      </c>
      <c r="CN503" s="14">
        <f t="shared" si="284"/>
        <v>69</v>
      </c>
      <c r="CO503" s="14">
        <f t="shared" si="285"/>
        <v>1</v>
      </c>
      <c r="CP503" s="14">
        <f t="shared" si="286"/>
        <v>7</v>
      </c>
      <c r="CQ503" s="14">
        <f t="shared" si="277"/>
        <v>6</v>
      </c>
      <c r="CR503" s="14">
        <f t="shared" si="278"/>
        <v>2064017</v>
      </c>
      <c r="CS503" s="13" t="str">
        <f t="shared" si="279"/>
        <v>180级寄灵人橙色-项链</v>
      </c>
      <c r="CT503" s="14">
        <f t="shared" si="280"/>
        <v>1</v>
      </c>
      <c r="CU503" s="14">
        <f t="shared" si="281"/>
        <v>4</v>
      </c>
      <c r="CV503" s="14">
        <f t="shared" si="287"/>
        <v>180</v>
      </c>
      <c r="CW503" s="14">
        <f t="shared" si="288"/>
        <v>180</v>
      </c>
      <c r="CX503" s="14">
        <f t="shared" si="289"/>
        <v>7</v>
      </c>
      <c r="CY503" s="14" t="str">
        <f t="shared" si="290"/>
        <v/>
      </c>
      <c r="CZ503" s="14">
        <f t="shared" si="291"/>
        <v>270</v>
      </c>
      <c r="DA503" s="14">
        <f t="shared" si="292"/>
        <v>900</v>
      </c>
      <c r="DB503" s="14">
        <f t="shared" si="293"/>
        <v>563</v>
      </c>
      <c r="DC503" s="14">
        <f t="shared" si="294"/>
        <v>0</v>
      </c>
      <c r="DD503" s="14">
        <f t="shared" si="295"/>
        <v>24</v>
      </c>
      <c r="DE503" s="14">
        <f t="shared" si="296"/>
        <v>15</v>
      </c>
      <c r="DF503" s="14">
        <f t="shared" si="297"/>
        <v>0</v>
      </c>
      <c r="DG503" s="14">
        <f t="shared" si="298"/>
        <v>24</v>
      </c>
      <c r="DH503" s="14">
        <f t="shared" si="299"/>
        <v>6</v>
      </c>
      <c r="DI503" s="14">
        <f t="shared" si="300"/>
        <v>16</v>
      </c>
      <c r="DL503" s="14">
        <f t="shared" si="282"/>
        <v>1</v>
      </c>
      <c r="DM503" s="14">
        <f t="shared" si="283"/>
        <v>2</v>
      </c>
      <c r="DN503" s="14" t="str">
        <f t="shared" si="301"/>
        <v>AtkExt</v>
      </c>
      <c r="DO503" s="14">
        <f t="shared" si="302"/>
        <v>900</v>
      </c>
      <c r="DP503" s="14">
        <f t="shared" si="303"/>
        <v>24</v>
      </c>
      <c r="DQ503" s="14" t="str">
        <f t="shared" si="304"/>
        <v>DefExt</v>
      </c>
      <c r="DR503" s="14">
        <f t="shared" si="305"/>
        <v>563</v>
      </c>
      <c r="DS503" s="14">
        <f t="shared" si="306"/>
        <v>15</v>
      </c>
      <c r="DT503" s="14">
        <f t="shared" si="307"/>
        <v>24</v>
      </c>
      <c r="DU503" s="14">
        <f t="shared" si="308"/>
        <v>6</v>
      </c>
      <c r="DV503" s="14">
        <f t="shared" si="309"/>
        <v>16</v>
      </c>
      <c r="DW503" s="29" t="s">
        <v>758</v>
      </c>
      <c r="DX503" s="14">
        <f t="shared" si="310"/>
        <v>750</v>
      </c>
    </row>
    <row r="504" spans="91:128" ht="16.5" x14ac:dyDescent="0.2">
      <c r="CM504" s="13">
        <v>500</v>
      </c>
      <c r="CN504" s="14">
        <f t="shared" si="284"/>
        <v>69</v>
      </c>
      <c r="CO504" s="14">
        <f t="shared" si="285"/>
        <v>1</v>
      </c>
      <c r="CP504" s="14">
        <f t="shared" si="286"/>
        <v>8</v>
      </c>
      <c r="CQ504" s="14">
        <f t="shared" si="277"/>
        <v>6</v>
      </c>
      <c r="CR504" s="14">
        <f t="shared" si="278"/>
        <v>2064018</v>
      </c>
      <c r="CS504" s="13" t="str">
        <f t="shared" si="279"/>
        <v>180级寄灵人橙色-戒指</v>
      </c>
      <c r="CT504" s="14">
        <f t="shared" si="280"/>
        <v>1</v>
      </c>
      <c r="CU504" s="14">
        <f t="shared" si="281"/>
        <v>4</v>
      </c>
      <c r="CV504" s="14">
        <f t="shared" si="287"/>
        <v>180</v>
      </c>
      <c r="CW504" s="14">
        <f t="shared" si="288"/>
        <v>180</v>
      </c>
      <c r="CX504" s="14">
        <f t="shared" si="289"/>
        <v>8</v>
      </c>
      <c r="CY504" s="14" t="str">
        <f t="shared" si="290"/>
        <v/>
      </c>
      <c r="CZ504" s="14">
        <f t="shared" si="291"/>
        <v>210</v>
      </c>
      <c r="DA504" s="14">
        <f t="shared" si="292"/>
        <v>900</v>
      </c>
      <c r="DB504" s="14">
        <f t="shared" si="293"/>
        <v>0</v>
      </c>
      <c r="DC504" s="14">
        <f t="shared" si="294"/>
        <v>3375</v>
      </c>
      <c r="DD504" s="14">
        <f t="shared" si="295"/>
        <v>24</v>
      </c>
      <c r="DE504" s="14">
        <f t="shared" si="296"/>
        <v>0</v>
      </c>
      <c r="DF504" s="14">
        <f t="shared" si="297"/>
        <v>90</v>
      </c>
      <c r="DG504" s="14">
        <f t="shared" si="298"/>
        <v>24</v>
      </c>
      <c r="DH504" s="14">
        <f t="shared" si="299"/>
        <v>6</v>
      </c>
      <c r="DI504" s="14">
        <f t="shared" si="300"/>
        <v>16</v>
      </c>
      <c r="DL504" s="14">
        <f t="shared" si="282"/>
        <v>1</v>
      </c>
      <c r="DM504" s="14">
        <f t="shared" si="283"/>
        <v>3</v>
      </c>
      <c r="DN504" s="14" t="str">
        <f t="shared" si="301"/>
        <v>AtkExt</v>
      </c>
      <c r="DO504" s="14">
        <f t="shared" si="302"/>
        <v>900</v>
      </c>
      <c r="DP504" s="14">
        <f t="shared" si="303"/>
        <v>24</v>
      </c>
      <c r="DQ504" s="14" t="str">
        <f t="shared" si="304"/>
        <v>HPExt</v>
      </c>
      <c r="DR504" s="14">
        <f t="shared" si="305"/>
        <v>3375</v>
      </c>
      <c r="DS504" s="14">
        <f t="shared" si="306"/>
        <v>90</v>
      </c>
      <c r="DT504" s="14">
        <f t="shared" si="307"/>
        <v>24</v>
      </c>
      <c r="DU504" s="14">
        <f t="shared" si="308"/>
        <v>6</v>
      </c>
      <c r="DV504" s="14">
        <f t="shared" si="309"/>
        <v>16</v>
      </c>
      <c r="DW504" s="29" t="s">
        <v>758</v>
      </c>
      <c r="DX504" s="14">
        <f t="shared" si="310"/>
        <v>750</v>
      </c>
    </row>
    <row r="505" spans="91:128" ht="16.5" x14ac:dyDescent="0.2">
      <c r="CM505" s="13">
        <v>501</v>
      </c>
      <c r="CN505" s="14">
        <f t="shared" si="284"/>
        <v>70</v>
      </c>
      <c r="CO505" s="14">
        <f t="shared" si="285"/>
        <v>2</v>
      </c>
      <c r="CP505" s="14">
        <f t="shared" si="286"/>
        <v>1</v>
      </c>
      <c r="CQ505" s="14">
        <f t="shared" si="277"/>
        <v>6</v>
      </c>
      <c r="CR505" s="14">
        <f t="shared" si="278"/>
        <v>2064021</v>
      </c>
      <c r="CS505" s="13" t="str">
        <f t="shared" si="279"/>
        <v>180级守护灵橙色-武器</v>
      </c>
      <c r="CT505" s="14">
        <f t="shared" si="280"/>
        <v>2</v>
      </c>
      <c r="CU505" s="14">
        <f t="shared" si="281"/>
        <v>4</v>
      </c>
      <c r="CV505" s="14">
        <f t="shared" si="287"/>
        <v>180</v>
      </c>
      <c r="CW505" s="14">
        <f t="shared" si="288"/>
        <v>180</v>
      </c>
      <c r="CX505" s="14">
        <f t="shared" si="289"/>
        <v>1</v>
      </c>
      <c r="CY505" s="14" t="str">
        <f t="shared" si="290"/>
        <v/>
      </c>
      <c r="CZ505" s="14">
        <f t="shared" si="291"/>
        <v>360</v>
      </c>
      <c r="DA505" s="14">
        <f t="shared" si="292"/>
        <v>2550</v>
      </c>
      <c r="DB505" s="14">
        <f t="shared" si="293"/>
        <v>0</v>
      </c>
      <c r="DC505" s="14">
        <f t="shared" si="294"/>
        <v>0</v>
      </c>
      <c r="DD505" s="14">
        <f t="shared" si="295"/>
        <v>72</v>
      </c>
      <c r="DE505" s="14">
        <f t="shared" si="296"/>
        <v>0</v>
      </c>
      <c r="DF505" s="14">
        <f t="shared" si="297"/>
        <v>0</v>
      </c>
      <c r="DG505" s="14">
        <f t="shared" si="298"/>
        <v>24</v>
      </c>
      <c r="DH505" s="14">
        <f t="shared" si="299"/>
        <v>6</v>
      </c>
      <c r="DI505" s="14">
        <f t="shared" si="300"/>
        <v>26</v>
      </c>
      <c r="DL505" s="14">
        <f t="shared" si="282"/>
        <v>1</v>
      </c>
      <c r="DM505" s="14">
        <f t="shared" si="283"/>
        <v>0</v>
      </c>
      <c r="DN505" s="14" t="str">
        <f t="shared" si="301"/>
        <v>AtkExt</v>
      </c>
      <c r="DO505" s="14">
        <f t="shared" si="302"/>
        <v>2550</v>
      </c>
      <c r="DP505" s="14">
        <f t="shared" si="303"/>
        <v>72</v>
      </c>
      <c r="DQ505" s="14" t="str">
        <f t="shared" si="304"/>
        <v/>
      </c>
      <c r="DR505" s="14" t="str">
        <f t="shared" si="305"/>
        <v/>
      </c>
      <c r="DS505" s="14" t="str">
        <f t="shared" si="306"/>
        <v/>
      </c>
      <c r="DT505" s="14">
        <f t="shared" si="307"/>
        <v>24</v>
      </c>
      <c r="DU505" s="14">
        <f t="shared" si="308"/>
        <v>6</v>
      </c>
      <c r="DV505" s="14">
        <f t="shared" si="309"/>
        <v>26</v>
      </c>
      <c r="DW505" s="29" t="s">
        <v>758</v>
      </c>
      <c r="DX505" s="14">
        <f t="shared" si="310"/>
        <v>750</v>
      </c>
    </row>
    <row r="506" spans="91:128" ht="16.5" x14ac:dyDescent="0.2">
      <c r="CM506" s="13">
        <v>502</v>
      </c>
      <c r="CN506" s="14">
        <f t="shared" si="284"/>
        <v>70</v>
      </c>
      <c r="CO506" s="14">
        <f t="shared" si="285"/>
        <v>2</v>
      </c>
      <c r="CP506" s="14">
        <f t="shared" si="286"/>
        <v>2</v>
      </c>
      <c r="CQ506" s="14">
        <f t="shared" si="277"/>
        <v>6</v>
      </c>
      <c r="CR506" s="14">
        <f t="shared" si="278"/>
        <v>2064022</v>
      </c>
      <c r="CS506" s="13" t="str">
        <f t="shared" si="279"/>
        <v>180级守护灵橙色-头盔</v>
      </c>
      <c r="CT506" s="14">
        <f t="shared" si="280"/>
        <v>2</v>
      </c>
      <c r="CU506" s="14">
        <f t="shared" si="281"/>
        <v>4</v>
      </c>
      <c r="CV506" s="14">
        <f t="shared" si="287"/>
        <v>180</v>
      </c>
      <c r="CW506" s="14">
        <f t="shared" si="288"/>
        <v>180</v>
      </c>
      <c r="CX506" s="14">
        <f t="shared" si="289"/>
        <v>2</v>
      </c>
      <c r="CY506" s="14" t="str">
        <f t="shared" si="290"/>
        <v/>
      </c>
      <c r="CZ506" s="14">
        <f t="shared" si="291"/>
        <v>180</v>
      </c>
      <c r="DA506" s="14">
        <f t="shared" si="292"/>
        <v>0</v>
      </c>
      <c r="DB506" s="14">
        <f t="shared" si="293"/>
        <v>638</v>
      </c>
      <c r="DC506" s="14">
        <f t="shared" si="294"/>
        <v>0</v>
      </c>
      <c r="DD506" s="14">
        <f t="shared" si="295"/>
        <v>0</v>
      </c>
      <c r="DE506" s="14">
        <f t="shared" si="296"/>
        <v>18</v>
      </c>
      <c r="DF506" s="14">
        <f t="shared" si="297"/>
        <v>0</v>
      </c>
      <c r="DG506" s="14">
        <f t="shared" si="298"/>
        <v>24</v>
      </c>
      <c r="DH506" s="14">
        <f t="shared" si="299"/>
        <v>6</v>
      </c>
      <c r="DI506" s="14">
        <f t="shared" si="300"/>
        <v>26</v>
      </c>
      <c r="DL506" s="14">
        <f t="shared" si="282"/>
        <v>2</v>
      </c>
      <c r="DM506" s="14">
        <f t="shared" si="283"/>
        <v>0</v>
      </c>
      <c r="DN506" s="14" t="str">
        <f t="shared" si="301"/>
        <v>DefExt</v>
      </c>
      <c r="DO506" s="14">
        <f t="shared" si="302"/>
        <v>638</v>
      </c>
      <c r="DP506" s="14">
        <f t="shared" si="303"/>
        <v>18</v>
      </c>
      <c r="DQ506" s="14" t="str">
        <f t="shared" si="304"/>
        <v/>
      </c>
      <c r="DR506" s="14" t="str">
        <f t="shared" si="305"/>
        <v/>
      </c>
      <c r="DS506" s="14" t="str">
        <f t="shared" si="306"/>
        <v/>
      </c>
      <c r="DT506" s="14">
        <f t="shared" si="307"/>
        <v>24</v>
      </c>
      <c r="DU506" s="14">
        <f t="shared" si="308"/>
        <v>6</v>
      </c>
      <c r="DV506" s="14">
        <f t="shared" si="309"/>
        <v>26</v>
      </c>
      <c r="DW506" s="29" t="s">
        <v>758</v>
      </c>
      <c r="DX506" s="14">
        <f t="shared" si="310"/>
        <v>750</v>
      </c>
    </row>
    <row r="507" spans="91:128" ht="16.5" x14ac:dyDescent="0.2">
      <c r="CM507" s="13">
        <v>503</v>
      </c>
      <c r="CN507" s="14">
        <f t="shared" si="284"/>
        <v>70</v>
      </c>
      <c r="CO507" s="14">
        <f t="shared" si="285"/>
        <v>2</v>
      </c>
      <c r="CP507" s="14">
        <f t="shared" si="286"/>
        <v>3</v>
      </c>
      <c r="CQ507" s="14">
        <f t="shared" si="277"/>
        <v>6</v>
      </c>
      <c r="CR507" s="14">
        <f t="shared" si="278"/>
        <v>2064023</v>
      </c>
      <c r="CS507" s="13" t="str">
        <f t="shared" si="279"/>
        <v>180级守护灵橙色-肩甲</v>
      </c>
      <c r="CT507" s="14">
        <f t="shared" si="280"/>
        <v>2</v>
      </c>
      <c r="CU507" s="14">
        <f t="shared" si="281"/>
        <v>4</v>
      </c>
      <c r="CV507" s="14">
        <f t="shared" si="287"/>
        <v>180</v>
      </c>
      <c r="CW507" s="14">
        <f t="shared" si="288"/>
        <v>180</v>
      </c>
      <c r="CX507" s="14">
        <f t="shared" si="289"/>
        <v>3</v>
      </c>
      <c r="CY507" s="14" t="str">
        <f t="shared" si="290"/>
        <v/>
      </c>
      <c r="CZ507" s="14">
        <f t="shared" si="291"/>
        <v>187</v>
      </c>
      <c r="DA507" s="14">
        <f t="shared" si="292"/>
        <v>0</v>
      </c>
      <c r="DB507" s="14">
        <f t="shared" si="293"/>
        <v>319</v>
      </c>
      <c r="DC507" s="14">
        <f t="shared" si="294"/>
        <v>3000</v>
      </c>
      <c r="DD507" s="14">
        <f t="shared" si="295"/>
        <v>0</v>
      </c>
      <c r="DE507" s="14">
        <f t="shared" si="296"/>
        <v>9</v>
      </c>
      <c r="DF507" s="14">
        <f t="shared" si="297"/>
        <v>97.5</v>
      </c>
      <c r="DG507" s="14">
        <f t="shared" si="298"/>
        <v>24</v>
      </c>
      <c r="DH507" s="14">
        <f t="shared" si="299"/>
        <v>6</v>
      </c>
      <c r="DI507" s="14">
        <f t="shared" si="300"/>
        <v>26</v>
      </c>
      <c r="DL507" s="14">
        <f t="shared" si="282"/>
        <v>2</v>
      </c>
      <c r="DM507" s="14">
        <f t="shared" si="283"/>
        <v>3</v>
      </c>
      <c r="DN507" s="14" t="str">
        <f t="shared" si="301"/>
        <v>DefExt</v>
      </c>
      <c r="DO507" s="14">
        <f t="shared" si="302"/>
        <v>319</v>
      </c>
      <c r="DP507" s="14">
        <f t="shared" si="303"/>
        <v>9</v>
      </c>
      <c r="DQ507" s="14" t="str">
        <f t="shared" si="304"/>
        <v>HPExt</v>
      </c>
      <c r="DR507" s="14">
        <f t="shared" si="305"/>
        <v>3000</v>
      </c>
      <c r="DS507" s="14">
        <f t="shared" si="306"/>
        <v>97.5</v>
      </c>
      <c r="DT507" s="14">
        <f t="shared" si="307"/>
        <v>24</v>
      </c>
      <c r="DU507" s="14">
        <f t="shared" si="308"/>
        <v>6</v>
      </c>
      <c r="DV507" s="14">
        <f t="shared" si="309"/>
        <v>26</v>
      </c>
      <c r="DW507" s="29" t="s">
        <v>758</v>
      </c>
      <c r="DX507" s="14">
        <f t="shared" si="310"/>
        <v>750</v>
      </c>
    </row>
    <row r="508" spans="91:128" ht="16.5" x14ac:dyDescent="0.2">
      <c r="CM508" s="13">
        <v>504</v>
      </c>
      <c r="CN508" s="14">
        <f t="shared" si="284"/>
        <v>70</v>
      </c>
      <c r="CO508" s="14">
        <f t="shared" si="285"/>
        <v>2</v>
      </c>
      <c r="CP508" s="14">
        <f t="shared" si="286"/>
        <v>4</v>
      </c>
      <c r="CQ508" s="14">
        <f t="shared" si="277"/>
        <v>6</v>
      </c>
      <c r="CR508" s="14">
        <f t="shared" si="278"/>
        <v>2064024</v>
      </c>
      <c r="CS508" s="13" t="str">
        <f t="shared" si="279"/>
        <v>180级守护灵橙色-衣服</v>
      </c>
      <c r="CT508" s="14">
        <f t="shared" si="280"/>
        <v>2</v>
      </c>
      <c r="CU508" s="14">
        <f t="shared" si="281"/>
        <v>4</v>
      </c>
      <c r="CV508" s="14">
        <f t="shared" si="287"/>
        <v>180</v>
      </c>
      <c r="CW508" s="14">
        <f t="shared" si="288"/>
        <v>180</v>
      </c>
      <c r="CX508" s="14">
        <f t="shared" si="289"/>
        <v>4</v>
      </c>
      <c r="CY508" s="14" t="str">
        <f t="shared" si="290"/>
        <v/>
      </c>
      <c r="CZ508" s="14">
        <f t="shared" si="291"/>
        <v>180</v>
      </c>
      <c r="DA508" s="14">
        <f t="shared" si="292"/>
        <v>0</v>
      </c>
      <c r="DB508" s="14">
        <f t="shared" si="293"/>
        <v>638</v>
      </c>
      <c r="DC508" s="14">
        <f t="shared" si="294"/>
        <v>0</v>
      </c>
      <c r="DD508" s="14">
        <f t="shared" si="295"/>
        <v>0</v>
      </c>
      <c r="DE508" s="14">
        <f t="shared" si="296"/>
        <v>18</v>
      </c>
      <c r="DF508" s="14">
        <f t="shared" si="297"/>
        <v>0</v>
      </c>
      <c r="DG508" s="14">
        <f t="shared" si="298"/>
        <v>24</v>
      </c>
      <c r="DH508" s="14">
        <f t="shared" si="299"/>
        <v>6</v>
      </c>
      <c r="DI508" s="14">
        <f t="shared" si="300"/>
        <v>26</v>
      </c>
      <c r="DL508" s="14">
        <f t="shared" si="282"/>
        <v>2</v>
      </c>
      <c r="DM508" s="14">
        <f t="shared" si="283"/>
        <v>0</v>
      </c>
      <c r="DN508" s="14" t="str">
        <f t="shared" si="301"/>
        <v>DefExt</v>
      </c>
      <c r="DO508" s="14">
        <f t="shared" si="302"/>
        <v>638</v>
      </c>
      <c r="DP508" s="14">
        <f t="shared" si="303"/>
        <v>18</v>
      </c>
      <c r="DQ508" s="14" t="str">
        <f t="shared" si="304"/>
        <v/>
      </c>
      <c r="DR508" s="14" t="str">
        <f t="shared" si="305"/>
        <v/>
      </c>
      <c r="DS508" s="14" t="str">
        <f t="shared" si="306"/>
        <v/>
      </c>
      <c r="DT508" s="14">
        <f t="shared" si="307"/>
        <v>24</v>
      </c>
      <c r="DU508" s="14">
        <f t="shared" si="308"/>
        <v>6</v>
      </c>
      <c r="DV508" s="14">
        <f t="shared" si="309"/>
        <v>26</v>
      </c>
      <c r="DW508" s="29" t="s">
        <v>758</v>
      </c>
      <c r="DX508" s="14">
        <f t="shared" si="310"/>
        <v>750</v>
      </c>
    </row>
    <row r="509" spans="91:128" ht="16.5" x14ac:dyDescent="0.2">
      <c r="CM509" s="13">
        <v>505</v>
      </c>
      <c r="CN509" s="14">
        <f t="shared" si="284"/>
        <v>70</v>
      </c>
      <c r="CO509" s="14">
        <f t="shared" si="285"/>
        <v>2</v>
      </c>
      <c r="CP509" s="14">
        <f t="shared" si="286"/>
        <v>5</v>
      </c>
      <c r="CQ509" s="14">
        <f t="shared" si="277"/>
        <v>6</v>
      </c>
      <c r="CR509" s="14">
        <f t="shared" si="278"/>
        <v>2064025</v>
      </c>
      <c r="CS509" s="13" t="str">
        <f t="shared" si="279"/>
        <v>180级守护灵橙色-鞋子</v>
      </c>
      <c r="CT509" s="14">
        <f t="shared" si="280"/>
        <v>2</v>
      </c>
      <c r="CU509" s="14">
        <f t="shared" si="281"/>
        <v>4</v>
      </c>
      <c r="CV509" s="14">
        <f t="shared" si="287"/>
        <v>180</v>
      </c>
      <c r="CW509" s="14">
        <f t="shared" si="288"/>
        <v>180</v>
      </c>
      <c r="CX509" s="14">
        <f t="shared" si="289"/>
        <v>5</v>
      </c>
      <c r="CY509" s="14" t="str">
        <f t="shared" si="290"/>
        <v/>
      </c>
      <c r="CZ509" s="14">
        <f t="shared" si="291"/>
        <v>195</v>
      </c>
      <c r="DA509" s="14">
        <f t="shared" si="292"/>
        <v>0</v>
      </c>
      <c r="DB509" s="14">
        <f t="shared" si="293"/>
        <v>0</v>
      </c>
      <c r="DC509" s="14">
        <f t="shared" si="294"/>
        <v>6000</v>
      </c>
      <c r="DD509" s="14">
        <f t="shared" si="295"/>
        <v>0</v>
      </c>
      <c r="DE509" s="14">
        <f t="shared" si="296"/>
        <v>0</v>
      </c>
      <c r="DF509" s="14">
        <f t="shared" si="297"/>
        <v>195</v>
      </c>
      <c r="DG509" s="14">
        <f t="shared" si="298"/>
        <v>24</v>
      </c>
      <c r="DH509" s="14">
        <f t="shared" si="299"/>
        <v>6</v>
      </c>
      <c r="DI509" s="14">
        <f t="shared" si="300"/>
        <v>26</v>
      </c>
      <c r="DL509" s="14">
        <f t="shared" si="282"/>
        <v>3</v>
      </c>
      <c r="DM509" s="14">
        <f t="shared" si="283"/>
        <v>0</v>
      </c>
      <c r="DN509" s="14" t="str">
        <f t="shared" si="301"/>
        <v>HPExt</v>
      </c>
      <c r="DO509" s="14">
        <f t="shared" si="302"/>
        <v>6000</v>
      </c>
      <c r="DP509" s="14">
        <f t="shared" si="303"/>
        <v>195</v>
      </c>
      <c r="DQ509" s="14" t="str">
        <f t="shared" si="304"/>
        <v/>
      </c>
      <c r="DR509" s="14" t="str">
        <f t="shared" si="305"/>
        <v/>
      </c>
      <c r="DS509" s="14" t="str">
        <f t="shared" si="306"/>
        <v/>
      </c>
      <c r="DT509" s="14">
        <f t="shared" si="307"/>
        <v>24</v>
      </c>
      <c r="DU509" s="14">
        <f t="shared" si="308"/>
        <v>6</v>
      </c>
      <c r="DV509" s="14">
        <f t="shared" si="309"/>
        <v>26</v>
      </c>
      <c r="DW509" s="29" t="s">
        <v>758</v>
      </c>
      <c r="DX509" s="14">
        <f t="shared" si="310"/>
        <v>750</v>
      </c>
    </row>
    <row r="510" spans="91:128" ht="16.5" x14ac:dyDescent="0.2">
      <c r="CM510" s="13">
        <v>506</v>
      </c>
      <c r="CN510" s="14">
        <f t="shared" si="284"/>
        <v>70</v>
      </c>
      <c r="CO510" s="14">
        <f t="shared" si="285"/>
        <v>2</v>
      </c>
      <c r="CP510" s="14">
        <f t="shared" si="286"/>
        <v>6</v>
      </c>
      <c r="CQ510" s="14">
        <f t="shared" si="277"/>
        <v>6</v>
      </c>
      <c r="CR510" s="14">
        <f t="shared" si="278"/>
        <v>2064026</v>
      </c>
      <c r="CS510" s="13" t="str">
        <f t="shared" si="279"/>
        <v>180级守护灵橙色-护手</v>
      </c>
      <c r="CT510" s="14">
        <f t="shared" si="280"/>
        <v>2</v>
      </c>
      <c r="CU510" s="14">
        <f t="shared" si="281"/>
        <v>4</v>
      </c>
      <c r="CV510" s="14">
        <f t="shared" si="287"/>
        <v>180</v>
      </c>
      <c r="CW510" s="14">
        <f t="shared" si="288"/>
        <v>180</v>
      </c>
      <c r="CX510" s="14">
        <f t="shared" si="289"/>
        <v>6</v>
      </c>
      <c r="CY510" s="14" t="str">
        <f t="shared" si="290"/>
        <v/>
      </c>
      <c r="CZ510" s="14">
        <f t="shared" si="291"/>
        <v>195</v>
      </c>
      <c r="DA510" s="14">
        <f t="shared" si="292"/>
        <v>0</v>
      </c>
      <c r="DB510" s="14">
        <f t="shared" si="293"/>
        <v>0</v>
      </c>
      <c r="DC510" s="14">
        <f t="shared" si="294"/>
        <v>6000</v>
      </c>
      <c r="DD510" s="14">
        <f t="shared" si="295"/>
        <v>0</v>
      </c>
      <c r="DE510" s="14">
        <f t="shared" si="296"/>
        <v>0</v>
      </c>
      <c r="DF510" s="14">
        <f t="shared" si="297"/>
        <v>195</v>
      </c>
      <c r="DG510" s="14">
        <f t="shared" si="298"/>
        <v>24</v>
      </c>
      <c r="DH510" s="14">
        <f t="shared" si="299"/>
        <v>6</v>
      </c>
      <c r="DI510" s="14">
        <f t="shared" si="300"/>
        <v>26</v>
      </c>
      <c r="DL510" s="14">
        <f t="shared" si="282"/>
        <v>3</v>
      </c>
      <c r="DM510" s="14">
        <f t="shared" si="283"/>
        <v>0</v>
      </c>
      <c r="DN510" s="14" t="str">
        <f t="shared" si="301"/>
        <v>HPExt</v>
      </c>
      <c r="DO510" s="14">
        <f t="shared" si="302"/>
        <v>6000</v>
      </c>
      <c r="DP510" s="14">
        <f t="shared" si="303"/>
        <v>195</v>
      </c>
      <c r="DQ510" s="14" t="str">
        <f t="shared" si="304"/>
        <v/>
      </c>
      <c r="DR510" s="14" t="str">
        <f t="shared" si="305"/>
        <v/>
      </c>
      <c r="DS510" s="14" t="str">
        <f t="shared" si="306"/>
        <v/>
      </c>
      <c r="DT510" s="14">
        <f t="shared" si="307"/>
        <v>24</v>
      </c>
      <c r="DU510" s="14">
        <f t="shared" si="308"/>
        <v>6</v>
      </c>
      <c r="DV510" s="14">
        <f t="shared" si="309"/>
        <v>26</v>
      </c>
      <c r="DW510" s="29" t="s">
        <v>758</v>
      </c>
      <c r="DX510" s="14">
        <f t="shared" si="310"/>
        <v>750</v>
      </c>
    </row>
    <row r="511" spans="91:128" ht="16.5" x14ac:dyDescent="0.2">
      <c r="CM511" s="13">
        <v>507</v>
      </c>
      <c r="CN511" s="14">
        <f t="shared" si="284"/>
        <v>70</v>
      </c>
      <c r="CO511" s="14">
        <f t="shared" si="285"/>
        <v>2</v>
      </c>
      <c r="CP511" s="14">
        <f t="shared" si="286"/>
        <v>7</v>
      </c>
      <c r="CQ511" s="14">
        <f t="shared" si="277"/>
        <v>6</v>
      </c>
      <c r="CR511" s="14">
        <f t="shared" si="278"/>
        <v>2064027</v>
      </c>
      <c r="CS511" s="13" t="str">
        <f t="shared" si="279"/>
        <v>180级守护灵橙色-项链</v>
      </c>
      <c r="CT511" s="14">
        <f t="shared" si="280"/>
        <v>2</v>
      </c>
      <c r="CU511" s="14">
        <f t="shared" si="281"/>
        <v>4</v>
      </c>
      <c r="CV511" s="14">
        <f t="shared" si="287"/>
        <v>180</v>
      </c>
      <c r="CW511" s="14">
        <f t="shared" si="288"/>
        <v>180</v>
      </c>
      <c r="CX511" s="14">
        <f t="shared" si="289"/>
        <v>7</v>
      </c>
      <c r="CY511" s="14" t="str">
        <f t="shared" si="290"/>
        <v/>
      </c>
      <c r="CZ511" s="14">
        <f t="shared" si="291"/>
        <v>270</v>
      </c>
      <c r="DA511" s="14">
        <f t="shared" si="292"/>
        <v>850</v>
      </c>
      <c r="DB511" s="14">
        <f t="shared" si="293"/>
        <v>531</v>
      </c>
      <c r="DC511" s="14">
        <f t="shared" si="294"/>
        <v>0</v>
      </c>
      <c r="DD511" s="14">
        <f t="shared" si="295"/>
        <v>24</v>
      </c>
      <c r="DE511" s="14">
        <f t="shared" si="296"/>
        <v>15</v>
      </c>
      <c r="DF511" s="14">
        <f t="shared" si="297"/>
        <v>0</v>
      </c>
      <c r="DG511" s="14">
        <f t="shared" si="298"/>
        <v>24</v>
      </c>
      <c r="DH511" s="14">
        <f t="shared" si="299"/>
        <v>6</v>
      </c>
      <c r="DI511" s="14">
        <f t="shared" si="300"/>
        <v>26</v>
      </c>
      <c r="DL511" s="14">
        <f t="shared" si="282"/>
        <v>1</v>
      </c>
      <c r="DM511" s="14">
        <f t="shared" si="283"/>
        <v>2</v>
      </c>
      <c r="DN511" s="14" t="str">
        <f t="shared" si="301"/>
        <v>AtkExt</v>
      </c>
      <c r="DO511" s="14">
        <f t="shared" si="302"/>
        <v>850</v>
      </c>
      <c r="DP511" s="14">
        <f t="shared" si="303"/>
        <v>24</v>
      </c>
      <c r="DQ511" s="14" t="str">
        <f t="shared" si="304"/>
        <v>DefExt</v>
      </c>
      <c r="DR511" s="14">
        <f t="shared" si="305"/>
        <v>531</v>
      </c>
      <c r="DS511" s="14">
        <f t="shared" si="306"/>
        <v>15</v>
      </c>
      <c r="DT511" s="14">
        <f t="shared" si="307"/>
        <v>24</v>
      </c>
      <c r="DU511" s="14">
        <f t="shared" si="308"/>
        <v>6</v>
      </c>
      <c r="DV511" s="14">
        <f t="shared" si="309"/>
        <v>26</v>
      </c>
      <c r="DW511" s="29" t="s">
        <v>758</v>
      </c>
      <c r="DX511" s="14">
        <f t="shared" si="310"/>
        <v>750</v>
      </c>
    </row>
    <row r="512" spans="91:128" ht="16.5" x14ac:dyDescent="0.2">
      <c r="CM512" s="13">
        <v>508</v>
      </c>
      <c r="CN512" s="14">
        <f t="shared" si="284"/>
        <v>70</v>
      </c>
      <c r="CO512" s="14">
        <f t="shared" si="285"/>
        <v>2</v>
      </c>
      <c r="CP512" s="14">
        <f t="shared" si="286"/>
        <v>8</v>
      </c>
      <c r="CQ512" s="14">
        <f t="shared" si="277"/>
        <v>6</v>
      </c>
      <c r="CR512" s="14">
        <f t="shared" si="278"/>
        <v>2064028</v>
      </c>
      <c r="CS512" s="13" t="str">
        <f t="shared" si="279"/>
        <v>180级守护灵橙色-戒指</v>
      </c>
      <c r="CT512" s="14">
        <f t="shared" si="280"/>
        <v>2</v>
      </c>
      <c r="CU512" s="14">
        <f t="shared" si="281"/>
        <v>4</v>
      </c>
      <c r="CV512" s="14">
        <f t="shared" si="287"/>
        <v>180</v>
      </c>
      <c r="CW512" s="14">
        <f t="shared" si="288"/>
        <v>180</v>
      </c>
      <c r="CX512" s="14">
        <f t="shared" si="289"/>
        <v>8</v>
      </c>
      <c r="CY512" s="14" t="str">
        <f t="shared" si="290"/>
        <v/>
      </c>
      <c r="CZ512" s="14">
        <f t="shared" si="291"/>
        <v>282</v>
      </c>
      <c r="DA512" s="14">
        <f t="shared" si="292"/>
        <v>850</v>
      </c>
      <c r="DB512" s="14">
        <f t="shared" si="293"/>
        <v>0</v>
      </c>
      <c r="DC512" s="14">
        <f t="shared" si="294"/>
        <v>5000</v>
      </c>
      <c r="DD512" s="14">
        <f t="shared" si="295"/>
        <v>24</v>
      </c>
      <c r="DE512" s="14">
        <f t="shared" si="296"/>
        <v>0</v>
      </c>
      <c r="DF512" s="14">
        <f t="shared" si="297"/>
        <v>162.5</v>
      </c>
      <c r="DG512" s="14">
        <f t="shared" si="298"/>
        <v>24</v>
      </c>
      <c r="DH512" s="14">
        <f t="shared" si="299"/>
        <v>6</v>
      </c>
      <c r="DI512" s="14">
        <f t="shared" si="300"/>
        <v>26</v>
      </c>
      <c r="DL512" s="14">
        <f t="shared" si="282"/>
        <v>1</v>
      </c>
      <c r="DM512" s="14">
        <f t="shared" si="283"/>
        <v>3</v>
      </c>
      <c r="DN512" s="14" t="str">
        <f t="shared" si="301"/>
        <v>AtkExt</v>
      </c>
      <c r="DO512" s="14">
        <f t="shared" si="302"/>
        <v>850</v>
      </c>
      <c r="DP512" s="14">
        <f t="shared" si="303"/>
        <v>24</v>
      </c>
      <c r="DQ512" s="14" t="str">
        <f t="shared" si="304"/>
        <v>HPExt</v>
      </c>
      <c r="DR512" s="14">
        <f t="shared" si="305"/>
        <v>5000</v>
      </c>
      <c r="DS512" s="14">
        <f t="shared" si="306"/>
        <v>162.5</v>
      </c>
      <c r="DT512" s="14">
        <f t="shared" si="307"/>
        <v>24</v>
      </c>
      <c r="DU512" s="14">
        <f t="shared" si="308"/>
        <v>6</v>
      </c>
      <c r="DV512" s="14">
        <f t="shared" si="309"/>
        <v>26</v>
      </c>
      <c r="DW512" s="29" t="s">
        <v>758</v>
      </c>
      <c r="DX512" s="14">
        <f t="shared" si="310"/>
        <v>750</v>
      </c>
    </row>
    <row r="513" spans="91:128" ht="16.5" x14ac:dyDescent="0.2">
      <c r="CM513" s="13">
        <v>509</v>
      </c>
      <c r="CN513" s="14">
        <f t="shared" si="284"/>
        <v>71</v>
      </c>
      <c r="CO513" s="14">
        <f t="shared" si="285"/>
        <v>3</v>
      </c>
      <c r="CP513" s="14">
        <f t="shared" si="286"/>
        <v>1</v>
      </c>
      <c r="CQ513" s="14">
        <f t="shared" si="277"/>
        <v>6</v>
      </c>
      <c r="CR513" s="14">
        <f t="shared" si="278"/>
        <v>2064031</v>
      </c>
      <c r="CS513" s="13" t="str">
        <f t="shared" si="279"/>
        <v>180级寄灵人橙色套1-武器</v>
      </c>
      <c r="CT513" s="14">
        <f t="shared" si="280"/>
        <v>1</v>
      </c>
      <c r="CU513" s="14">
        <f t="shared" si="281"/>
        <v>4</v>
      </c>
      <c r="CV513" s="14">
        <f t="shared" si="287"/>
        <v>180</v>
      </c>
      <c r="CW513" s="14">
        <f t="shared" si="288"/>
        <v>180</v>
      </c>
      <c r="CX513" s="14">
        <f t="shared" si="289"/>
        <v>1</v>
      </c>
      <c r="CY513" s="14">
        <f t="shared" si="290"/>
        <v>1061</v>
      </c>
      <c r="CZ513" s="14">
        <f t="shared" si="291"/>
        <v>360</v>
      </c>
      <c r="DA513" s="14">
        <f t="shared" si="292"/>
        <v>2700</v>
      </c>
      <c r="DB513" s="14">
        <f t="shared" si="293"/>
        <v>0</v>
      </c>
      <c r="DC513" s="14">
        <f t="shared" si="294"/>
        <v>0</v>
      </c>
      <c r="DD513" s="14">
        <f t="shared" si="295"/>
        <v>72</v>
      </c>
      <c r="DE513" s="14">
        <f t="shared" si="296"/>
        <v>0</v>
      </c>
      <c r="DF513" s="14">
        <f t="shared" si="297"/>
        <v>0</v>
      </c>
      <c r="DG513" s="14">
        <f t="shared" si="298"/>
        <v>24</v>
      </c>
      <c r="DH513" s="14">
        <f t="shared" si="299"/>
        <v>6</v>
      </c>
      <c r="DI513" s="14">
        <f t="shared" si="300"/>
        <v>16</v>
      </c>
      <c r="DL513" s="14">
        <f t="shared" si="282"/>
        <v>1</v>
      </c>
      <c r="DM513" s="14">
        <f t="shared" si="283"/>
        <v>0</v>
      </c>
      <c r="DN513" s="14" t="str">
        <f t="shared" si="301"/>
        <v>AtkExt</v>
      </c>
      <c r="DO513" s="14">
        <f t="shared" si="302"/>
        <v>2700</v>
      </c>
      <c r="DP513" s="14">
        <f t="shared" si="303"/>
        <v>72</v>
      </c>
      <c r="DQ513" s="14" t="str">
        <f t="shared" si="304"/>
        <v/>
      </c>
      <c r="DR513" s="14" t="str">
        <f t="shared" si="305"/>
        <v/>
      </c>
      <c r="DS513" s="14" t="str">
        <f t="shared" si="306"/>
        <v/>
      </c>
      <c r="DT513" s="14">
        <f t="shared" si="307"/>
        <v>24</v>
      </c>
      <c r="DU513" s="14">
        <f t="shared" si="308"/>
        <v>6</v>
      </c>
      <c r="DV513" s="14">
        <f t="shared" si="309"/>
        <v>16</v>
      </c>
      <c r="DW513" s="29" t="s">
        <v>758</v>
      </c>
      <c r="DX513" s="14">
        <f t="shared" si="310"/>
        <v>750</v>
      </c>
    </row>
    <row r="514" spans="91:128" ht="16.5" x14ac:dyDescent="0.2">
      <c r="CM514" s="13">
        <v>510</v>
      </c>
      <c r="CN514" s="14">
        <f t="shared" si="284"/>
        <v>71</v>
      </c>
      <c r="CO514" s="14">
        <f t="shared" si="285"/>
        <v>3</v>
      </c>
      <c r="CP514" s="14">
        <f t="shared" si="286"/>
        <v>2</v>
      </c>
      <c r="CQ514" s="14">
        <f t="shared" si="277"/>
        <v>6</v>
      </c>
      <c r="CR514" s="14">
        <f t="shared" si="278"/>
        <v>2064032</v>
      </c>
      <c r="CS514" s="13" t="str">
        <f t="shared" si="279"/>
        <v>180级寄灵人橙色套1-头盔</v>
      </c>
      <c r="CT514" s="14">
        <f t="shared" si="280"/>
        <v>1</v>
      </c>
      <c r="CU514" s="14">
        <f t="shared" si="281"/>
        <v>4</v>
      </c>
      <c r="CV514" s="14">
        <f t="shared" si="287"/>
        <v>180</v>
      </c>
      <c r="CW514" s="14">
        <f t="shared" si="288"/>
        <v>180</v>
      </c>
      <c r="CX514" s="14">
        <f t="shared" si="289"/>
        <v>2</v>
      </c>
      <c r="CY514" s="14">
        <f t="shared" si="290"/>
        <v>1061</v>
      </c>
      <c r="CZ514" s="14">
        <f t="shared" si="291"/>
        <v>180</v>
      </c>
      <c r="DA514" s="14">
        <f t="shared" si="292"/>
        <v>0</v>
      </c>
      <c r="DB514" s="14">
        <f t="shared" si="293"/>
        <v>675</v>
      </c>
      <c r="DC514" s="14">
        <f t="shared" si="294"/>
        <v>0</v>
      </c>
      <c r="DD514" s="14">
        <f t="shared" si="295"/>
        <v>0</v>
      </c>
      <c r="DE514" s="14">
        <f t="shared" si="296"/>
        <v>18</v>
      </c>
      <c r="DF514" s="14">
        <f t="shared" si="297"/>
        <v>0</v>
      </c>
      <c r="DG514" s="14">
        <f t="shared" si="298"/>
        <v>24</v>
      </c>
      <c r="DH514" s="14">
        <f t="shared" si="299"/>
        <v>6</v>
      </c>
      <c r="DI514" s="14">
        <f t="shared" si="300"/>
        <v>16</v>
      </c>
      <c r="DL514" s="14">
        <f t="shared" si="282"/>
        <v>2</v>
      </c>
      <c r="DM514" s="14">
        <f t="shared" si="283"/>
        <v>0</v>
      </c>
      <c r="DN514" s="14" t="str">
        <f t="shared" si="301"/>
        <v>DefExt</v>
      </c>
      <c r="DO514" s="14">
        <f t="shared" si="302"/>
        <v>675</v>
      </c>
      <c r="DP514" s="14">
        <f t="shared" si="303"/>
        <v>18</v>
      </c>
      <c r="DQ514" s="14" t="str">
        <f t="shared" si="304"/>
        <v/>
      </c>
      <c r="DR514" s="14" t="str">
        <f t="shared" si="305"/>
        <v/>
      </c>
      <c r="DS514" s="14" t="str">
        <f t="shared" si="306"/>
        <v/>
      </c>
      <c r="DT514" s="14">
        <f t="shared" si="307"/>
        <v>24</v>
      </c>
      <c r="DU514" s="14">
        <f t="shared" si="308"/>
        <v>6</v>
      </c>
      <c r="DV514" s="14">
        <f t="shared" si="309"/>
        <v>16</v>
      </c>
      <c r="DW514" s="29" t="s">
        <v>758</v>
      </c>
      <c r="DX514" s="14">
        <f t="shared" si="310"/>
        <v>750</v>
      </c>
    </row>
    <row r="515" spans="91:128" ht="16.5" x14ac:dyDescent="0.2">
      <c r="CM515" s="13">
        <v>511</v>
      </c>
      <c r="CN515" s="14">
        <f t="shared" si="284"/>
        <v>71</v>
      </c>
      <c r="CO515" s="14">
        <f t="shared" si="285"/>
        <v>3</v>
      </c>
      <c r="CP515" s="14">
        <f t="shared" si="286"/>
        <v>3</v>
      </c>
      <c r="CQ515" s="14">
        <f t="shared" si="277"/>
        <v>6</v>
      </c>
      <c r="CR515" s="14">
        <f t="shared" si="278"/>
        <v>2064033</v>
      </c>
      <c r="CS515" s="13" t="str">
        <f t="shared" si="279"/>
        <v>180级寄灵人橙色套1-肩甲</v>
      </c>
      <c r="CT515" s="14">
        <f t="shared" si="280"/>
        <v>1</v>
      </c>
      <c r="CU515" s="14">
        <f t="shared" si="281"/>
        <v>4</v>
      </c>
      <c r="CV515" s="14">
        <f t="shared" si="287"/>
        <v>180</v>
      </c>
      <c r="CW515" s="14">
        <f t="shared" si="288"/>
        <v>180</v>
      </c>
      <c r="CX515" s="14">
        <f t="shared" si="289"/>
        <v>3</v>
      </c>
      <c r="CY515" s="14">
        <f t="shared" si="290"/>
        <v>1061</v>
      </c>
      <c r="CZ515" s="14">
        <f t="shared" si="291"/>
        <v>144</v>
      </c>
      <c r="DA515" s="14">
        <f t="shared" si="292"/>
        <v>0</v>
      </c>
      <c r="DB515" s="14">
        <f t="shared" si="293"/>
        <v>338</v>
      </c>
      <c r="DC515" s="14">
        <f t="shared" si="294"/>
        <v>2025</v>
      </c>
      <c r="DD515" s="14">
        <f t="shared" si="295"/>
        <v>0</v>
      </c>
      <c r="DE515" s="14">
        <f t="shared" si="296"/>
        <v>9</v>
      </c>
      <c r="DF515" s="14">
        <f t="shared" si="297"/>
        <v>54</v>
      </c>
      <c r="DG515" s="14">
        <f t="shared" si="298"/>
        <v>24</v>
      </c>
      <c r="DH515" s="14">
        <f t="shared" si="299"/>
        <v>6</v>
      </c>
      <c r="DI515" s="14">
        <f t="shared" si="300"/>
        <v>16</v>
      </c>
      <c r="DL515" s="14">
        <f t="shared" si="282"/>
        <v>2</v>
      </c>
      <c r="DM515" s="14">
        <f t="shared" si="283"/>
        <v>3</v>
      </c>
      <c r="DN515" s="14" t="str">
        <f t="shared" si="301"/>
        <v>DefExt</v>
      </c>
      <c r="DO515" s="14">
        <f t="shared" si="302"/>
        <v>338</v>
      </c>
      <c r="DP515" s="14">
        <f t="shared" si="303"/>
        <v>9</v>
      </c>
      <c r="DQ515" s="14" t="str">
        <f t="shared" si="304"/>
        <v>HPExt</v>
      </c>
      <c r="DR515" s="14">
        <f t="shared" si="305"/>
        <v>2025</v>
      </c>
      <c r="DS515" s="14">
        <f t="shared" si="306"/>
        <v>54</v>
      </c>
      <c r="DT515" s="14">
        <f t="shared" si="307"/>
        <v>24</v>
      </c>
      <c r="DU515" s="14">
        <f t="shared" si="308"/>
        <v>6</v>
      </c>
      <c r="DV515" s="14">
        <f t="shared" si="309"/>
        <v>16</v>
      </c>
      <c r="DW515" s="29" t="s">
        <v>758</v>
      </c>
      <c r="DX515" s="14">
        <f t="shared" si="310"/>
        <v>750</v>
      </c>
    </row>
    <row r="516" spans="91:128" ht="16.5" x14ac:dyDescent="0.2">
      <c r="CM516" s="13">
        <v>512</v>
      </c>
      <c r="CN516" s="14">
        <f t="shared" si="284"/>
        <v>71</v>
      </c>
      <c r="CO516" s="14">
        <f t="shared" si="285"/>
        <v>3</v>
      </c>
      <c r="CP516" s="14">
        <f t="shared" si="286"/>
        <v>4</v>
      </c>
      <c r="CQ516" s="14">
        <f t="shared" si="277"/>
        <v>6</v>
      </c>
      <c r="CR516" s="14">
        <f t="shared" si="278"/>
        <v>2064037</v>
      </c>
      <c r="CS516" s="13" t="str">
        <f t="shared" si="279"/>
        <v>180级寄灵人橙色套1-项链</v>
      </c>
      <c r="CT516" s="14">
        <f t="shared" si="280"/>
        <v>1</v>
      </c>
      <c r="CU516" s="14">
        <f t="shared" si="281"/>
        <v>4</v>
      </c>
      <c r="CV516" s="14">
        <f t="shared" si="287"/>
        <v>180</v>
      </c>
      <c r="CW516" s="14">
        <f t="shared" si="288"/>
        <v>180</v>
      </c>
      <c r="CX516" s="14">
        <f t="shared" si="289"/>
        <v>7</v>
      </c>
      <c r="CY516" s="14">
        <f t="shared" si="290"/>
        <v>1061</v>
      </c>
      <c r="CZ516" s="14">
        <f t="shared" si="291"/>
        <v>270</v>
      </c>
      <c r="DA516" s="14">
        <f t="shared" si="292"/>
        <v>900</v>
      </c>
      <c r="DB516" s="14">
        <f t="shared" si="293"/>
        <v>563</v>
      </c>
      <c r="DC516" s="14">
        <f t="shared" si="294"/>
        <v>0</v>
      </c>
      <c r="DD516" s="14">
        <f t="shared" si="295"/>
        <v>24</v>
      </c>
      <c r="DE516" s="14">
        <f t="shared" si="296"/>
        <v>15</v>
      </c>
      <c r="DF516" s="14">
        <f t="shared" si="297"/>
        <v>0</v>
      </c>
      <c r="DG516" s="14">
        <f t="shared" si="298"/>
        <v>24</v>
      </c>
      <c r="DH516" s="14">
        <f t="shared" si="299"/>
        <v>6</v>
      </c>
      <c r="DI516" s="14">
        <f t="shared" si="300"/>
        <v>16</v>
      </c>
      <c r="DL516" s="14">
        <f t="shared" si="282"/>
        <v>1</v>
      </c>
      <c r="DM516" s="14">
        <f t="shared" si="283"/>
        <v>2</v>
      </c>
      <c r="DN516" s="14" t="str">
        <f t="shared" si="301"/>
        <v>AtkExt</v>
      </c>
      <c r="DO516" s="14">
        <f t="shared" si="302"/>
        <v>900</v>
      </c>
      <c r="DP516" s="14">
        <f t="shared" si="303"/>
        <v>24</v>
      </c>
      <c r="DQ516" s="14" t="str">
        <f t="shared" si="304"/>
        <v>DefExt</v>
      </c>
      <c r="DR516" s="14">
        <f t="shared" si="305"/>
        <v>563</v>
      </c>
      <c r="DS516" s="14">
        <f t="shared" si="306"/>
        <v>15</v>
      </c>
      <c r="DT516" s="14">
        <f t="shared" si="307"/>
        <v>24</v>
      </c>
      <c r="DU516" s="14">
        <f t="shared" si="308"/>
        <v>6</v>
      </c>
      <c r="DV516" s="14">
        <f t="shared" si="309"/>
        <v>16</v>
      </c>
      <c r="DW516" s="29" t="s">
        <v>758</v>
      </c>
      <c r="DX516" s="14">
        <f t="shared" si="310"/>
        <v>750</v>
      </c>
    </row>
    <row r="517" spans="91:128" ht="16.5" x14ac:dyDescent="0.2">
      <c r="CM517" s="13">
        <v>513</v>
      </c>
      <c r="CN517" s="14">
        <f t="shared" si="284"/>
        <v>71</v>
      </c>
      <c r="CO517" s="14">
        <f t="shared" si="285"/>
        <v>3</v>
      </c>
      <c r="CP517" s="14">
        <f t="shared" si="286"/>
        <v>5</v>
      </c>
      <c r="CQ517" s="14">
        <f t="shared" ref="CQ517:CQ545" si="311">INDEX($BS$6:$BS$81,CN517)</f>
        <v>6</v>
      </c>
      <c r="CR517" s="14">
        <f t="shared" ref="CR517:CR545" si="312">INDEX($BX$6:$BX$81,CN517)+CX517</f>
        <v>2064038</v>
      </c>
      <c r="CS517" s="13" t="str">
        <f t="shared" ref="CS517:CS545" si="313">INDEX($BY$6:$BY$81,CN517)&amp;"-"&amp;INDEX($CC$3:$CJ$3,CX517)</f>
        <v>180级寄灵人橙色套1-戒指</v>
      </c>
      <c r="CT517" s="14">
        <f t="shared" ref="CT517:CT545" si="314">INDEX($BV$6:$BV$81,CN517)</f>
        <v>1</v>
      </c>
      <c r="CU517" s="14">
        <f t="shared" ref="CU517:CU545" si="315">INDEX($BU$6:$BU$81,CN517)</f>
        <v>4</v>
      </c>
      <c r="CV517" s="14">
        <f t="shared" si="287"/>
        <v>180</v>
      </c>
      <c r="CW517" s="14">
        <f t="shared" si="288"/>
        <v>180</v>
      </c>
      <c r="CX517" s="14">
        <f t="shared" si="289"/>
        <v>8</v>
      </c>
      <c r="CY517" s="14">
        <f t="shared" si="290"/>
        <v>1061</v>
      </c>
      <c r="CZ517" s="14">
        <f t="shared" si="291"/>
        <v>210</v>
      </c>
      <c r="DA517" s="14">
        <f t="shared" si="292"/>
        <v>900</v>
      </c>
      <c r="DB517" s="14">
        <f t="shared" si="293"/>
        <v>0</v>
      </c>
      <c r="DC517" s="14">
        <f t="shared" si="294"/>
        <v>3375</v>
      </c>
      <c r="DD517" s="14">
        <f t="shared" si="295"/>
        <v>24</v>
      </c>
      <c r="DE517" s="14">
        <f t="shared" si="296"/>
        <v>0</v>
      </c>
      <c r="DF517" s="14">
        <f t="shared" si="297"/>
        <v>90</v>
      </c>
      <c r="DG517" s="14">
        <f t="shared" si="298"/>
        <v>24</v>
      </c>
      <c r="DH517" s="14">
        <f t="shared" si="299"/>
        <v>6</v>
      </c>
      <c r="DI517" s="14">
        <f t="shared" si="300"/>
        <v>16</v>
      </c>
      <c r="DL517" s="14">
        <f t="shared" ref="DL517:DL546" si="316">INDEX(AF$5:AF$12,$CX517)</f>
        <v>1</v>
      </c>
      <c r="DM517" s="14">
        <f t="shared" ref="DM517:DM546" si="317">INDEX(AG$5:AG$12,$CX517)</f>
        <v>3</v>
      </c>
      <c r="DN517" s="14" t="str">
        <f t="shared" si="301"/>
        <v>AtkExt</v>
      </c>
      <c r="DO517" s="14">
        <f t="shared" si="302"/>
        <v>900</v>
      </c>
      <c r="DP517" s="14">
        <f t="shared" si="303"/>
        <v>24</v>
      </c>
      <c r="DQ517" s="14" t="str">
        <f t="shared" si="304"/>
        <v>HPExt</v>
      </c>
      <c r="DR517" s="14">
        <f t="shared" si="305"/>
        <v>3375</v>
      </c>
      <c r="DS517" s="14">
        <f t="shared" si="306"/>
        <v>90</v>
      </c>
      <c r="DT517" s="14">
        <f t="shared" si="307"/>
        <v>24</v>
      </c>
      <c r="DU517" s="14">
        <f t="shared" si="308"/>
        <v>6</v>
      </c>
      <c r="DV517" s="14">
        <f t="shared" si="309"/>
        <v>16</v>
      </c>
      <c r="DW517" s="29" t="s">
        <v>758</v>
      </c>
      <c r="DX517" s="14">
        <f t="shared" si="310"/>
        <v>750</v>
      </c>
    </row>
    <row r="518" spans="91:128" ht="16.5" x14ac:dyDescent="0.2">
      <c r="CM518" s="13">
        <v>514</v>
      </c>
      <c r="CN518" s="14">
        <f t="shared" ref="CN518:CN545" si="318">MATCH(CM518-1,$CB$5:$CB$81,1)</f>
        <v>72</v>
      </c>
      <c r="CO518" s="14">
        <f t="shared" ref="CO518:CO545" si="319">INDEX($BW$6:$BW$81,CN518)</f>
        <v>4</v>
      </c>
      <c r="CP518" s="14">
        <f t="shared" ref="CP518:CP546" si="320">CM518-INDEX($CB$5:$CB$81,CN518)</f>
        <v>1</v>
      </c>
      <c r="CQ518" s="14">
        <f t="shared" si="311"/>
        <v>6</v>
      </c>
      <c r="CR518" s="14">
        <f t="shared" si="312"/>
        <v>2064041</v>
      </c>
      <c r="CS518" s="13" t="str">
        <f t="shared" si="313"/>
        <v>180级守护灵橙色套1-武器</v>
      </c>
      <c r="CT518" s="14">
        <f t="shared" si="314"/>
        <v>2</v>
      </c>
      <c r="CU518" s="14">
        <f t="shared" si="315"/>
        <v>4</v>
      </c>
      <c r="CV518" s="14">
        <f t="shared" ref="CV518:CV545" si="321">INDEX($D$5:$D$16,(CT518-1)*6+CQ518)</f>
        <v>180</v>
      </c>
      <c r="CW518" s="14">
        <f t="shared" ref="CW518:CW545" si="322">INDEX($D$5:$D$16,(CT518-1)*6+CQ518)</f>
        <v>180</v>
      </c>
      <c r="CX518" s="14">
        <f t="shared" ref="CX518:CX546" si="323">INDEX($CC$6:$CJ$81,CN518,CP518)</f>
        <v>1</v>
      </c>
      <c r="CY518" s="14">
        <f t="shared" ref="CY518:CY545" si="324">IF(INDEX($BZ$6:$BZ$81,CN518)&gt;0,INDEX($BZ$6:$BZ$81,CN518),"")</f>
        <v>2061</v>
      </c>
      <c r="CZ518" s="14">
        <f t="shared" ref="CZ518:CZ546" si="325">INT(SUMPRODUCT($DD$3:$DF$3,DD518:DF518))</f>
        <v>360</v>
      </c>
      <c r="DA518" s="14">
        <f t="shared" ref="DA518:DA546" si="326">ROUND(INDEX(O$5:O$16,($CT518-1)*6+$CQ518)*INDEX(AC$5:AC$12,$CX518)*INDEX($AL$5:$AL$8,$CU518),0)</f>
        <v>2550</v>
      </c>
      <c r="DB518" s="14">
        <f t="shared" ref="DB518:DB546" si="327">ROUND(INDEX(P$5:P$16,($CT518-1)*6+$CQ518)*INDEX(AD$5:AD$12,$CX518)*INDEX($AL$5:$AL$8,$CU518),0)</f>
        <v>0</v>
      </c>
      <c r="DC518" s="14">
        <f t="shared" ref="DC518:DC546" si="328">ROUND(INDEX(Q$5:Q$16,($CT518-1)*6+$CQ518)*INDEX(AE$5:AE$12,$CX518)*INDEX($AL$5:$AL$8,$CU518),0)</f>
        <v>0</v>
      </c>
      <c r="DD518" s="14">
        <f t="shared" ref="DD518:DD546" si="329">ROUND(INDEX(H$5:H$16,($CT518-1)*6+$CQ518)*INDEX(AC$5:AC$12,$CX518) * INDEX($AL$5:$AL$8,$CU518),2)</f>
        <v>72</v>
      </c>
      <c r="DE518" s="14">
        <f t="shared" ref="DE518:DE546" si="330">ROUND(INDEX(I$5:I$16,($CT518-1)*6+$CQ518)*INDEX(AD$5:AD$12,$CX518) * INDEX($AL$5:$AL$8,$CU518),2)</f>
        <v>0</v>
      </c>
      <c r="DF518" s="14">
        <f t="shared" ref="DF518:DF546" si="331">ROUND(INDEX(J$5:J$16,($CT518-1)*6+$CQ518)*INDEX(AE$5:AE$12,$CX518) * INDEX($AL$5:$AL$8,$CU518),2)</f>
        <v>0</v>
      </c>
      <c r="DG518" s="14">
        <f t="shared" ref="DG518:DG545" si="332">(CQ518-1)*4+CU518</f>
        <v>24</v>
      </c>
      <c r="DH518" s="14">
        <f t="shared" ref="DH518:DH545" si="333">INDEX($BM$5:$BP$16,CQ518,CU518)</f>
        <v>6</v>
      </c>
      <c r="DI518" s="14">
        <f t="shared" ref="DI518:DI545" si="334">CT518*10+CQ518</f>
        <v>26</v>
      </c>
      <c r="DL518" s="14">
        <f t="shared" si="316"/>
        <v>1</v>
      </c>
      <c r="DM518" s="14">
        <f t="shared" si="317"/>
        <v>0</v>
      </c>
      <c r="DN518" s="14" t="str">
        <f t="shared" ref="DN518:DN545" si="335">INDEX($AA$3:$AC$3,DL518)</f>
        <v>AtkExt</v>
      </c>
      <c r="DO518" s="14">
        <f t="shared" ref="DO518:DO545" si="336">INDEX(DA518:DC518,DL518)</f>
        <v>2550</v>
      </c>
      <c r="DP518" s="14">
        <f t="shared" ref="DP518:DP545" si="337">INDEX(DD518:DF518,DL518)</f>
        <v>72</v>
      </c>
      <c r="DQ518" s="14" t="str">
        <f t="shared" ref="DQ518:DQ545" si="338">IF(DM518&gt;0,INDEX($AA$3:$AC$3,DM518),"")</f>
        <v/>
      </c>
      <c r="DR518" s="14" t="str">
        <f t="shared" ref="DR518:DR545" si="339">IF(DM518&gt;0,INDEX(DA518:DC518,DM518),"")</f>
        <v/>
      </c>
      <c r="DS518" s="14" t="str">
        <f t="shared" ref="DS518:DS545" si="340">IF(DM518&gt;0,INDEX(DD518:DF518,DM518),"")</f>
        <v/>
      </c>
      <c r="DT518" s="14">
        <f t="shared" ref="DT518:DT545" si="341">(CQ518-1)*4+CU518</f>
        <v>24</v>
      </c>
      <c r="DU518" s="14">
        <f t="shared" ref="DU518:DU545" si="342">INDEX($BM$5:$BP$16,CQ518,CU518)</f>
        <v>6</v>
      </c>
      <c r="DV518" s="14">
        <f t="shared" ref="DV518:DV545" si="343">CT518*10+CQ518</f>
        <v>26</v>
      </c>
      <c r="DW518" s="29" t="s">
        <v>758</v>
      </c>
      <c r="DX518" s="14">
        <f t="shared" ref="DX518:DX545" si="344">INDEX($T$5:$Y$8,CU518,CQ518)</f>
        <v>750</v>
      </c>
    </row>
    <row r="519" spans="91:128" ht="16.5" x14ac:dyDescent="0.2">
      <c r="CM519" s="13">
        <v>515</v>
      </c>
      <c r="CN519" s="14">
        <f t="shared" si="318"/>
        <v>72</v>
      </c>
      <c r="CO519" s="14">
        <f t="shared" si="319"/>
        <v>4</v>
      </c>
      <c r="CP519" s="14">
        <f t="shared" si="320"/>
        <v>2</v>
      </c>
      <c r="CQ519" s="14">
        <f t="shared" si="311"/>
        <v>6</v>
      </c>
      <c r="CR519" s="14">
        <f t="shared" si="312"/>
        <v>2064042</v>
      </c>
      <c r="CS519" s="13" t="str">
        <f t="shared" si="313"/>
        <v>180级守护灵橙色套1-头盔</v>
      </c>
      <c r="CT519" s="14">
        <f t="shared" si="314"/>
        <v>2</v>
      </c>
      <c r="CU519" s="14">
        <f t="shared" si="315"/>
        <v>4</v>
      </c>
      <c r="CV519" s="14">
        <f t="shared" si="321"/>
        <v>180</v>
      </c>
      <c r="CW519" s="14">
        <f t="shared" si="322"/>
        <v>180</v>
      </c>
      <c r="CX519" s="14">
        <f t="shared" si="323"/>
        <v>2</v>
      </c>
      <c r="CY519" s="14">
        <f t="shared" si="324"/>
        <v>2061</v>
      </c>
      <c r="CZ519" s="14">
        <f t="shared" si="325"/>
        <v>180</v>
      </c>
      <c r="DA519" s="14">
        <f t="shared" si="326"/>
        <v>0</v>
      </c>
      <c r="DB519" s="14">
        <f t="shared" si="327"/>
        <v>638</v>
      </c>
      <c r="DC519" s="14">
        <f t="shared" si="328"/>
        <v>0</v>
      </c>
      <c r="DD519" s="14">
        <f t="shared" si="329"/>
        <v>0</v>
      </c>
      <c r="DE519" s="14">
        <f t="shared" si="330"/>
        <v>18</v>
      </c>
      <c r="DF519" s="14">
        <f t="shared" si="331"/>
        <v>0</v>
      </c>
      <c r="DG519" s="14">
        <f t="shared" si="332"/>
        <v>24</v>
      </c>
      <c r="DH519" s="14">
        <f t="shared" si="333"/>
        <v>6</v>
      </c>
      <c r="DI519" s="14">
        <f t="shared" si="334"/>
        <v>26</v>
      </c>
      <c r="DL519" s="14">
        <f t="shared" si="316"/>
        <v>2</v>
      </c>
      <c r="DM519" s="14">
        <f t="shared" si="317"/>
        <v>0</v>
      </c>
      <c r="DN519" s="14" t="str">
        <f t="shared" si="335"/>
        <v>DefExt</v>
      </c>
      <c r="DO519" s="14">
        <f t="shared" si="336"/>
        <v>638</v>
      </c>
      <c r="DP519" s="14">
        <f t="shared" si="337"/>
        <v>18</v>
      </c>
      <c r="DQ519" s="14" t="str">
        <f t="shared" si="338"/>
        <v/>
      </c>
      <c r="DR519" s="14" t="str">
        <f t="shared" si="339"/>
        <v/>
      </c>
      <c r="DS519" s="14" t="str">
        <f t="shared" si="340"/>
        <v/>
      </c>
      <c r="DT519" s="14">
        <f t="shared" si="341"/>
        <v>24</v>
      </c>
      <c r="DU519" s="14">
        <f t="shared" si="342"/>
        <v>6</v>
      </c>
      <c r="DV519" s="14">
        <f t="shared" si="343"/>
        <v>26</v>
      </c>
      <c r="DW519" s="29" t="s">
        <v>758</v>
      </c>
      <c r="DX519" s="14">
        <f t="shared" si="344"/>
        <v>750</v>
      </c>
    </row>
    <row r="520" spans="91:128" ht="16.5" x14ac:dyDescent="0.2">
      <c r="CM520" s="13">
        <v>516</v>
      </c>
      <c r="CN520" s="14">
        <f t="shared" si="318"/>
        <v>72</v>
      </c>
      <c r="CO520" s="14">
        <f t="shared" si="319"/>
        <v>4</v>
      </c>
      <c r="CP520" s="14">
        <f t="shared" si="320"/>
        <v>3</v>
      </c>
      <c r="CQ520" s="14">
        <f t="shared" si="311"/>
        <v>6</v>
      </c>
      <c r="CR520" s="14">
        <f t="shared" si="312"/>
        <v>2064043</v>
      </c>
      <c r="CS520" s="13" t="str">
        <f t="shared" si="313"/>
        <v>180级守护灵橙色套1-肩甲</v>
      </c>
      <c r="CT520" s="14">
        <f t="shared" si="314"/>
        <v>2</v>
      </c>
      <c r="CU520" s="14">
        <f t="shared" si="315"/>
        <v>4</v>
      </c>
      <c r="CV520" s="14">
        <f t="shared" si="321"/>
        <v>180</v>
      </c>
      <c r="CW520" s="14">
        <f t="shared" si="322"/>
        <v>180</v>
      </c>
      <c r="CX520" s="14">
        <f t="shared" si="323"/>
        <v>3</v>
      </c>
      <c r="CY520" s="14">
        <f t="shared" si="324"/>
        <v>2061</v>
      </c>
      <c r="CZ520" s="14">
        <f t="shared" si="325"/>
        <v>187</v>
      </c>
      <c r="DA520" s="14">
        <f t="shared" si="326"/>
        <v>0</v>
      </c>
      <c r="DB520" s="14">
        <f t="shared" si="327"/>
        <v>319</v>
      </c>
      <c r="DC520" s="14">
        <f t="shared" si="328"/>
        <v>3000</v>
      </c>
      <c r="DD520" s="14">
        <f t="shared" si="329"/>
        <v>0</v>
      </c>
      <c r="DE520" s="14">
        <f t="shared" si="330"/>
        <v>9</v>
      </c>
      <c r="DF520" s="14">
        <f t="shared" si="331"/>
        <v>97.5</v>
      </c>
      <c r="DG520" s="14">
        <f t="shared" si="332"/>
        <v>24</v>
      </c>
      <c r="DH520" s="14">
        <f t="shared" si="333"/>
        <v>6</v>
      </c>
      <c r="DI520" s="14">
        <f t="shared" si="334"/>
        <v>26</v>
      </c>
      <c r="DL520" s="14">
        <f t="shared" si="316"/>
        <v>2</v>
      </c>
      <c r="DM520" s="14">
        <f t="shared" si="317"/>
        <v>3</v>
      </c>
      <c r="DN520" s="14" t="str">
        <f t="shared" si="335"/>
        <v>DefExt</v>
      </c>
      <c r="DO520" s="14">
        <f t="shared" si="336"/>
        <v>319</v>
      </c>
      <c r="DP520" s="14">
        <f t="shared" si="337"/>
        <v>9</v>
      </c>
      <c r="DQ520" s="14" t="str">
        <f t="shared" si="338"/>
        <v>HPExt</v>
      </c>
      <c r="DR520" s="14">
        <f t="shared" si="339"/>
        <v>3000</v>
      </c>
      <c r="DS520" s="14">
        <f t="shared" si="340"/>
        <v>97.5</v>
      </c>
      <c r="DT520" s="14">
        <f t="shared" si="341"/>
        <v>24</v>
      </c>
      <c r="DU520" s="14">
        <f t="shared" si="342"/>
        <v>6</v>
      </c>
      <c r="DV520" s="14">
        <f t="shared" si="343"/>
        <v>26</v>
      </c>
      <c r="DW520" s="29" t="s">
        <v>758</v>
      </c>
      <c r="DX520" s="14">
        <f t="shared" si="344"/>
        <v>750</v>
      </c>
    </row>
    <row r="521" spans="91:128" ht="16.5" x14ac:dyDescent="0.2">
      <c r="CM521" s="13">
        <v>517</v>
      </c>
      <c r="CN521" s="14">
        <f t="shared" si="318"/>
        <v>72</v>
      </c>
      <c r="CO521" s="14">
        <f t="shared" si="319"/>
        <v>4</v>
      </c>
      <c r="CP521" s="14">
        <f t="shared" si="320"/>
        <v>4</v>
      </c>
      <c r="CQ521" s="14">
        <f t="shared" si="311"/>
        <v>6</v>
      </c>
      <c r="CR521" s="14">
        <f t="shared" si="312"/>
        <v>2064047</v>
      </c>
      <c r="CS521" s="13" t="str">
        <f t="shared" si="313"/>
        <v>180级守护灵橙色套1-项链</v>
      </c>
      <c r="CT521" s="14">
        <f t="shared" si="314"/>
        <v>2</v>
      </c>
      <c r="CU521" s="14">
        <f t="shared" si="315"/>
        <v>4</v>
      </c>
      <c r="CV521" s="14">
        <f t="shared" si="321"/>
        <v>180</v>
      </c>
      <c r="CW521" s="14">
        <f t="shared" si="322"/>
        <v>180</v>
      </c>
      <c r="CX521" s="14">
        <f t="shared" si="323"/>
        <v>7</v>
      </c>
      <c r="CY521" s="14">
        <f t="shared" si="324"/>
        <v>2061</v>
      </c>
      <c r="CZ521" s="14">
        <f t="shared" si="325"/>
        <v>270</v>
      </c>
      <c r="DA521" s="14">
        <f t="shared" si="326"/>
        <v>850</v>
      </c>
      <c r="DB521" s="14">
        <f t="shared" si="327"/>
        <v>531</v>
      </c>
      <c r="DC521" s="14">
        <f t="shared" si="328"/>
        <v>0</v>
      </c>
      <c r="DD521" s="14">
        <f t="shared" si="329"/>
        <v>24</v>
      </c>
      <c r="DE521" s="14">
        <f t="shared" si="330"/>
        <v>15</v>
      </c>
      <c r="DF521" s="14">
        <f t="shared" si="331"/>
        <v>0</v>
      </c>
      <c r="DG521" s="14">
        <f t="shared" si="332"/>
        <v>24</v>
      </c>
      <c r="DH521" s="14">
        <f t="shared" si="333"/>
        <v>6</v>
      </c>
      <c r="DI521" s="14">
        <f t="shared" si="334"/>
        <v>26</v>
      </c>
      <c r="DL521" s="14">
        <f t="shared" si="316"/>
        <v>1</v>
      </c>
      <c r="DM521" s="14">
        <f t="shared" si="317"/>
        <v>2</v>
      </c>
      <c r="DN521" s="14" t="str">
        <f t="shared" si="335"/>
        <v>AtkExt</v>
      </c>
      <c r="DO521" s="14">
        <f t="shared" si="336"/>
        <v>850</v>
      </c>
      <c r="DP521" s="14">
        <f t="shared" si="337"/>
        <v>24</v>
      </c>
      <c r="DQ521" s="14" t="str">
        <f t="shared" si="338"/>
        <v>DefExt</v>
      </c>
      <c r="DR521" s="14">
        <f t="shared" si="339"/>
        <v>531</v>
      </c>
      <c r="DS521" s="14">
        <f t="shared" si="340"/>
        <v>15</v>
      </c>
      <c r="DT521" s="14">
        <f t="shared" si="341"/>
        <v>24</v>
      </c>
      <c r="DU521" s="14">
        <f t="shared" si="342"/>
        <v>6</v>
      </c>
      <c r="DV521" s="14">
        <f t="shared" si="343"/>
        <v>26</v>
      </c>
      <c r="DW521" s="29" t="s">
        <v>758</v>
      </c>
      <c r="DX521" s="14">
        <f t="shared" si="344"/>
        <v>750</v>
      </c>
    </row>
    <row r="522" spans="91:128" ht="16.5" x14ac:dyDescent="0.2">
      <c r="CM522" s="13">
        <v>518</v>
      </c>
      <c r="CN522" s="14">
        <f t="shared" si="318"/>
        <v>72</v>
      </c>
      <c r="CO522" s="14">
        <f t="shared" si="319"/>
        <v>4</v>
      </c>
      <c r="CP522" s="14">
        <f t="shared" si="320"/>
        <v>5</v>
      </c>
      <c r="CQ522" s="14">
        <f t="shared" si="311"/>
        <v>6</v>
      </c>
      <c r="CR522" s="14">
        <f t="shared" si="312"/>
        <v>2064048</v>
      </c>
      <c r="CS522" s="13" t="str">
        <f t="shared" si="313"/>
        <v>180级守护灵橙色套1-戒指</v>
      </c>
      <c r="CT522" s="14">
        <f t="shared" si="314"/>
        <v>2</v>
      </c>
      <c r="CU522" s="14">
        <f t="shared" si="315"/>
        <v>4</v>
      </c>
      <c r="CV522" s="14">
        <f t="shared" si="321"/>
        <v>180</v>
      </c>
      <c r="CW522" s="14">
        <f t="shared" si="322"/>
        <v>180</v>
      </c>
      <c r="CX522" s="14">
        <f t="shared" si="323"/>
        <v>8</v>
      </c>
      <c r="CY522" s="14">
        <f t="shared" si="324"/>
        <v>2061</v>
      </c>
      <c r="CZ522" s="14">
        <f t="shared" si="325"/>
        <v>282</v>
      </c>
      <c r="DA522" s="14">
        <f t="shared" si="326"/>
        <v>850</v>
      </c>
      <c r="DB522" s="14">
        <f t="shared" si="327"/>
        <v>0</v>
      </c>
      <c r="DC522" s="14">
        <f t="shared" si="328"/>
        <v>5000</v>
      </c>
      <c r="DD522" s="14">
        <f t="shared" si="329"/>
        <v>24</v>
      </c>
      <c r="DE522" s="14">
        <f t="shared" si="330"/>
        <v>0</v>
      </c>
      <c r="DF522" s="14">
        <f t="shared" si="331"/>
        <v>162.5</v>
      </c>
      <c r="DG522" s="14">
        <f t="shared" si="332"/>
        <v>24</v>
      </c>
      <c r="DH522" s="14">
        <f t="shared" si="333"/>
        <v>6</v>
      </c>
      <c r="DI522" s="14">
        <f t="shared" si="334"/>
        <v>26</v>
      </c>
      <c r="DL522" s="14">
        <f t="shared" si="316"/>
        <v>1</v>
      </c>
      <c r="DM522" s="14">
        <f t="shared" si="317"/>
        <v>3</v>
      </c>
      <c r="DN522" s="14" t="str">
        <f t="shared" si="335"/>
        <v>AtkExt</v>
      </c>
      <c r="DO522" s="14">
        <f t="shared" si="336"/>
        <v>850</v>
      </c>
      <c r="DP522" s="14">
        <f t="shared" si="337"/>
        <v>24</v>
      </c>
      <c r="DQ522" s="14" t="str">
        <f t="shared" si="338"/>
        <v>HPExt</v>
      </c>
      <c r="DR522" s="14">
        <f t="shared" si="339"/>
        <v>5000</v>
      </c>
      <c r="DS522" s="14">
        <f t="shared" si="340"/>
        <v>162.5</v>
      </c>
      <c r="DT522" s="14">
        <f t="shared" si="341"/>
        <v>24</v>
      </c>
      <c r="DU522" s="14">
        <f t="shared" si="342"/>
        <v>6</v>
      </c>
      <c r="DV522" s="14">
        <f t="shared" si="343"/>
        <v>26</v>
      </c>
      <c r="DW522" s="29" t="s">
        <v>758</v>
      </c>
      <c r="DX522" s="14">
        <f t="shared" si="344"/>
        <v>750</v>
      </c>
    </row>
    <row r="523" spans="91:128" ht="16.5" x14ac:dyDescent="0.2">
      <c r="CM523" s="13">
        <v>519</v>
      </c>
      <c r="CN523" s="14">
        <f t="shared" si="318"/>
        <v>73</v>
      </c>
      <c r="CO523" s="14">
        <f t="shared" si="319"/>
        <v>5</v>
      </c>
      <c r="CP523" s="14">
        <f t="shared" si="320"/>
        <v>1</v>
      </c>
      <c r="CQ523" s="14">
        <f t="shared" si="311"/>
        <v>6</v>
      </c>
      <c r="CR523" s="14">
        <f t="shared" si="312"/>
        <v>2064051</v>
      </c>
      <c r="CS523" s="13" t="str">
        <f t="shared" si="313"/>
        <v>180级寄灵人橙色套2-武器</v>
      </c>
      <c r="CT523" s="14">
        <f t="shared" si="314"/>
        <v>1</v>
      </c>
      <c r="CU523" s="14">
        <f t="shared" si="315"/>
        <v>4</v>
      </c>
      <c r="CV523" s="14">
        <f t="shared" si="321"/>
        <v>180</v>
      </c>
      <c r="CW523" s="14">
        <f t="shared" si="322"/>
        <v>180</v>
      </c>
      <c r="CX523" s="14">
        <f t="shared" si="323"/>
        <v>1</v>
      </c>
      <c r="CY523" s="14">
        <f t="shared" si="324"/>
        <v>1062</v>
      </c>
      <c r="CZ523" s="14">
        <f t="shared" si="325"/>
        <v>360</v>
      </c>
      <c r="DA523" s="14">
        <f t="shared" si="326"/>
        <v>2700</v>
      </c>
      <c r="DB523" s="14">
        <f t="shared" si="327"/>
        <v>0</v>
      </c>
      <c r="DC523" s="14">
        <f t="shared" si="328"/>
        <v>0</v>
      </c>
      <c r="DD523" s="14">
        <f t="shared" si="329"/>
        <v>72</v>
      </c>
      <c r="DE523" s="14">
        <f t="shared" si="330"/>
        <v>0</v>
      </c>
      <c r="DF523" s="14">
        <f t="shared" si="331"/>
        <v>0</v>
      </c>
      <c r="DG523" s="14">
        <f t="shared" si="332"/>
        <v>24</v>
      </c>
      <c r="DH523" s="14">
        <f t="shared" si="333"/>
        <v>6</v>
      </c>
      <c r="DI523" s="14">
        <f t="shared" si="334"/>
        <v>16</v>
      </c>
      <c r="DL523" s="14">
        <f t="shared" si="316"/>
        <v>1</v>
      </c>
      <c r="DM523" s="14">
        <f t="shared" si="317"/>
        <v>0</v>
      </c>
      <c r="DN523" s="14" t="str">
        <f t="shared" si="335"/>
        <v>AtkExt</v>
      </c>
      <c r="DO523" s="14">
        <f t="shared" si="336"/>
        <v>2700</v>
      </c>
      <c r="DP523" s="14">
        <f t="shared" si="337"/>
        <v>72</v>
      </c>
      <c r="DQ523" s="14" t="str">
        <f t="shared" si="338"/>
        <v/>
      </c>
      <c r="DR523" s="14" t="str">
        <f t="shared" si="339"/>
        <v/>
      </c>
      <c r="DS523" s="14" t="str">
        <f t="shared" si="340"/>
        <v/>
      </c>
      <c r="DT523" s="14">
        <f t="shared" si="341"/>
        <v>24</v>
      </c>
      <c r="DU523" s="14">
        <f t="shared" si="342"/>
        <v>6</v>
      </c>
      <c r="DV523" s="14">
        <f t="shared" si="343"/>
        <v>16</v>
      </c>
      <c r="DW523" s="29" t="s">
        <v>758</v>
      </c>
      <c r="DX523" s="14">
        <f t="shared" si="344"/>
        <v>750</v>
      </c>
    </row>
    <row r="524" spans="91:128" ht="16.5" x14ac:dyDescent="0.2">
      <c r="CM524" s="13">
        <v>520</v>
      </c>
      <c r="CN524" s="14">
        <f t="shared" si="318"/>
        <v>73</v>
      </c>
      <c r="CO524" s="14">
        <f t="shared" si="319"/>
        <v>5</v>
      </c>
      <c r="CP524" s="14">
        <f t="shared" si="320"/>
        <v>2</v>
      </c>
      <c r="CQ524" s="14">
        <f t="shared" si="311"/>
        <v>6</v>
      </c>
      <c r="CR524" s="14">
        <f t="shared" si="312"/>
        <v>2064052</v>
      </c>
      <c r="CS524" s="13" t="str">
        <f t="shared" si="313"/>
        <v>180级寄灵人橙色套2-头盔</v>
      </c>
      <c r="CT524" s="14">
        <f t="shared" si="314"/>
        <v>1</v>
      </c>
      <c r="CU524" s="14">
        <f t="shared" si="315"/>
        <v>4</v>
      </c>
      <c r="CV524" s="14">
        <f t="shared" si="321"/>
        <v>180</v>
      </c>
      <c r="CW524" s="14">
        <f t="shared" si="322"/>
        <v>180</v>
      </c>
      <c r="CX524" s="14">
        <f t="shared" si="323"/>
        <v>2</v>
      </c>
      <c r="CY524" s="14">
        <f t="shared" si="324"/>
        <v>1062</v>
      </c>
      <c r="CZ524" s="14">
        <f t="shared" si="325"/>
        <v>180</v>
      </c>
      <c r="DA524" s="14">
        <f t="shared" si="326"/>
        <v>0</v>
      </c>
      <c r="DB524" s="14">
        <f t="shared" si="327"/>
        <v>675</v>
      </c>
      <c r="DC524" s="14">
        <f t="shared" si="328"/>
        <v>0</v>
      </c>
      <c r="DD524" s="14">
        <f t="shared" si="329"/>
        <v>0</v>
      </c>
      <c r="DE524" s="14">
        <f t="shared" si="330"/>
        <v>18</v>
      </c>
      <c r="DF524" s="14">
        <f t="shared" si="331"/>
        <v>0</v>
      </c>
      <c r="DG524" s="14">
        <f t="shared" si="332"/>
        <v>24</v>
      </c>
      <c r="DH524" s="14">
        <f t="shared" si="333"/>
        <v>6</v>
      </c>
      <c r="DI524" s="14">
        <f t="shared" si="334"/>
        <v>16</v>
      </c>
      <c r="DL524" s="14">
        <f t="shared" si="316"/>
        <v>2</v>
      </c>
      <c r="DM524" s="14">
        <f t="shared" si="317"/>
        <v>0</v>
      </c>
      <c r="DN524" s="14" t="str">
        <f t="shared" si="335"/>
        <v>DefExt</v>
      </c>
      <c r="DO524" s="14">
        <f t="shared" si="336"/>
        <v>675</v>
      </c>
      <c r="DP524" s="14">
        <f t="shared" si="337"/>
        <v>18</v>
      </c>
      <c r="DQ524" s="14" t="str">
        <f t="shared" si="338"/>
        <v/>
      </c>
      <c r="DR524" s="14" t="str">
        <f t="shared" si="339"/>
        <v/>
      </c>
      <c r="DS524" s="14" t="str">
        <f t="shared" si="340"/>
        <v/>
      </c>
      <c r="DT524" s="14">
        <f t="shared" si="341"/>
        <v>24</v>
      </c>
      <c r="DU524" s="14">
        <f t="shared" si="342"/>
        <v>6</v>
      </c>
      <c r="DV524" s="14">
        <f t="shared" si="343"/>
        <v>16</v>
      </c>
      <c r="DW524" s="29" t="s">
        <v>758</v>
      </c>
      <c r="DX524" s="14">
        <f t="shared" si="344"/>
        <v>750</v>
      </c>
    </row>
    <row r="525" spans="91:128" ht="16.5" x14ac:dyDescent="0.2">
      <c r="CM525" s="13">
        <v>521</v>
      </c>
      <c r="CN525" s="14">
        <f t="shared" si="318"/>
        <v>73</v>
      </c>
      <c r="CO525" s="14">
        <f t="shared" si="319"/>
        <v>5</v>
      </c>
      <c r="CP525" s="14">
        <f t="shared" si="320"/>
        <v>3</v>
      </c>
      <c r="CQ525" s="14">
        <f t="shared" si="311"/>
        <v>6</v>
      </c>
      <c r="CR525" s="14">
        <f t="shared" si="312"/>
        <v>2064053</v>
      </c>
      <c r="CS525" s="13" t="str">
        <f t="shared" si="313"/>
        <v>180级寄灵人橙色套2-肩甲</v>
      </c>
      <c r="CT525" s="14">
        <f t="shared" si="314"/>
        <v>1</v>
      </c>
      <c r="CU525" s="14">
        <f t="shared" si="315"/>
        <v>4</v>
      </c>
      <c r="CV525" s="14">
        <f t="shared" si="321"/>
        <v>180</v>
      </c>
      <c r="CW525" s="14">
        <f t="shared" si="322"/>
        <v>180</v>
      </c>
      <c r="CX525" s="14">
        <f t="shared" si="323"/>
        <v>3</v>
      </c>
      <c r="CY525" s="14">
        <f t="shared" si="324"/>
        <v>1062</v>
      </c>
      <c r="CZ525" s="14">
        <f t="shared" si="325"/>
        <v>144</v>
      </c>
      <c r="DA525" s="14">
        <f t="shared" si="326"/>
        <v>0</v>
      </c>
      <c r="DB525" s="14">
        <f t="shared" si="327"/>
        <v>338</v>
      </c>
      <c r="DC525" s="14">
        <f t="shared" si="328"/>
        <v>2025</v>
      </c>
      <c r="DD525" s="14">
        <f t="shared" si="329"/>
        <v>0</v>
      </c>
      <c r="DE525" s="14">
        <f t="shared" si="330"/>
        <v>9</v>
      </c>
      <c r="DF525" s="14">
        <f t="shared" si="331"/>
        <v>54</v>
      </c>
      <c r="DG525" s="14">
        <f t="shared" si="332"/>
        <v>24</v>
      </c>
      <c r="DH525" s="14">
        <f t="shared" si="333"/>
        <v>6</v>
      </c>
      <c r="DI525" s="14">
        <f t="shared" si="334"/>
        <v>16</v>
      </c>
      <c r="DL525" s="14">
        <f t="shared" si="316"/>
        <v>2</v>
      </c>
      <c r="DM525" s="14">
        <f t="shared" si="317"/>
        <v>3</v>
      </c>
      <c r="DN525" s="14" t="str">
        <f t="shared" si="335"/>
        <v>DefExt</v>
      </c>
      <c r="DO525" s="14">
        <f t="shared" si="336"/>
        <v>338</v>
      </c>
      <c r="DP525" s="14">
        <f t="shared" si="337"/>
        <v>9</v>
      </c>
      <c r="DQ525" s="14" t="str">
        <f t="shared" si="338"/>
        <v>HPExt</v>
      </c>
      <c r="DR525" s="14">
        <f t="shared" si="339"/>
        <v>2025</v>
      </c>
      <c r="DS525" s="14">
        <f t="shared" si="340"/>
        <v>54</v>
      </c>
      <c r="DT525" s="14">
        <f t="shared" si="341"/>
        <v>24</v>
      </c>
      <c r="DU525" s="14">
        <f t="shared" si="342"/>
        <v>6</v>
      </c>
      <c r="DV525" s="14">
        <f t="shared" si="343"/>
        <v>16</v>
      </c>
      <c r="DW525" s="29" t="s">
        <v>758</v>
      </c>
      <c r="DX525" s="14">
        <f t="shared" si="344"/>
        <v>750</v>
      </c>
    </row>
    <row r="526" spans="91:128" ht="16.5" x14ac:dyDescent="0.2">
      <c r="CM526" s="13">
        <v>522</v>
      </c>
      <c r="CN526" s="14">
        <f t="shared" si="318"/>
        <v>73</v>
      </c>
      <c r="CO526" s="14">
        <f t="shared" si="319"/>
        <v>5</v>
      </c>
      <c r="CP526" s="14">
        <f t="shared" si="320"/>
        <v>4</v>
      </c>
      <c r="CQ526" s="14">
        <f t="shared" si="311"/>
        <v>6</v>
      </c>
      <c r="CR526" s="14">
        <f t="shared" si="312"/>
        <v>2064054</v>
      </c>
      <c r="CS526" s="13" t="str">
        <f t="shared" si="313"/>
        <v>180级寄灵人橙色套2-衣服</v>
      </c>
      <c r="CT526" s="14">
        <f t="shared" si="314"/>
        <v>1</v>
      </c>
      <c r="CU526" s="14">
        <f t="shared" si="315"/>
        <v>4</v>
      </c>
      <c r="CV526" s="14">
        <f t="shared" si="321"/>
        <v>180</v>
      </c>
      <c r="CW526" s="14">
        <f t="shared" si="322"/>
        <v>180</v>
      </c>
      <c r="CX526" s="14">
        <f t="shared" si="323"/>
        <v>4</v>
      </c>
      <c r="CY526" s="14">
        <f t="shared" si="324"/>
        <v>1062</v>
      </c>
      <c r="CZ526" s="14">
        <f t="shared" si="325"/>
        <v>180</v>
      </c>
      <c r="DA526" s="14">
        <f t="shared" si="326"/>
        <v>0</v>
      </c>
      <c r="DB526" s="14">
        <f t="shared" si="327"/>
        <v>675</v>
      </c>
      <c r="DC526" s="14">
        <f t="shared" si="328"/>
        <v>0</v>
      </c>
      <c r="DD526" s="14">
        <f t="shared" si="329"/>
        <v>0</v>
      </c>
      <c r="DE526" s="14">
        <f t="shared" si="330"/>
        <v>18</v>
      </c>
      <c r="DF526" s="14">
        <f t="shared" si="331"/>
        <v>0</v>
      </c>
      <c r="DG526" s="14">
        <f t="shared" si="332"/>
        <v>24</v>
      </c>
      <c r="DH526" s="14">
        <f t="shared" si="333"/>
        <v>6</v>
      </c>
      <c r="DI526" s="14">
        <f t="shared" si="334"/>
        <v>16</v>
      </c>
      <c r="DL526" s="14">
        <f t="shared" si="316"/>
        <v>2</v>
      </c>
      <c r="DM526" s="14">
        <f t="shared" si="317"/>
        <v>0</v>
      </c>
      <c r="DN526" s="14" t="str">
        <f t="shared" si="335"/>
        <v>DefExt</v>
      </c>
      <c r="DO526" s="14">
        <f t="shared" si="336"/>
        <v>675</v>
      </c>
      <c r="DP526" s="14">
        <f t="shared" si="337"/>
        <v>18</v>
      </c>
      <c r="DQ526" s="14" t="str">
        <f t="shared" si="338"/>
        <v/>
      </c>
      <c r="DR526" s="14" t="str">
        <f t="shared" si="339"/>
        <v/>
      </c>
      <c r="DS526" s="14" t="str">
        <f t="shared" si="340"/>
        <v/>
      </c>
      <c r="DT526" s="14">
        <f t="shared" si="341"/>
        <v>24</v>
      </c>
      <c r="DU526" s="14">
        <f t="shared" si="342"/>
        <v>6</v>
      </c>
      <c r="DV526" s="14">
        <f t="shared" si="343"/>
        <v>16</v>
      </c>
      <c r="DW526" s="29" t="s">
        <v>758</v>
      </c>
      <c r="DX526" s="14">
        <f t="shared" si="344"/>
        <v>750</v>
      </c>
    </row>
    <row r="527" spans="91:128" ht="16.5" x14ac:dyDescent="0.2">
      <c r="CM527" s="13">
        <v>523</v>
      </c>
      <c r="CN527" s="14">
        <f t="shared" si="318"/>
        <v>73</v>
      </c>
      <c r="CO527" s="14">
        <f t="shared" si="319"/>
        <v>5</v>
      </c>
      <c r="CP527" s="14">
        <f t="shared" si="320"/>
        <v>5</v>
      </c>
      <c r="CQ527" s="14">
        <f t="shared" si="311"/>
        <v>6</v>
      </c>
      <c r="CR527" s="14">
        <f t="shared" si="312"/>
        <v>2064055</v>
      </c>
      <c r="CS527" s="13" t="str">
        <f t="shared" si="313"/>
        <v>180级寄灵人橙色套2-鞋子</v>
      </c>
      <c r="CT527" s="14">
        <f t="shared" si="314"/>
        <v>1</v>
      </c>
      <c r="CU527" s="14">
        <f t="shared" si="315"/>
        <v>4</v>
      </c>
      <c r="CV527" s="14">
        <f t="shared" si="321"/>
        <v>180</v>
      </c>
      <c r="CW527" s="14">
        <f t="shared" si="322"/>
        <v>180</v>
      </c>
      <c r="CX527" s="14">
        <f t="shared" si="323"/>
        <v>5</v>
      </c>
      <c r="CY527" s="14">
        <f t="shared" si="324"/>
        <v>1062</v>
      </c>
      <c r="CZ527" s="14">
        <f t="shared" si="325"/>
        <v>108</v>
      </c>
      <c r="DA527" s="14">
        <f t="shared" si="326"/>
        <v>0</v>
      </c>
      <c r="DB527" s="14">
        <f t="shared" si="327"/>
        <v>0</v>
      </c>
      <c r="DC527" s="14">
        <f t="shared" si="328"/>
        <v>4050</v>
      </c>
      <c r="DD527" s="14">
        <f t="shared" si="329"/>
        <v>0</v>
      </c>
      <c r="DE527" s="14">
        <f t="shared" si="330"/>
        <v>0</v>
      </c>
      <c r="DF527" s="14">
        <f t="shared" si="331"/>
        <v>108</v>
      </c>
      <c r="DG527" s="14">
        <f t="shared" si="332"/>
        <v>24</v>
      </c>
      <c r="DH527" s="14">
        <f t="shared" si="333"/>
        <v>6</v>
      </c>
      <c r="DI527" s="14">
        <f t="shared" si="334"/>
        <v>16</v>
      </c>
      <c r="DL527" s="14">
        <f t="shared" si="316"/>
        <v>3</v>
      </c>
      <c r="DM527" s="14">
        <f t="shared" si="317"/>
        <v>0</v>
      </c>
      <c r="DN527" s="14" t="str">
        <f t="shared" si="335"/>
        <v>HPExt</v>
      </c>
      <c r="DO527" s="14">
        <f t="shared" si="336"/>
        <v>4050</v>
      </c>
      <c r="DP527" s="14">
        <f t="shared" si="337"/>
        <v>108</v>
      </c>
      <c r="DQ527" s="14" t="str">
        <f t="shared" si="338"/>
        <v/>
      </c>
      <c r="DR527" s="14" t="str">
        <f t="shared" si="339"/>
        <v/>
      </c>
      <c r="DS527" s="14" t="str">
        <f t="shared" si="340"/>
        <v/>
      </c>
      <c r="DT527" s="14">
        <f t="shared" si="341"/>
        <v>24</v>
      </c>
      <c r="DU527" s="14">
        <f t="shared" si="342"/>
        <v>6</v>
      </c>
      <c r="DV527" s="14">
        <f t="shared" si="343"/>
        <v>16</v>
      </c>
      <c r="DW527" s="29" t="s">
        <v>758</v>
      </c>
      <c r="DX527" s="14">
        <f t="shared" si="344"/>
        <v>750</v>
      </c>
    </row>
    <row r="528" spans="91:128" ht="16.5" x14ac:dyDescent="0.2">
      <c r="CM528" s="13">
        <v>524</v>
      </c>
      <c r="CN528" s="14">
        <f t="shared" si="318"/>
        <v>73</v>
      </c>
      <c r="CO528" s="14">
        <f t="shared" si="319"/>
        <v>5</v>
      </c>
      <c r="CP528" s="14">
        <f t="shared" si="320"/>
        <v>6</v>
      </c>
      <c r="CQ528" s="14">
        <f t="shared" si="311"/>
        <v>6</v>
      </c>
      <c r="CR528" s="14">
        <f t="shared" si="312"/>
        <v>2064056</v>
      </c>
      <c r="CS528" s="13" t="str">
        <f t="shared" si="313"/>
        <v>180级寄灵人橙色套2-护手</v>
      </c>
      <c r="CT528" s="14">
        <f t="shared" si="314"/>
        <v>1</v>
      </c>
      <c r="CU528" s="14">
        <f t="shared" si="315"/>
        <v>4</v>
      </c>
      <c r="CV528" s="14">
        <f t="shared" si="321"/>
        <v>180</v>
      </c>
      <c r="CW528" s="14">
        <f t="shared" si="322"/>
        <v>180</v>
      </c>
      <c r="CX528" s="14">
        <f t="shared" si="323"/>
        <v>6</v>
      </c>
      <c r="CY528" s="14">
        <f t="shared" si="324"/>
        <v>1062</v>
      </c>
      <c r="CZ528" s="14">
        <f t="shared" si="325"/>
        <v>108</v>
      </c>
      <c r="DA528" s="14">
        <f t="shared" si="326"/>
        <v>0</v>
      </c>
      <c r="DB528" s="14">
        <f t="shared" si="327"/>
        <v>0</v>
      </c>
      <c r="DC528" s="14">
        <f t="shared" si="328"/>
        <v>4050</v>
      </c>
      <c r="DD528" s="14">
        <f t="shared" si="329"/>
        <v>0</v>
      </c>
      <c r="DE528" s="14">
        <f t="shared" si="330"/>
        <v>0</v>
      </c>
      <c r="DF528" s="14">
        <f t="shared" si="331"/>
        <v>108</v>
      </c>
      <c r="DG528" s="14">
        <f t="shared" si="332"/>
        <v>24</v>
      </c>
      <c r="DH528" s="14">
        <f t="shared" si="333"/>
        <v>6</v>
      </c>
      <c r="DI528" s="14">
        <f t="shared" si="334"/>
        <v>16</v>
      </c>
      <c r="DL528" s="14">
        <f t="shared" si="316"/>
        <v>3</v>
      </c>
      <c r="DM528" s="14">
        <f t="shared" si="317"/>
        <v>0</v>
      </c>
      <c r="DN528" s="14" t="str">
        <f t="shared" si="335"/>
        <v>HPExt</v>
      </c>
      <c r="DO528" s="14">
        <f t="shared" si="336"/>
        <v>4050</v>
      </c>
      <c r="DP528" s="14">
        <f t="shared" si="337"/>
        <v>108</v>
      </c>
      <c r="DQ528" s="14" t="str">
        <f t="shared" si="338"/>
        <v/>
      </c>
      <c r="DR528" s="14" t="str">
        <f t="shared" si="339"/>
        <v/>
      </c>
      <c r="DS528" s="14" t="str">
        <f t="shared" si="340"/>
        <v/>
      </c>
      <c r="DT528" s="14">
        <f t="shared" si="341"/>
        <v>24</v>
      </c>
      <c r="DU528" s="14">
        <f t="shared" si="342"/>
        <v>6</v>
      </c>
      <c r="DV528" s="14">
        <f t="shared" si="343"/>
        <v>16</v>
      </c>
      <c r="DW528" s="29" t="s">
        <v>758</v>
      </c>
      <c r="DX528" s="14">
        <f t="shared" si="344"/>
        <v>750</v>
      </c>
    </row>
    <row r="529" spans="91:128" ht="16.5" x14ac:dyDescent="0.2">
      <c r="CM529" s="13">
        <v>525</v>
      </c>
      <c r="CN529" s="14">
        <f t="shared" si="318"/>
        <v>74</v>
      </c>
      <c r="CO529" s="14">
        <f t="shared" si="319"/>
        <v>6</v>
      </c>
      <c r="CP529" s="14">
        <f t="shared" si="320"/>
        <v>1</v>
      </c>
      <c r="CQ529" s="14">
        <f t="shared" si="311"/>
        <v>6</v>
      </c>
      <c r="CR529" s="14">
        <f t="shared" si="312"/>
        <v>2064061</v>
      </c>
      <c r="CS529" s="13" t="str">
        <f t="shared" si="313"/>
        <v>180级守护灵橙色套2-武器</v>
      </c>
      <c r="CT529" s="14">
        <f t="shared" si="314"/>
        <v>2</v>
      </c>
      <c r="CU529" s="14">
        <f t="shared" si="315"/>
        <v>4</v>
      </c>
      <c r="CV529" s="14">
        <f t="shared" si="321"/>
        <v>180</v>
      </c>
      <c r="CW529" s="14">
        <f t="shared" si="322"/>
        <v>180</v>
      </c>
      <c r="CX529" s="14">
        <f t="shared" si="323"/>
        <v>1</v>
      </c>
      <c r="CY529" s="14">
        <f t="shared" si="324"/>
        <v>2062</v>
      </c>
      <c r="CZ529" s="14">
        <f t="shared" si="325"/>
        <v>360</v>
      </c>
      <c r="DA529" s="14">
        <f t="shared" si="326"/>
        <v>2550</v>
      </c>
      <c r="DB529" s="14">
        <f t="shared" si="327"/>
        <v>0</v>
      </c>
      <c r="DC529" s="14">
        <f t="shared" si="328"/>
        <v>0</v>
      </c>
      <c r="DD529" s="14">
        <f t="shared" si="329"/>
        <v>72</v>
      </c>
      <c r="DE529" s="14">
        <f t="shared" si="330"/>
        <v>0</v>
      </c>
      <c r="DF529" s="14">
        <f t="shared" si="331"/>
        <v>0</v>
      </c>
      <c r="DG529" s="14">
        <f t="shared" si="332"/>
        <v>24</v>
      </c>
      <c r="DH529" s="14">
        <f t="shared" si="333"/>
        <v>6</v>
      </c>
      <c r="DI529" s="14">
        <f t="shared" si="334"/>
        <v>26</v>
      </c>
      <c r="DL529" s="14">
        <f t="shared" si="316"/>
        <v>1</v>
      </c>
      <c r="DM529" s="14">
        <f t="shared" si="317"/>
        <v>0</v>
      </c>
      <c r="DN529" s="14" t="str">
        <f t="shared" si="335"/>
        <v>AtkExt</v>
      </c>
      <c r="DO529" s="14">
        <f t="shared" si="336"/>
        <v>2550</v>
      </c>
      <c r="DP529" s="14">
        <f t="shared" si="337"/>
        <v>72</v>
      </c>
      <c r="DQ529" s="14" t="str">
        <f t="shared" si="338"/>
        <v/>
      </c>
      <c r="DR529" s="14" t="str">
        <f t="shared" si="339"/>
        <v/>
      </c>
      <c r="DS529" s="14" t="str">
        <f t="shared" si="340"/>
        <v/>
      </c>
      <c r="DT529" s="14">
        <f t="shared" si="341"/>
        <v>24</v>
      </c>
      <c r="DU529" s="14">
        <f t="shared" si="342"/>
        <v>6</v>
      </c>
      <c r="DV529" s="14">
        <f t="shared" si="343"/>
        <v>26</v>
      </c>
      <c r="DW529" s="29" t="s">
        <v>758</v>
      </c>
      <c r="DX529" s="14">
        <f t="shared" si="344"/>
        <v>750</v>
      </c>
    </row>
    <row r="530" spans="91:128" ht="16.5" x14ac:dyDescent="0.2">
      <c r="CM530" s="13">
        <v>526</v>
      </c>
      <c r="CN530" s="14">
        <f t="shared" si="318"/>
        <v>74</v>
      </c>
      <c r="CO530" s="14">
        <f t="shared" si="319"/>
        <v>6</v>
      </c>
      <c r="CP530" s="14">
        <f t="shared" si="320"/>
        <v>2</v>
      </c>
      <c r="CQ530" s="14">
        <f t="shared" si="311"/>
        <v>6</v>
      </c>
      <c r="CR530" s="14">
        <f t="shared" si="312"/>
        <v>2064062</v>
      </c>
      <c r="CS530" s="13" t="str">
        <f t="shared" si="313"/>
        <v>180级守护灵橙色套2-头盔</v>
      </c>
      <c r="CT530" s="14">
        <f t="shared" si="314"/>
        <v>2</v>
      </c>
      <c r="CU530" s="14">
        <f t="shared" si="315"/>
        <v>4</v>
      </c>
      <c r="CV530" s="14">
        <f t="shared" si="321"/>
        <v>180</v>
      </c>
      <c r="CW530" s="14">
        <f t="shared" si="322"/>
        <v>180</v>
      </c>
      <c r="CX530" s="14">
        <f t="shared" si="323"/>
        <v>2</v>
      </c>
      <c r="CY530" s="14">
        <f t="shared" si="324"/>
        <v>2062</v>
      </c>
      <c r="CZ530" s="14">
        <f t="shared" si="325"/>
        <v>180</v>
      </c>
      <c r="DA530" s="14">
        <f t="shared" si="326"/>
        <v>0</v>
      </c>
      <c r="DB530" s="14">
        <f t="shared" si="327"/>
        <v>638</v>
      </c>
      <c r="DC530" s="14">
        <f t="shared" si="328"/>
        <v>0</v>
      </c>
      <c r="DD530" s="14">
        <f t="shared" si="329"/>
        <v>0</v>
      </c>
      <c r="DE530" s="14">
        <f t="shared" si="330"/>
        <v>18</v>
      </c>
      <c r="DF530" s="14">
        <f t="shared" si="331"/>
        <v>0</v>
      </c>
      <c r="DG530" s="14">
        <f t="shared" si="332"/>
        <v>24</v>
      </c>
      <c r="DH530" s="14">
        <f t="shared" si="333"/>
        <v>6</v>
      </c>
      <c r="DI530" s="14">
        <f t="shared" si="334"/>
        <v>26</v>
      </c>
      <c r="DL530" s="14">
        <f t="shared" si="316"/>
        <v>2</v>
      </c>
      <c r="DM530" s="14">
        <f t="shared" si="317"/>
        <v>0</v>
      </c>
      <c r="DN530" s="14" t="str">
        <f t="shared" si="335"/>
        <v>DefExt</v>
      </c>
      <c r="DO530" s="14">
        <f t="shared" si="336"/>
        <v>638</v>
      </c>
      <c r="DP530" s="14">
        <f t="shared" si="337"/>
        <v>18</v>
      </c>
      <c r="DQ530" s="14" t="str">
        <f t="shared" si="338"/>
        <v/>
      </c>
      <c r="DR530" s="14" t="str">
        <f t="shared" si="339"/>
        <v/>
      </c>
      <c r="DS530" s="14" t="str">
        <f t="shared" si="340"/>
        <v/>
      </c>
      <c r="DT530" s="14">
        <f t="shared" si="341"/>
        <v>24</v>
      </c>
      <c r="DU530" s="14">
        <f t="shared" si="342"/>
        <v>6</v>
      </c>
      <c r="DV530" s="14">
        <f t="shared" si="343"/>
        <v>26</v>
      </c>
      <c r="DW530" s="29" t="s">
        <v>758</v>
      </c>
      <c r="DX530" s="14">
        <f t="shared" si="344"/>
        <v>750</v>
      </c>
    </row>
    <row r="531" spans="91:128" ht="16.5" x14ac:dyDescent="0.2">
      <c r="CM531" s="13">
        <v>527</v>
      </c>
      <c r="CN531" s="14">
        <f t="shared" si="318"/>
        <v>74</v>
      </c>
      <c r="CO531" s="14">
        <f t="shared" si="319"/>
        <v>6</v>
      </c>
      <c r="CP531" s="14">
        <f t="shared" si="320"/>
        <v>3</v>
      </c>
      <c r="CQ531" s="14">
        <f t="shared" si="311"/>
        <v>6</v>
      </c>
      <c r="CR531" s="14">
        <f t="shared" si="312"/>
        <v>2064063</v>
      </c>
      <c r="CS531" s="13" t="str">
        <f t="shared" si="313"/>
        <v>180级守护灵橙色套2-肩甲</v>
      </c>
      <c r="CT531" s="14">
        <f t="shared" si="314"/>
        <v>2</v>
      </c>
      <c r="CU531" s="14">
        <f t="shared" si="315"/>
        <v>4</v>
      </c>
      <c r="CV531" s="14">
        <f t="shared" si="321"/>
        <v>180</v>
      </c>
      <c r="CW531" s="14">
        <f t="shared" si="322"/>
        <v>180</v>
      </c>
      <c r="CX531" s="14">
        <f t="shared" si="323"/>
        <v>3</v>
      </c>
      <c r="CY531" s="14">
        <f t="shared" si="324"/>
        <v>2062</v>
      </c>
      <c r="CZ531" s="14">
        <f t="shared" si="325"/>
        <v>187</v>
      </c>
      <c r="DA531" s="14">
        <f t="shared" si="326"/>
        <v>0</v>
      </c>
      <c r="DB531" s="14">
        <f t="shared" si="327"/>
        <v>319</v>
      </c>
      <c r="DC531" s="14">
        <f t="shared" si="328"/>
        <v>3000</v>
      </c>
      <c r="DD531" s="14">
        <f t="shared" si="329"/>
        <v>0</v>
      </c>
      <c r="DE531" s="14">
        <f t="shared" si="330"/>
        <v>9</v>
      </c>
      <c r="DF531" s="14">
        <f t="shared" si="331"/>
        <v>97.5</v>
      </c>
      <c r="DG531" s="14">
        <f t="shared" si="332"/>
        <v>24</v>
      </c>
      <c r="DH531" s="14">
        <f t="shared" si="333"/>
        <v>6</v>
      </c>
      <c r="DI531" s="14">
        <f t="shared" si="334"/>
        <v>26</v>
      </c>
      <c r="DL531" s="14">
        <f t="shared" si="316"/>
        <v>2</v>
      </c>
      <c r="DM531" s="14">
        <f t="shared" si="317"/>
        <v>3</v>
      </c>
      <c r="DN531" s="14" t="str">
        <f t="shared" si="335"/>
        <v>DefExt</v>
      </c>
      <c r="DO531" s="14">
        <f t="shared" si="336"/>
        <v>319</v>
      </c>
      <c r="DP531" s="14">
        <f t="shared" si="337"/>
        <v>9</v>
      </c>
      <c r="DQ531" s="14" t="str">
        <f t="shared" si="338"/>
        <v>HPExt</v>
      </c>
      <c r="DR531" s="14">
        <f t="shared" si="339"/>
        <v>3000</v>
      </c>
      <c r="DS531" s="14">
        <f t="shared" si="340"/>
        <v>97.5</v>
      </c>
      <c r="DT531" s="14">
        <f t="shared" si="341"/>
        <v>24</v>
      </c>
      <c r="DU531" s="14">
        <f t="shared" si="342"/>
        <v>6</v>
      </c>
      <c r="DV531" s="14">
        <f t="shared" si="343"/>
        <v>26</v>
      </c>
      <c r="DW531" s="29" t="s">
        <v>758</v>
      </c>
      <c r="DX531" s="14">
        <f t="shared" si="344"/>
        <v>750</v>
      </c>
    </row>
    <row r="532" spans="91:128" ht="16.5" x14ac:dyDescent="0.2">
      <c r="CM532" s="13">
        <v>528</v>
      </c>
      <c r="CN532" s="14">
        <f t="shared" si="318"/>
        <v>74</v>
      </c>
      <c r="CO532" s="14">
        <f t="shared" si="319"/>
        <v>6</v>
      </c>
      <c r="CP532" s="14">
        <f t="shared" si="320"/>
        <v>4</v>
      </c>
      <c r="CQ532" s="14">
        <f t="shared" si="311"/>
        <v>6</v>
      </c>
      <c r="CR532" s="14">
        <f t="shared" si="312"/>
        <v>2064064</v>
      </c>
      <c r="CS532" s="13" t="str">
        <f t="shared" si="313"/>
        <v>180级守护灵橙色套2-衣服</v>
      </c>
      <c r="CT532" s="14">
        <f t="shared" si="314"/>
        <v>2</v>
      </c>
      <c r="CU532" s="14">
        <f t="shared" si="315"/>
        <v>4</v>
      </c>
      <c r="CV532" s="14">
        <f t="shared" si="321"/>
        <v>180</v>
      </c>
      <c r="CW532" s="14">
        <f t="shared" si="322"/>
        <v>180</v>
      </c>
      <c r="CX532" s="14">
        <f t="shared" si="323"/>
        <v>4</v>
      </c>
      <c r="CY532" s="14">
        <f t="shared" si="324"/>
        <v>2062</v>
      </c>
      <c r="CZ532" s="14">
        <f t="shared" si="325"/>
        <v>180</v>
      </c>
      <c r="DA532" s="14">
        <f t="shared" si="326"/>
        <v>0</v>
      </c>
      <c r="DB532" s="14">
        <f t="shared" si="327"/>
        <v>638</v>
      </c>
      <c r="DC532" s="14">
        <f t="shared" si="328"/>
        <v>0</v>
      </c>
      <c r="DD532" s="14">
        <f t="shared" si="329"/>
        <v>0</v>
      </c>
      <c r="DE532" s="14">
        <f t="shared" si="330"/>
        <v>18</v>
      </c>
      <c r="DF532" s="14">
        <f t="shared" si="331"/>
        <v>0</v>
      </c>
      <c r="DG532" s="14">
        <f t="shared" si="332"/>
        <v>24</v>
      </c>
      <c r="DH532" s="14">
        <f t="shared" si="333"/>
        <v>6</v>
      </c>
      <c r="DI532" s="14">
        <f t="shared" si="334"/>
        <v>26</v>
      </c>
      <c r="DL532" s="14">
        <f t="shared" si="316"/>
        <v>2</v>
      </c>
      <c r="DM532" s="14">
        <f t="shared" si="317"/>
        <v>0</v>
      </c>
      <c r="DN532" s="14" t="str">
        <f t="shared" si="335"/>
        <v>DefExt</v>
      </c>
      <c r="DO532" s="14">
        <f t="shared" si="336"/>
        <v>638</v>
      </c>
      <c r="DP532" s="14">
        <f t="shared" si="337"/>
        <v>18</v>
      </c>
      <c r="DQ532" s="14" t="str">
        <f t="shared" si="338"/>
        <v/>
      </c>
      <c r="DR532" s="14" t="str">
        <f t="shared" si="339"/>
        <v/>
      </c>
      <c r="DS532" s="14" t="str">
        <f t="shared" si="340"/>
        <v/>
      </c>
      <c r="DT532" s="14">
        <f t="shared" si="341"/>
        <v>24</v>
      </c>
      <c r="DU532" s="14">
        <f t="shared" si="342"/>
        <v>6</v>
      </c>
      <c r="DV532" s="14">
        <f t="shared" si="343"/>
        <v>26</v>
      </c>
      <c r="DW532" s="29" t="s">
        <v>758</v>
      </c>
      <c r="DX532" s="14">
        <f t="shared" si="344"/>
        <v>750</v>
      </c>
    </row>
    <row r="533" spans="91:128" ht="16.5" x14ac:dyDescent="0.2">
      <c r="CM533" s="13">
        <v>529</v>
      </c>
      <c r="CN533" s="14">
        <f t="shared" si="318"/>
        <v>74</v>
      </c>
      <c r="CO533" s="14">
        <f t="shared" si="319"/>
        <v>6</v>
      </c>
      <c r="CP533" s="14">
        <f t="shared" si="320"/>
        <v>5</v>
      </c>
      <c r="CQ533" s="14">
        <f t="shared" si="311"/>
        <v>6</v>
      </c>
      <c r="CR533" s="14">
        <f t="shared" si="312"/>
        <v>2064065</v>
      </c>
      <c r="CS533" s="13" t="str">
        <f t="shared" si="313"/>
        <v>180级守护灵橙色套2-鞋子</v>
      </c>
      <c r="CT533" s="14">
        <f t="shared" si="314"/>
        <v>2</v>
      </c>
      <c r="CU533" s="14">
        <f t="shared" si="315"/>
        <v>4</v>
      </c>
      <c r="CV533" s="14">
        <f t="shared" si="321"/>
        <v>180</v>
      </c>
      <c r="CW533" s="14">
        <f t="shared" si="322"/>
        <v>180</v>
      </c>
      <c r="CX533" s="14">
        <f t="shared" si="323"/>
        <v>5</v>
      </c>
      <c r="CY533" s="14">
        <f t="shared" si="324"/>
        <v>2062</v>
      </c>
      <c r="CZ533" s="14">
        <f t="shared" si="325"/>
        <v>195</v>
      </c>
      <c r="DA533" s="14">
        <f t="shared" si="326"/>
        <v>0</v>
      </c>
      <c r="DB533" s="14">
        <f t="shared" si="327"/>
        <v>0</v>
      </c>
      <c r="DC533" s="14">
        <f t="shared" si="328"/>
        <v>6000</v>
      </c>
      <c r="DD533" s="14">
        <f t="shared" si="329"/>
        <v>0</v>
      </c>
      <c r="DE533" s="14">
        <f t="shared" si="330"/>
        <v>0</v>
      </c>
      <c r="DF533" s="14">
        <f t="shared" si="331"/>
        <v>195</v>
      </c>
      <c r="DG533" s="14">
        <f t="shared" si="332"/>
        <v>24</v>
      </c>
      <c r="DH533" s="14">
        <f t="shared" si="333"/>
        <v>6</v>
      </c>
      <c r="DI533" s="14">
        <f t="shared" si="334"/>
        <v>26</v>
      </c>
      <c r="DL533" s="14">
        <f t="shared" si="316"/>
        <v>3</v>
      </c>
      <c r="DM533" s="14">
        <f t="shared" si="317"/>
        <v>0</v>
      </c>
      <c r="DN533" s="14" t="str">
        <f t="shared" si="335"/>
        <v>HPExt</v>
      </c>
      <c r="DO533" s="14">
        <f t="shared" si="336"/>
        <v>6000</v>
      </c>
      <c r="DP533" s="14">
        <f t="shared" si="337"/>
        <v>195</v>
      </c>
      <c r="DQ533" s="14" t="str">
        <f t="shared" si="338"/>
        <v/>
      </c>
      <c r="DR533" s="14" t="str">
        <f t="shared" si="339"/>
        <v/>
      </c>
      <c r="DS533" s="14" t="str">
        <f t="shared" si="340"/>
        <v/>
      </c>
      <c r="DT533" s="14">
        <f t="shared" si="341"/>
        <v>24</v>
      </c>
      <c r="DU533" s="14">
        <f t="shared" si="342"/>
        <v>6</v>
      </c>
      <c r="DV533" s="14">
        <f t="shared" si="343"/>
        <v>26</v>
      </c>
      <c r="DW533" s="29" t="s">
        <v>758</v>
      </c>
      <c r="DX533" s="14">
        <f t="shared" si="344"/>
        <v>750</v>
      </c>
    </row>
    <row r="534" spans="91:128" ht="16.5" x14ac:dyDescent="0.2">
      <c r="CM534" s="13">
        <v>530</v>
      </c>
      <c r="CN534" s="14">
        <f t="shared" si="318"/>
        <v>74</v>
      </c>
      <c r="CO534" s="14">
        <f t="shared" si="319"/>
        <v>6</v>
      </c>
      <c r="CP534" s="14">
        <f t="shared" si="320"/>
        <v>6</v>
      </c>
      <c r="CQ534" s="14">
        <f t="shared" si="311"/>
        <v>6</v>
      </c>
      <c r="CR534" s="14">
        <f t="shared" si="312"/>
        <v>2064066</v>
      </c>
      <c r="CS534" s="13" t="str">
        <f t="shared" si="313"/>
        <v>180级守护灵橙色套2-护手</v>
      </c>
      <c r="CT534" s="14">
        <f t="shared" si="314"/>
        <v>2</v>
      </c>
      <c r="CU534" s="14">
        <f t="shared" si="315"/>
        <v>4</v>
      </c>
      <c r="CV534" s="14">
        <f t="shared" si="321"/>
        <v>180</v>
      </c>
      <c r="CW534" s="14">
        <f t="shared" si="322"/>
        <v>180</v>
      </c>
      <c r="CX534" s="14">
        <f t="shared" si="323"/>
        <v>6</v>
      </c>
      <c r="CY534" s="14">
        <f t="shared" si="324"/>
        <v>2062</v>
      </c>
      <c r="CZ534" s="14">
        <f t="shared" si="325"/>
        <v>195</v>
      </c>
      <c r="DA534" s="14">
        <f t="shared" si="326"/>
        <v>0</v>
      </c>
      <c r="DB534" s="14">
        <f t="shared" si="327"/>
        <v>0</v>
      </c>
      <c r="DC534" s="14">
        <f t="shared" si="328"/>
        <v>6000</v>
      </c>
      <c r="DD534" s="14">
        <f t="shared" si="329"/>
        <v>0</v>
      </c>
      <c r="DE534" s="14">
        <f t="shared" si="330"/>
        <v>0</v>
      </c>
      <c r="DF534" s="14">
        <f t="shared" si="331"/>
        <v>195</v>
      </c>
      <c r="DG534" s="14">
        <f t="shared" si="332"/>
        <v>24</v>
      </c>
      <c r="DH534" s="14">
        <f t="shared" si="333"/>
        <v>6</v>
      </c>
      <c r="DI534" s="14">
        <f t="shared" si="334"/>
        <v>26</v>
      </c>
      <c r="DL534" s="14">
        <f t="shared" si="316"/>
        <v>3</v>
      </c>
      <c r="DM534" s="14">
        <f t="shared" si="317"/>
        <v>0</v>
      </c>
      <c r="DN534" s="14" t="str">
        <f t="shared" si="335"/>
        <v>HPExt</v>
      </c>
      <c r="DO534" s="14">
        <f t="shared" si="336"/>
        <v>6000</v>
      </c>
      <c r="DP534" s="14">
        <f t="shared" si="337"/>
        <v>195</v>
      </c>
      <c r="DQ534" s="14" t="str">
        <f t="shared" si="338"/>
        <v/>
      </c>
      <c r="DR534" s="14" t="str">
        <f t="shared" si="339"/>
        <v/>
      </c>
      <c r="DS534" s="14" t="str">
        <f t="shared" si="340"/>
        <v/>
      </c>
      <c r="DT534" s="14">
        <f t="shared" si="341"/>
        <v>24</v>
      </c>
      <c r="DU534" s="14">
        <f t="shared" si="342"/>
        <v>6</v>
      </c>
      <c r="DV534" s="14">
        <f t="shared" si="343"/>
        <v>26</v>
      </c>
      <c r="DW534" s="29" t="s">
        <v>758</v>
      </c>
      <c r="DX534" s="14">
        <f t="shared" si="344"/>
        <v>750</v>
      </c>
    </row>
    <row r="535" spans="91:128" ht="16.5" x14ac:dyDescent="0.2">
      <c r="CM535" s="13">
        <v>531</v>
      </c>
      <c r="CN535" s="14">
        <f t="shared" si="318"/>
        <v>75</v>
      </c>
      <c r="CO535" s="14">
        <f t="shared" si="319"/>
        <v>7</v>
      </c>
      <c r="CP535" s="14">
        <f t="shared" si="320"/>
        <v>1</v>
      </c>
      <c r="CQ535" s="14">
        <f t="shared" si="311"/>
        <v>6</v>
      </c>
      <c r="CR535" s="14">
        <f t="shared" si="312"/>
        <v>2064071</v>
      </c>
      <c r="CS535" s="13" t="str">
        <f t="shared" si="313"/>
        <v>180级寄灵人橙色套3-武器</v>
      </c>
      <c r="CT535" s="14">
        <f t="shared" si="314"/>
        <v>1</v>
      </c>
      <c r="CU535" s="14">
        <f t="shared" si="315"/>
        <v>4</v>
      </c>
      <c r="CV535" s="14">
        <f t="shared" si="321"/>
        <v>180</v>
      </c>
      <c r="CW535" s="14">
        <f t="shared" si="322"/>
        <v>180</v>
      </c>
      <c r="CX535" s="14">
        <f t="shared" si="323"/>
        <v>1</v>
      </c>
      <c r="CY535" s="14">
        <f t="shared" si="324"/>
        <v>1063</v>
      </c>
      <c r="CZ535" s="14">
        <f t="shared" si="325"/>
        <v>360</v>
      </c>
      <c r="DA535" s="14">
        <f t="shared" si="326"/>
        <v>2700</v>
      </c>
      <c r="DB535" s="14">
        <f t="shared" si="327"/>
        <v>0</v>
      </c>
      <c r="DC535" s="14">
        <f t="shared" si="328"/>
        <v>0</v>
      </c>
      <c r="DD535" s="14">
        <f t="shared" si="329"/>
        <v>72</v>
      </c>
      <c r="DE535" s="14">
        <f t="shared" si="330"/>
        <v>0</v>
      </c>
      <c r="DF535" s="14">
        <f t="shared" si="331"/>
        <v>0</v>
      </c>
      <c r="DG535" s="14">
        <f t="shared" si="332"/>
        <v>24</v>
      </c>
      <c r="DH535" s="14">
        <f t="shared" si="333"/>
        <v>6</v>
      </c>
      <c r="DI535" s="14">
        <f t="shared" si="334"/>
        <v>16</v>
      </c>
      <c r="DL535" s="14">
        <f t="shared" si="316"/>
        <v>1</v>
      </c>
      <c r="DM535" s="14">
        <f t="shared" si="317"/>
        <v>0</v>
      </c>
      <c r="DN535" s="14" t="str">
        <f t="shared" si="335"/>
        <v>AtkExt</v>
      </c>
      <c r="DO535" s="14">
        <f t="shared" si="336"/>
        <v>2700</v>
      </c>
      <c r="DP535" s="14">
        <f t="shared" si="337"/>
        <v>72</v>
      </c>
      <c r="DQ535" s="14" t="str">
        <f t="shared" si="338"/>
        <v/>
      </c>
      <c r="DR535" s="14" t="str">
        <f t="shared" si="339"/>
        <v/>
      </c>
      <c r="DS535" s="14" t="str">
        <f t="shared" si="340"/>
        <v/>
      </c>
      <c r="DT535" s="14">
        <f t="shared" si="341"/>
        <v>24</v>
      </c>
      <c r="DU535" s="14">
        <f t="shared" si="342"/>
        <v>6</v>
      </c>
      <c r="DV535" s="14">
        <f t="shared" si="343"/>
        <v>16</v>
      </c>
      <c r="DW535" s="29" t="s">
        <v>758</v>
      </c>
      <c r="DX535" s="14">
        <f t="shared" si="344"/>
        <v>750</v>
      </c>
    </row>
    <row r="536" spans="91:128" ht="16.5" x14ac:dyDescent="0.2">
      <c r="CM536" s="13">
        <v>532</v>
      </c>
      <c r="CN536" s="14">
        <f t="shared" si="318"/>
        <v>75</v>
      </c>
      <c r="CO536" s="14">
        <f t="shared" si="319"/>
        <v>7</v>
      </c>
      <c r="CP536" s="14">
        <f t="shared" si="320"/>
        <v>2</v>
      </c>
      <c r="CQ536" s="14">
        <f t="shared" si="311"/>
        <v>6</v>
      </c>
      <c r="CR536" s="14">
        <f t="shared" si="312"/>
        <v>2064074</v>
      </c>
      <c r="CS536" s="13" t="str">
        <f t="shared" si="313"/>
        <v>180级寄灵人橙色套3-衣服</v>
      </c>
      <c r="CT536" s="14">
        <f t="shared" si="314"/>
        <v>1</v>
      </c>
      <c r="CU536" s="14">
        <f t="shared" si="315"/>
        <v>4</v>
      </c>
      <c r="CV536" s="14">
        <f t="shared" si="321"/>
        <v>180</v>
      </c>
      <c r="CW536" s="14">
        <f t="shared" si="322"/>
        <v>180</v>
      </c>
      <c r="CX536" s="14">
        <f t="shared" si="323"/>
        <v>4</v>
      </c>
      <c r="CY536" s="14">
        <f t="shared" si="324"/>
        <v>1063</v>
      </c>
      <c r="CZ536" s="14">
        <f t="shared" si="325"/>
        <v>180</v>
      </c>
      <c r="DA536" s="14">
        <f t="shared" si="326"/>
        <v>0</v>
      </c>
      <c r="DB536" s="14">
        <f t="shared" si="327"/>
        <v>675</v>
      </c>
      <c r="DC536" s="14">
        <f t="shared" si="328"/>
        <v>0</v>
      </c>
      <c r="DD536" s="14">
        <f t="shared" si="329"/>
        <v>0</v>
      </c>
      <c r="DE536" s="14">
        <f t="shared" si="330"/>
        <v>18</v>
      </c>
      <c r="DF536" s="14">
        <f t="shared" si="331"/>
        <v>0</v>
      </c>
      <c r="DG536" s="14">
        <f t="shared" si="332"/>
        <v>24</v>
      </c>
      <c r="DH536" s="14">
        <f t="shared" si="333"/>
        <v>6</v>
      </c>
      <c r="DI536" s="14">
        <f t="shared" si="334"/>
        <v>16</v>
      </c>
      <c r="DL536" s="14">
        <f t="shared" si="316"/>
        <v>2</v>
      </c>
      <c r="DM536" s="14">
        <f t="shared" si="317"/>
        <v>0</v>
      </c>
      <c r="DN536" s="14" t="str">
        <f t="shared" si="335"/>
        <v>DefExt</v>
      </c>
      <c r="DO536" s="14">
        <f t="shared" si="336"/>
        <v>675</v>
      </c>
      <c r="DP536" s="14">
        <f t="shared" si="337"/>
        <v>18</v>
      </c>
      <c r="DQ536" s="14" t="str">
        <f t="shared" si="338"/>
        <v/>
      </c>
      <c r="DR536" s="14" t="str">
        <f t="shared" si="339"/>
        <v/>
      </c>
      <c r="DS536" s="14" t="str">
        <f t="shared" si="340"/>
        <v/>
      </c>
      <c r="DT536" s="14">
        <f t="shared" si="341"/>
        <v>24</v>
      </c>
      <c r="DU536" s="14">
        <f t="shared" si="342"/>
        <v>6</v>
      </c>
      <c r="DV536" s="14">
        <f t="shared" si="343"/>
        <v>16</v>
      </c>
      <c r="DW536" s="29" t="s">
        <v>758</v>
      </c>
      <c r="DX536" s="14">
        <f t="shared" si="344"/>
        <v>750</v>
      </c>
    </row>
    <row r="537" spans="91:128" ht="16.5" x14ac:dyDescent="0.2">
      <c r="CM537" s="13">
        <v>533</v>
      </c>
      <c r="CN537" s="14">
        <f t="shared" si="318"/>
        <v>75</v>
      </c>
      <c r="CO537" s="14">
        <f t="shared" si="319"/>
        <v>7</v>
      </c>
      <c r="CP537" s="14">
        <f t="shared" si="320"/>
        <v>3</v>
      </c>
      <c r="CQ537" s="14">
        <f t="shared" si="311"/>
        <v>6</v>
      </c>
      <c r="CR537" s="14">
        <f t="shared" si="312"/>
        <v>2064075</v>
      </c>
      <c r="CS537" s="13" t="str">
        <f t="shared" si="313"/>
        <v>180级寄灵人橙色套3-鞋子</v>
      </c>
      <c r="CT537" s="14">
        <f t="shared" si="314"/>
        <v>1</v>
      </c>
      <c r="CU537" s="14">
        <f t="shared" si="315"/>
        <v>4</v>
      </c>
      <c r="CV537" s="14">
        <f t="shared" si="321"/>
        <v>180</v>
      </c>
      <c r="CW537" s="14">
        <f t="shared" si="322"/>
        <v>180</v>
      </c>
      <c r="CX537" s="14">
        <f t="shared" si="323"/>
        <v>5</v>
      </c>
      <c r="CY537" s="14">
        <f t="shared" si="324"/>
        <v>1063</v>
      </c>
      <c r="CZ537" s="14">
        <f t="shared" si="325"/>
        <v>108</v>
      </c>
      <c r="DA537" s="14">
        <f t="shared" si="326"/>
        <v>0</v>
      </c>
      <c r="DB537" s="14">
        <f t="shared" si="327"/>
        <v>0</v>
      </c>
      <c r="DC537" s="14">
        <f t="shared" si="328"/>
        <v>4050</v>
      </c>
      <c r="DD537" s="14">
        <f t="shared" si="329"/>
        <v>0</v>
      </c>
      <c r="DE537" s="14">
        <f t="shared" si="330"/>
        <v>0</v>
      </c>
      <c r="DF537" s="14">
        <f t="shared" si="331"/>
        <v>108</v>
      </c>
      <c r="DG537" s="14">
        <f t="shared" si="332"/>
        <v>24</v>
      </c>
      <c r="DH537" s="14">
        <f t="shared" si="333"/>
        <v>6</v>
      </c>
      <c r="DI537" s="14">
        <f t="shared" si="334"/>
        <v>16</v>
      </c>
      <c r="DL537" s="14">
        <f t="shared" si="316"/>
        <v>3</v>
      </c>
      <c r="DM537" s="14">
        <f t="shared" si="317"/>
        <v>0</v>
      </c>
      <c r="DN537" s="14" t="str">
        <f t="shared" si="335"/>
        <v>HPExt</v>
      </c>
      <c r="DO537" s="14">
        <f t="shared" si="336"/>
        <v>4050</v>
      </c>
      <c r="DP537" s="14">
        <f t="shared" si="337"/>
        <v>108</v>
      </c>
      <c r="DQ537" s="14" t="str">
        <f t="shared" si="338"/>
        <v/>
      </c>
      <c r="DR537" s="14" t="str">
        <f t="shared" si="339"/>
        <v/>
      </c>
      <c r="DS537" s="14" t="str">
        <f t="shared" si="340"/>
        <v/>
      </c>
      <c r="DT537" s="14">
        <f t="shared" si="341"/>
        <v>24</v>
      </c>
      <c r="DU537" s="14">
        <f t="shared" si="342"/>
        <v>6</v>
      </c>
      <c r="DV537" s="14">
        <f t="shared" si="343"/>
        <v>16</v>
      </c>
      <c r="DW537" s="29" t="s">
        <v>758</v>
      </c>
      <c r="DX537" s="14">
        <f t="shared" si="344"/>
        <v>750</v>
      </c>
    </row>
    <row r="538" spans="91:128" ht="16.5" x14ac:dyDescent="0.2">
      <c r="CM538" s="13">
        <v>534</v>
      </c>
      <c r="CN538" s="14">
        <f t="shared" si="318"/>
        <v>75</v>
      </c>
      <c r="CO538" s="14">
        <f t="shared" si="319"/>
        <v>7</v>
      </c>
      <c r="CP538" s="14">
        <f t="shared" si="320"/>
        <v>4</v>
      </c>
      <c r="CQ538" s="14">
        <f t="shared" si="311"/>
        <v>6</v>
      </c>
      <c r="CR538" s="14">
        <f t="shared" si="312"/>
        <v>2064076</v>
      </c>
      <c r="CS538" s="13" t="str">
        <f t="shared" si="313"/>
        <v>180级寄灵人橙色套3-护手</v>
      </c>
      <c r="CT538" s="14">
        <f t="shared" si="314"/>
        <v>1</v>
      </c>
      <c r="CU538" s="14">
        <f t="shared" si="315"/>
        <v>4</v>
      </c>
      <c r="CV538" s="14">
        <f t="shared" si="321"/>
        <v>180</v>
      </c>
      <c r="CW538" s="14">
        <f t="shared" si="322"/>
        <v>180</v>
      </c>
      <c r="CX538" s="14">
        <f t="shared" si="323"/>
        <v>6</v>
      </c>
      <c r="CY538" s="14">
        <f t="shared" si="324"/>
        <v>1063</v>
      </c>
      <c r="CZ538" s="14">
        <f t="shared" si="325"/>
        <v>108</v>
      </c>
      <c r="DA538" s="14">
        <f t="shared" si="326"/>
        <v>0</v>
      </c>
      <c r="DB538" s="14">
        <f t="shared" si="327"/>
        <v>0</v>
      </c>
      <c r="DC538" s="14">
        <f t="shared" si="328"/>
        <v>4050</v>
      </c>
      <c r="DD538" s="14">
        <f t="shared" si="329"/>
        <v>0</v>
      </c>
      <c r="DE538" s="14">
        <f t="shared" si="330"/>
        <v>0</v>
      </c>
      <c r="DF538" s="14">
        <f t="shared" si="331"/>
        <v>108</v>
      </c>
      <c r="DG538" s="14">
        <f t="shared" si="332"/>
        <v>24</v>
      </c>
      <c r="DH538" s="14">
        <f t="shared" si="333"/>
        <v>6</v>
      </c>
      <c r="DI538" s="14">
        <f t="shared" si="334"/>
        <v>16</v>
      </c>
      <c r="DL538" s="14">
        <f t="shared" si="316"/>
        <v>3</v>
      </c>
      <c r="DM538" s="14">
        <f t="shared" si="317"/>
        <v>0</v>
      </c>
      <c r="DN538" s="14" t="str">
        <f t="shared" si="335"/>
        <v>HPExt</v>
      </c>
      <c r="DO538" s="14">
        <f t="shared" si="336"/>
        <v>4050</v>
      </c>
      <c r="DP538" s="14">
        <f t="shared" si="337"/>
        <v>108</v>
      </c>
      <c r="DQ538" s="14" t="str">
        <f t="shared" si="338"/>
        <v/>
      </c>
      <c r="DR538" s="14" t="str">
        <f t="shared" si="339"/>
        <v/>
      </c>
      <c r="DS538" s="14" t="str">
        <f t="shared" si="340"/>
        <v/>
      </c>
      <c r="DT538" s="14">
        <f t="shared" si="341"/>
        <v>24</v>
      </c>
      <c r="DU538" s="14">
        <f t="shared" si="342"/>
        <v>6</v>
      </c>
      <c r="DV538" s="14">
        <f t="shared" si="343"/>
        <v>16</v>
      </c>
      <c r="DW538" s="29" t="s">
        <v>758</v>
      </c>
      <c r="DX538" s="14">
        <f t="shared" si="344"/>
        <v>750</v>
      </c>
    </row>
    <row r="539" spans="91:128" ht="16.5" x14ac:dyDescent="0.2">
      <c r="CM539" s="13">
        <v>535</v>
      </c>
      <c r="CN539" s="14">
        <f t="shared" si="318"/>
        <v>75</v>
      </c>
      <c r="CO539" s="14">
        <f t="shared" si="319"/>
        <v>7</v>
      </c>
      <c r="CP539" s="14">
        <f t="shared" si="320"/>
        <v>5</v>
      </c>
      <c r="CQ539" s="14">
        <f t="shared" si="311"/>
        <v>6</v>
      </c>
      <c r="CR539" s="14">
        <f t="shared" si="312"/>
        <v>2064077</v>
      </c>
      <c r="CS539" s="13" t="str">
        <f t="shared" si="313"/>
        <v>180级寄灵人橙色套3-项链</v>
      </c>
      <c r="CT539" s="14">
        <f t="shared" si="314"/>
        <v>1</v>
      </c>
      <c r="CU539" s="14">
        <f t="shared" si="315"/>
        <v>4</v>
      </c>
      <c r="CV539" s="14">
        <f t="shared" si="321"/>
        <v>180</v>
      </c>
      <c r="CW539" s="14">
        <f t="shared" si="322"/>
        <v>180</v>
      </c>
      <c r="CX539" s="14">
        <f t="shared" si="323"/>
        <v>7</v>
      </c>
      <c r="CY539" s="14">
        <f t="shared" si="324"/>
        <v>1063</v>
      </c>
      <c r="CZ539" s="14">
        <f t="shared" si="325"/>
        <v>270</v>
      </c>
      <c r="DA539" s="14">
        <f t="shared" si="326"/>
        <v>900</v>
      </c>
      <c r="DB539" s="14">
        <f t="shared" si="327"/>
        <v>563</v>
      </c>
      <c r="DC539" s="14">
        <f t="shared" si="328"/>
        <v>0</v>
      </c>
      <c r="DD539" s="14">
        <f t="shared" si="329"/>
        <v>24</v>
      </c>
      <c r="DE539" s="14">
        <f t="shared" si="330"/>
        <v>15</v>
      </c>
      <c r="DF539" s="14">
        <f t="shared" si="331"/>
        <v>0</v>
      </c>
      <c r="DG539" s="14">
        <f t="shared" si="332"/>
        <v>24</v>
      </c>
      <c r="DH539" s="14">
        <f t="shared" si="333"/>
        <v>6</v>
      </c>
      <c r="DI539" s="14">
        <f t="shared" si="334"/>
        <v>16</v>
      </c>
      <c r="DL539" s="14">
        <f t="shared" si="316"/>
        <v>1</v>
      </c>
      <c r="DM539" s="14">
        <f t="shared" si="317"/>
        <v>2</v>
      </c>
      <c r="DN539" s="14" t="str">
        <f t="shared" si="335"/>
        <v>AtkExt</v>
      </c>
      <c r="DO539" s="14">
        <f t="shared" si="336"/>
        <v>900</v>
      </c>
      <c r="DP539" s="14">
        <f t="shared" si="337"/>
        <v>24</v>
      </c>
      <c r="DQ539" s="14" t="str">
        <f t="shared" si="338"/>
        <v>DefExt</v>
      </c>
      <c r="DR539" s="14">
        <f t="shared" si="339"/>
        <v>563</v>
      </c>
      <c r="DS539" s="14">
        <f t="shared" si="340"/>
        <v>15</v>
      </c>
      <c r="DT539" s="14">
        <f t="shared" si="341"/>
        <v>24</v>
      </c>
      <c r="DU539" s="14">
        <f t="shared" si="342"/>
        <v>6</v>
      </c>
      <c r="DV539" s="14">
        <f t="shared" si="343"/>
        <v>16</v>
      </c>
      <c r="DW539" s="29" t="s">
        <v>758</v>
      </c>
      <c r="DX539" s="14">
        <f t="shared" si="344"/>
        <v>750</v>
      </c>
    </row>
    <row r="540" spans="91:128" ht="16.5" x14ac:dyDescent="0.2">
      <c r="CM540" s="13">
        <v>536</v>
      </c>
      <c r="CN540" s="14">
        <f t="shared" si="318"/>
        <v>75</v>
      </c>
      <c r="CO540" s="14">
        <f t="shared" si="319"/>
        <v>7</v>
      </c>
      <c r="CP540" s="14">
        <f t="shared" si="320"/>
        <v>6</v>
      </c>
      <c r="CQ540" s="14">
        <f t="shared" si="311"/>
        <v>6</v>
      </c>
      <c r="CR540" s="14">
        <f t="shared" si="312"/>
        <v>2064078</v>
      </c>
      <c r="CS540" s="13" t="str">
        <f t="shared" si="313"/>
        <v>180级寄灵人橙色套3-戒指</v>
      </c>
      <c r="CT540" s="14">
        <f t="shared" si="314"/>
        <v>1</v>
      </c>
      <c r="CU540" s="14">
        <f t="shared" si="315"/>
        <v>4</v>
      </c>
      <c r="CV540" s="14">
        <f t="shared" si="321"/>
        <v>180</v>
      </c>
      <c r="CW540" s="14">
        <f t="shared" si="322"/>
        <v>180</v>
      </c>
      <c r="CX540" s="14">
        <f t="shared" si="323"/>
        <v>8</v>
      </c>
      <c r="CY540" s="14">
        <f t="shared" si="324"/>
        <v>1063</v>
      </c>
      <c r="CZ540" s="14">
        <f t="shared" si="325"/>
        <v>210</v>
      </c>
      <c r="DA540" s="14">
        <f t="shared" si="326"/>
        <v>900</v>
      </c>
      <c r="DB540" s="14">
        <f t="shared" si="327"/>
        <v>0</v>
      </c>
      <c r="DC540" s="14">
        <f t="shared" si="328"/>
        <v>3375</v>
      </c>
      <c r="DD540" s="14">
        <f t="shared" si="329"/>
        <v>24</v>
      </c>
      <c r="DE540" s="14">
        <f t="shared" si="330"/>
        <v>0</v>
      </c>
      <c r="DF540" s="14">
        <f t="shared" si="331"/>
        <v>90</v>
      </c>
      <c r="DG540" s="14">
        <f t="shared" si="332"/>
        <v>24</v>
      </c>
      <c r="DH540" s="14">
        <f t="shared" si="333"/>
        <v>6</v>
      </c>
      <c r="DI540" s="14">
        <f t="shared" si="334"/>
        <v>16</v>
      </c>
      <c r="DL540" s="14">
        <f t="shared" si="316"/>
        <v>1</v>
      </c>
      <c r="DM540" s="14">
        <f t="shared" si="317"/>
        <v>3</v>
      </c>
      <c r="DN540" s="14" t="str">
        <f t="shared" si="335"/>
        <v>AtkExt</v>
      </c>
      <c r="DO540" s="14">
        <f t="shared" si="336"/>
        <v>900</v>
      </c>
      <c r="DP540" s="14">
        <f t="shared" si="337"/>
        <v>24</v>
      </c>
      <c r="DQ540" s="14" t="str">
        <f t="shared" si="338"/>
        <v>HPExt</v>
      </c>
      <c r="DR540" s="14">
        <f t="shared" si="339"/>
        <v>3375</v>
      </c>
      <c r="DS540" s="14">
        <f t="shared" si="340"/>
        <v>90</v>
      </c>
      <c r="DT540" s="14">
        <f t="shared" si="341"/>
        <v>24</v>
      </c>
      <c r="DU540" s="14">
        <f t="shared" si="342"/>
        <v>6</v>
      </c>
      <c r="DV540" s="14">
        <f t="shared" si="343"/>
        <v>16</v>
      </c>
      <c r="DW540" s="29" t="s">
        <v>758</v>
      </c>
      <c r="DX540" s="14">
        <f t="shared" si="344"/>
        <v>750</v>
      </c>
    </row>
    <row r="541" spans="91:128" ht="16.5" x14ac:dyDescent="0.2">
      <c r="CM541" s="13">
        <v>537</v>
      </c>
      <c r="CN541" s="14">
        <f t="shared" si="318"/>
        <v>76</v>
      </c>
      <c r="CO541" s="14">
        <f t="shared" si="319"/>
        <v>8</v>
      </c>
      <c r="CP541" s="14">
        <f t="shared" si="320"/>
        <v>1</v>
      </c>
      <c r="CQ541" s="14">
        <f t="shared" si="311"/>
        <v>6</v>
      </c>
      <c r="CR541" s="14">
        <f t="shared" si="312"/>
        <v>2064081</v>
      </c>
      <c r="CS541" s="13" t="str">
        <f t="shared" si="313"/>
        <v>180级守护灵橙色套3-武器</v>
      </c>
      <c r="CT541" s="14">
        <f t="shared" si="314"/>
        <v>2</v>
      </c>
      <c r="CU541" s="14">
        <f t="shared" si="315"/>
        <v>4</v>
      </c>
      <c r="CV541" s="14">
        <f t="shared" si="321"/>
        <v>180</v>
      </c>
      <c r="CW541" s="14">
        <f t="shared" si="322"/>
        <v>180</v>
      </c>
      <c r="CX541" s="14">
        <f t="shared" si="323"/>
        <v>1</v>
      </c>
      <c r="CY541" s="14">
        <f t="shared" si="324"/>
        <v>2063</v>
      </c>
      <c r="CZ541" s="14">
        <f t="shared" si="325"/>
        <v>360</v>
      </c>
      <c r="DA541" s="14">
        <f t="shared" si="326"/>
        <v>2550</v>
      </c>
      <c r="DB541" s="14">
        <f t="shared" si="327"/>
        <v>0</v>
      </c>
      <c r="DC541" s="14">
        <f t="shared" si="328"/>
        <v>0</v>
      </c>
      <c r="DD541" s="14">
        <f t="shared" si="329"/>
        <v>72</v>
      </c>
      <c r="DE541" s="14">
        <f t="shared" si="330"/>
        <v>0</v>
      </c>
      <c r="DF541" s="14">
        <f t="shared" si="331"/>
        <v>0</v>
      </c>
      <c r="DG541" s="14">
        <f t="shared" si="332"/>
        <v>24</v>
      </c>
      <c r="DH541" s="14">
        <f t="shared" si="333"/>
        <v>6</v>
      </c>
      <c r="DI541" s="14">
        <f t="shared" si="334"/>
        <v>26</v>
      </c>
      <c r="DL541" s="14">
        <f t="shared" si="316"/>
        <v>1</v>
      </c>
      <c r="DM541" s="14">
        <f t="shared" si="317"/>
        <v>0</v>
      </c>
      <c r="DN541" s="14" t="str">
        <f t="shared" si="335"/>
        <v>AtkExt</v>
      </c>
      <c r="DO541" s="14">
        <f t="shared" si="336"/>
        <v>2550</v>
      </c>
      <c r="DP541" s="14">
        <f t="shared" si="337"/>
        <v>72</v>
      </c>
      <c r="DQ541" s="14" t="str">
        <f t="shared" si="338"/>
        <v/>
      </c>
      <c r="DR541" s="14" t="str">
        <f t="shared" si="339"/>
        <v/>
      </c>
      <c r="DS541" s="14" t="str">
        <f t="shared" si="340"/>
        <v/>
      </c>
      <c r="DT541" s="14">
        <f t="shared" si="341"/>
        <v>24</v>
      </c>
      <c r="DU541" s="14">
        <f t="shared" si="342"/>
        <v>6</v>
      </c>
      <c r="DV541" s="14">
        <f t="shared" si="343"/>
        <v>26</v>
      </c>
      <c r="DW541" s="29" t="s">
        <v>758</v>
      </c>
      <c r="DX541" s="14">
        <f t="shared" si="344"/>
        <v>750</v>
      </c>
    </row>
    <row r="542" spans="91:128" ht="16.5" x14ac:dyDescent="0.2">
      <c r="CM542" s="13">
        <v>538</v>
      </c>
      <c r="CN542" s="14">
        <f t="shared" si="318"/>
        <v>76</v>
      </c>
      <c r="CO542" s="14">
        <f t="shared" si="319"/>
        <v>8</v>
      </c>
      <c r="CP542" s="14">
        <f t="shared" si="320"/>
        <v>2</v>
      </c>
      <c r="CQ542" s="14">
        <f t="shared" si="311"/>
        <v>6</v>
      </c>
      <c r="CR542" s="14">
        <f t="shared" si="312"/>
        <v>2064084</v>
      </c>
      <c r="CS542" s="13" t="str">
        <f t="shared" si="313"/>
        <v>180级守护灵橙色套3-衣服</v>
      </c>
      <c r="CT542" s="14">
        <f t="shared" si="314"/>
        <v>2</v>
      </c>
      <c r="CU542" s="14">
        <f t="shared" si="315"/>
        <v>4</v>
      </c>
      <c r="CV542" s="14">
        <f t="shared" si="321"/>
        <v>180</v>
      </c>
      <c r="CW542" s="14">
        <f t="shared" si="322"/>
        <v>180</v>
      </c>
      <c r="CX542" s="14">
        <f t="shared" si="323"/>
        <v>4</v>
      </c>
      <c r="CY542" s="14">
        <f t="shared" si="324"/>
        <v>2063</v>
      </c>
      <c r="CZ542" s="14">
        <f t="shared" si="325"/>
        <v>180</v>
      </c>
      <c r="DA542" s="14">
        <f t="shared" si="326"/>
        <v>0</v>
      </c>
      <c r="DB542" s="14">
        <f t="shared" si="327"/>
        <v>638</v>
      </c>
      <c r="DC542" s="14">
        <f t="shared" si="328"/>
        <v>0</v>
      </c>
      <c r="DD542" s="14">
        <f t="shared" si="329"/>
        <v>0</v>
      </c>
      <c r="DE542" s="14">
        <f t="shared" si="330"/>
        <v>18</v>
      </c>
      <c r="DF542" s="14">
        <f t="shared" si="331"/>
        <v>0</v>
      </c>
      <c r="DG542" s="14">
        <f t="shared" si="332"/>
        <v>24</v>
      </c>
      <c r="DH542" s="14">
        <f t="shared" si="333"/>
        <v>6</v>
      </c>
      <c r="DI542" s="14">
        <f t="shared" si="334"/>
        <v>26</v>
      </c>
      <c r="DL542" s="14">
        <f t="shared" si="316"/>
        <v>2</v>
      </c>
      <c r="DM542" s="14">
        <f t="shared" si="317"/>
        <v>0</v>
      </c>
      <c r="DN542" s="14" t="str">
        <f t="shared" si="335"/>
        <v>DefExt</v>
      </c>
      <c r="DO542" s="14">
        <f t="shared" si="336"/>
        <v>638</v>
      </c>
      <c r="DP542" s="14">
        <f t="shared" si="337"/>
        <v>18</v>
      </c>
      <c r="DQ542" s="14" t="str">
        <f t="shared" si="338"/>
        <v/>
      </c>
      <c r="DR542" s="14" t="str">
        <f t="shared" si="339"/>
        <v/>
      </c>
      <c r="DS542" s="14" t="str">
        <f t="shared" si="340"/>
        <v/>
      </c>
      <c r="DT542" s="14">
        <f t="shared" si="341"/>
        <v>24</v>
      </c>
      <c r="DU542" s="14">
        <f t="shared" si="342"/>
        <v>6</v>
      </c>
      <c r="DV542" s="14">
        <f t="shared" si="343"/>
        <v>26</v>
      </c>
      <c r="DW542" s="29" t="s">
        <v>758</v>
      </c>
      <c r="DX542" s="14">
        <f t="shared" si="344"/>
        <v>750</v>
      </c>
    </row>
    <row r="543" spans="91:128" ht="16.5" x14ac:dyDescent="0.2">
      <c r="CM543" s="13">
        <v>539</v>
      </c>
      <c r="CN543" s="14">
        <f t="shared" si="318"/>
        <v>76</v>
      </c>
      <c r="CO543" s="14">
        <f t="shared" si="319"/>
        <v>8</v>
      </c>
      <c r="CP543" s="14">
        <f t="shared" si="320"/>
        <v>3</v>
      </c>
      <c r="CQ543" s="14">
        <f t="shared" si="311"/>
        <v>6</v>
      </c>
      <c r="CR543" s="14">
        <f t="shared" si="312"/>
        <v>2064085</v>
      </c>
      <c r="CS543" s="13" t="str">
        <f t="shared" si="313"/>
        <v>180级守护灵橙色套3-鞋子</v>
      </c>
      <c r="CT543" s="14">
        <f t="shared" si="314"/>
        <v>2</v>
      </c>
      <c r="CU543" s="14">
        <f t="shared" si="315"/>
        <v>4</v>
      </c>
      <c r="CV543" s="14">
        <f t="shared" si="321"/>
        <v>180</v>
      </c>
      <c r="CW543" s="14">
        <f t="shared" si="322"/>
        <v>180</v>
      </c>
      <c r="CX543" s="14">
        <f t="shared" si="323"/>
        <v>5</v>
      </c>
      <c r="CY543" s="14">
        <f t="shared" si="324"/>
        <v>2063</v>
      </c>
      <c r="CZ543" s="14">
        <f t="shared" si="325"/>
        <v>195</v>
      </c>
      <c r="DA543" s="14">
        <f t="shared" si="326"/>
        <v>0</v>
      </c>
      <c r="DB543" s="14">
        <f t="shared" si="327"/>
        <v>0</v>
      </c>
      <c r="DC543" s="14">
        <f t="shared" si="328"/>
        <v>6000</v>
      </c>
      <c r="DD543" s="14">
        <f t="shared" si="329"/>
        <v>0</v>
      </c>
      <c r="DE543" s="14">
        <f t="shared" si="330"/>
        <v>0</v>
      </c>
      <c r="DF543" s="14">
        <f t="shared" si="331"/>
        <v>195</v>
      </c>
      <c r="DG543" s="14">
        <f t="shared" si="332"/>
        <v>24</v>
      </c>
      <c r="DH543" s="14">
        <f t="shared" si="333"/>
        <v>6</v>
      </c>
      <c r="DI543" s="14">
        <f t="shared" si="334"/>
        <v>26</v>
      </c>
      <c r="DL543" s="14">
        <f t="shared" si="316"/>
        <v>3</v>
      </c>
      <c r="DM543" s="14">
        <f t="shared" si="317"/>
        <v>0</v>
      </c>
      <c r="DN543" s="14" t="str">
        <f t="shared" si="335"/>
        <v>HPExt</v>
      </c>
      <c r="DO543" s="14">
        <f t="shared" si="336"/>
        <v>6000</v>
      </c>
      <c r="DP543" s="14">
        <f t="shared" si="337"/>
        <v>195</v>
      </c>
      <c r="DQ543" s="14" t="str">
        <f t="shared" si="338"/>
        <v/>
      </c>
      <c r="DR543" s="14" t="str">
        <f t="shared" si="339"/>
        <v/>
      </c>
      <c r="DS543" s="14" t="str">
        <f t="shared" si="340"/>
        <v/>
      </c>
      <c r="DT543" s="14">
        <f t="shared" si="341"/>
        <v>24</v>
      </c>
      <c r="DU543" s="14">
        <f t="shared" si="342"/>
        <v>6</v>
      </c>
      <c r="DV543" s="14">
        <f t="shared" si="343"/>
        <v>26</v>
      </c>
      <c r="DW543" s="29" t="s">
        <v>758</v>
      </c>
      <c r="DX543" s="14">
        <f t="shared" si="344"/>
        <v>750</v>
      </c>
    </row>
    <row r="544" spans="91:128" ht="16.5" x14ac:dyDescent="0.2">
      <c r="CM544" s="13">
        <v>540</v>
      </c>
      <c r="CN544" s="14">
        <f t="shared" si="318"/>
        <v>76</v>
      </c>
      <c r="CO544" s="14">
        <f t="shared" si="319"/>
        <v>8</v>
      </c>
      <c r="CP544" s="14">
        <f t="shared" si="320"/>
        <v>4</v>
      </c>
      <c r="CQ544" s="14">
        <f t="shared" si="311"/>
        <v>6</v>
      </c>
      <c r="CR544" s="14">
        <f t="shared" si="312"/>
        <v>2064086</v>
      </c>
      <c r="CS544" s="13" t="str">
        <f t="shared" si="313"/>
        <v>180级守护灵橙色套3-护手</v>
      </c>
      <c r="CT544" s="14">
        <f t="shared" si="314"/>
        <v>2</v>
      </c>
      <c r="CU544" s="14">
        <f t="shared" si="315"/>
        <v>4</v>
      </c>
      <c r="CV544" s="14">
        <f t="shared" si="321"/>
        <v>180</v>
      </c>
      <c r="CW544" s="14">
        <f t="shared" si="322"/>
        <v>180</v>
      </c>
      <c r="CX544" s="14">
        <f t="shared" si="323"/>
        <v>6</v>
      </c>
      <c r="CY544" s="14">
        <f t="shared" si="324"/>
        <v>2063</v>
      </c>
      <c r="CZ544" s="14">
        <f t="shared" si="325"/>
        <v>195</v>
      </c>
      <c r="DA544" s="14">
        <f t="shared" si="326"/>
        <v>0</v>
      </c>
      <c r="DB544" s="14">
        <f t="shared" si="327"/>
        <v>0</v>
      </c>
      <c r="DC544" s="14">
        <f t="shared" si="328"/>
        <v>6000</v>
      </c>
      <c r="DD544" s="14">
        <f t="shared" si="329"/>
        <v>0</v>
      </c>
      <c r="DE544" s="14">
        <f t="shared" si="330"/>
        <v>0</v>
      </c>
      <c r="DF544" s="14">
        <f t="shared" si="331"/>
        <v>195</v>
      </c>
      <c r="DG544" s="14">
        <f t="shared" si="332"/>
        <v>24</v>
      </c>
      <c r="DH544" s="14">
        <f t="shared" si="333"/>
        <v>6</v>
      </c>
      <c r="DI544" s="14">
        <f t="shared" si="334"/>
        <v>26</v>
      </c>
      <c r="DL544" s="14">
        <f t="shared" si="316"/>
        <v>3</v>
      </c>
      <c r="DM544" s="14">
        <f t="shared" si="317"/>
        <v>0</v>
      </c>
      <c r="DN544" s="14" t="str">
        <f t="shared" si="335"/>
        <v>HPExt</v>
      </c>
      <c r="DO544" s="14">
        <f t="shared" si="336"/>
        <v>6000</v>
      </c>
      <c r="DP544" s="14">
        <f t="shared" si="337"/>
        <v>195</v>
      </c>
      <c r="DQ544" s="14" t="str">
        <f t="shared" si="338"/>
        <v/>
      </c>
      <c r="DR544" s="14" t="str">
        <f t="shared" si="339"/>
        <v/>
      </c>
      <c r="DS544" s="14" t="str">
        <f t="shared" si="340"/>
        <v/>
      </c>
      <c r="DT544" s="14">
        <f t="shared" si="341"/>
        <v>24</v>
      </c>
      <c r="DU544" s="14">
        <f t="shared" si="342"/>
        <v>6</v>
      </c>
      <c r="DV544" s="14">
        <f t="shared" si="343"/>
        <v>26</v>
      </c>
      <c r="DW544" s="29" t="s">
        <v>758</v>
      </c>
      <c r="DX544" s="14">
        <f t="shared" si="344"/>
        <v>750</v>
      </c>
    </row>
    <row r="545" spans="91:128" ht="16.5" x14ac:dyDescent="0.2">
      <c r="CM545" s="13">
        <v>541</v>
      </c>
      <c r="CN545" s="14">
        <f t="shared" si="318"/>
        <v>76</v>
      </c>
      <c r="CO545" s="14">
        <f t="shared" si="319"/>
        <v>8</v>
      </c>
      <c r="CP545" s="14">
        <f t="shared" si="320"/>
        <v>5</v>
      </c>
      <c r="CQ545" s="14">
        <f t="shared" si="311"/>
        <v>6</v>
      </c>
      <c r="CR545" s="14">
        <f t="shared" si="312"/>
        <v>2064087</v>
      </c>
      <c r="CS545" s="13" t="str">
        <f t="shared" si="313"/>
        <v>180级守护灵橙色套3-项链</v>
      </c>
      <c r="CT545" s="14">
        <f t="shared" si="314"/>
        <v>2</v>
      </c>
      <c r="CU545" s="14">
        <f t="shared" si="315"/>
        <v>4</v>
      </c>
      <c r="CV545" s="14">
        <f t="shared" si="321"/>
        <v>180</v>
      </c>
      <c r="CW545" s="14">
        <f t="shared" si="322"/>
        <v>180</v>
      </c>
      <c r="CX545" s="14">
        <f t="shared" si="323"/>
        <v>7</v>
      </c>
      <c r="CY545" s="14">
        <f t="shared" si="324"/>
        <v>2063</v>
      </c>
      <c r="CZ545" s="14">
        <f t="shared" si="325"/>
        <v>270</v>
      </c>
      <c r="DA545" s="14">
        <f t="shared" si="326"/>
        <v>850</v>
      </c>
      <c r="DB545" s="14">
        <f t="shared" si="327"/>
        <v>531</v>
      </c>
      <c r="DC545" s="14">
        <f t="shared" si="328"/>
        <v>0</v>
      </c>
      <c r="DD545" s="14">
        <f t="shared" si="329"/>
        <v>24</v>
      </c>
      <c r="DE545" s="14">
        <f t="shared" si="330"/>
        <v>15</v>
      </c>
      <c r="DF545" s="14">
        <f t="shared" si="331"/>
        <v>0</v>
      </c>
      <c r="DG545" s="14">
        <f t="shared" si="332"/>
        <v>24</v>
      </c>
      <c r="DH545" s="14">
        <f t="shared" si="333"/>
        <v>6</v>
      </c>
      <c r="DI545" s="14">
        <f t="shared" si="334"/>
        <v>26</v>
      </c>
      <c r="DL545" s="14">
        <f t="shared" si="316"/>
        <v>1</v>
      </c>
      <c r="DM545" s="14">
        <f t="shared" si="317"/>
        <v>2</v>
      </c>
      <c r="DN545" s="14" t="str">
        <f t="shared" si="335"/>
        <v>AtkExt</v>
      </c>
      <c r="DO545" s="14">
        <f t="shared" si="336"/>
        <v>850</v>
      </c>
      <c r="DP545" s="14">
        <f t="shared" si="337"/>
        <v>24</v>
      </c>
      <c r="DQ545" s="14" t="str">
        <f t="shared" si="338"/>
        <v>DefExt</v>
      </c>
      <c r="DR545" s="14">
        <f t="shared" si="339"/>
        <v>531</v>
      </c>
      <c r="DS545" s="14">
        <f t="shared" si="340"/>
        <v>15</v>
      </c>
      <c r="DT545" s="14">
        <f t="shared" si="341"/>
        <v>24</v>
      </c>
      <c r="DU545" s="14">
        <f t="shared" si="342"/>
        <v>6</v>
      </c>
      <c r="DV545" s="14">
        <f t="shared" si="343"/>
        <v>26</v>
      </c>
      <c r="DW545" s="29" t="s">
        <v>758</v>
      </c>
      <c r="DX545" s="14">
        <f t="shared" si="344"/>
        <v>750</v>
      </c>
    </row>
    <row r="546" spans="91:128" ht="16.5" x14ac:dyDescent="0.2">
      <c r="CM546" s="13">
        <v>542</v>
      </c>
      <c r="CN546" s="14">
        <f>MATCH(CM546-1,$CB$5:$CB$81,1)</f>
        <v>76</v>
      </c>
      <c r="CO546" s="14">
        <f>INDEX($BW$6:$BW$81,CN546)</f>
        <v>8</v>
      </c>
      <c r="CP546" s="14">
        <f t="shared" si="320"/>
        <v>6</v>
      </c>
      <c r="CQ546" s="14">
        <f>INDEX($BS$6:$BS$81,CN546)</f>
        <v>6</v>
      </c>
      <c r="CR546" s="14">
        <f>INDEX($BX$6:$BX$81,CN546)+CX546</f>
        <v>2064088</v>
      </c>
      <c r="CS546" s="13" t="str">
        <f>INDEX($BY$6:$BY$81,CN546)&amp;"-"&amp;INDEX($CC$3:$CJ$3,CX546)</f>
        <v>180级守护灵橙色套3-戒指</v>
      </c>
      <c r="CT546" s="14">
        <f>INDEX($BV$6:$BV$81,CN546)</f>
        <v>2</v>
      </c>
      <c r="CU546" s="14">
        <f>INDEX($BU$6:$BU$81,CN546)</f>
        <v>4</v>
      </c>
      <c r="CV546" s="14">
        <f>INDEX($D$5:$D$16,(CT546-1)*6+CQ546)</f>
        <v>180</v>
      </c>
      <c r="CW546" s="14">
        <f>INDEX($D$5:$D$16,(CT546-1)*6+CQ546)</f>
        <v>180</v>
      </c>
      <c r="CX546" s="14">
        <f t="shared" si="323"/>
        <v>8</v>
      </c>
      <c r="CY546" s="14">
        <f>IF(INDEX($BZ$6:$BZ$81,CN546)&gt;0,INDEX($BZ$6:$BZ$81,CN546),"")</f>
        <v>2063</v>
      </c>
      <c r="CZ546" s="14">
        <f t="shared" si="325"/>
        <v>282</v>
      </c>
      <c r="DA546" s="14">
        <f t="shared" si="326"/>
        <v>850</v>
      </c>
      <c r="DB546" s="14">
        <f t="shared" si="327"/>
        <v>0</v>
      </c>
      <c r="DC546" s="14">
        <f t="shared" si="328"/>
        <v>5000</v>
      </c>
      <c r="DD546" s="14">
        <f t="shared" si="329"/>
        <v>24</v>
      </c>
      <c r="DE546" s="14">
        <f t="shared" si="330"/>
        <v>0</v>
      </c>
      <c r="DF546" s="14">
        <f t="shared" si="331"/>
        <v>162.5</v>
      </c>
      <c r="DG546" s="14">
        <f>(CQ546-1)*4+CU546</f>
        <v>24</v>
      </c>
      <c r="DH546" s="14">
        <f>INDEX($BM$5:$BP$16,CQ546,CU546)</f>
        <v>6</v>
      </c>
      <c r="DI546" s="14">
        <f>CT546*10+CQ546</f>
        <v>26</v>
      </c>
      <c r="DL546" s="14">
        <f t="shared" si="316"/>
        <v>1</v>
      </c>
      <c r="DM546" s="14">
        <f t="shared" si="317"/>
        <v>3</v>
      </c>
      <c r="DN546" s="14" t="str">
        <f>INDEX($AA$3:$AC$3,DL546)</f>
        <v>AtkExt</v>
      </c>
      <c r="DO546" s="14">
        <f>INDEX(DA546:DC546,DL546)</f>
        <v>850</v>
      </c>
      <c r="DP546" s="14">
        <f>INDEX(DD546:DF546,DL546)</f>
        <v>24</v>
      </c>
      <c r="DQ546" s="14" t="str">
        <f>IF(DM546&gt;0,INDEX($AA$3:$AC$3,DM546),"")</f>
        <v>HPExt</v>
      </c>
      <c r="DR546" s="14">
        <f>IF(DM546&gt;0,INDEX(DA546:DC546,DM546),"")</f>
        <v>5000</v>
      </c>
      <c r="DS546" s="14">
        <f>IF(DM546&gt;0,INDEX(DD546:DF546,DM546),"")</f>
        <v>162.5</v>
      </c>
      <c r="DT546" s="14">
        <f>(CQ546-1)*4+CU546</f>
        <v>24</v>
      </c>
      <c r="DU546" s="14">
        <f>INDEX($BM$5:$BP$16,CQ546,CU546)</f>
        <v>6</v>
      </c>
      <c r="DV546" s="14">
        <f>CT546*10+CQ546</f>
        <v>26</v>
      </c>
      <c r="DW546" s="29" t="s">
        <v>758</v>
      </c>
      <c r="DX546" s="14">
        <f>INDEX($T$5:$Y$8,CU546,CQ546)</f>
        <v>750</v>
      </c>
    </row>
    <row r="547" spans="91:128" ht="16.5" x14ac:dyDescent="0.2">
      <c r="CM547" s="13"/>
      <c r="CN547" s="14"/>
      <c r="CO547" s="14"/>
      <c r="CP547" s="14"/>
      <c r="CQ547" s="14"/>
      <c r="CR547" s="14"/>
      <c r="CS547" s="13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</row>
    <row r="548" spans="91:128" x14ac:dyDescent="0.2"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</row>
    <row r="549" spans="91:128" x14ac:dyDescent="0.2"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</row>
    <row r="550" spans="91:128" x14ac:dyDescent="0.2"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</row>
    <row r="551" spans="91:128" x14ac:dyDescent="0.2"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</row>
    <row r="552" spans="91:128" x14ac:dyDescent="0.2"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</row>
  </sheetData>
  <mergeCells count="4">
    <mergeCell ref="EE3:EJ3"/>
    <mergeCell ref="EL3:EQ3"/>
    <mergeCell ref="ET3:FB3"/>
    <mergeCell ref="S3:Y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204"/>
  <sheetViews>
    <sheetView tabSelected="1" topLeftCell="BD1" workbookViewId="0">
      <selection activeCell="CB26" sqref="CB26"/>
    </sheetView>
  </sheetViews>
  <sheetFormatPr defaultRowHeight="14.25" x14ac:dyDescent="0.2"/>
  <cols>
    <col min="2" max="6" width="9" style="37"/>
    <col min="10" max="10" width="9.625" style="37" customWidth="1"/>
    <col min="11" max="16" width="9" style="37"/>
    <col min="22" max="35" width="9" style="37"/>
    <col min="44" max="58" width="9" customWidth="1"/>
    <col min="59" max="59" width="9.25" customWidth="1"/>
    <col min="60" max="63" width="9" customWidth="1"/>
    <col min="64" max="64" width="9.625" customWidth="1"/>
  </cols>
  <sheetData>
    <row r="2" spans="1:69" ht="20.25" x14ac:dyDescent="0.2">
      <c r="B2" s="65" t="s">
        <v>844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4" t="s">
        <v>845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 t="s">
        <v>885</v>
      </c>
      <c r="AC2" s="64"/>
      <c r="AD2" s="64"/>
      <c r="AE2" s="64"/>
      <c r="AF2" s="64"/>
      <c r="AG2" s="65" t="s">
        <v>887</v>
      </c>
      <c r="AH2" s="65"/>
      <c r="AI2" s="65"/>
      <c r="AJ2" s="65" t="s">
        <v>888</v>
      </c>
      <c r="AK2" s="65"/>
      <c r="AL2" s="65"/>
      <c r="AM2" s="65"/>
      <c r="AR2">
        <v>5</v>
      </c>
      <c r="AS2">
        <v>10</v>
      </c>
      <c r="AT2">
        <v>1</v>
      </c>
      <c r="AU2" s="37">
        <v>5</v>
      </c>
      <c r="AV2" s="37">
        <v>10</v>
      </c>
      <c r="AW2" s="37">
        <v>1</v>
      </c>
      <c r="AX2" s="37">
        <v>5</v>
      </c>
      <c r="AY2" s="37">
        <v>10</v>
      </c>
      <c r="AZ2" s="37">
        <v>1</v>
      </c>
      <c r="BA2" s="37">
        <v>5</v>
      </c>
      <c r="BB2" s="37">
        <v>10</v>
      </c>
      <c r="BC2" s="37">
        <v>1</v>
      </c>
      <c r="BD2" s="37">
        <v>5</v>
      </c>
      <c r="BE2" s="37">
        <v>10</v>
      </c>
      <c r="BF2" s="37">
        <v>1</v>
      </c>
    </row>
    <row r="3" spans="1:69" ht="15" x14ac:dyDescent="0.2">
      <c r="A3" s="22" t="s">
        <v>839</v>
      </c>
      <c r="B3" s="22" t="s">
        <v>842</v>
      </c>
      <c r="C3" s="22" t="s">
        <v>843</v>
      </c>
      <c r="D3" s="22" t="s">
        <v>114</v>
      </c>
      <c r="E3" s="22" t="s">
        <v>849</v>
      </c>
      <c r="F3" s="22" t="s">
        <v>113</v>
      </c>
      <c r="G3" s="22" t="s">
        <v>857</v>
      </c>
      <c r="H3" s="22" t="s">
        <v>858</v>
      </c>
      <c r="I3" s="22" t="s">
        <v>859</v>
      </c>
      <c r="J3" s="22" t="s">
        <v>851</v>
      </c>
      <c r="K3" s="22" t="s">
        <v>852</v>
      </c>
      <c r="L3" s="22" t="s">
        <v>853</v>
      </c>
      <c r="M3" s="22" t="s">
        <v>850</v>
      </c>
      <c r="N3" s="22" t="s">
        <v>854</v>
      </c>
      <c r="O3" s="22" t="s">
        <v>855</v>
      </c>
      <c r="P3" s="22" t="s">
        <v>856</v>
      </c>
      <c r="Q3" s="22" t="s">
        <v>846</v>
      </c>
      <c r="R3" s="22" t="s">
        <v>847</v>
      </c>
      <c r="S3" s="22" t="s">
        <v>860</v>
      </c>
      <c r="T3" s="22" t="s">
        <v>858</v>
      </c>
      <c r="U3" s="22" t="s">
        <v>859</v>
      </c>
      <c r="V3" s="22" t="s">
        <v>879</v>
      </c>
      <c r="W3" s="22" t="s">
        <v>852</v>
      </c>
      <c r="X3" s="22" t="s">
        <v>882</v>
      </c>
      <c r="Y3" s="22" t="s">
        <v>880</v>
      </c>
      <c r="Z3" s="22" t="s">
        <v>881</v>
      </c>
      <c r="AA3" s="22" t="s">
        <v>883</v>
      </c>
      <c r="AB3" s="22" t="s">
        <v>884</v>
      </c>
      <c r="AC3" s="22" t="s">
        <v>886</v>
      </c>
      <c r="AD3" s="22" t="s">
        <v>840</v>
      </c>
      <c r="AE3" s="22" t="s">
        <v>73</v>
      </c>
      <c r="AF3" s="22" t="s">
        <v>841</v>
      </c>
      <c r="AG3" s="22" t="s">
        <v>840</v>
      </c>
      <c r="AH3" s="22" t="s">
        <v>73</v>
      </c>
      <c r="AI3" s="22" t="s">
        <v>841</v>
      </c>
      <c r="AJ3" s="22" t="s">
        <v>848</v>
      </c>
      <c r="AK3" s="22" t="s">
        <v>840</v>
      </c>
      <c r="AL3" s="22" t="s">
        <v>73</v>
      </c>
      <c r="AM3" s="22" t="s">
        <v>841</v>
      </c>
      <c r="AQ3" s="22" t="s">
        <v>898</v>
      </c>
      <c r="AR3" s="22" t="s">
        <v>899</v>
      </c>
      <c r="AS3" s="22" t="s">
        <v>900</v>
      </c>
      <c r="AT3" s="22" t="s">
        <v>901</v>
      </c>
      <c r="AU3" s="22" t="s">
        <v>902</v>
      </c>
      <c r="AV3" s="22" t="s">
        <v>903</v>
      </c>
      <c r="AW3" s="22" t="s">
        <v>904</v>
      </c>
      <c r="AX3" s="22" t="s">
        <v>905</v>
      </c>
      <c r="AY3" s="22" t="s">
        <v>906</v>
      </c>
      <c r="AZ3" s="22" t="s">
        <v>907</v>
      </c>
      <c r="BA3" s="22" t="s">
        <v>909</v>
      </c>
      <c r="BB3" s="22" t="s">
        <v>910</v>
      </c>
      <c r="BC3" s="22" t="s">
        <v>911</v>
      </c>
      <c r="BD3" s="22" t="s">
        <v>912</v>
      </c>
      <c r="BE3" s="22" t="s">
        <v>913</v>
      </c>
      <c r="BF3" s="22" t="s">
        <v>914</v>
      </c>
      <c r="BG3" s="22" t="s">
        <v>915</v>
      </c>
      <c r="BH3" s="22" t="s">
        <v>916</v>
      </c>
      <c r="BI3" s="22" t="s">
        <v>917</v>
      </c>
      <c r="BJ3" s="22" t="s">
        <v>918</v>
      </c>
      <c r="BK3" s="22" t="s">
        <v>919</v>
      </c>
      <c r="BL3" s="22" t="s">
        <v>920</v>
      </c>
      <c r="BM3" s="22" t="s">
        <v>915</v>
      </c>
      <c r="BN3" s="22" t="s">
        <v>916</v>
      </c>
      <c r="BO3" s="22" t="s">
        <v>917</v>
      </c>
      <c r="BP3" s="22" t="s">
        <v>918</v>
      </c>
      <c r="BQ3" s="22" t="s">
        <v>919</v>
      </c>
    </row>
    <row r="4" spans="1:69" ht="16.5" x14ac:dyDescent="0.2">
      <c r="A4">
        <v>1</v>
      </c>
      <c r="B4" s="37">
        <v>1</v>
      </c>
      <c r="C4" s="37">
        <v>1</v>
      </c>
      <c r="D4" s="37">
        <v>3</v>
      </c>
      <c r="E4" s="37">
        <v>1</v>
      </c>
      <c r="F4" s="37">
        <f>INDEX(新属性投放!$L$6:$L$10,新属性汇总!D4)</f>
        <v>1.1499999999999999</v>
      </c>
      <c r="G4">
        <f>INDEX(新属性投放!J$42:J$62,新属性汇总!$B4)</f>
        <v>200</v>
      </c>
      <c r="H4" s="37">
        <f>INDEX(新属性投放!K$42:K$62,新属性汇总!$B4)</f>
        <v>100</v>
      </c>
      <c r="I4" s="37">
        <f>INDEX(新属性投放!L$42:L$62,新属性汇总!$B4)</f>
        <v>450</v>
      </c>
      <c r="J4" s="37">
        <f>($A4-INDEX(新属性投放!$B$42:$B$62,新属性汇总!$B4))*INDEX(新属性投放!D$42:D$62,新属性汇总!$B4)</f>
        <v>0</v>
      </c>
      <c r="K4" s="37">
        <f>($A4-INDEX(新属性投放!$B$42:$B$62,新属性汇总!$B4))*INDEX(新属性投放!E$42:E$62,新属性汇总!$B4)</f>
        <v>0</v>
      </c>
      <c r="L4" s="37">
        <f>($A4-INDEX(新属性投放!$B$42:$B$62,新属性汇总!$B4))*INDEX(新属性投放!F$42:F$62,新属性汇总!$B4)</f>
        <v>0</v>
      </c>
      <c r="M4" s="37">
        <f>(G4+J4)*$F4</f>
        <v>229.99999999999997</v>
      </c>
      <c r="N4" s="37">
        <f>(H4+K4)*$F4</f>
        <v>114.99999999999999</v>
      </c>
      <c r="O4" s="37">
        <f>(I4+L4)*$F4</f>
        <v>517.5</v>
      </c>
      <c r="P4" s="37">
        <v>0</v>
      </c>
      <c r="Q4">
        <v>0</v>
      </c>
      <c r="R4" s="37">
        <v>0</v>
      </c>
      <c r="S4" s="37">
        <f>IF($P4&gt;0,INDEX(装备!L$11:L$16,新属性汇总!$P4),0)</f>
        <v>0</v>
      </c>
      <c r="T4" s="37">
        <f>IF($P4&gt;0,INDEX(装备!M$11:M$16,新属性汇总!$P4),0)</f>
        <v>0</v>
      </c>
      <c r="U4" s="37">
        <f>IF($P4&gt;0,INDEX(装备!N$11:N$16,新属性汇总!$P4),0)</f>
        <v>0</v>
      </c>
      <c r="V4" s="37">
        <f>IF($P4&gt;0,INDEX(装备!H$11:H$16,新属性汇总!$P4),0)</f>
        <v>0</v>
      </c>
      <c r="W4" s="37">
        <f>IF($P4&gt;0,INDEX(装备!I$11:I$16,新属性汇总!$P4),0)</f>
        <v>0</v>
      </c>
      <c r="X4" s="37">
        <f>IF($P4&gt;0,INDEX(装备!J$11:J$16,新属性汇总!$P4),0)</f>
        <v>0</v>
      </c>
      <c r="Y4" s="37">
        <f>S4+V4*$R4</f>
        <v>0</v>
      </c>
      <c r="Z4" s="37">
        <f>T4+W4*$R4</f>
        <v>0</v>
      </c>
      <c r="AA4" s="37">
        <f>U4+X4*$R4</f>
        <v>0</v>
      </c>
      <c r="AB4" s="37">
        <v>0.65</v>
      </c>
      <c r="AC4" s="37">
        <f>IF(P4&gt;0,INDEX(装备!$BP$5:$BP$16,新属性汇总!P4),0)</f>
        <v>0</v>
      </c>
      <c r="AD4" s="37">
        <f>IF($P4&gt;0,ROUND(INDEX(装备!AY$11:AY$16,新属性汇总!$P4)*$AC4/3,0)*8*AB4,0)</f>
        <v>0</v>
      </c>
      <c r="AE4" s="37">
        <f>IF($P4&gt;0,ROUND(INDEX(装备!AZ$11:AZ$16,新属性汇总!$P4)*$AC4/3,0)*8*AB4,0)</f>
        <v>0</v>
      </c>
      <c r="AF4" s="37">
        <f>IF($P4&gt;0,ROUND(INDEX(装备!BA$11:BA$16,新属性汇总!$P4)*$AC4/3,0)*8*AB4,0)</f>
        <v>0</v>
      </c>
      <c r="AG4" s="37">
        <f>IF(新属性汇总!P4&gt;0,INDEX(装备!$AP$11:$AP$16,新属性汇总!$P4)*2,0)</f>
        <v>0</v>
      </c>
      <c r="AH4" s="37">
        <v>0</v>
      </c>
      <c r="AI4" s="37">
        <f>IF(新属性汇总!P4&gt;0,INDEX(装备!$AP$11:$AP$16,新属性汇总!$P4)*2,0)</f>
        <v>0</v>
      </c>
      <c r="AJ4" s="37">
        <v>0</v>
      </c>
      <c r="AK4">
        <f>IF($AJ4&gt;0,INDEX(专属武器!H$4:H$53,新属性汇总!$AJ4),0)</f>
        <v>0</v>
      </c>
      <c r="AL4" s="37">
        <f>IF($AJ4&gt;0,INDEX(专属武器!I$4:I$53,新属性汇总!$AJ4),0)</f>
        <v>0</v>
      </c>
      <c r="AM4" s="37">
        <f>IF($AJ4&gt;0,INDEX(专属武器!J$4:J$53,新属性汇总!$AJ4),0)</f>
        <v>0</v>
      </c>
      <c r="AQ4" s="13">
        <v>200</v>
      </c>
      <c r="AR4" s="13">
        <f>INDEX(M$4:M$203,$AQ4)</f>
        <v>68864.759999999995</v>
      </c>
      <c r="AS4" s="13">
        <f>INDEX(N$4:N$203,$AQ4)</f>
        <v>34429.504999999997</v>
      </c>
      <c r="AT4" s="13">
        <f>INDEX(O$4:O$203,$AQ4)</f>
        <v>358724.1</v>
      </c>
      <c r="AU4" s="13">
        <f>INDEX(Y$4:Y$203,$AQ4)</f>
        <v>29580</v>
      </c>
      <c r="AV4" s="13">
        <f>INDEX(Z$4:Z$203,$AQ4)</f>
        <v>14790</v>
      </c>
      <c r="AW4" s="13">
        <f>INDEX(AA$4:AA$203,$AQ4)</f>
        <v>159988</v>
      </c>
      <c r="AX4" s="13">
        <f t="shared" ref="AX4:BC4" si="0">INDEX(AD$4:AD$203,$AQ4)</f>
        <v>12698.4</v>
      </c>
      <c r="AY4" s="13">
        <f t="shared" si="0"/>
        <v>6344</v>
      </c>
      <c r="AZ4" s="13">
        <f t="shared" si="0"/>
        <v>68224</v>
      </c>
      <c r="BA4" s="13">
        <f t="shared" si="0"/>
        <v>36564</v>
      </c>
      <c r="BB4" s="13">
        <f t="shared" si="0"/>
        <v>0</v>
      </c>
      <c r="BC4" s="13">
        <f t="shared" si="0"/>
        <v>36564</v>
      </c>
      <c r="BD4" s="13">
        <f>INDEX(AK$4:AK$203,$AQ4)</f>
        <v>32602</v>
      </c>
      <c r="BE4" s="13">
        <f>INDEX(AL$4:AL$203,$AQ4)</f>
        <v>16290</v>
      </c>
      <c r="BF4" s="13">
        <f>INDEX(AM$4:AM$203,$AQ4)</f>
        <v>146747</v>
      </c>
      <c r="BG4" s="13">
        <f>INT(SUMPRODUCT(AR4:AT4,AR$2:AT$2))</f>
        <v>1047342</v>
      </c>
      <c r="BH4" s="13">
        <f>INT(SUMPRODUCT(AU4:AW4,AU$2:AW$2))</f>
        <v>455788</v>
      </c>
      <c r="BI4" s="13">
        <f>INT(SUMPRODUCT(AX4:AZ4,AX$2:AZ$2))</f>
        <v>195156</v>
      </c>
      <c r="BJ4" s="13">
        <f>INT(SUMPRODUCT(BA4:BC4,BA$2:BC$2))</f>
        <v>219384</v>
      </c>
      <c r="BK4" s="13">
        <f>INT(SUMPRODUCT(BD4:BF4,BD$2:BF$2))</f>
        <v>472657</v>
      </c>
      <c r="BL4" s="13">
        <f>SUM(BG4:BK4)</f>
        <v>2390327</v>
      </c>
      <c r="BM4" s="31">
        <f>ROUND(BG4/$BL4,4)</f>
        <v>0.43819999999999998</v>
      </c>
      <c r="BN4" s="31">
        <f>ROUND(BH4/$BL4,4)</f>
        <v>0.19070000000000001</v>
      </c>
      <c r="BO4" s="31">
        <f>ROUND(BI4/$BL4,4)</f>
        <v>8.1600000000000006E-2</v>
      </c>
      <c r="BP4" s="31">
        <f>ROUND(BJ4/$BL4,4)</f>
        <v>9.1800000000000007E-2</v>
      </c>
      <c r="BQ4" s="31">
        <f>ROUND(BK4/$BL4,4)</f>
        <v>0.19769999999999999</v>
      </c>
    </row>
    <row r="5" spans="1:69" ht="16.5" x14ac:dyDescent="0.2">
      <c r="A5">
        <v>2</v>
      </c>
      <c r="B5" s="37">
        <v>1</v>
      </c>
      <c r="C5" s="37">
        <v>1</v>
      </c>
      <c r="D5" s="37">
        <v>3</v>
      </c>
      <c r="E5" s="37">
        <v>2</v>
      </c>
      <c r="F5" s="37">
        <f>INDEX(新属性投放!$L$6:$L$10,新属性汇总!D5)</f>
        <v>1.1499999999999999</v>
      </c>
      <c r="G5" s="37">
        <f>INDEX(新属性投放!J$42:J$62,新属性汇总!$B5)</f>
        <v>200</v>
      </c>
      <c r="H5" s="37">
        <f>INDEX(新属性投放!K$42:K$62,新属性汇总!$B5)</f>
        <v>100</v>
      </c>
      <c r="I5" s="37">
        <f>INDEX(新属性投放!L$42:L$62,新属性汇总!$B5)</f>
        <v>450</v>
      </c>
      <c r="J5" s="37">
        <f>($A5-INDEX(新属性投放!$B$42:$B$62,新属性汇总!$B5))*INDEX(新属性投放!D$42:D$62,新属性汇总!$B5)</f>
        <v>10</v>
      </c>
      <c r="K5" s="37">
        <f>($A5-INDEX(新属性投放!$B$42:$B$62,新属性汇总!$B5))*INDEX(新属性投放!E$42:E$62,新属性汇总!$B5)</f>
        <v>5</v>
      </c>
      <c r="L5" s="37">
        <f>($A5-INDEX(新属性投放!$B$42:$B$62,新属性汇总!$B5))*INDEX(新属性投放!F$42:F$62,新属性汇总!$B5)</f>
        <v>45</v>
      </c>
      <c r="M5" s="37">
        <f t="shared" ref="M5:M68" si="1">(G5+J5)*$F5</f>
        <v>241.49999999999997</v>
      </c>
      <c r="N5" s="37">
        <f t="shared" ref="N5:N68" si="2">(H5+K5)*$F5</f>
        <v>120.74999999999999</v>
      </c>
      <c r="O5" s="37">
        <f t="shared" ref="O5:O68" si="3">(I5+L5)*$F5</f>
        <v>569.25</v>
      </c>
      <c r="P5" s="37">
        <v>0</v>
      </c>
      <c r="Q5" s="37">
        <v>0</v>
      </c>
      <c r="R5" s="37">
        <v>0</v>
      </c>
      <c r="S5" s="37">
        <f>IF($P5&gt;0,INDEX(装备!L$11:L$16,新属性汇总!$P5),0)</f>
        <v>0</v>
      </c>
      <c r="T5" s="37">
        <f>IF($P5&gt;0,INDEX(装备!M$11:M$16,新属性汇总!$P5),0)</f>
        <v>0</v>
      </c>
      <c r="U5" s="37">
        <f>IF($P5&gt;0,INDEX(装备!N$11:N$16,新属性汇总!$P5),0)</f>
        <v>0</v>
      </c>
      <c r="V5" s="37">
        <f>IF($P5&gt;0,INDEX(装备!H$11:H$16,新属性汇总!$P5),0)</f>
        <v>0</v>
      </c>
      <c r="W5" s="37">
        <f>IF($P5&gt;0,INDEX(装备!I$11:I$16,新属性汇总!$P5),0)</f>
        <v>0</v>
      </c>
      <c r="X5" s="37">
        <f>IF($P5&gt;0,INDEX(装备!J$11:J$16,新属性汇总!$P5),0)</f>
        <v>0</v>
      </c>
      <c r="Y5" s="37">
        <f t="shared" ref="Y5:Y68" si="4">S5+V5*$R5</f>
        <v>0</v>
      </c>
      <c r="Z5" s="37">
        <f t="shared" ref="Z5:Z68" si="5">T5+W5*$R5</f>
        <v>0</v>
      </c>
      <c r="AA5" s="37">
        <f t="shared" ref="AA5:AA68" si="6">U5+X5*$R5</f>
        <v>0</v>
      </c>
      <c r="AB5" s="37">
        <v>0.65</v>
      </c>
      <c r="AC5" s="37">
        <f>IF(P5&gt;0,INDEX(装备!$BP$5:$BP$16,新属性汇总!P5),0)</f>
        <v>0</v>
      </c>
      <c r="AD5" s="37">
        <f>IF($P5&gt;0,ROUND(INDEX(装备!AY$11:AY$16,新属性汇总!$P5)*$AC5/3,0)*8*AB5,0)</f>
        <v>0</v>
      </c>
      <c r="AE5" s="37">
        <f>IF($P5&gt;0,ROUND(INDEX(装备!AZ$11:AZ$16,新属性汇总!$P5)*$AC5/3,0)*8*AB5,0)</f>
        <v>0</v>
      </c>
      <c r="AF5" s="37">
        <f>IF($P5&gt;0,ROUND(INDEX(装备!BA$11:BA$16,新属性汇总!$P5)*$AC5/3,0)*8*AB5,0)</f>
        <v>0</v>
      </c>
      <c r="AG5" s="37">
        <f>IF(新属性汇总!P5&gt;0,INDEX(装备!$AP$11:$AP$16,新属性汇总!$P5)*2,0)</f>
        <v>0</v>
      </c>
      <c r="AH5" s="37">
        <v>0</v>
      </c>
      <c r="AI5" s="37">
        <f>IF(新属性汇总!P5&gt;0,INDEX(装备!$AP$11:$AP$16,新属性汇总!$P5)*2,0)</f>
        <v>0</v>
      </c>
      <c r="AJ5" s="37">
        <v>0</v>
      </c>
      <c r="AK5" s="37">
        <f>IF($AJ5&gt;0,INDEX(专属武器!H$4:H$53,新属性汇总!$AJ5),0)</f>
        <v>0</v>
      </c>
      <c r="AL5" s="37">
        <f>IF($AJ5&gt;0,INDEX(专属武器!I$4:I$53,新属性汇总!$AJ5),0)</f>
        <v>0</v>
      </c>
      <c r="AM5" s="37">
        <f>IF($AJ5&gt;0,INDEX(专属武器!J$4:J$53,新属性汇总!$AJ5),0)</f>
        <v>0</v>
      </c>
      <c r="AQ5" s="13">
        <v>1</v>
      </c>
      <c r="AR5" s="13">
        <f t="shared" ref="AR5:AR68" si="7">INDEX(M$4:M$203,$AQ5)</f>
        <v>229.99999999999997</v>
      </c>
      <c r="AS5" s="13">
        <f t="shared" ref="AS5:AS68" si="8">INDEX(N$4:N$203,$AQ5)</f>
        <v>114.99999999999999</v>
      </c>
      <c r="AT5" s="13">
        <f t="shared" ref="AT5:AT68" si="9">INDEX(O$4:O$203,$AQ5)</f>
        <v>517.5</v>
      </c>
      <c r="AU5" s="13">
        <f t="shared" ref="AU5:AU68" si="10">INDEX(Y$4:Y$203,$AQ5)</f>
        <v>0</v>
      </c>
      <c r="AV5" s="13">
        <f t="shared" ref="AV5:AV68" si="11">INDEX(Z$4:Z$203,$AQ5)</f>
        <v>0</v>
      </c>
      <c r="AW5" s="13">
        <f t="shared" ref="AW5:AW68" si="12">INDEX(AA$4:AA$203,$AQ5)</f>
        <v>0</v>
      </c>
      <c r="AX5" s="13">
        <f t="shared" ref="AX5:AX68" si="13">INDEX(AD$4:AD$203,$AQ5)</f>
        <v>0</v>
      </c>
      <c r="AY5" s="13">
        <f t="shared" ref="AY5:AY68" si="14">INDEX(AE$4:AE$203,$AQ5)</f>
        <v>0</v>
      </c>
      <c r="AZ5" s="13">
        <f t="shared" ref="AZ5:AZ68" si="15">INDEX(AF$4:AF$203,$AQ5)</f>
        <v>0</v>
      </c>
      <c r="BA5" s="13">
        <f t="shared" ref="BA5:BA68" si="16">INDEX(AG$4:AG$203,$AQ5)</f>
        <v>0</v>
      </c>
      <c r="BB5" s="13">
        <f t="shared" ref="BB5:BB68" si="17">INDEX(AH$4:AH$203,$AQ5)</f>
        <v>0</v>
      </c>
      <c r="BC5" s="13">
        <f t="shared" ref="BC5:BC68" si="18">INDEX(AI$4:AI$203,$AQ5)</f>
        <v>0</v>
      </c>
      <c r="BD5" s="13">
        <f t="shared" ref="BD5:BD68" si="19">INDEX(AK$4:AK$203,$AQ5)</f>
        <v>0</v>
      </c>
      <c r="BE5" s="13">
        <f t="shared" ref="BE5:BE68" si="20">INDEX(AL$4:AL$203,$AQ5)</f>
        <v>0</v>
      </c>
      <c r="BF5" s="13">
        <f t="shared" ref="BF5:BF68" si="21">INDEX(AM$4:AM$203,$AQ5)</f>
        <v>0</v>
      </c>
      <c r="BG5" s="13">
        <f t="shared" ref="BG5:BG68" si="22">INT(SUMPRODUCT(AR5:AT5,AR$2:AT$2))</f>
        <v>2817</v>
      </c>
      <c r="BH5" s="13">
        <f t="shared" ref="BH5:BH68" si="23">INT(SUMPRODUCT(AU5:AW5,AU$2:AW$2))</f>
        <v>0</v>
      </c>
      <c r="BI5" s="13">
        <f t="shared" ref="BI5:BI68" si="24">INT(SUMPRODUCT(AX5:AZ5,AX$2:AZ$2))</f>
        <v>0</v>
      </c>
      <c r="BJ5" s="13">
        <f t="shared" ref="BJ5:BJ68" si="25">INT(SUMPRODUCT(BA5:BC5,BA$2:BC$2))</f>
        <v>0</v>
      </c>
      <c r="BK5" s="13">
        <f t="shared" ref="BK5:BK68" si="26">INT(SUMPRODUCT(BD5:BF5,BD$2:BF$2))</f>
        <v>0</v>
      </c>
      <c r="BL5" s="13">
        <f t="shared" ref="BL5:BL68" si="27">SUM(BG5:BK5)</f>
        <v>2817</v>
      </c>
      <c r="BM5" s="31">
        <f t="shared" ref="BM5:BM68" si="28">ROUND(BG5/$BL5,4)</f>
        <v>1</v>
      </c>
      <c r="BN5" s="31">
        <f t="shared" ref="BN5:BN68" si="29">ROUND(BH5/$BL5,4)</f>
        <v>0</v>
      </c>
      <c r="BO5" s="31">
        <f t="shared" ref="BO5:BO68" si="30">ROUND(BI5/$BL5,4)</f>
        <v>0</v>
      </c>
      <c r="BP5" s="31">
        <f t="shared" ref="BP5:BP68" si="31">ROUND(BJ5/$BL5,4)</f>
        <v>0</v>
      </c>
      <c r="BQ5" s="31">
        <f t="shared" ref="BQ5:BQ68" si="32">ROUND(BK5/$BL5,4)</f>
        <v>0</v>
      </c>
    </row>
    <row r="6" spans="1:69" ht="16.5" x14ac:dyDescent="0.2">
      <c r="A6" s="37">
        <v>3</v>
      </c>
      <c r="B6" s="37">
        <v>1</v>
      </c>
      <c r="C6" s="37">
        <v>1</v>
      </c>
      <c r="D6" s="37">
        <v>3</v>
      </c>
      <c r="E6" s="37">
        <v>3</v>
      </c>
      <c r="F6" s="37">
        <f>INDEX(新属性投放!$L$6:$L$10,新属性汇总!D6)</f>
        <v>1.1499999999999999</v>
      </c>
      <c r="G6" s="37">
        <f>INDEX(新属性投放!J$42:J$62,新属性汇总!$B6)</f>
        <v>200</v>
      </c>
      <c r="H6" s="37">
        <f>INDEX(新属性投放!K$42:K$62,新属性汇总!$B6)</f>
        <v>100</v>
      </c>
      <c r="I6" s="37">
        <f>INDEX(新属性投放!L$42:L$62,新属性汇总!$B6)</f>
        <v>450</v>
      </c>
      <c r="J6" s="37">
        <f>($A6-INDEX(新属性投放!$B$42:$B$62,新属性汇总!$B6))*INDEX(新属性投放!D$42:D$62,新属性汇总!$B6)</f>
        <v>20</v>
      </c>
      <c r="K6" s="37">
        <f>($A6-INDEX(新属性投放!$B$42:$B$62,新属性汇总!$B6))*INDEX(新属性投放!E$42:E$62,新属性汇总!$B6)</f>
        <v>10</v>
      </c>
      <c r="L6" s="37">
        <f>($A6-INDEX(新属性投放!$B$42:$B$62,新属性汇总!$B6))*INDEX(新属性投放!F$42:F$62,新属性汇总!$B6)</f>
        <v>90</v>
      </c>
      <c r="M6" s="37">
        <f t="shared" si="1"/>
        <v>252.99999999999997</v>
      </c>
      <c r="N6" s="37">
        <f t="shared" si="2"/>
        <v>126.49999999999999</v>
      </c>
      <c r="O6" s="37">
        <f t="shared" si="3"/>
        <v>621</v>
      </c>
      <c r="P6" s="37">
        <v>0</v>
      </c>
      <c r="Q6" s="37">
        <v>0</v>
      </c>
      <c r="R6" s="37">
        <v>0</v>
      </c>
      <c r="S6" s="37">
        <f>IF($P6&gt;0,INDEX(装备!L$11:L$16,新属性汇总!$P6),0)</f>
        <v>0</v>
      </c>
      <c r="T6" s="37">
        <f>IF($P6&gt;0,INDEX(装备!M$11:M$16,新属性汇总!$P6),0)</f>
        <v>0</v>
      </c>
      <c r="U6" s="37">
        <f>IF($P6&gt;0,INDEX(装备!N$11:N$16,新属性汇总!$P6),0)</f>
        <v>0</v>
      </c>
      <c r="V6" s="37">
        <f>IF($P6&gt;0,INDEX(装备!H$11:H$16,新属性汇总!$P6),0)</f>
        <v>0</v>
      </c>
      <c r="W6" s="37">
        <f>IF($P6&gt;0,INDEX(装备!I$11:I$16,新属性汇总!$P6),0)</f>
        <v>0</v>
      </c>
      <c r="X6" s="37">
        <f>IF($P6&gt;0,INDEX(装备!J$11:J$16,新属性汇总!$P6),0)</f>
        <v>0</v>
      </c>
      <c r="Y6" s="37">
        <f t="shared" si="4"/>
        <v>0</v>
      </c>
      <c r="Z6" s="37">
        <f t="shared" si="5"/>
        <v>0</v>
      </c>
      <c r="AA6" s="37">
        <f t="shared" si="6"/>
        <v>0</v>
      </c>
      <c r="AB6" s="37">
        <v>0.65</v>
      </c>
      <c r="AC6" s="37">
        <f>IF(P6&gt;0,INDEX(装备!$BP$5:$BP$16,新属性汇总!P6),0)</f>
        <v>0</v>
      </c>
      <c r="AD6" s="37">
        <f>IF($P6&gt;0,ROUND(INDEX(装备!AY$11:AY$16,新属性汇总!$P6)*$AC6/3,0)*8*AB6,0)</f>
        <v>0</v>
      </c>
      <c r="AE6" s="37">
        <f>IF($P6&gt;0,ROUND(INDEX(装备!AZ$11:AZ$16,新属性汇总!$P6)*$AC6/3,0)*8*AB6,0)</f>
        <v>0</v>
      </c>
      <c r="AF6" s="37">
        <f>IF($P6&gt;0,ROUND(INDEX(装备!BA$11:BA$16,新属性汇总!$P6)*$AC6/3,0)*8*AB6,0)</f>
        <v>0</v>
      </c>
      <c r="AG6" s="37">
        <f>IF(新属性汇总!P6&gt;0,INDEX(装备!$AP$11:$AP$16,新属性汇总!$P6)*2,0)</f>
        <v>0</v>
      </c>
      <c r="AH6" s="37">
        <v>0</v>
      </c>
      <c r="AI6" s="37">
        <f>IF(新属性汇总!P6&gt;0,INDEX(装备!$AP$11:$AP$16,新属性汇总!$P6)*2,0)</f>
        <v>0</v>
      </c>
      <c r="AJ6" s="37">
        <v>0</v>
      </c>
      <c r="AK6" s="37">
        <f>IF($AJ6&gt;0,INDEX(专属武器!H$4:H$53,新属性汇总!$AJ6),0)</f>
        <v>0</v>
      </c>
      <c r="AL6" s="37">
        <f>IF($AJ6&gt;0,INDEX(专属武器!I$4:I$53,新属性汇总!$AJ6),0)</f>
        <v>0</v>
      </c>
      <c r="AM6" s="37">
        <f>IF($AJ6&gt;0,INDEX(专属武器!J$4:J$53,新属性汇总!$AJ6),0)</f>
        <v>0</v>
      </c>
      <c r="AQ6" s="13">
        <v>2</v>
      </c>
      <c r="AR6" s="13">
        <f t="shared" si="7"/>
        <v>241.49999999999997</v>
      </c>
      <c r="AS6" s="13">
        <f t="shared" si="8"/>
        <v>120.74999999999999</v>
      </c>
      <c r="AT6" s="13">
        <f t="shared" si="9"/>
        <v>569.25</v>
      </c>
      <c r="AU6" s="13">
        <f t="shared" si="10"/>
        <v>0</v>
      </c>
      <c r="AV6" s="13">
        <f t="shared" si="11"/>
        <v>0</v>
      </c>
      <c r="AW6" s="13">
        <f t="shared" si="12"/>
        <v>0</v>
      </c>
      <c r="AX6" s="13">
        <f t="shared" si="13"/>
        <v>0</v>
      </c>
      <c r="AY6" s="13">
        <f t="shared" si="14"/>
        <v>0</v>
      </c>
      <c r="AZ6" s="13">
        <f t="shared" si="15"/>
        <v>0</v>
      </c>
      <c r="BA6" s="13">
        <f t="shared" si="16"/>
        <v>0</v>
      </c>
      <c r="BB6" s="13">
        <f t="shared" si="17"/>
        <v>0</v>
      </c>
      <c r="BC6" s="13">
        <f t="shared" si="18"/>
        <v>0</v>
      </c>
      <c r="BD6" s="13">
        <f t="shared" si="19"/>
        <v>0</v>
      </c>
      <c r="BE6" s="13">
        <f t="shared" si="20"/>
        <v>0</v>
      </c>
      <c r="BF6" s="13">
        <f t="shared" si="21"/>
        <v>0</v>
      </c>
      <c r="BG6" s="13">
        <f t="shared" si="22"/>
        <v>2984</v>
      </c>
      <c r="BH6" s="13">
        <f t="shared" si="23"/>
        <v>0</v>
      </c>
      <c r="BI6" s="13">
        <f t="shared" si="24"/>
        <v>0</v>
      </c>
      <c r="BJ6" s="13">
        <f t="shared" si="25"/>
        <v>0</v>
      </c>
      <c r="BK6" s="13">
        <f t="shared" si="26"/>
        <v>0</v>
      </c>
      <c r="BL6" s="13">
        <f t="shared" si="27"/>
        <v>2984</v>
      </c>
      <c r="BM6" s="31">
        <f t="shared" si="28"/>
        <v>1</v>
      </c>
      <c r="BN6" s="31">
        <f t="shared" si="29"/>
        <v>0</v>
      </c>
      <c r="BO6" s="31">
        <f t="shared" si="30"/>
        <v>0</v>
      </c>
      <c r="BP6" s="31">
        <f t="shared" si="31"/>
        <v>0</v>
      </c>
      <c r="BQ6" s="31">
        <f t="shared" si="32"/>
        <v>0</v>
      </c>
    </row>
    <row r="7" spans="1:69" ht="16.5" x14ac:dyDescent="0.2">
      <c r="A7" s="37">
        <v>4</v>
      </c>
      <c r="B7" s="37">
        <v>1</v>
      </c>
      <c r="C7" s="37">
        <v>1</v>
      </c>
      <c r="D7" s="37">
        <v>3</v>
      </c>
      <c r="E7" s="37">
        <v>4</v>
      </c>
      <c r="F7" s="37">
        <f>INDEX(新属性投放!$L$6:$L$10,新属性汇总!D7)</f>
        <v>1.1499999999999999</v>
      </c>
      <c r="G7" s="37">
        <f>INDEX(新属性投放!J$42:J$62,新属性汇总!$B7)</f>
        <v>200</v>
      </c>
      <c r="H7" s="37">
        <f>INDEX(新属性投放!K$42:K$62,新属性汇总!$B7)</f>
        <v>100</v>
      </c>
      <c r="I7" s="37">
        <f>INDEX(新属性投放!L$42:L$62,新属性汇总!$B7)</f>
        <v>450</v>
      </c>
      <c r="J7" s="37">
        <f>($A7-INDEX(新属性投放!$B$42:$B$62,新属性汇总!$B7))*INDEX(新属性投放!D$42:D$62,新属性汇总!$B7)</f>
        <v>30</v>
      </c>
      <c r="K7" s="37">
        <f>($A7-INDEX(新属性投放!$B$42:$B$62,新属性汇总!$B7))*INDEX(新属性投放!E$42:E$62,新属性汇总!$B7)</f>
        <v>15</v>
      </c>
      <c r="L7" s="37">
        <f>($A7-INDEX(新属性投放!$B$42:$B$62,新属性汇总!$B7))*INDEX(新属性投放!F$42:F$62,新属性汇总!$B7)</f>
        <v>135</v>
      </c>
      <c r="M7" s="37">
        <f t="shared" si="1"/>
        <v>264.5</v>
      </c>
      <c r="N7" s="37">
        <f t="shared" si="2"/>
        <v>132.25</v>
      </c>
      <c r="O7" s="37">
        <f t="shared" si="3"/>
        <v>672.75</v>
      </c>
      <c r="P7" s="37">
        <v>0</v>
      </c>
      <c r="Q7" s="37">
        <v>0</v>
      </c>
      <c r="R7" s="37">
        <v>0</v>
      </c>
      <c r="S7" s="37">
        <f>IF($P7&gt;0,INDEX(装备!L$11:L$16,新属性汇总!$P7),0)</f>
        <v>0</v>
      </c>
      <c r="T7" s="37">
        <f>IF($P7&gt;0,INDEX(装备!M$11:M$16,新属性汇总!$P7),0)</f>
        <v>0</v>
      </c>
      <c r="U7" s="37">
        <f>IF($P7&gt;0,INDEX(装备!N$11:N$16,新属性汇总!$P7),0)</f>
        <v>0</v>
      </c>
      <c r="V7" s="37">
        <f>IF($P7&gt;0,INDEX(装备!H$11:H$16,新属性汇总!$P7),0)</f>
        <v>0</v>
      </c>
      <c r="W7" s="37">
        <f>IF($P7&gt;0,INDEX(装备!I$11:I$16,新属性汇总!$P7),0)</f>
        <v>0</v>
      </c>
      <c r="X7" s="37">
        <f>IF($P7&gt;0,INDEX(装备!J$11:J$16,新属性汇总!$P7),0)</f>
        <v>0</v>
      </c>
      <c r="Y7" s="37">
        <f t="shared" si="4"/>
        <v>0</v>
      </c>
      <c r="Z7" s="37">
        <f t="shared" si="5"/>
        <v>0</v>
      </c>
      <c r="AA7" s="37">
        <f t="shared" si="6"/>
        <v>0</v>
      </c>
      <c r="AB7" s="37">
        <v>0.65</v>
      </c>
      <c r="AC7" s="37">
        <f>IF(P7&gt;0,INDEX(装备!$BP$5:$BP$16,新属性汇总!P7),0)</f>
        <v>0</v>
      </c>
      <c r="AD7" s="37">
        <f>IF($P7&gt;0,ROUND(INDEX(装备!AY$11:AY$16,新属性汇总!$P7)*$AC7/3,0)*8*AB7,0)</f>
        <v>0</v>
      </c>
      <c r="AE7" s="37">
        <f>IF($P7&gt;0,ROUND(INDEX(装备!AZ$11:AZ$16,新属性汇总!$P7)*$AC7/3,0)*8*AB7,0)</f>
        <v>0</v>
      </c>
      <c r="AF7" s="37">
        <f>IF($P7&gt;0,ROUND(INDEX(装备!BA$11:BA$16,新属性汇总!$P7)*$AC7/3,0)*8*AB7,0)</f>
        <v>0</v>
      </c>
      <c r="AG7" s="37">
        <f>IF(新属性汇总!P7&gt;0,INDEX(装备!$AP$11:$AP$16,新属性汇总!$P7)*2,0)</f>
        <v>0</v>
      </c>
      <c r="AH7" s="37">
        <v>0</v>
      </c>
      <c r="AI7" s="37">
        <f>IF(新属性汇总!P7&gt;0,INDEX(装备!$AP$11:$AP$16,新属性汇总!$P7)*2,0)</f>
        <v>0</v>
      </c>
      <c r="AJ7" s="37">
        <v>0</v>
      </c>
      <c r="AK7" s="37">
        <f>IF($AJ7&gt;0,INDEX(专属武器!H$4:H$53,新属性汇总!$AJ7),0)</f>
        <v>0</v>
      </c>
      <c r="AL7" s="37">
        <f>IF($AJ7&gt;0,INDEX(专属武器!I$4:I$53,新属性汇总!$AJ7),0)</f>
        <v>0</v>
      </c>
      <c r="AM7" s="37">
        <f>IF($AJ7&gt;0,INDEX(专属武器!J$4:J$53,新属性汇总!$AJ7),0)</f>
        <v>0</v>
      </c>
      <c r="AQ7" s="13">
        <v>3</v>
      </c>
      <c r="AR7" s="13">
        <f t="shared" si="7"/>
        <v>252.99999999999997</v>
      </c>
      <c r="AS7" s="13">
        <f t="shared" si="8"/>
        <v>126.49999999999999</v>
      </c>
      <c r="AT7" s="13">
        <f t="shared" si="9"/>
        <v>621</v>
      </c>
      <c r="AU7" s="13">
        <f t="shared" si="10"/>
        <v>0</v>
      </c>
      <c r="AV7" s="13">
        <f t="shared" si="11"/>
        <v>0</v>
      </c>
      <c r="AW7" s="13">
        <f t="shared" si="12"/>
        <v>0</v>
      </c>
      <c r="AX7" s="13">
        <f t="shared" si="13"/>
        <v>0</v>
      </c>
      <c r="AY7" s="13">
        <f t="shared" si="14"/>
        <v>0</v>
      </c>
      <c r="AZ7" s="13">
        <f t="shared" si="15"/>
        <v>0</v>
      </c>
      <c r="BA7" s="13">
        <f t="shared" si="16"/>
        <v>0</v>
      </c>
      <c r="BB7" s="13">
        <f t="shared" si="17"/>
        <v>0</v>
      </c>
      <c r="BC7" s="13">
        <f t="shared" si="18"/>
        <v>0</v>
      </c>
      <c r="BD7" s="13">
        <f t="shared" si="19"/>
        <v>0</v>
      </c>
      <c r="BE7" s="13">
        <f t="shared" si="20"/>
        <v>0</v>
      </c>
      <c r="BF7" s="13">
        <f t="shared" si="21"/>
        <v>0</v>
      </c>
      <c r="BG7" s="13">
        <f t="shared" si="22"/>
        <v>3151</v>
      </c>
      <c r="BH7" s="13">
        <f t="shared" si="23"/>
        <v>0</v>
      </c>
      <c r="BI7" s="13">
        <f t="shared" si="24"/>
        <v>0</v>
      </c>
      <c r="BJ7" s="13">
        <f t="shared" si="25"/>
        <v>0</v>
      </c>
      <c r="BK7" s="13">
        <f t="shared" si="26"/>
        <v>0</v>
      </c>
      <c r="BL7" s="13">
        <f t="shared" si="27"/>
        <v>3151</v>
      </c>
      <c r="BM7" s="31">
        <f t="shared" si="28"/>
        <v>1</v>
      </c>
      <c r="BN7" s="31">
        <f t="shared" si="29"/>
        <v>0</v>
      </c>
      <c r="BO7" s="31">
        <f t="shared" si="30"/>
        <v>0</v>
      </c>
      <c r="BP7" s="31">
        <f t="shared" si="31"/>
        <v>0</v>
      </c>
      <c r="BQ7" s="31">
        <f t="shared" si="32"/>
        <v>0</v>
      </c>
    </row>
    <row r="8" spans="1:69" ht="16.5" x14ac:dyDescent="0.2">
      <c r="A8" s="37">
        <v>5</v>
      </c>
      <c r="B8" s="37">
        <v>1</v>
      </c>
      <c r="C8" s="37">
        <v>1</v>
      </c>
      <c r="D8" s="37">
        <v>3</v>
      </c>
      <c r="E8" s="37">
        <v>5</v>
      </c>
      <c r="F8" s="37">
        <f>INDEX(新属性投放!$L$6:$L$10,新属性汇总!D8)</f>
        <v>1.1499999999999999</v>
      </c>
      <c r="G8" s="37">
        <f>INDEX(新属性投放!J$42:J$62,新属性汇总!$B8)</f>
        <v>200</v>
      </c>
      <c r="H8" s="37">
        <f>INDEX(新属性投放!K$42:K$62,新属性汇总!$B8)</f>
        <v>100</v>
      </c>
      <c r="I8" s="37">
        <f>INDEX(新属性投放!L$42:L$62,新属性汇总!$B8)</f>
        <v>450</v>
      </c>
      <c r="J8" s="37">
        <f>($A8-INDEX(新属性投放!$B$42:$B$62,新属性汇总!$B8))*INDEX(新属性投放!D$42:D$62,新属性汇总!$B8)</f>
        <v>40</v>
      </c>
      <c r="K8" s="37">
        <f>($A8-INDEX(新属性投放!$B$42:$B$62,新属性汇总!$B8))*INDEX(新属性投放!E$42:E$62,新属性汇总!$B8)</f>
        <v>20</v>
      </c>
      <c r="L8" s="37">
        <f>($A8-INDEX(新属性投放!$B$42:$B$62,新属性汇总!$B8))*INDEX(新属性投放!F$42:F$62,新属性汇总!$B8)</f>
        <v>180</v>
      </c>
      <c r="M8" s="37">
        <f t="shared" si="1"/>
        <v>276</v>
      </c>
      <c r="N8" s="37">
        <f t="shared" si="2"/>
        <v>138</v>
      </c>
      <c r="O8" s="37">
        <f t="shared" si="3"/>
        <v>724.5</v>
      </c>
      <c r="P8" s="37">
        <v>0</v>
      </c>
      <c r="Q8" s="37">
        <v>0</v>
      </c>
      <c r="R8" s="37">
        <v>0</v>
      </c>
      <c r="S8" s="37">
        <f>IF($P8&gt;0,INDEX(装备!L$11:L$16,新属性汇总!$P8),0)</f>
        <v>0</v>
      </c>
      <c r="T8" s="37">
        <f>IF($P8&gt;0,INDEX(装备!M$11:M$16,新属性汇总!$P8),0)</f>
        <v>0</v>
      </c>
      <c r="U8" s="37">
        <f>IF($P8&gt;0,INDEX(装备!N$11:N$16,新属性汇总!$P8),0)</f>
        <v>0</v>
      </c>
      <c r="V8" s="37">
        <f>IF($P8&gt;0,INDEX(装备!H$11:H$16,新属性汇总!$P8),0)</f>
        <v>0</v>
      </c>
      <c r="W8" s="37">
        <f>IF($P8&gt;0,INDEX(装备!I$11:I$16,新属性汇总!$P8),0)</f>
        <v>0</v>
      </c>
      <c r="X8" s="37">
        <f>IF($P8&gt;0,INDEX(装备!J$11:J$16,新属性汇总!$P8),0)</f>
        <v>0</v>
      </c>
      <c r="Y8" s="37">
        <f t="shared" si="4"/>
        <v>0</v>
      </c>
      <c r="Z8" s="37">
        <f t="shared" si="5"/>
        <v>0</v>
      </c>
      <c r="AA8" s="37">
        <f t="shared" si="6"/>
        <v>0</v>
      </c>
      <c r="AB8" s="37">
        <v>0.65</v>
      </c>
      <c r="AC8" s="37">
        <f>IF(P8&gt;0,INDEX(装备!$BP$5:$BP$16,新属性汇总!P8),0)</f>
        <v>0</v>
      </c>
      <c r="AD8" s="37">
        <f>IF($P8&gt;0,ROUND(INDEX(装备!AY$11:AY$16,新属性汇总!$P8)*$AC8/3,0)*8*AB8,0)</f>
        <v>0</v>
      </c>
      <c r="AE8" s="37">
        <f>IF($P8&gt;0,ROUND(INDEX(装备!AZ$11:AZ$16,新属性汇总!$P8)*$AC8/3,0)*8*AB8,0)</f>
        <v>0</v>
      </c>
      <c r="AF8" s="37">
        <f>IF($P8&gt;0,ROUND(INDEX(装备!BA$11:BA$16,新属性汇总!$P8)*$AC8/3,0)*8*AB8,0)</f>
        <v>0</v>
      </c>
      <c r="AG8" s="37">
        <f>IF(新属性汇总!P8&gt;0,INDEX(装备!$AP$11:$AP$16,新属性汇总!$P8)*2,0)</f>
        <v>0</v>
      </c>
      <c r="AH8" s="37">
        <v>0</v>
      </c>
      <c r="AI8" s="37">
        <f>IF(新属性汇总!P8&gt;0,INDEX(装备!$AP$11:$AP$16,新属性汇总!$P8)*2,0)</f>
        <v>0</v>
      </c>
      <c r="AJ8" s="37">
        <v>0</v>
      </c>
      <c r="AK8" s="37">
        <f>IF($AJ8&gt;0,INDEX(专属武器!H$4:H$53,新属性汇总!$AJ8),0)</f>
        <v>0</v>
      </c>
      <c r="AL8" s="37">
        <f>IF($AJ8&gt;0,INDEX(专属武器!I$4:I$53,新属性汇总!$AJ8),0)</f>
        <v>0</v>
      </c>
      <c r="AM8" s="37">
        <f>IF($AJ8&gt;0,INDEX(专属武器!J$4:J$53,新属性汇总!$AJ8),0)</f>
        <v>0</v>
      </c>
      <c r="AQ8" s="13">
        <v>4</v>
      </c>
      <c r="AR8" s="13">
        <f t="shared" si="7"/>
        <v>264.5</v>
      </c>
      <c r="AS8" s="13">
        <f t="shared" si="8"/>
        <v>132.25</v>
      </c>
      <c r="AT8" s="13">
        <f t="shared" si="9"/>
        <v>672.75</v>
      </c>
      <c r="AU8" s="13">
        <f t="shared" si="10"/>
        <v>0</v>
      </c>
      <c r="AV8" s="13">
        <f t="shared" si="11"/>
        <v>0</v>
      </c>
      <c r="AW8" s="13">
        <f t="shared" si="12"/>
        <v>0</v>
      </c>
      <c r="AX8" s="13">
        <f t="shared" si="13"/>
        <v>0</v>
      </c>
      <c r="AY8" s="13">
        <f t="shared" si="14"/>
        <v>0</v>
      </c>
      <c r="AZ8" s="13">
        <f t="shared" si="15"/>
        <v>0</v>
      </c>
      <c r="BA8" s="13">
        <f t="shared" si="16"/>
        <v>0</v>
      </c>
      <c r="BB8" s="13">
        <f t="shared" si="17"/>
        <v>0</v>
      </c>
      <c r="BC8" s="13">
        <f t="shared" si="18"/>
        <v>0</v>
      </c>
      <c r="BD8" s="13">
        <f t="shared" si="19"/>
        <v>0</v>
      </c>
      <c r="BE8" s="13">
        <f t="shared" si="20"/>
        <v>0</v>
      </c>
      <c r="BF8" s="13">
        <f t="shared" si="21"/>
        <v>0</v>
      </c>
      <c r="BG8" s="13">
        <f t="shared" si="22"/>
        <v>3317</v>
      </c>
      <c r="BH8" s="13">
        <f t="shared" si="23"/>
        <v>0</v>
      </c>
      <c r="BI8" s="13">
        <f t="shared" si="24"/>
        <v>0</v>
      </c>
      <c r="BJ8" s="13">
        <f t="shared" si="25"/>
        <v>0</v>
      </c>
      <c r="BK8" s="13">
        <f t="shared" si="26"/>
        <v>0</v>
      </c>
      <c r="BL8" s="13">
        <f t="shared" si="27"/>
        <v>3317</v>
      </c>
      <c r="BM8" s="31">
        <f t="shared" si="28"/>
        <v>1</v>
      </c>
      <c r="BN8" s="31">
        <f t="shared" si="29"/>
        <v>0</v>
      </c>
      <c r="BO8" s="31">
        <f t="shared" si="30"/>
        <v>0</v>
      </c>
      <c r="BP8" s="31">
        <f t="shared" si="31"/>
        <v>0</v>
      </c>
      <c r="BQ8" s="31">
        <f t="shared" si="32"/>
        <v>0</v>
      </c>
    </row>
    <row r="9" spans="1:69" ht="16.5" x14ac:dyDescent="0.2">
      <c r="A9" s="37">
        <v>6</v>
      </c>
      <c r="B9" s="37">
        <v>1</v>
      </c>
      <c r="C9" s="37">
        <v>1</v>
      </c>
      <c r="D9" s="37">
        <v>3</v>
      </c>
      <c r="E9" s="37">
        <v>6</v>
      </c>
      <c r="F9" s="37">
        <f>INDEX(新属性投放!$L$6:$L$10,新属性汇总!D9)</f>
        <v>1.1499999999999999</v>
      </c>
      <c r="G9" s="37">
        <f>INDEX(新属性投放!J$42:J$62,新属性汇总!$B9)</f>
        <v>200</v>
      </c>
      <c r="H9" s="37">
        <f>INDEX(新属性投放!K$42:K$62,新属性汇总!$B9)</f>
        <v>100</v>
      </c>
      <c r="I9" s="37">
        <f>INDEX(新属性投放!L$42:L$62,新属性汇总!$B9)</f>
        <v>450</v>
      </c>
      <c r="J9" s="37">
        <f>($A9-INDEX(新属性投放!$B$42:$B$62,新属性汇总!$B9))*INDEX(新属性投放!D$42:D$62,新属性汇总!$B9)</f>
        <v>50</v>
      </c>
      <c r="K9" s="37">
        <f>($A9-INDEX(新属性投放!$B$42:$B$62,新属性汇总!$B9))*INDEX(新属性投放!E$42:E$62,新属性汇总!$B9)</f>
        <v>25</v>
      </c>
      <c r="L9" s="37">
        <f>($A9-INDEX(新属性投放!$B$42:$B$62,新属性汇总!$B9))*INDEX(新属性投放!F$42:F$62,新属性汇总!$B9)</f>
        <v>225</v>
      </c>
      <c r="M9" s="37">
        <f t="shared" si="1"/>
        <v>287.5</v>
      </c>
      <c r="N9" s="37">
        <f t="shared" si="2"/>
        <v>143.75</v>
      </c>
      <c r="O9" s="37">
        <f t="shared" si="3"/>
        <v>776.24999999999989</v>
      </c>
      <c r="P9" s="37">
        <v>0</v>
      </c>
      <c r="Q9" s="37">
        <v>0</v>
      </c>
      <c r="R9" s="37">
        <v>0</v>
      </c>
      <c r="S9" s="37">
        <f>IF($P9&gt;0,INDEX(装备!L$11:L$16,新属性汇总!$P9),0)</f>
        <v>0</v>
      </c>
      <c r="T9" s="37">
        <f>IF($P9&gt;0,INDEX(装备!M$11:M$16,新属性汇总!$P9),0)</f>
        <v>0</v>
      </c>
      <c r="U9" s="37">
        <f>IF($P9&gt;0,INDEX(装备!N$11:N$16,新属性汇总!$P9),0)</f>
        <v>0</v>
      </c>
      <c r="V9" s="37">
        <f>IF($P9&gt;0,INDEX(装备!H$11:H$16,新属性汇总!$P9),0)</f>
        <v>0</v>
      </c>
      <c r="W9" s="37">
        <f>IF($P9&gt;0,INDEX(装备!I$11:I$16,新属性汇总!$P9),0)</f>
        <v>0</v>
      </c>
      <c r="X9" s="37">
        <f>IF($P9&gt;0,INDEX(装备!J$11:J$16,新属性汇总!$P9),0)</f>
        <v>0</v>
      </c>
      <c r="Y9" s="37">
        <f t="shared" si="4"/>
        <v>0</v>
      </c>
      <c r="Z9" s="37">
        <f t="shared" si="5"/>
        <v>0</v>
      </c>
      <c r="AA9" s="37">
        <f t="shared" si="6"/>
        <v>0</v>
      </c>
      <c r="AB9" s="37">
        <v>0.65</v>
      </c>
      <c r="AC9" s="37">
        <f>IF(P9&gt;0,INDEX(装备!$BP$5:$BP$16,新属性汇总!P9),0)</f>
        <v>0</v>
      </c>
      <c r="AD9" s="37">
        <f>IF($P9&gt;0,ROUND(INDEX(装备!AY$11:AY$16,新属性汇总!$P9)*$AC9/3,0)*8*AB9,0)</f>
        <v>0</v>
      </c>
      <c r="AE9" s="37">
        <f>IF($P9&gt;0,ROUND(INDEX(装备!AZ$11:AZ$16,新属性汇总!$P9)*$AC9/3,0)*8*AB9,0)</f>
        <v>0</v>
      </c>
      <c r="AF9" s="37">
        <f>IF($P9&gt;0,ROUND(INDEX(装备!BA$11:BA$16,新属性汇总!$P9)*$AC9/3,0)*8*AB9,0)</f>
        <v>0</v>
      </c>
      <c r="AG9" s="37">
        <f>IF(新属性汇总!P9&gt;0,INDEX(装备!$AP$11:$AP$16,新属性汇总!$P9)*2,0)</f>
        <v>0</v>
      </c>
      <c r="AH9" s="37">
        <v>0</v>
      </c>
      <c r="AI9" s="37">
        <f>IF(新属性汇总!P9&gt;0,INDEX(装备!$AP$11:$AP$16,新属性汇总!$P9)*2,0)</f>
        <v>0</v>
      </c>
      <c r="AJ9" s="37">
        <v>0</v>
      </c>
      <c r="AK9" s="37">
        <f>IF($AJ9&gt;0,INDEX(专属武器!H$4:H$53,新属性汇总!$AJ9),0)</f>
        <v>0</v>
      </c>
      <c r="AL9" s="37">
        <f>IF($AJ9&gt;0,INDEX(专属武器!I$4:I$53,新属性汇总!$AJ9),0)</f>
        <v>0</v>
      </c>
      <c r="AM9" s="37">
        <f>IF($AJ9&gt;0,INDEX(专属武器!J$4:J$53,新属性汇总!$AJ9),0)</f>
        <v>0</v>
      </c>
      <c r="AQ9" s="13">
        <v>5</v>
      </c>
      <c r="AR9" s="13">
        <f t="shared" si="7"/>
        <v>276</v>
      </c>
      <c r="AS9" s="13">
        <f t="shared" si="8"/>
        <v>138</v>
      </c>
      <c r="AT9" s="13">
        <f t="shared" si="9"/>
        <v>724.5</v>
      </c>
      <c r="AU9" s="13">
        <f t="shared" si="10"/>
        <v>0</v>
      </c>
      <c r="AV9" s="13">
        <f t="shared" si="11"/>
        <v>0</v>
      </c>
      <c r="AW9" s="13">
        <f t="shared" si="12"/>
        <v>0</v>
      </c>
      <c r="AX9" s="13">
        <f t="shared" si="13"/>
        <v>0</v>
      </c>
      <c r="AY9" s="13">
        <f t="shared" si="14"/>
        <v>0</v>
      </c>
      <c r="AZ9" s="13">
        <f t="shared" si="15"/>
        <v>0</v>
      </c>
      <c r="BA9" s="13">
        <f t="shared" si="16"/>
        <v>0</v>
      </c>
      <c r="BB9" s="13">
        <f t="shared" si="17"/>
        <v>0</v>
      </c>
      <c r="BC9" s="13">
        <f t="shared" si="18"/>
        <v>0</v>
      </c>
      <c r="BD9" s="13">
        <f t="shared" si="19"/>
        <v>0</v>
      </c>
      <c r="BE9" s="13">
        <f t="shared" si="20"/>
        <v>0</v>
      </c>
      <c r="BF9" s="13">
        <f t="shared" si="21"/>
        <v>0</v>
      </c>
      <c r="BG9" s="13">
        <f t="shared" si="22"/>
        <v>3484</v>
      </c>
      <c r="BH9" s="13">
        <f t="shared" si="23"/>
        <v>0</v>
      </c>
      <c r="BI9" s="13">
        <f t="shared" si="24"/>
        <v>0</v>
      </c>
      <c r="BJ9" s="13">
        <f t="shared" si="25"/>
        <v>0</v>
      </c>
      <c r="BK9" s="13">
        <f t="shared" si="26"/>
        <v>0</v>
      </c>
      <c r="BL9" s="13">
        <f t="shared" si="27"/>
        <v>3484</v>
      </c>
      <c r="BM9" s="31">
        <f t="shared" si="28"/>
        <v>1</v>
      </c>
      <c r="BN9" s="31">
        <f t="shared" si="29"/>
        <v>0</v>
      </c>
      <c r="BO9" s="31">
        <f t="shared" si="30"/>
        <v>0</v>
      </c>
      <c r="BP9" s="31">
        <f t="shared" si="31"/>
        <v>0</v>
      </c>
      <c r="BQ9" s="31">
        <f t="shared" si="32"/>
        <v>0</v>
      </c>
    </row>
    <row r="10" spans="1:69" ht="16.5" x14ac:dyDescent="0.2">
      <c r="A10" s="37">
        <v>7</v>
      </c>
      <c r="B10" s="37">
        <v>1</v>
      </c>
      <c r="C10" s="37">
        <v>1</v>
      </c>
      <c r="D10" s="37">
        <v>3</v>
      </c>
      <c r="E10" s="37">
        <v>7</v>
      </c>
      <c r="F10" s="37">
        <f>INDEX(新属性投放!$L$6:$L$10,新属性汇总!D10)</f>
        <v>1.1499999999999999</v>
      </c>
      <c r="G10" s="37">
        <f>INDEX(新属性投放!J$42:J$62,新属性汇总!$B10)</f>
        <v>200</v>
      </c>
      <c r="H10" s="37">
        <f>INDEX(新属性投放!K$42:K$62,新属性汇总!$B10)</f>
        <v>100</v>
      </c>
      <c r="I10" s="37">
        <f>INDEX(新属性投放!L$42:L$62,新属性汇总!$B10)</f>
        <v>450</v>
      </c>
      <c r="J10" s="37">
        <f>($A10-INDEX(新属性投放!$B$42:$B$62,新属性汇总!$B10))*INDEX(新属性投放!D$42:D$62,新属性汇总!$B10)</f>
        <v>60</v>
      </c>
      <c r="K10" s="37">
        <f>($A10-INDEX(新属性投放!$B$42:$B$62,新属性汇总!$B10))*INDEX(新属性投放!E$42:E$62,新属性汇总!$B10)</f>
        <v>30</v>
      </c>
      <c r="L10" s="37">
        <f>($A10-INDEX(新属性投放!$B$42:$B$62,新属性汇总!$B10))*INDEX(新属性投放!F$42:F$62,新属性汇总!$B10)</f>
        <v>270</v>
      </c>
      <c r="M10" s="37">
        <f t="shared" si="1"/>
        <v>299</v>
      </c>
      <c r="N10" s="37">
        <f t="shared" si="2"/>
        <v>149.5</v>
      </c>
      <c r="O10" s="37">
        <f t="shared" si="3"/>
        <v>827.99999999999989</v>
      </c>
      <c r="P10" s="37">
        <v>0</v>
      </c>
      <c r="Q10" s="37">
        <v>0</v>
      </c>
      <c r="R10" s="37">
        <v>0</v>
      </c>
      <c r="S10" s="37">
        <f>IF($P10&gt;0,INDEX(装备!L$11:L$16,新属性汇总!$P10),0)</f>
        <v>0</v>
      </c>
      <c r="T10" s="37">
        <f>IF($P10&gt;0,INDEX(装备!M$11:M$16,新属性汇总!$P10),0)</f>
        <v>0</v>
      </c>
      <c r="U10" s="37">
        <f>IF($P10&gt;0,INDEX(装备!N$11:N$16,新属性汇总!$P10),0)</f>
        <v>0</v>
      </c>
      <c r="V10" s="37">
        <f>IF($P10&gt;0,INDEX(装备!H$11:H$16,新属性汇总!$P10),0)</f>
        <v>0</v>
      </c>
      <c r="W10" s="37">
        <f>IF($P10&gt;0,INDEX(装备!I$11:I$16,新属性汇总!$P10),0)</f>
        <v>0</v>
      </c>
      <c r="X10" s="37">
        <f>IF($P10&gt;0,INDEX(装备!J$11:J$16,新属性汇总!$P10),0)</f>
        <v>0</v>
      </c>
      <c r="Y10" s="37">
        <f t="shared" si="4"/>
        <v>0</v>
      </c>
      <c r="Z10" s="37">
        <f t="shared" si="5"/>
        <v>0</v>
      </c>
      <c r="AA10" s="37">
        <f t="shared" si="6"/>
        <v>0</v>
      </c>
      <c r="AB10" s="37">
        <v>0.65</v>
      </c>
      <c r="AC10" s="37">
        <f>IF(P10&gt;0,INDEX(装备!$BP$5:$BP$16,新属性汇总!P10),0)</f>
        <v>0</v>
      </c>
      <c r="AD10" s="37">
        <f>IF($P10&gt;0,ROUND(INDEX(装备!AY$11:AY$16,新属性汇总!$P10)*$AC10/3,0)*8*AB10,0)</f>
        <v>0</v>
      </c>
      <c r="AE10" s="37">
        <f>IF($P10&gt;0,ROUND(INDEX(装备!AZ$11:AZ$16,新属性汇总!$P10)*$AC10/3,0)*8*AB10,0)</f>
        <v>0</v>
      </c>
      <c r="AF10" s="37">
        <f>IF($P10&gt;0,ROUND(INDEX(装备!BA$11:BA$16,新属性汇总!$P10)*$AC10/3,0)*8*AB10,0)</f>
        <v>0</v>
      </c>
      <c r="AG10" s="37">
        <f>IF(新属性汇总!P10&gt;0,INDEX(装备!$AP$11:$AP$16,新属性汇总!$P10)*2,0)</f>
        <v>0</v>
      </c>
      <c r="AH10" s="37">
        <v>0</v>
      </c>
      <c r="AI10" s="37">
        <f>IF(新属性汇总!P10&gt;0,INDEX(装备!$AP$11:$AP$16,新属性汇总!$P10)*2,0)</f>
        <v>0</v>
      </c>
      <c r="AJ10" s="37">
        <v>0</v>
      </c>
      <c r="AK10" s="37">
        <f>IF($AJ10&gt;0,INDEX(专属武器!H$4:H$53,新属性汇总!$AJ10),0)</f>
        <v>0</v>
      </c>
      <c r="AL10" s="37">
        <f>IF($AJ10&gt;0,INDEX(专属武器!I$4:I$53,新属性汇总!$AJ10),0)</f>
        <v>0</v>
      </c>
      <c r="AM10" s="37">
        <f>IF($AJ10&gt;0,INDEX(专属武器!J$4:J$53,新属性汇总!$AJ10),0)</f>
        <v>0</v>
      </c>
      <c r="AQ10" s="13">
        <v>6</v>
      </c>
      <c r="AR10" s="13">
        <f t="shared" si="7"/>
        <v>287.5</v>
      </c>
      <c r="AS10" s="13">
        <f t="shared" si="8"/>
        <v>143.75</v>
      </c>
      <c r="AT10" s="13">
        <f t="shared" si="9"/>
        <v>776.24999999999989</v>
      </c>
      <c r="AU10" s="13">
        <f t="shared" si="10"/>
        <v>0</v>
      </c>
      <c r="AV10" s="13">
        <f t="shared" si="11"/>
        <v>0</v>
      </c>
      <c r="AW10" s="13">
        <f t="shared" si="12"/>
        <v>0</v>
      </c>
      <c r="AX10" s="13">
        <f t="shared" si="13"/>
        <v>0</v>
      </c>
      <c r="AY10" s="13">
        <f t="shared" si="14"/>
        <v>0</v>
      </c>
      <c r="AZ10" s="13">
        <f t="shared" si="15"/>
        <v>0</v>
      </c>
      <c r="BA10" s="13">
        <f t="shared" si="16"/>
        <v>0</v>
      </c>
      <c r="BB10" s="13">
        <f t="shared" si="17"/>
        <v>0</v>
      </c>
      <c r="BC10" s="13">
        <f t="shared" si="18"/>
        <v>0</v>
      </c>
      <c r="BD10" s="13">
        <f t="shared" si="19"/>
        <v>0</v>
      </c>
      <c r="BE10" s="13">
        <f t="shared" si="20"/>
        <v>0</v>
      </c>
      <c r="BF10" s="13">
        <f t="shared" si="21"/>
        <v>0</v>
      </c>
      <c r="BG10" s="13">
        <f t="shared" si="22"/>
        <v>3651</v>
      </c>
      <c r="BH10" s="13">
        <f t="shared" si="23"/>
        <v>0</v>
      </c>
      <c r="BI10" s="13">
        <f t="shared" si="24"/>
        <v>0</v>
      </c>
      <c r="BJ10" s="13">
        <f t="shared" si="25"/>
        <v>0</v>
      </c>
      <c r="BK10" s="13">
        <f t="shared" si="26"/>
        <v>0</v>
      </c>
      <c r="BL10" s="13">
        <f t="shared" si="27"/>
        <v>3651</v>
      </c>
      <c r="BM10" s="31">
        <f t="shared" si="28"/>
        <v>1</v>
      </c>
      <c r="BN10" s="31">
        <f t="shared" si="29"/>
        <v>0</v>
      </c>
      <c r="BO10" s="31">
        <f t="shared" si="30"/>
        <v>0</v>
      </c>
      <c r="BP10" s="31">
        <f t="shared" si="31"/>
        <v>0</v>
      </c>
      <c r="BQ10" s="31">
        <f t="shared" si="32"/>
        <v>0</v>
      </c>
    </row>
    <row r="11" spans="1:69" ht="16.5" x14ac:dyDescent="0.2">
      <c r="A11" s="37">
        <v>8</v>
      </c>
      <c r="B11" s="37">
        <v>1</v>
      </c>
      <c r="C11" s="37">
        <v>1</v>
      </c>
      <c r="D11" s="37">
        <v>3</v>
      </c>
      <c r="E11" s="37">
        <v>8</v>
      </c>
      <c r="F11" s="37">
        <f>INDEX(新属性投放!$L$6:$L$10,新属性汇总!D11)</f>
        <v>1.1499999999999999</v>
      </c>
      <c r="G11" s="37">
        <f>INDEX(新属性投放!J$42:J$62,新属性汇总!$B11)</f>
        <v>200</v>
      </c>
      <c r="H11" s="37">
        <f>INDEX(新属性投放!K$42:K$62,新属性汇总!$B11)</f>
        <v>100</v>
      </c>
      <c r="I11" s="37">
        <f>INDEX(新属性投放!L$42:L$62,新属性汇总!$B11)</f>
        <v>450</v>
      </c>
      <c r="J11" s="37">
        <f>($A11-INDEX(新属性投放!$B$42:$B$62,新属性汇总!$B11))*INDEX(新属性投放!D$42:D$62,新属性汇总!$B11)</f>
        <v>70</v>
      </c>
      <c r="K11" s="37">
        <f>($A11-INDEX(新属性投放!$B$42:$B$62,新属性汇总!$B11))*INDEX(新属性投放!E$42:E$62,新属性汇总!$B11)</f>
        <v>35</v>
      </c>
      <c r="L11" s="37">
        <f>($A11-INDEX(新属性投放!$B$42:$B$62,新属性汇总!$B11))*INDEX(新属性投放!F$42:F$62,新属性汇总!$B11)</f>
        <v>315</v>
      </c>
      <c r="M11" s="37">
        <f t="shared" si="1"/>
        <v>310.5</v>
      </c>
      <c r="N11" s="37">
        <f t="shared" si="2"/>
        <v>155.25</v>
      </c>
      <c r="O11" s="37">
        <f t="shared" si="3"/>
        <v>879.74999999999989</v>
      </c>
      <c r="P11" s="37">
        <v>0</v>
      </c>
      <c r="Q11" s="37">
        <v>0</v>
      </c>
      <c r="R11" s="37">
        <v>0</v>
      </c>
      <c r="S11" s="37">
        <f>IF($P11&gt;0,INDEX(装备!L$11:L$16,新属性汇总!$P11),0)</f>
        <v>0</v>
      </c>
      <c r="T11" s="37">
        <f>IF($P11&gt;0,INDEX(装备!M$11:M$16,新属性汇总!$P11),0)</f>
        <v>0</v>
      </c>
      <c r="U11" s="37">
        <f>IF($P11&gt;0,INDEX(装备!N$11:N$16,新属性汇总!$P11),0)</f>
        <v>0</v>
      </c>
      <c r="V11" s="37">
        <f>IF($P11&gt;0,INDEX(装备!H$11:H$16,新属性汇总!$P11),0)</f>
        <v>0</v>
      </c>
      <c r="W11" s="37">
        <f>IF($P11&gt;0,INDEX(装备!I$11:I$16,新属性汇总!$P11),0)</f>
        <v>0</v>
      </c>
      <c r="X11" s="37">
        <f>IF($P11&gt;0,INDEX(装备!J$11:J$16,新属性汇总!$P11),0)</f>
        <v>0</v>
      </c>
      <c r="Y11" s="37">
        <f t="shared" si="4"/>
        <v>0</v>
      </c>
      <c r="Z11" s="37">
        <f t="shared" si="5"/>
        <v>0</v>
      </c>
      <c r="AA11" s="37">
        <f t="shared" si="6"/>
        <v>0</v>
      </c>
      <c r="AB11" s="37">
        <v>0.65</v>
      </c>
      <c r="AC11" s="37">
        <f>IF(P11&gt;0,INDEX(装备!$BP$5:$BP$16,新属性汇总!P11),0)</f>
        <v>0</v>
      </c>
      <c r="AD11" s="37">
        <f>IF($P11&gt;0,ROUND(INDEX(装备!AY$11:AY$16,新属性汇总!$P11)*$AC11/3,0)*8*AB11,0)</f>
        <v>0</v>
      </c>
      <c r="AE11" s="37">
        <f>IF($P11&gt;0,ROUND(INDEX(装备!AZ$11:AZ$16,新属性汇总!$P11)*$AC11/3,0)*8*AB11,0)</f>
        <v>0</v>
      </c>
      <c r="AF11" s="37">
        <f>IF($P11&gt;0,ROUND(INDEX(装备!BA$11:BA$16,新属性汇总!$P11)*$AC11/3,0)*8*AB11,0)</f>
        <v>0</v>
      </c>
      <c r="AG11" s="37">
        <f>IF(新属性汇总!P11&gt;0,INDEX(装备!$AP$11:$AP$16,新属性汇总!$P11)*2,0)</f>
        <v>0</v>
      </c>
      <c r="AH11" s="37">
        <v>0</v>
      </c>
      <c r="AI11" s="37">
        <f>IF(新属性汇总!P11&gt;0,INDEX(装备!$AP$11:$AP$16,新属性汇总!$P11)*2,0)</f>
        <v>0</v>
      </c>
      <c r="AJ11" s="37">
        <v>0</v>
      </c>
      <c r="AK11" s="37">
        <f>IF($AJ11&gt;0,INDEX(专属武器!H$4:H$53,新属性汇总!$AJ11),0)</f>
        <v>0</v>
      </c>
      <c r="AL11" s="37">
        <f>IF($AJ11&gt;0,INDEX(专属武器!I$4:I$53,新属性汇总!$AJ11),0)</f>
        <v>0</v>
      </c>
      <c r="AM11" s="37">
        <f>IF($AJ11&gt;0,INDEX(专属武器!J$4:J$53,新属性汇总!$AJ11),0)</f>
        <v>0</v>
      </c>
      <c r="AQ11" s="13">
        <v>7</v>
      </c>
      <c r="AR11" s="13">
        <f t="shared" si="7"/>
        <v>299</v>
      </c>
      <c r="AS11" s="13">
        <f t="shared" si="8"/>
        <v>149.5</v>
      </c>
      <c r="AT11" s="13">
        <f t="shared" si="9"/>
        <v>827.99999999999989</v>
      </c>
      <c r="AU11" s="13">
        <f t="shared" si="10"/>
        <v>0</v>
      </c>
      <c r="AV11" s="13">
        <f t="shared" si="11"/>
        <v>0</v>
      </c>
      <c r="AW11" s="13">
        <f t="shared" si="12"/>
        <v>0</v>
      </c>
      <c r="AX11" s="13">
        <f t="shared" si="13"/>
        <v>0</v>
      </c>
      <c r="AY11" s="13">
        <f t="shared" si="14"/>
        <v>0</v>
      </c>
      <c r="AZ11" s="13">
        <f t="shared" si="15"/>
        <v>0</v>
      </c>
      <c r="BA11" s="13">
        <f t="shared" si="16"/>
        <v>0</v>
      </c>
      <c r="BB11" s="13">
        <f t="shared" si="17"/>
        <v>0</v>
      </c>
      <c r="BC11" s="13">
        <f t="shared" si="18"/>
        <v>0</v>
      </c>
      <c r="BD11" s="13">
        <f t="shared" si="19"/>
        <v>0</v>
      </c>
      <c r="BE11" s="13">
        <f t="shared" si="20"/>
        <v>0</v>
      </c>
      <c r="BF11" s="13">
        <f t="shared" si="21"/>
        <v>0</v>
      </c>
      <c r="BG11" s="13">
        <f t="shared" si="22"/>
        <v>3818</v>
      </c>
      <c r="BH11" s="13">
        <f t="shared" si="23"/>
        <v>0</v>
      </c>
      <c r="BI11" s="13">
        <f t="shared" si="24"/>
        <v>0</v>
      </c>
      <c r="BJ11" s="13">
        <f t="shared" si="25"/>
        <v>0</v>
      </c>
      <c r="BK11" s="13">
        <f t="shared" si="26"/>
        <v>0</v>
      </c>
      <c r="BL11" s="13">
        <f t="shared" si="27"/>
        <v>3818</v>
      </c>
      <c r="BM11" s="31">
        <f t="shared" si="28"/>
        <v>1</v>
      </c>
      <c r="BN11" s="31">
        <f t="shared" si="29"/>
        <v>0</v>
      </c>
      <c r="BO11" s="31">
        <f t="shared" si="30"/>
        <v>0</v>
      </c>
      <c r="BP11" s="31">
        <f t="shared" si="31"/>
        <v>0</v>
      </c>
      <c r="BQ11" s="31">
        <f t="shared" si="32"/>
        <v>0</v>
      </c>
    </row>
    <row r="12" spans="1:69" ht="16.5" x14ac:dyDescent="0.2">
      <c r="A12" s="37">
        <v>9</v>
      </c>
      <c r="B12" s="37">
        <v>1</v>
      </c>
      <c r="C12" s="37">
        <v>1</v>
      </c>
      <c r="D12" s="37">
        <v>3</v>
      </c>
      <c r="E12" s="37">
        <v>9</v>
      </c>
      <c r="F12" s="37">
        <f>INDEX(新属性投放!$L$6:$L$10,新属性汇总!D12)</f>
        <v>1.1499999999999999</v>
      </c>
      <c r="G12" s="37">
        <f>INDEX(新属性投放!J$42:J$62,新属性汇总!$B12)</f>
        <v>200</v>
      </c>
      <c r="H12" s="37">
        <f>INDEX(新属性投放!K$42:K$62,新属性汇总!$B12)</f>
        <v>100</v>
      </c>
      <c r="I12" s="37">
        <f>INDEX(新属性投放!L$42:L$62,新属性汇总!$B12)</f>
        <v>450</v>
      </c>
      <c r="J12" s="37">
        <f>($A12-INDEX(新属性投放!$B$42:$B$62,新属性汇总!$B12))*INDEX(新属性投放!D$42:D$62,新属性汇总!$B12)</f>
        <v>80</v>
      </c>
      <c r="K12" s="37">
        <f>($A12-INDEX(新属性投放!$B$42:$B$62,新属性汇总!$B12))*INDEX(新属性投放!E$42:E$62,新属性汇总!$B12)</f>
        <v>40</v>
      </c>
      <c r="L12" s="37">
        <f>($A12-INDEX(新属性投放!$B$42:$B$62,新属性汇总!$B12))*INDEX(新属性投放!F$42:F$62,新属性汇总!$B12)</f>
        <v>360</v>
      </c>
      <c r="M12" s="37">
        <f t="shared" si="1"/>
        <v>322</v>
      </c>
      <c r="N12" s="37">
        <f t="shared" si="2"/>
        <v>161</v>
      </c>
      <c r="O12" s="37">
        <f t="shared" si="3"/>
        <v>931.49999999999989</v>
      </c>
      <c r="P12" s="37">
        <v>0</v>
      </c>
      <c r="Q12" s="37">
        <v>0</v>
      </c>
      <c r="R12" s="37">
        <v>0</v>
      </c>
      <c r="S12" s="37">
        <f>IF($P12&gt;0,INDEX(装备!L$11:L$16,新属性汇总!$P12),0)</f>
        <v>0</v>
      </c>
      <c r="T12" s="37">
        <f>IF($P12&gt;0,INDEX(装备!M$11:M$16,新属性汇总!$P12),0)</f>
        <v>0</v>
      </c>
      <c r="U12" s="37">
        <f>IF($P12&gt;0,INDEX(装备!N$11:N$16,新属性汇总!$P12),0)</f>
        <v>0</v>
      </c>
      <c r="V12" s="37">
        <f>IF($P12&gt;0,INDEX(装备!H$11:H$16,新属性汇总!$P12),0)</f>
        <v>0</v>
      </c>
      <c r="W12" s="37">
        <f>IF($P12&gt;0,INDEX(装备!I$11:I$16,新属性汇总!$P12),0)</f>
        <v>0</v>
      </c>
      <c r="X12" s="37">
        <f>IF($P12&gt;0,INDEX(装备!J$11:J$16,新属性汇总!$P12),0)</f>
        <v>0</v>
      </c>
      <c r="Y12" s="37">
        <f t="shared" si="4"/>
        <v>0</v>
      </c>
      <c r="Z12" s="37">
        <f t="shared" si="5"/>
        <v>0</v>
      </c>
      <c r="AA12" s="37">
        <f t="shared" si="6"/>
        <v>0</v>
      </c>
      <c r="AB12" s="37">
        <v>0.65</v>
      </c>
      <c r="AC12" s="37">
        <f>IF(P12&gt;0,INDEX(装备!$BP$5:$BP$16,新属性汇总!P12),0)</f>
        <v>0</v>
      </c>
      <c r="AD12" s="37">
        <f>IF($P12&gt;0,ROUND(INDEX(装备!AY$11:AY$16,新属性汇总!$P12)*$AC12/3,0)*8*AB12,0)</f>
        <v>0</v>
      </c>
      <c r="AE12" s="37">
        <f>IF($P12&gt;0,ROUND(INDEX(装备!AZ$11:AZ$16,新属性汇总!$P12)*$AC12/3,0)*8*AB12,0)</f>
        <v>0</v>
      </c>
      <c r="AF12" s="37">
        <f>IF($P12&gt;0,ROUND(INDEX(装备!BA$11:BA$16,新属性汇总!$P12)*$AC12/3,0)*8*AB12,0)</f>
        <v>0</v>
      </c>
      <c r="AG12" s="37">
        <f>IF(新属性汇总!P12&gt;0,INDEX(装备!$AP$11:$AP$16,新属性汇总!$P12)*2,0)</f>
        <v>0</v>
      </c>
      <c r="AH12" s="37">
        <v>0</v>
      </c>
      <c r="AI12" s="37">
        <f>IF(新属性汇总!P12&gt;0,INDEX(装备!$AP$11:$AP$16,新属性汇总!$P12)*2,0)</f>
        <v>0</v>
      </c>
      <c r="AJ12" s="37">
        <v>0</v>
      </c>
      <c r="AK12" s="37">
        <f>IF($AJ12&gt;0,INDEX(专属武器!H$4:H$53,新属性汇总!$AJ12),0)</f>
        <v>0</v>
      </c>
      <c r="AL12" s="37">
        <f>IF($AJ12&gt;0,INDEX(专属武器!I$4:I$53,新属性汇总!$AJ12),0)</f>
        <v>0</v>
      </c>
      <c r="AM12" s="37">
        <f>IF($AJ12&gt;0,INDEX(专属武器!J$4:J$53,新属性汇总!$AJ12),0)</f>
        <v>0</v>
      </c>
      <c r="AQ12" s="13">
        <v>8</v>
      </c>
      <c r="AR12" s="13">
        <f t="shared" si="7"/>
        <v>310.5</v>
      </c>
      <c r="AS12" s="13">
        <f t="shared" si="8"/>
        <v>155.25</v>
      </c>
      <c r="AT12" s="13">
        <f t="shared" si="9"/>
        <v>879.74999999999989</v>
      </c>
      <c r="AU12" s="13">
        <f t="shared" si="10"/>
        <v>0</v>
      </c>
      <c r="AV12" s="13">
        <f t="shared" si="11"/>
        <v>0</v>
      </c>
      <c r="AW12" s="13">
        <f t="shared" si="12"/>
        <v>0</v>
      </c>
      <c r="AX12" s="13">
        <f t="shared" si="13"/>
        <v>0</v>
      </c>
      <c r="AY12" s="13">
        <f t="shared" si="14"/>
        <v>0</v>
      </c>
      <c r="AZ12" s="13">
        <f t="shared" si="15"/>
        <v>0</v>
      </c>
      <c r="BA12" s="13">
        <f t="shared" si="16"/>
        <v>0</v>
      </c>
      <c r="BB12" s="13">
        <f t="shared" si="17"/>
        <v>0</v>
      </c>
      <c r="BC12" s="13">
        <f t="shared" si="18"/>
        <v>0</v>
      </c>
      <c r="BD12" s="13">
        <f t="shared" si="19"/>
        <v>0</v>
      </c>
      <c r="BE12" s="13">
        <f t="shared" si="20"/>
        <v>0</v>
      </c>
      <c r="BF12" s="13">
        <f t="shared" si="21"/>
        <v>0</v>
      </c>
      <c r="BG12" s="13">
        <f t="shared" si="22"/>
        <v>3984</v>
      </c>
      <c r="BH12" s="13">
        <f t="shared" si="23"/>
        <v>0</v>
      </c>
      <c r="BI12" s="13">
        <f t="shared" si="24"/>
        <v>0</v>
      </c>
      <c r="BJ12" s="13">
        <f t="shared" si="25"/>
        <v>0</v>
      </c>
      <c r="BK12" s="13">
        <f t="shared" si="26"/>
        <v>0</v>
      </c>
      <c r="BL12" s="13">
        <f t="shared" si="27"/>
        <v>3984</v>
      </c>
      <c r="BM12" s="31">
        <f t="shared" si="28"/>
        <v>1</v>
      </c>
      <c r="BN12" s="31">
        <f t="shared" si="29"/>
        <v>0</v>
      </c>
      <c r="BO12" s="31">
        <f t="shared" si="30"/>
        <v>0</v>
      </c>
      <c r="BP12" s="31">
        <f t="shared" si="31"/>
        <v>0</v>
      </c>
      <c r="BQ12" s="31">
        <f t="shared" si="32"/>
        <v>0</v>
      </c>
    </row>
    <row r="13" spans="1:69" ht="16.5" x14ac:dyDescent="0.2">
      <c r="A13" s="37">
        <v>10</v>
      </c>
      <c r="B13" s="37">
        <v>2</v>
      </c>
      <c r="C13" s="37">
        <v>1</v>
      </c>
      <c r="D13" s="37">
        <v>3</v>
      </c>
      <c r="E13" s="37">
        <v>10</v>
      </c>
      <c r="F13" s="37">
        <f>INDEX(新属性投放!$L$6:$L$10,新属性汇总!D13)</f>
        <v>1.1499999999999999</v>
      </c>
      <c r="G13" s="37">
        <f>INDEX(新属性投放!J$42:J$62,新属性汇总!$B13)</f>
        <v>315</v>
      </c>
      <c r="H13" s="37">
        <f>INDEX(新属性投放!K$42:K$62,新属性汇总!$B13)</f>
        <v>155</v>
      </c>
      <c r="I13" s="37">
        <f>INDEX(新属性投放!L$42:L$62,新属性汇总!$B13)</f>
        <v>1080</v>
      </c>
      <c r="J13" s="37">
        <f>($A13-INDEX(新属性投放!$B$42:$B$62,新属性汇总!$B13))*INDEX(新属性投放!D$42:D$62,新属性汇总!$B13)</f>
        <v>0</v>
      </c>
      <c r="K13" s="37">
        <f>($A13-INDEX(新属性投放!$B$42:$B$62,新属性汇总!$B13))*INDEX(新属性投放!E$42:E$62,新属性汇总!$B13)</f>
        <v>0</v>
      </c>
      <c r="L13" s="37">
        <f>($A13-INDEX(新属性投放!$B$42:$B$62,新属性汇总!$B13))*INDEX(新属性投放!F$42:F$62,新属性汇总!$B13)</f>
        <v>0</v>
      </c>
      <c r="M13" s="37">
        <f t="shared" si="1"/>
        <v>362.25</v>
      </c>
      <c r="N13" s="37">
        <f t="shared" si="2"/>
        <v>178.25</v>
      </c>
      <c r="O13" s="37">
        <f t="shared" si="3"/>
        <v>1242</v>
      </c>
      <c r="P13" s="37">
        <v>0</v>
      </c>
      <c r="Q13" s="37">
        <v>0</v>
      </c>
      <c r="R13" s="37">
        <v>0</v>
      </c>
      <c r="S13" s="37">
        <f>IF($P13&gt;0,INDEX(装备!L$11:L$16,新属性汇总!$P13),0)</f>
        <v>0</v>
      </c>
      <c r="T13" s="37">
        <f>IF($P13&gt;0,INDEX(装备!M$11:M$16,新属性汇总!$P13),0)</f>
        <v>0</v>
      </c>
      <c r="U13" s="37">
        <f>IF($P13&gt;0,INDEX(装备!N$11:N$16,新属性汇总!$P13),0)</f>
        <v>0</v>
      </c>
      <c r="V13" s="37">
        <f>IF($P13&gt;0,INDEX(装备!H$11:H$16,新属性汇总!$P13),0)</f>
        <v>0</v>
      </c>
      <c r="W13" s="37">
        <f>IF($P13&gt;0,INDEX(装备!I$11:I$16,新属性汇总!$P13),0)</f>
        <v>0</v>
      </c>
      <c r="X13" s="37">
        <f>IF($P13&gt;0,INDEX(装备!J$11:J$16,新属性汇总!$P13),0)</f>
        <v>0</v>
      </c>
      <c r="Y13" s="37">
        <f t="shared" si="4"/>
        <v>0</v>
      </c>
      <c r="Z13" s="37">
        <f t="shared" si="5"/>
        <v>0</v>
      </c>
      <c r="AA13" s="37">
        <f t="shared" si="6"/>
        <v>0</v>
      </c>
      <c r="AB13" s="37">
        <v>0.65</v>
      </c>
      <c r="AC13" s="37">
        <f>IF(P13&gt;0,INDEX(装备!$BP$5:$BP$16,新属性汇总!P13),0)</f>
        <v>0</v>
      </c>
      <c r="AD13" s="37">
        <f>IF($P13&gt;0,ROUND(INDEX(装备!AY$11:AY$16,新属性汇总!$P13)*$AC13/3,0)*8*AB13,0)</f>
        <v>0</v>
      </c>
      <c r="AE13" s="37">
        <f>IF($P13&gt;0,ROUND(INDEX(装备!AZ$11:AZ$16,新属性汇总!$P13)*$AC13/3,0)*8*AB13,0)</f>
        <v>0</v>
      </c>
      <c r="AF13" s="37">
        <f>IF($P13&gt;0,ROUND(INDEX(装备!BA$11:BA$16,新属性汇总!$P13)*$AC13/3,0)*8*AB13,0)</f>
        <v>0</v>
      </c>
      <c r="AG13" s="37">
        <f>IF(新属性汇总!P13&gt;0,INDEX(装备!$AP$11:$AP$16,新属性汇总!$P13)*2,0)</f>
        <v>0</v>
      </c>
      <c r="AH13" s="37">
        <v>0</v>
      </c>
      <c r="AI13" s="37">
        <f>IF(新属性汇总!P13&gt;0,INDEX(装备!$AP$11:$AP$16,新属性汇总!$P13)*2,0)</f>
        <v>0</v>
      </c>
      <c r="AJ13" s="37">
        <v>0</v>
      </c>
      <c r="AK13" s="37">
        <f>IF($AJ13&gt;0,INDEX(专属武器!H$4:H$53,新属性汇总!$AJ13),0)</f>
        <v>0</v>
      </c>
      <c r="AL13" s="37">
        <f>IF($AJ13&gt;0,INDEX(专属武器!I$4:I$53,新属性汇总!$AJ13),0)</f>
        <v>0</v>
      </c>
      <c r="AM13" s="37">
        <f>IF($AJ13&gt;0,INDEX(专属武器!J$4:J$53,新属性汇总!$AJ13),0)</f>
        <v>0</v>
      </c>
      <c r="AQ13" s="13">
        <v>9</v>
      </c>
      <c r="AR13" s="13">
        <f t="shared" si="7"/>
        <v>322</v>
      </c>
      <c r="AS13" s="13">
        <f t="shared" si="8"/>
        <v>161</v>
      </c>
      <c r="AT13" s="13">
        <f t="shared" si="9"/>
        <v>931.49999999999989</v>
      </c>
      <c r="AU13" s="13">
        <f t="shared" si="10"/>
        <v>0</v>
      </c>
      <c r="AV13" s="13">
        <f t="shared" si="11"/>
        <v>0</v>
      </c>
      <c r="AW13" s="13">
        <f t="shared" si="12"/>
        <v>0</v>
      </c>
      <c r="AX13" s="13">
        <f t="shared" si="13"/>
        <v>0</v>
      </c>
      <c r="AY13" s="13">
        <f t="shared" si="14"/>
        <v>0</v>
      </c>
      <c r="AZ13" s="13">
        <f t="shared" si="15"/>
        <v>0</v>
      </c>
      <c r="BA13" s="13">
        <f t="shared" si="16"/>
        <v>0</v>
      </c>
      <c r="BB13" s="13">
        <f t="shared" si="17"/>
        <v>0</v>
      </c>
      <c r="BC13" s="13">
        <f t="shared" si="18"/>
        <v>0</v>
      </c>
      <c r="BD13" s="13">
        <f t="shared" si="19"/>
        <v>0</v>
      </c>
      <c r="BE13" s="13">
        <f t="shared" si="20"/>
        <v>0</v>
      </c>
      <c r="BF13" s="13">
        <f t="shared" si="21"/>
        <v>0</v>
      </c>
      <c r="BG13" s="13">
        <f t="shared" si="22"/>
        <v>4151</v>
      </c>
      <c r="BH13" s="13">
        <f t="shared" si="23"/>
        <v>0</v>
      </c>
      <c r="BI13" s="13">
        <f t="shared" si="24"/>
        <v>0</v>
      </c>
      <c r="BJ13" s="13">
        <f t="shared" si="25"/>
        <v>0</v>
      </c>
      <c r="BK13" s="13">
        <f t="shared" si="26"/>
        <v>0</v>
      </c>
      <c r="BL13" s="13">
        <f t="shared" si="27"/>
        <v>4151</v>
      </c>
      <c r="BM13" s="31">
        <f t="shared" si="28"/>
        <v>1</v>
      </c>
      <c r="BN13" s="31">
        <f t="shared" si="29"/>
        <v>0</v>
      </c>
      <c r="BO13" s="31">
        <f t="shared" si="30"/>
        <v>0</v>
      </c>
      <c r="BP13" s="31">
        <f t="shared" si="31"/>
        <v>0</v>
      </c>
      <c r="BQ13" s="31">
        <f t="shared" si="32"/>
        <v>0</v>
      </c>
    </row>
    <row r="14" spans="1:69" ht="16.5" x14ac:dyDescent="0.2">
      <c r="A14" s="37">
        <v>11</v>
      </c>
      <c r="B14" s="37">
        <v>2</v>
      </c>
      <c r="C14" s="37">
        <v>1</v>
      </c>
      <c r="D14" s="37">
        <v>3</v>
      </c>
      <c r="E14" s="37">
        <v>11</v>
      </c>
      <c r="F14" s="37">
        <f>INDEX(新属性投放!$L$6:$L$10,新属性汇总!D14)</f>
        <v>1.1499999999999999</v>
      </c>
      <c r="G14" s="37">
        <f>INDEX(新属性投放!J$42:J$62,新属性汇总!$B14)</f>
        <v>315</v>
      </c>
      <c r="H14" s="37">
        <f>INDEX(新属性投放!K$42:K$62,新属性汇总!$B14)</f>
        <v>155</v>
      </c>
      <c r="I14" s="37">
        <f>INDEX(新属性投放!L$42:L$62,新属性汇总!$B14)</f>
        <v>1080</v>
      </c>
      <c r="J14" s="37">
        <f>($A14-INDEX(新属性投放!$B$42:$B$62,新属性汇总!$B14))*INDEX(新属性投放!D$42:D$62,新属性汇总!$B14)</f>
        <v>10</v>
      </c>
      <c r="K14" s="37">
        <f>($A14-INDEX(新属性投放!$B$42:$B$62,新属性汇总!$B14))*INDEX(新属性投放!E$42:E$62,新属性汇总!$B14)</f>
        <v>5</v>
      </c>
      <c r="L14" s="37">
        <f>($A14-INDEX(新属性投放!$B$42:$B$62,新属性汇总!$B14))*INDEX(新属性投放!F$42:F$62,新属性汇总!$B14)</f>
        <v>45</v>
      </c>
      <c r="M14" s="37">
        <f t="shared" si="1"/>
        <v>373.74999999999994</v>
      </c>
      <c r="N14" s="37">
        <f t="shared" si="2"/>
        <v>184</v>
      </c>
      <c r="O14" s="37">
        <f t="shared" si="3"/>
        <v>1293.75</v>
      </c>
      <c r="P14" s="37">
        <v>0</v>
      </c>
      <c r="Q14" s="37">
        <v>0</v>
      </c>
      <c r="R14" s="37">
        <v>0</v>
      </c>
      <c r="S14" s="37">
        <f>IF($P14&gt;0,INDEX(装备!L$11:L$16,新属性汇总!$P14),0)</f>
        <v>0</v>
      </c>
      <c r="T14" s="37">
        <f>IF($P14&gt;0,INDEX(装备!M$11:M$16,新属性汇总!$P14),0)</f>
        <v>0</v>
      </c>
      <c r="U14" s="37">
        <f>IF($P14&gt;0,INDEX(装备!N$11:N$16,新属性汇总!$P14),0)</f>
        <v>0</v>
      </c>
      <c r="V14" s="37">
        <f>IF($P14&gt;0,INDEX(装备!H$11:H$16,新属性汇总!$P14),0)</f>
        <v>0</v>
      </c>
      <c r="W14" s="37">
        <f>IF($P14&gt;0,INDEX(装备!I$11:I$16,新属性汇总!$P14),0)</f>
        <v>0</v>
      </c>
      <c r="X14" s="37">
        <f>IF($P14&gt;0,INDEX(装备!J$11:J$16,新属性汇总!$P14),0)</f>
        <v>0</v>
      </c>
      <c r="Y14" s="37">
        <f t="shared" si="4"/>
        <v>0</v>
      </c>
      <c r="Z14" s="37">
        <f t="shared" si="5"/>
        <v>0</v>
      </c>
      <c r="AA14" s="37">
        <f t="shared" si="6"/>
        <v>0</v>
      </c>
      <c r="AB14" s="37">
        <v>0.65</v>
      </c>
      <c r="AC14" s="37">
        <f>IF(P14&gt;0,INDEX(装备!$BP$5:$BP$16,新属性汇总!P14),0)</f>
        <v>0</v>
      </c>
      <c r="AD14" s="37">
        <f>IF($P14&gt;0,ROUND(INDEX(装备!AY$11:AY$16,新属性汇总!$P14)*$AC14/3,0)*8*AB14,0)</f>
        <v>0</v>
      </c>
      <c r="AE14" s="37">
        <f>IF($P14&gt;0,ROUND(INDEX(装备!AZ$11:AZ$16,新属性汇总!$P14)*$AC14/3,0)*8*AB14,0)</f>
        <v>0</v>
      </c>
      <c r="AF14" s="37">
        <f>IF($P14&gt;0,ROUND(INDEX(装备!BA$11:BA$16,新属性汇总!$P14)*$AC14/3,0)*8*AB14,0)</f>
        <v>0</v>
      </c>
      <c r="AG14" s="37">
        <f>IF(新属性汇总!P14&gt;0,INDEX(装备!$AP$11:$AP$16,新属性汇总!$P14)*2,0)</f>
        <v>0</v>
      </c>
      <c r="AH14" s="37">
        <v>0</v>
      </c>
      <c r="AI14" s="37">
        <f>IF(新属性汇总!P14&gt;0,INDEX(装备!$AP$11:$AP$16,新属性汇总!$P14)*2,0)</f>
        <v>0</v>
      </c>
      <c r="AJ14" s="37">
        <v>0</v>
      </c>
      <c r="AK14" s="37">
        <f>IF($AJ14&gt;0,INDEX(专属武器!H$4:H$53,新属性汇总!$AJ14),0)</f>
        <v>0</v>
      </c>
      <c r="AL14" s="37">
        <f>IF($AJ14&gt;0,INDEX(专属武器!I$4:I$53,新属性汇总!$AJ14),0)</f>
        <v>0</v>
      </c>
      <c r="AM14" s="37">
        <f>IF($AJ14&gt;0,INDEX(专属武器!J$4:J$53,新属性汇总!$AJ14),0)</f>
        <v>0</v>
      </c>
      <c r="AQ14" s="13">
        <v>10</v>
      </c>
      <c r="AR14" s="13">
        <f t="shared" si="7"/>
        <v>362.25</v>
      </c>
      <c r="AS14" s="13">
        <f t="shared" si="8"/>
        <v>178.25</v>
      </c>
      <c r="AT14" s="13">
        <f t="shared" si="9"/>
        <v>1242</v>
      </c>
      <c r="AU14" s="13">
        <f t="shared" si="10"/>
        <v>0</v>
      </c>
      <c r="AV14" s="13">
        <f t="shared" si="11"/>
        <v>0</v>
      </c>
      <c r="AW14" s="13">
        <f t="shared" si="12"/>
        <v>0</v>
      </c>
      <c r="AX14" s="13">
        <f t="shared" si="13"/>
        <v>0</v>
      </c>
      <c r="AY14" s="13">
        <f t="shared" si="14"/>
        <v>0</v>
      </c>
      <c r="AZ14" s="13">
        <f t="shared" si="15"/>
        <v>0</v>
      </c>
      <c r="BA14" s="13">
        <f t="shared" si="16"/>
        <v>0</v>
      </c>
      <c r="BB14" s="13">
        <f t="shared" si="17"/>
        <v>0</v>
      </c>
      <c r="BC14" s="13">
        <f t="shared" si="18"/>
        <v>0</v>
      </c>
      <c r="BD14" s="13">
        <f t="shared" si="19"/>
        <v>0</v>
      </c>
      <c r="BE14" s="13">
        <f t="shared" si="20"/>
        <v>0</v>
      </c>
      <c r="BF14" s="13">
        <f t="shared" si="21"/>
        <v>0</v>
      </c>
      <c r="BG14" s="13">
        <f t="shared" si="22"/>
        <v>4835</v>
      </c>
      <c r="BH14" s="13">
        <f t="shared" si="23"/>
        <v>0</v>
      </c>
      <c r="BI14" s="13">
        <f t="shared" si="24"/>
        <v>0</v>
      </c>
      <c r="BJ14" s="13">
        <f t="shared" si="25"/>
        <v>0</v>
      </c>
      <c r="BK14" s="13">
        <f t="shared" si="26"/>
        <v>0</v>
      </c>
      <c r="BL14" s="13">
        <f t="shared" si="27"/>
        <v>4835</v>
      </c>
      <c r="BM14" s="31">
        <f t="shared" si="28"/>
        <v>1</v>
      </c>
      <c r="BN14" s="31">
        <f t="shared" si="29"/>
        <v>0</v>
      </c>
      <c r="BO14" s="31">
        <f t="shared" si="30"/>
        <v>0</v>
      </c>
      <c r="BP14" s="31">
        <f t="shared" si="31"/>
        <v>0</v>
      </c>
      <c r="BQ14" s="31">
        <f t="shared" si="32"/>
        <v>0</v>
      </c>
    </row>
    <row r="15" spans="1:69" ht="16.5" x14ac:dyDescent="0.2">
      <c r="A15" s="37">
        <v>12</v>
      </c>
      <c r="B15" s="37">
        <v>2</v>
      </c>
      <c r="C15" s="37">
        <v>1</v>
      </c>
      <c r="D15" s="37">
        <v>3</v>
      </c>
      <c r="E15" s="37">
        <v>12</v>
      </c>
      <c r="F15" s="37">
        <f>INDEX(新属性投放!$L$6:$L$10,新属性汇总!D15)</f>
        <v>1.1499999999999999</v>
      </c>
      <c r="G15" s="37">
        <f>INDEX(新属性投放!J$42:J$62,新属性汇总!$B15)</f>
        <v>315</v>
      </c>
      <c r="H15" s="37">
        <f>INDEX(新属性投放!K$42:K$62,新属性汇总!$B15)</f>
        <v>155</v>
      </c>
      <c r="I15" s="37">
        <f>INDEX(新属性投放!L$42:L$62,新属性汇总!$B15)</f>
        <v>1080</v>
      </c>
      <c r="J15" s="37">
        <f>($A15-INDEX(新属性投放!$B$42:$B$62,新属性汇总!$B15))*INDEX(新属性投放!D$42:D$62,新属性汇总!$B15)</f>
        <v>20</v>
      </c>
      <c r="K15" s="37">
        <f>($A15-INDEX(新属性投放!$B$42:$B$62,新属性汇总!$B15))*INDEX(新属性投放!E$42:E$62,新属性汇总!$B15)</f>
        <v>10</v>
      </c>
      <c r="L15" s="37">
        <f>($A15-INDEX(新属性投放!$B$42:$B$62,新属性汇总!$B15))*INDEX(新属性投放!F$42:F$62,新属性汇总!$B15)</f>
        <v>90</v>
      </c>
      <c r="M15" s="37">
        <f t="shared" si="1"/>
        <v>385.24999999999994</v>
      </c>
      <c r="N15" s="37">
        <f t="shared" si="2"/>
        <v>189.74999999999997</v>
      </c>
      <c r="O15" s="37">
        <f t="shared" si="3"/>
        <v>1345.5</v>
      </c>
      <c r="P15" s="37">
        <v>0</v>
      </c>
      <c r="Q15" s="37">
        <v>0</v>
      </c>
      <c r="R15" s="37">
        <v>0</v>
      </c>
      <c r="S15" s="37">
        <f>IF($P15&gt;0,INDEX(装备!L$11:L$16,新属性汇总!$P15),0)</f>
        <v>0</v>
      </c>
      <c r="T15" s="37">
        <f>IF($P15&gt;0,INDEX(装备!M$11:M$16,新属性汇总!$P15),0)</f>
        <v>0</v>
      </c>
      <c r="U15" s="37">
        <f>IF($P15&gt;0,INDEX(装备!N$11:N$16,新属性汇总!$P15),0)</f>
        <v>0</v>
      </c>
      <c r="V15" s="37">
        <f>IF($P15&gt;0,INDEX(装备!H$11:H$16,新属性汇总!$P15),0)</f>
        <v>0</v>
      </c>
      <c r="W15" s="37">
        <f>IF($P15&gt;0,INDEX(装备!I$11:I$16,新属性汇总!$P15),0)</f>
        <v>0</v>
      </c>
      <c r="X15" s="37">
        <f>IF($P15&gt;0,INDEX(装备!J$11:J$16,新属性汇总!$P15),0)</f>
        <v>0</v>
      </c>
      <c r="Y15" s="37">
        <f t="shared" si="4"/>
        <v>0</v>
      </c>
      <c r="Z15" s="37">
        <f t="shared" si="5"/>
        <v>0</v>
      </c>
      <c r="AA15" s="37">
        <f t="shared" si="6"/>
        <v>0</v>
      </c>
      <c r="AB15" s="37">
        <v>0.65</v>
      </c>
      <c r="AC15" s="37">
        <f>IF(P15&gt;0,INDEX(装备!$BP$5:$BP$16,新属性汇总!P15),0)</f>
        <v>0</v>
      </c>
      <c r="AD15" s="37">
        <f>IF($P15&gt;0,ROUND(INDEX(装备!AY$11:AY$16,新属性汇总!$P15)*$AC15/3,0)*8*AB15,0)</f>
        <v>0</v>
      </c>
      <c r="AE15" s="37">
        <f>IF($P15&gt;0,ROUND(INDEX(装备!AZ$11:AZ$16,新属性汇总!$P15)*$AC15/3,0)*8*AB15,0)</f>
        <v>0</v>
      </c>
      <c r="AF15" s="37">
        <f>IF($P15&gt;0,ROUND(INDEX(装备!BA$11:BA$16,新属性汇总!$P15)*$AC15/3,0)*8*AB15,0)</f>
        <v>0</v>
      </c>
      <c r="AG15" s="37">
        <f>IF(新属性汇总!P15&gt;0,INDEX(装备!$AP$11:$AP$16,新属性汇总!$P15)*2,0)</f>
        <v>0</v>
      </c>
      <c r="AH15" s="37">
        <v>0</v>
      </c>
      <c r="AI15" s="37">
        <f>IF(新属性汇总!P15&gt;0,INDEX(装备!$AP$11:$AP$16,新属性汇总!$P15)*2,0)</f>
        <v>0</v>
      </c>
      <c r="AJ15" s="37">
        <v>0</v>
      </c>
      <c r="AK15" s="37">
        <f>IF($AJ15&gt;0,INDEX(专属武器!H$4:H$53,新属性汇总!$AJ15),0)</f>
        <v>0</v>
      </c>
      <c r="AL15" s="37">
        <f>IF($AJ15&gt;0,INDEX(专属武器!I$4:I$53,新属性汇总!$AJ15),0)</f>
        <v>0</v>
      </c>
      <c r="AM15" s="37">
        <f>IF($AJ15&gt;0,INDEX(专属武器!J$4:J$53,新属性汇总!$AJ15),0)</f>
        <v>0</v>
      </c>
      <c r="AQ15" s="13">
        <v>11</v>
      </c>
      <c r="AR15" s="13">
        <f t="shared" si="7"/>
        <v>373.74999999999994</v>
      </c>
      <c r="AS15" s="13">
        <f t="shared" si="8"/>
        <v>184</v>
      </c>
      <c r="AT15" s="13">
        <f t="shared" si="9"/>
        <v>1293.75</v>
      </c>
      <c r="AU15" s="13">
        <f t="shared" si="10"/>
        <v>0</v>
      </c>
      <c r="AV15" s="13">
        <f t="shared" si="11"/>
        <v>0</v>
      </c>
      <c r="AW15" s="13">
        <f t="shared" si="12"/>
        <v>0</v>
      </c>
      <c r="AX15" s="13">
        <f t="shared" si="13"/>
        <v>0</v>
      </c>
      <c r="AY15" s="13">
        <f t="shared" si="14"/>
        <v>0</v>
      </c>
      <c r="AZ15" s="13">
        <f t="shared" si="15"/>
        <v>0</v>
      </c>
      <c r="BA15" s="13">
        <f t="shared" si="16"/>
        <v>0</v>
      </c>
      <c r="BB15" s="13">
        <f t="shared" si="17"/>
        <v>0</v>
      </c>
      <c r="BC15" s="13">
        <f t="shared" si="18"/>
        <v>0</v>
      </c>
      <c r="BD15" s="13">
        <f t="shared" si="19"/>
        <v>0</v>
      </c>
      <c r="BE15" s="13">
        <f t="shared" si="20"/>
        <v>0</v>
      </c>
      <c r="BF15" s="13">
        <f t="shared" si="21"/>
        <v>0</v>
      </c>
      <c r="BG15" s="13">
        <f t="shared" si="22"/>
        <v>5002</v>
      </c>
      <c r="BH15" s="13">
        <f t="shared" si="23"/>
        <v>0</v>
      </c>
      <c r="BI15" s="13">
        <f t="shared" si="24"/>
        <v>0</v>
      </c>
      <c r="BJ15" s="13">
        <f t="shared" si="25"/>
        <v>0</v>
      </c>
      <c r="BK15" s="13">
        <f t="shared" si="26"/>
        <v>0</v>
      </c>
      <c r="BL15" s="13">
        <f t="shared" si="27"/>
        <v>5002</v>
      </c>
      <c r="BM15" s="31">
        <f t="shared" si="28"/>
        <v>1</v>
      </c>
      <c r="BN15" s="31">
        <f t="shared" si="29"/>
        <v>0</v>
      </c>
      <c r="BO15" s="31">
        <f t="shared" si="30"/>
        <v>0</v>
      </c>
      <c r="BP15" s="31">
        <f t="shared" si="31"/>
        <v>0</v>
      </c>
      <c r="BQ15" s="31">
        <f t="shared" si="32"/>
        <v>0</v>
      </c>
    </row>
    <row r="16" spans="1:69" ht="16.5" x14ac:dyDescent="0.2">
      <c r="A16" s="37">
        <v>13</v>
      </c>
      <c r="B16" s="37">
        <v>2</v>
      </c>
      <c r="C16" s="37">
        <v>1</v>
      </c>
      <c r="D16" s="37">
        <v>3</v>
      </c>
      <c r="E16" s="37">
        <v>13</v>
      </c>
      <c r="F16" s="37">
        <f>INDEX(新属性投放!$L$6:$L$10,新属性汇总!D16)</f>
        <v>1.1499999999999999</v>
      </c>
      <c r="G16" s="37">
        <f>INDEX(新属性投放!J$42:J$62,新属性汇总!$B16)</f>
        <v>315</v>
      </c>
      <c r="H16" s="37">
        <f>INDEX(新属性投放!K$42:K$62,新属性汇总!$B16)</f>
        <v>155</v>
      </c>
      <c r="I16" s="37">
        <f>INDEX(新属性投放!L$42:L$62,新属性汇总!$B16)</f>
        <v>1080</v>
      </c>
      <c r="J16" s="37">
        <f>($A16-INDEX(新属性投放!$B$42:$B$62,新属性汇总!$B16))*INDEX(新属性投放!D$42:D$62,新属性汇总!$B16)</f>
        <v>30</v>
      </c>
      <c r="K16" s="37">
        <f>($A16-INDEX(新属性投放!$B$42:$B$62,新属性汇总!$B16))*INDEX(新属性投放!E$42:E$62,新属性汇总!$B16)</f>
        <v>15</v>
      </c>
      <c r="L16" s="37">
        <f>($A16-INDEX(新属性投放!$B$42:$B$62,新属性汇总!$B16))*INDEX(新属性投放!F$42:F$62,新属性汇总!$B16)</f>
        <v>135</v>
      </c>
      <c r="M16" s="37">
        <f t="shared" si="1"/>
        <v>396.74999999999994</v>
      </c>
      <c r="N16" s="37">
        <f t="shared" si="2"/>
        <v>195.49999999999997</v>
      </c>
      <c r="O16" s="37">
        <f t="shared" si="3"/>
        <v>1397.25</v>
      </c>
      <c r="P16" s="37">
        <v>0</v>
      </c>
      <c r="Q16" s="37">
        <v>0</v>
      </c>
      <c r="R16" s="37">
        <v>0</v>
      </c>
      <c r="S16" s="37">
        <f>IF($P16&gt;0,INDEX(装备!L$11:L$16,新属性汇总!$P16),0)</f>
        <v>0</v>
      </c>
      <c r="T16" s="37">
        <f>IF($P16&gt;0,INDEX(装备!M$11:M$16,新属性汇总!$P16),0)</f>
        <v>0</v>
      </c>
      <c r="U16" s="37">
        <f>IF($P16&gt;0,INDEX(装备!N$11:N$16,新属性汇总!$P16),0)</f>
        <v>0</v>
      </c>
      <c r="V16" s="37">
        <f>IF($P16&gt;0,INDEX(装备!H$11:H$16,新属性汇总!$P16),0)</f>
        <v>0</v>
      </c>
      <c r="W16" s="37">
        <f>IF($P16&gt;0,INDEX(装备!I$11:I$16,新属性汇总!$P16),0)</f>
        <v>0</v>
      </c>
      <c r="X16" s="37">
        <f>IF($P16&gt;0,INDEX(装备!J$11:J$16,新属性汇总!$P16),0)</f>
        <v>0</v>
      </c>
      <c r="Y16" s="37">
        <f t="shared" si="4"/>
        <v>0</v>
      </c>
      <c r="Z16" s="37">
        <f t="shared" si="5"/>
        <v>0</v>
      </c>
      <c r="AA16" s="37">
        <f t="shared" si="6"/>
        <v>0</v>
      </c>
      <c r="AB16" s="37">
        <v>0.65</v>
      </c>
      <c r="AC16" s="37">
        <f>IF(P16&gt;0,INDEX(装备!$BP$5:$BP$16,新属性汇总!P16),0)</f>
        <v>0</v>
      </c>
      <c r="AD16" s="37">
        <f>IF($P16&gt;0,ROUND(INDEX(装备!AY$11:AY$16,新属性汇总!$P16)*$AC16/3,0)*8*AB16,0)</f>
        <v>0</v>
      </c>
      <c r="AE16" s="37">
        <f>IF($P16&gt;0,ROUND(INDEX(装备!AZ$11:AZ$16,新属性汇总!$P16)*$AC16/3,0)*8*AB16,0)</f>
        <v>0</v>
      </c>
      <c r="AF16" s="37">
        <f>IF($P16&gt;0,ROUND(INDEX(装备!BA$11:BA$16,新属性汇总!$P16)*$AC16/3,0)*8*AB16,0)</f>
        <v>0</v>
      </c>
      <c r="AG16" s="37">
        <f>IF(新属性汇总!P16&gt;0,INDEX(装备!$AP$11:$AP$16,新属性汇总!$P16)*2,0)</f>
        <v>0</v>
      </c>
      <c r="AH16" s="37">
        <v>0</v>
      </c>
      <c r="AI16" s="37">
        <f>IF(新属性汇总!P16&gt;0,INDEX(装备!$AP$11:$AP$16,新属性汇总!$P16)*2,0)</f>
        <v>0</v>
      </c>
      <c r="AJ16" s="37">
        <v>0</v>
      </c>
      <c r="AK16" s="37">
        <f>IF($AJ16&gt;0,INDEX(专属武器!H$4:H$53,新属性汇总!$AJ16),0)</f>
        <v>0</v>
      </c>
      <c r="AL16" s="37">
        <f>IF($AJ16&gt;0,INDEX(专属武器!I$4:I$53,新属性汇总!$AJ16),0)</f>
        <v>0</v>
      </c>
      <c r="AM16" s="37">
        <f>IF($AJ16&gt;0,INDEX(专属武器!J$4:J$53,新属性汇总!$AJ16),0)</f>
        <v>0</v>
      </c>
      <c r="AQ16" s="13">
        <v>12</v>
      </c>
      <c r="AR16" s="13">
        <f t="shared" si="7"/>
        <v>385.24999999999994</v>
      </c>
      <c r="AS16" s="13">
        <f t="shared" si="8"/>
        <v>189.74999999999997</v>
      </c>
      <c r="AT16" s="13">
        <f t="shared" si="9"/>
        <v>1345.5</v>
      </c>
      <c r="AU16" s="13">
        <f t="shared" si="10"/>
        <v>0</v>
      </c>
      <c r="AV16" s="13">
        <f t="shared" si="11"/>
        <v>0</v>
      </c>
      <c r="AW16" s="13">
        <f t="shared" si="12"/>
        <v>0</v>
      </c>
      <c r="AX16" s="13">
        <f t="shared" si="13"/>
        <v>0</v>
      </c>
      <c r="AY16" s="13">
        <f t="shared" si="14"/>
        <v>0</v>
      </c>
      <c r="AZ16" s="13">
        <f t="shared" si="15"/>
        <v>0</v>
      </c>
      <c r="BA16" s="13">
        <f t="shared" si="16"/>
        <v>0</v>
      </c>
      <c r="BB16" s="13">
        <f t="shared" si="17"/>
        <v>0</v>
      </c>
      <c r="BC16" s="13">
        <f t="shared" si="18"/>
        <v>0</v>
      </c>
      <c r="BD16" s="13">
        <f t="shared" si="19"/>
        <v>0</v>
      </c>
      <c r="BE16" s="13">
        <f t="shared" si="20"/>
        <v>0</v>
      </c>
      <c r="BF16" s="13">
        <f t="shared" si="21"/>
        <v>0</v>
      </c>
      <c r="BG16" s="13">
        <f t="shared" si="22"/>
        <v>5169</v>
      </c>
      <c r="BH16" s="13">
        <f t="shared" si="23"/>
        <v>0</v>
      </c>
      <c r="BI16" s="13">
        <f t="shared" si="24"/>
        <v>0</v>
      </c>
      <c r="BJ16" s="13">
        <f t="shared" si="25"/>
        <v>0</v>
      </c>
      <c r="BK16" s="13">
        <f t="shared" si="26"/>
        <v>0</v>
      </c>
      <c r="BL16" s="13">
        <f t="shared" si="27"/>
        <v>5169</v>
      </c>
      <c r="BM16" s="31">
        <f t="shared" si="28"/>
        <v>1</v>
      </c>
      <c r="BN16" s="31">
        <f t="shared" si="29"/>
        <v>0</v>
      </c>
      <c r="BO16" s="31">
        <f t="shared" si="30"/>
        <v>0</v>
      </c>
      <c r="BP16" s="31">
        <f t="shared" si="31"/>
        <v>0</v>
      </c>
      <c r="BQ16" s="31">
        <f t="shared" si="32"/>
        <v>0</v>
      </c>
    </row>
    <row r="17" spans="1:69" ht="16.5" x14ac:dyDescent="0.2">
      <c r="A17" s="37">
        <v>14</v>
      </c>
      <c r="B17" s="37">
        <v>2</v>
      </c>
      <c r="C17" s="37">
        <v>1</v>
      </c>
      <c r="D17" s="37">
        <v>3</v>
      </c>
      <c r="E17" s="37">
        <v>14</v>
      </c>
      <c r="F17" s="37">
        <f>INDEX(新属性投放!$L$6:$L$10,新属性汇总!D17)</f>
        <v>1.1499999999999999</v>
      </c>
      <c r="G17" s="37">
        <f>INDEX(新属性投放!J$42:J$62,新属性汇总!$B17)</f>
        <v>315</v>
      </c>
      <c r="H17" s="37">
        <f>INDEX(新属性投放!K$42:K$62,新属性汇总!$B17)</f>
        <v>155</v>
      </c>
      <c r="I17" s="37">
        <f>INDEX(新属性投放!L$42:L$62,新属性汇总!$B17)</f>
        <v>1080</v>
      </c>
      <c r="J17" s="37">
        <f>($A17-INDEX(新属性投放!$B$42:$B$62,新属性汇总!$B17))*INDEX(新属性投放!D$42:D$62,新属性汇总!$B17)</f>
        <v>40</v>
      </c>
      <c r="K17" s="37">
        <f>($A17-INDEX(新属性投放!$B$42:$B$62,新属性汇总!$B17))*INDEX(新属性投放!E$42:E$62,新属性汇总!$B17)</f>
        <v>20</v>
      </c>
      <c r="L17" s="37">
        <f>($A17-INDEX(新属性投放!$B$42:$B$62,新属性汇总!$B17))*INDEX(新属性投放!F$42:F$62,新属性汇总!$B17)</f>
        <v>180</v>
      </c>
      <c r="M17" s="37">
        <f t="shared" si="1"/>
        <v>408.24999999999994</v>
      </c>
      <c r="N17" s="37">
        <f t="shared" si="2"/>
        <v>201.24999999999997</v>
      </c>
      <c r="O17" s="37">
        <f t="shared" si="3"/>
        <v>1449</v>
      </c>
      <c r="P17" s="37">
        <v>0</v>
      </c>
      <c r="Q17" s="37">
        <v>0</v>
      </c>
      <c r="R17" s="37">
        <v>0</v>
      </c>
      <c r="S17" s="37">
        <f>IF($P17&gt;0,INDEX(装备!L$11:L$16,新属性汇总!$P17),0)</f>
        <v>0</v>
      </c>
      <c r="T17" s="37">
        <f>IF($P17&gt;0,INDEX(装备!M$11:M$16,新属性汇总!$P17),0)</f>
        <v>0</v>
      </c>
      <c r="U17" s="37">
        <f>IF($P17&gt;0,INDEX(装备!N$11:N$16,新属性汇总!$P17),0)</f>
        <v>0</v>
      </c>
      <c r="V17" s="37">
        <f>IF($P17&gt;0,INDEX(装备!H$11:H$16,新属性汇总!$P17),0)</f>
        <v>0</v>
      </c>
      <c r="W17" s="37">
        <f>IF($P17&gt;0,INDEX(装备!I$11:I$16,新属性汇总!$P17),0)</f>
        <v>0</v>
      </c>
      <c r="X17" s="37">
        <f>IF($P17&gt;0,INDEX(装备!J$11:J$16,新属性汇总!$P17),0)</f>
        <v>0</v>
      </c>
      <c r="Y17" s="37">
        <f t="shared" si="4"/>
        <v>0</v>
      </c>
      <c r="Z17" s="37">
        <f t="shared" si="5"/>
        <v>0</v>
      </c>
      <c r="AA17" s="37">
        <f t="shared" si="6"/>
        <v>0</v>
      </c>
      <c r="AB17" s="37">
        <v>0.65</v>
      </c>
      <c r="AC17" s="37">
        <f>IF(P17&gt;0,INDEX(装备!$BP$5:$BP$16,新属性汇总!P17),0)</f>
        <v>0</v>
      </c>
      <c r="AD17" s="37">
        <f>IF($P17&gt;0,ROUND(INDEX(装备!AY$11:AY$16,新属性汇总!$P17)*$AC17/3,0)*8*AB17,0)</f>
        <v>0</v>
      </c>
      <c r="AE17" s="37">
        <f>IF($P17&gt;0,ROUND(INDEX(装备!AZ$11:AZ$16,新属性汇总!$P17)*$AC17/3,0)*8*AB17,0)</f>
        <v>0</v>
      </c>
      <c r="AF17" s="37">
        <f>IF($P17&gt;0,ROUND(INDEX(装备!BA$11:BA$16,新属性汇总!$P17)*$AC17/3,0)*8*AB17,0)</f>
        <v>0</v>
      </c>
      <c r="AG17" s="37">
        <f>IF(新属性汇总!P17&gt;0,INDEX(装备!$AP$11:$AP$16,新属性汇总!$P17)*2,0)</f>
        <v>0</v>
      </c>
      <c r="AH17" s="37">
        <v>0</v>
      </c>
      <c r="AI17" s="37">
        <f>IF(新属性汇总!P17&gt;0,INDEX(装备!$AP$11:$AP$16,新属性汇总!$P17)*2,0)</f>
        <v>0</v>
      </c>
      <c r="AJ17" s="37">
        <v>0</v>
      </c>
      <c r="AK17" s="37">
        <f>IF($AJ17&gt;0,INDEX(专属武器!H$4:H$53,新属性汇总!$AJ17),0)</f>
        <v>0</v>
      </c>
      <c r="AL17" s="37">
        <f>IF($AJ17&gt;0,INDEX(专属武器!I$4:I$53,新属性汇总!$AJ17),0)</f>
        <v>0</v>
      </c>
      <c r="AM17" s="37">
        <f>IF($AJ17&gt;0,INDEX(专属武器!J$4:J$53,新属性汇总!$AJ17),0)</f>
        <v>0</v>
      </c>
      <c r="AQ17" s="13">
        <v>13</v>
      </c>
      <c r="AR17" s="13">
        <f t="shared" si="7"/>
        <v>396.74999999999994</v>
      </c>
      <c r="AS17" s="13">
        <f t="shared" si="8"/>
        <v>195.49999999999997</v>
      </c>
      <c r="AT17" s="13">
        <f t="shared" si="9"/>
        <v>1397.25</v>
      </c>
      <c r="AU17" s="13">
        <f t="shared" si="10"/>
        <v>0</v>
      </c>
      <c r="AV17" s="13">
        <f t="shared" si="11"/>
        <v>0</v>
      </c>
      <c r="AW17" s="13">
        <f t="shared" si="12"/>
        <v>0</v>
      </c>
      <c r="AX17" s="13">
        <f t="shared" si="13"/>
        <v>0</v>
      </c>
      <c r="AY17" s="13">
        <f t="shared" si="14"/>
        <v>0</v>
      </c>
      <c r="AZ17" s="13">
        <f t="shared" si="15"/>
        <v>0</v>
      </c>
      <c r="BA17" s="13">
        <f t="shared" si="16"/>
        <v>0</v>
      </c>
      <c r="BB17" s="13">
        <f t="shared" si="17"/>
        <v>0</v>
      </c>
      <c r="BC17" s="13">
        <f t="shared" si="18"/>
        <v>0</v>
      </c>
      <c r="BD17" s="13">
        <f t="shared" si="19"/>
        <v>0</v>
      </c>
      <c r="BE17" s="13">
        <f t="shared" si="20"/>
        <v>0</v>
      </c>
      <c r="BF17" s="13">
        <f t="shared" si="21"/>
        <v>0</v>
      </c>
      <c r="BG17" s="13">
        <f t="shared" si="22"/>
        <v>5336</v>
      </c>
      <c r="BH17" s="13">
        <f t="shared" si="23"/>
        <v>0</v>
      </c>
      <c r="BI17" s="13">
        <f t="shared" si="24"/>
        <v>0</v>
      </c>
      <c r="BJ17" s="13">
        <f t="shared" si="25"/>
        <v>0</v>
      </c>
      <c r="BK17" s="13">
        <f t="shared" si="26"/>
        <v>0</v>
      </c>
      <c r="BL17" s="13">
        <f t="shared" si="27"/>
        <v>5336</v>
      </c>
      <c r="BM17" s="31">
        <f t="shared" si="28"/>
        <v>1</v>
      </c>
      <c r="BN17" s="31">
        <f t="shared" si="29"/>
        <v>0</v>
      </c>
      <c r="BO17" s="31">
        <f t="shared" si="30"/>
        <v>0</v>
      </c>
      <c r="BP17" s="31">
        <f t="shared" si="31"/>
        <v>0</v>
      </c>
      <c r="BQ17" s="31">
        <f t="shared" si="32"/>
        <v>0</v>
      </c>
    </row>
    <row r="18" spans="1:69" ht="16.5" x14ac:dyDescent="0.2">
      <c r="A18" s="37">
        <v>15</v>
      </c>
      <c r="B18" s="37">
        <v>2</v>
      </c>
      <c r="C18" s="37">
        <v>1</v>
      </c>
      <c r="D18" s="37">
        <v>3</v>
      </c>
      <c r="E18" s="37">
        <v>15</v>
      </c>
      <c r="F18" s="37">
        <f>INDEX(新属性投放!$L$6:$L$10,新属性汇总!D18)</f>
        <v>1.1499999999999999</v>
      </c>
      <c r="G18" s="37">
        <f>INDEX(新属性投放!J$42:J$62,新属性汇总!$B18)</f>
        <v>315</v>
      </c>
      <c r="H18" s="37">
        <f>INDEX(新属性投放!K$42:K$62,新属性汇总!$B18)</f>
        <v>155</v>
      </c>
      <c r="I18" s="37">
        <f>INDEX(新属性投放!L$42:L$62,新属性汇总!$B18)</f>
        <v>1080</v>
      </c>
      <c r="J18" s="37">
        <f>($A18-INDEX(新属性投放!$B$42:$B$62,新属性汇总!$B18))*INDEX(新属性投放!D$42:D$62,新属性汇总!$B18)</f>
        <v>50</v>
      </c>
      <c r="K18" s="37">
        <f>($A18-INDEX(新属性投放!$B$42:$B$62,新属性汇总!$B18))*INDEX(新属性投放!E$42:E$62,新属性汇总!$B18)</f>
        <v>25</v>
      </c>
      <c r="L18" s="37">
        <f>($A18-INDEX(新属性投放!$B$42:$B$62,新属性汇总!$B18))*INDEX(新属性投放!F$42:F$62,新属性汇总!$B18)</f>
        <v>225</v>
      </c>
      <c r="M18" s="37">
        <f t="shared" si="1"/>
        <v>419.74999999999994</v>
      </c>
      <c r="N18" s="37">
        <f t="shared" si="2"/>
        <v>206.99999999999997</v>
      </c>
      <c r="O18" s="37">
        <f t="shared" si="3"/>
        <v>1500.7499999999998</v>
      </c>
      <c r="P18" s="37">
        <v>0</v>
      </c>
      <c r="Q18" s="37">
        <v>0</v>
      </c>
      <c r="R18" s="37">
        <v>0</v>
      </c>
      <c r="S18" s="37">
        <f>IF($P18&gt;0,INDEX(装备!L$11:L$16,新属性汇总!$P18),0)</f>
        <v>0</v>
      </c>
      <c r="T18" s="37">
        <f>IF($P18&gt;0,INDEX(装备!M$11:M$16,新属性汇总!$P18),0)</f>
        <v>0</v>
      </c>
      <c r="U18" s="37">
        <f>IF($P18&gt;0,INDEX(装备!N$11:N$16,新属性汇总!$P18),0)</f>
        <v>0</v>
      </c>
      <c r="V18" s="37">
        <f>IF($P18&gt;0,INDEX(装备!H$11:H$16,新属性汇总!$P18),0)</f>
        <v>0</v>
      </c>
      <c r="W18" s="37">
        <f>IF($P18&gt;0,INDEX(装备!I$11:I$16,新属性汇总!$P18),0)</f>
        <v>0</v>
      </c>
      <c r="X18" s="37">
        <f>IF($P18&gt;0,INDEX(装备!J$11:J$16,新属性汇总!$P18),0)</f>
        <v>0</v>
      </c>
      <c r="Y18" s="37">
        <f t="shared" si="4"/>
        <v>0</v>
      </c>
      <c r="Z18" s="37">
        <f t="shared" si="5"/>
        <v>0</v>
      </c>
      <c r="AA18" s="37">
        <f t="shared" si="6"/>
        <v>0</v>
      </c>
      <c r="AB18" s="37">
        <v>0.65</v>
      </c>
      <c r="AC18" s="37">
        <f>IF(P18&gt;0,INDEX(装备!$BP$5:$BP$16,新属性汇总!P18),0)</f>
        <v>0</v>
      </c>
      <c r="AD18" s="37">
        <f>IF($P18&gt;0,ROUND(INDEX(装备!AY$11:AY$16,新属性汇总!$P18)*$AC18/3,0)*8*AB18,0)</f>
        <v>0</v>
      </c>
      <c r="AE18" s="37">
        <f>IF($P18&gt;0,ROUND(INDEX(装备!AZ$11:AZ$16,新属性汇总!$P18)*$AC18/3,0)*8*AB18,0)</f>
        <v>0</v>
      </c>
      <c r="AF18" s="37">
        <f>IF($P18&gt;0,ROUND(INDEX(装备!BA$11:BA$16,新属性汇总!$P18)*$AC18/3,0)*8*AB18,0)</f>
        <v>0</v>
      </c>
      <c r="AG18" s="37">
        <f>IF(新属性汇总!P18&gt;0,INDEX(装备!$AP$11:$AP$16,新属性汇总!$P18)*2,0)</f>
        <v>0</v>
      </c>
      <c r="AH18" s="37">
        <v>0</v>
      </c>
      <c r="AI18" s="37">
        <f>IF(新属性汇总!P18&gt;0,INDEX(装备!$AP$11:$AP$16,新属性汇总!$P18)*2,0)</f>
        <v>0</v>
      </c>
      <c r="AJ18" s="37">
        <v>0</v>
      </c>
      <c r="AK18" s="37">
        <f>IF($AJ18&gt;0,INDEX(专属武器!H$4:H$53,新属性汇总!$AJ18),0)</f>
        <v>0</v>
      </c>
      <c r="AL18" s="37">
        <f>IF($AJ18&gt;0,INDEX(专属武器!I$4:I$53,新属性汇总!$AJ18),0)</f>
        <v>0</v>
      </c>
      <c r="AM18" s="37">
        <f>IF($AJ18&gt;0,INDEX(专属武器!J$4:J$53,新属性汇总!$AJ18),0)</f>
        <v>0</v>
      </c>
      <c r="AQ18" s="13">
        <v>14</v>
      </c>
      <c r="AR18" s="13">
        <f t="shared" si="7"/>
        <v>408.24999999999994</v>
      </c>
      <c r="AS18" s="13">
        <f t="shared" si="8"/>
        <v>201.24999999999997</v>
      </c>
      <c r="AT18" s="13">
        <f t="shared" si="9"/>
        <v>1449</v>
      </c>
      <c r="AU18" s="13">
        <f t="shared" si="10"/>
        <v>0</v>
      </c>
      <c r="AV18" s="13">
        <f t="shared" si="11"/>
        <v>0</v>
      </c>
      <c r="AW18" s="13">
        <f t="shared" si="12"/>
        <v>0</v>
      </c>
      <c r="AX18" s="13">
        <f t="shared" si="13"/>
        <v>0</v>
      </c>
      <c r="AY18" s="13">
        <f t="shared" si="14"/>
        <v>0</v>
      </c>
      <c r="AZ18" s="13">
        <f t="shared" si="15"/>
        <v>0</v>
      </c>
      <c r="BA18" s="13">
        <f t="shared" si="16"/>
        <v>0</v>
      </c>
      <c r="BB18" s="13">
        <f t="shared" si="17"/>
        <v>0</v>
      </c>
      <c r="BC18" s="13">
        <f t="shared" si="18"/>
        <v>0</v>
      </c>
      <c r="BD18" s="13">
        <f t="shared" si="19"/>
        <v>0</v>
      </c>
      <c r="BE18" s="13">
        <f t="shared" si="20"/>
        <v>0</v>
      </c>
      <c r="BF18" s="13">
        <f t="shared" si="21"/>
        <v>0</v>
      </c>
      <c r="BG18" s="13">
        <f t="shared" si="22"/>
        <v>5502</v>
      </c>
      <c r="BH18" s="13">
        <f t="shared" si="23"/>
        <v>0</v>
      </c>
      <c r="BI18" s="13">
        <f t="shared" si="24"/>
        <v>0</v>
      </c>
      <c r="BJ18" s="13">
        <f t="shared" si="25"/>
        <v>0</v>
      </c>
      <c r="BK18" s="13">
        <f t="shared" si="26"/>
        <v>0</v>
      </c>
      <c r="BL18" s="13">
        <f t="shared" si="27"/>
        <v>5502</v>
      </c>
      <c r="BM18" s="31">
        <f t="shared" si="28"/>
        <v>1</v>
      </c>
      <c r="BN18" s="31">
        <f t="shared" si="29"/>
        <v>0</v>
      </c>
      <c r="BO18" s="31">
        <f t="shared" si="30"/>
        <v>0</v>
      </c>
      <c r="BP18" s="31">
        <f t="shared" si="31"/>
        <v>0</v>
      </c>
      <c r="BQ18" s="31">
        <f t="shared" si="32"/>
        <v>0</v>
      </c>
    </row>
    <row r="19" spans="1:69" ht="16.5" x14ac:dyDescent="0.2">
      <c r="A19" s="37">
        <v>16</v>
      </c>
      <c r="B19" s="37">
        <v>2</v>
      </c>
      <c r="C19" s="37">
        <v>1</v>
      </c>
      <c r="D19" s="37">
        <v>3</v>
      </c>
      <c r="E19" s="37">
        <v>16</v>
      </c>
      <c r="F19" s="37">
        <f>INDEX(新属性投放!$L$6:$L$10,新属性汇总!D19)</f>
        <v>1.1499999999999999</v>
      </c>
      <c r="G19" s="37">
        <f>INDEX(新属性投放!J$42:J$62,新属性汇总!$B19)</f>
        <v>315</v>
      </c>
      <c r="H19" s="37">
        <f>INDEX(新属性投放!K$42:K$62,新属性汇总!$B19)</f>
        <v>155</v>
      </c>
      <c r="I19" s="37">
        <f>INDEX(新属性投放!L$42:L$62,新属性汇总!$B19)</f>
        <v>1080</v>
      </c>
      <c r="J19" s="37">
        <f>($A19-INDEX(新属性投放!$B$42:$B$62,新属性汇总!$B19))*INDEX(新属性投放!D$42:D$62,新属性汇总!$B19)</f>
        <v>60</v>
      </c>
      <c r="K19" s="37">
        <f>($A19-INDEX(新属性投放!$B$42:$B$62,新属性汇总!$B19))*INDEX(新属性投放!E$42:E$62,新属性汇总!$B19)</f>
        <v>30</v>
      </c>
      <c r="L19" s="37">
        <f>($A19-INDEX(新属性投放!$B$42:$B$62,新属性汇总!$B19))*INDEX(新属性投放!F$42:F$62,新属性汇总!$B19)</f>
        <v>270</v>
      </c>
      <c r="M19" s="37">
        <f t="shared" si="1"/>
        <v>431.24999999999994</v>
      </c>
      <c r="N19" s="37">
        <f t="shared" si="2"/>
        <v>212.74999999999997</v>
      </c>
      <c r="O19" s="37">
        <f t="shared" si="3"/>
        <v>1552.4999999999998</v>
      </c>
      <c r="P19" s="37">
        <v>0</v>
      </c>
      <c r="Q19" s="37">
        <v>0</v>
      </c>
      <c r="R19" s="37">
        <v>0</v>
      </c>
      <c r="S19" s="37">
        <f>IF($P19&gt;0,INDEX(装备!L$11:L$16,新属性汇总!$P19),0)</f>
        <v>0</v>
      </c>
      <c r="T19" s="37">
        <f>IF($P19&gt;0,INDEX(装备!M$11:M$16,新属性汇总!$P19),0)</f>
        <v>0</v>
      </c>
      <c r="U19" s="37">
        <f>IF($P19&gt;0,INDEX(装备!N$11:N$16,新属性汇总!$P19),0)</f>
        <v>0</v>
      </c>
      <c r="V19" s="37">
        <f>IF($P19&gt;0,INDEX(装备!H$11:H$16,新属性汇总!$P19),0)</f>
        <v>0</v>
      </c>
      <c r="W19" s="37">
        <f>IF($P19&gt;0,INDEX(装备!I$11:I$16,新属性汇总!$P19),0)</f>
        <v>0</v>
      </c>
      <c r="X19" s="37">
        <f>IF($P19&gt;0,INDEX(装备!J$11:J$16,新属性汇总!$P19),0)</f>
        <v>0</v>
      </c>
      <c r="Y19" s="37">
        <f t="shared" si="4"/>
        <v>0</v>
      </c>
      <c r="Z19" s="37">
        <f t="shared" si="5"/>
        <v>0</v>
      </c>
      <c r="AA19" s="37">
        <f t="shared" si="6"/>
        <v>0</v>
      </c>
      <c r="AB19" s="37">
        <v>0.65</v>
      </c>
      <c r="AC19" s="37">
        <f>IF(P19&gt;0,INDEX(装备!$BP$5:$BP$16,新属性汇总!P19),0)</f>
        <v>0</v>
      </c>
      <c r="AD19" s="37">
        <f>IF($P19&gt;0,ROUND(INDEX(装备!AY$11:AY$16,新属性汇总!$P19)*$AC19/3,0)*8*AB19,0)</f>
        <v>0</v>
      </c>
      <c r="AE19" s="37">
        <f>IF($P19&gt;0,ROUND(INDEX(装备!AZ$11:AZ$16,新属性汇总!$P19)*$AC19/3,0)*8*AB19,0)</f>
        <v>0</v>
      </c>
      <c r="AF19" s="37">
        <f>IF($P19&gt;0,ROUND(INDEX(装备!BA$11:BA$16,新属性汇总!$P19)*$AC19/3,0)*8*AB19,0)</f>
        <v>0</v>
      </c>
      <c r="AG19" s="37">
        <f>IF(新属性汇总!P19&gt;0,INDEX(装备!$AP$11:$AP$16,新属性汇总!$P19)*2,0)</f>
        <v>0</v>
      </c>
      <c r="AH19" s="37">
        <v>0</v>
      </c>
      <c r="AI19" s="37">
        <f>IF(新属性汇总!P19&gt;0,INDEX(装备!$AP$11:$AP$16,新属性汇总!$P19)*2,0)</f>
        <v>0</v>
      </c>
      <c r="AJ19" s="37">
        <v>0</v>
      </c>
      <c r="AK19" s="37">
        <f>IF($AJ19&gt;0,INDEX(专属武器!H$4:H$53,新属性汇总!$AJ19),0)</f>
        <v>0</v>
      </c>
      <c r="AL19" s="37">
        <f>IF($AJ19&gt;0,INDEX(专属武器!I$4:I$53,新属性汇总!$AJ19),0)</f>
        <v>0</v>
      </c>
      <c r="AM19" s="37">
        <f>IF($AJ19&gt;0,INDEX(专属武器!J$4:J$53,新属性汇总!$AJ19),0)</f>
        <v>0</v>
      </c>
      <c r="AQ19" s="13">
        <v>15</v>
      </c>
      <c r="AR19" s="13">
        <f t="shared" si="7"/>
        <v>419.74999999999994</v>
      </c>
      <c r="AS19" s="13">
        <f t="shared" si="8"/>
        <v>206.99999999999997</v>
      </c>
      <c r="AT19" s="13">
        <f t="shared" si="9"/>
        <v>1500.7499999999998</v>
      </c>
      <c r="AU19" s="13">
        <f t="shared" si="10"/>
        <v>0</v>
      </c>
      <c r="AV19" s="13">
        <f t="shared" si="11"/>
        <v>0</v>
      </c>
      <c r="AW19" s="13">
        <f t="shared" si="12"/>
        <v>0</v>
      </c>
      <c r="AX19" s="13">
        <f t="shared" si="13"/>
        <v>0</v>
      </c>
      <c r="AY19" s="13">
        <f t="shared" si="14"/>
        <v>0</v>
      </c>
      <c r="AZ19" s="13">
        <f t="shared" si="15"/>
        <v>0</v>
      </c>
      <c r="BA19" s="13">
        <f t="shared" si="16"/>
        <v>0</v>
      </c>
      <c r="BB19" s="13">
        <f t="shared" si="17"/>
        <v>0</v>
      </c>
      <c r="BC19" s="13">
        <f t="shared" si="18"/>
        <v>0</v>
      </c>
      <c r="BD19" s="13">
        <f t="shared" si="19"/>
        <v>0</v>
      </c>
      <c r="BE19" s="13">
        <f t="shared" si="20"/>
        <v>0</v>
      </c>
      <c r="BF19" s="13">
        <f t="shared" si="21"/>
        <v>0</v>
      </c>
      <c r="BG19" s="13">
        <f t="shared" si="22"/>
        <v>5669</v>
      </c>
      <c r="BH19" s="13">
        <f t="shared" si="23"/>
        <v>0</v>
      </c>
      <c r="BI19" s="13">
        <f t="shared" si="24"/>
        <v>0</v>
      </c>
      <c r="BJ19" s="13">
        <f t="shared" si="25"/>
        <v>0</v>
      </c>
      <c r="BK19" s="13">
        <f t="shared" si="26"/>
        <v>0</v>
      </c>
      <c r="BL19" s="13">
        <f t="shared" si="27"/>
        <v>5669</v>
      </c>
      <c r="BM19" s="31">
        <f t="shared" si="28"/>
        <v>1</v>
      </c>
      <c r="BN19" s="31">
        <f t="shared" si="29"/>
        <v>0</v>
      </c>
      <c r="BO19" s="31">
        <f t="shared" si="30"/>
        <v>0</v>
      </c>
      <c r="BP19" s="31">
        <f t="shared" si="31"/>
        <v>0</v>
      </c>
      <c r="BQ19" s="31">
        <f t="shared" si="32"/>
        <v>0</v>
      </c>
    </row>
    <row r="20" spans="1:69" ht="16.5" x14ac:dyDescent="0.2">
      <c r="A20" s="37">
        <v>17</v>
      </c>
      <c r="B20" s="37">
        <v>2</v>
      </c>
      <c r="C20" s="37">
        <v>1</v>
      </c>
      <c r="D20" s="37">
        <v>3</v>
      </c>
      <c r="E20" s="37">
        <v>17</v>
      </c>
      <c r="F20" s="37">
        <f>INDEX(新属性投放!$L$6:$L$10,新属性汇总!D20)</f>
        <v>1.1499999999999999</v>
      </c>
      <c r="G20" s="37">
        <f>INDEX(新属性投放!J$42:J$62,新属性汇总!$B20)</f>
        <v>315</v>
      </c>
      <c r="H20" s="37">
        <f>INDEX(新属性投放!K$42:K$62,新属性汇总!$B20)</f>
        <v>155</v>
      </c>
      <c r="I20" s="37">
        <f>INDEX(新属性投放!L$42:L$62,新属性汇总!$B20)</f>
        <v>1080</v>
      </c>
      <c r="J20" s="37">
        <f>($A20-INDEX(新属性投放!$B$42:$B$62,新属性汇总!$B20))*INDEX(新属性投放!D$42:D$62,新属性汇总!$B20)</f>
        <v>70</v>
      </c>
      <c r="K20" s="37">
        <f>($A20-INDEX(新属性投放!$B$42:$B$62,新属性汇总!$B20))*INDEX(新属性投放!E$42:E$62,新属性汇总!$B20)</f>
        <v>35</v>
      </c>
      <c r="L20" s="37">
        <f>($A20-INDEX(新属性投放!$B$42:$B$62,新属性汇总!$B20))*INDEX(新属性投放!F$42:F$62,新属性汇总!$B20)</f>
        <v>315</v>
      </c>
      <c r="M20" s="37">
        <f t="shared" si="1"/>
        <v>442.74999999999994</v>
      </c>
      <c r="N20" s="37">
        <f t="shared" si="2"/>
        <v>218.49999999999997</v>
      </c>
      <c r="O20" s="37">
        <f t="shared" si="3"/>
        <v>1604.2499999999998</v>
      </c>
      <c r="P20" s="37">
        <v>0</v>
      </c>
      <c r="Q20" s="37">
        <v>0</v>
      </c>
      <c r="R20" s="37">
        <v>0</v>
      </c>
      <c r="S20" s="37">
        <f>IF($P20&gt;0,INDEX(装备!L$11:L$16,新属性汇总!$P20),0)</f>
        <v>0</v>
      </c>
      <c r="T20" s="37">
        <f>IF($P20&gt;0,INDEX(装备!M$11:M$16,新属性汇总!$P20),0)</f>
        <v>0</v>
      </c>
      <c r="U20" s="37">
        <f>IF($P20&gt;0,INDEX(装备!N$11:N$16,新属性汇总!$P20),0)</f>
        <v>0</v>
      </c>
      <c r="V20" s="37">
        <f>IF($P20&gt;0,INDEX(装备!H$11:H$16,新属性汇总!$P20),0)</f>
        <v>0</v>
      </c>
      <c r="W20" s="37">
        <f>IF($P20&gt;0,INDEX(装备!I$11:I$16,新属性汇总!$P20),0)</f>
        <v>0</v>
      </c>
      <c r="X20" s="37">
        <f>IF($P20&gt;0,INDEX(装备!J$11:J$16,新属性汇总!$P20),0)</f>
        <v>0</v>
      </c>
      <c r="Y20" s="37">
        <f t="shared" si="4"/>
        <v>0</v>
      </c>
      <c r="Z20" s="37">
        <f t="shared" si="5"/>
        <v>0</v>
      </c>
      <c r="AA20" s="37">
        <f t="shared" si="6"/>
        <v>0</v>
      </c>
      <c r="AB20" s="37">
        <v>0.65</v>
      </c>
      <c r="AC20" s="37">
        <f>IF(P20&gt;0,INDEX(装备!$BP$5:$BP$16,新属性汇总!P20),0)</f>
        <v>0</v>
      </c>
      <c r="AD20" s="37">
        <f>IF($P20&gt;0,ROUND(INDEX(装备!AY$11:AY$16,新属性汇总!$P20)*$AC20/3,0)*8*AB20,0)</f>
        <v>0</v>
      </c>
      <c r="AE20" s="37">
        <f>IF($P20&gt;0,ROUND(INDEX(装备!AZ$11:AZ$16,新属性汇总!$P20)*$AC20/3,0)*8*AB20,0)</f>
        <v>0</v>
      </c>
      <c r="AF20" s="37">
        <f>IF($P20&gt;0,ROUND(INDEX(装备!BA$11:BA$16,新属性汇总!$P20)*$AC20/3,0)*8*AB20,0)</f>
        <v>0</v>
      </c>
      <c r="AG20" s="37">
        <f>IF(新属性汇总!P20&gt;0,INDEX(装备!$AP$11:$AP$16,新属性汇总!$P20)*2,0)</f>
        <v>0</v>
      </c>
      <c r="AH20" s="37">
        <v>0</v>
      </c>
      <c r="AI20" s="37">
        <f>IF(新属性汇总!P20&gt;0,INDEX(装备!$AP$11:$AP$16,新属性汇总!$P20)*2,0)</f>
        <v>0</v>
      </c>
      <c r="AJ20" s="37">
        <v>0</v>
      </c>
      <c r="AK20" s="37">
        <f>IF($AJ20&gt;0,INDEX(专属武器!H$4:H$53,新属性汇总!$AJ20),0)</f>
        <v>0</v>
      </c>
      <c r="AL20" s="37">
        <f>IF($AJ20&gt;0,INDEX(专属武器!I$4:I$53,新属性汇总!$AJ20),0)</f>
        <v>0</v>
      </c>
      <c r="AM20" s="37">
        <f>IF($AJ20&gt;0,INDEX(专属武器!J$4:J$53,新属性汇总!$AJ20),0)</f>
        <v>0</v>
      </c>
      <c r="AQ20" s="13">
        <v>16</v>
      </c>
      <c r="AR20" s="13">
        <f t="shared" si="7"/>
        <v>431.24999999999994</v>
      </c>
      <c r="AS20" s="13">
        <f t="shared" si="8"/>
        <v>212.74999999999997</v>
      </c>
      <c r="AT20" s="13">
        <f t="shared" si="9"/>
        <v>1552.4999999999998</v>
      </c>
      <c r="AU20" s="13">
        <f t="shared" si="10"/>
        <v>0</v>
      </c>
      <c r="AV20" s="13">
        <f t="shared" si="11"/>
        <v>0</v>
      </c>
      <c r="AW20" s="13">
        <f t="shared" si="12"/>
        <v>0</v>
      </c>
      <c r="AX20" s="13">
        <f t="shared" si="13"/>
        <v>0</v>
      </c>
      <c r="AY20" s="13">
        <f t="shared" si="14"/>
        <v>0</v>
      </c>
      <c r="AZ20" s="13">
        <f t="shared" si="15"/>
        <v>0</v>
      </c>
      <c r="BA20" s="13">
        <f t="shared" si="16"/>
        <v>0</v>
      </c>
      <c r="BB20" s="13">
        <f t="shared" si="17"/>
        <v>0</v>
      </c>
      <c r="BC20" s="13">
        <f t="shared" si="18"/>
        <v>0</v>
      </c>
      <c r="BD20" s="13">
        <f t="shared" si="19"/>
        <v>0</v>
      </c>
      <c r="BE20" s="13">
        <f t="shared" si="20"/>
        <v>0</v>
      </c>
      <c r="BF20" s="13">
        <f t="shared" si="21"/>
        <v>0</v>
      </c>
      <c r="BG20" s="13">
        <f t="shared" si="22"/>
        <v>5836</v>
      </c>
      <c r="BH20" s="13">
        <f t="shared" si="23"/>
        <v>0</v>
      </c>
      <c r="BI20" s="13">
        <f t="shared" si="24"/>
        <v>0</v>
      </c>
      <c r="BJ20" s="13">
        <f t="shared" si="25"/>
        <v>0</v>
      </c>
      <c r="BK20" s="13">
        <f t="shared" si="26"/>
        <v>0</v>
      </c>
      <c r="BL20" s="13">
        <f t="shared" si="27"/>
        <v>5836</v>
      </c>
      <c r="BM20" s="31">
        <f t="shared" si="28"/>
        <v>1</v>
      </c>
      <c r="BN20" s="31">
        <f t="shared" si="29"/>
        <v>0</v>
      </c>
      <c r="BO20" s="31">
        <f t="shared" si="30"/>
        <v>0</v>
      </c>
      <c r="BP20" s="31">
        <f t="shared" si="31"/>
        <v>0</v>
      </c>
      <c r="BQ20" s="31">
        <f t="shared" si="32"/>
        <v>0</v>
      </c>
    </row>
    <row r="21" spans="1:69" ht="16.5" x14ac:dyDescent="0.2">
      <c r="A21" s="37">
        <v>18</v>
      </c>
      <c r="B21" s="37">
        <v>2</v>
      </c>
      <c r="C21" s="37">
        <v>1</v>
      </c>
      <c r="D21" s="37">
        <v>3</v>
      </c>
      <c r="E21" s="37">
        <v>18</v>
      </c>
      <c r="F21" s="37">
        <f>INDEX(新属性投放!$L$6:$L$10,新属性汇总!D21)</f>
        <v>1.1499999999999999</v>
      </c>
      <c r="G21" s="37">
        <f>INDEX(新属性投放!J$42:J$62,新属性汇总!$B21)</f>
        <v>315</v>
      </c>
      <c r="H21" s="37">
        <f>INDEX(新属性投放!K$42:K$62,新属性汇总!$B21)</f>
        <v>155</v>
      </c>
      <c r="I21" s="37">
        <f>INDEX(新属性投放!L$42:L$62,新属性汇总!$B21)</f>
        <v>1080</v>
      </c>
      <c r="J21" s="37">
        <f>($A21-INDEX(新属性投放!$B$42:$B$62,新属性汇总!$B21))*INDEX(新属性投放!D$42:D$62,新属性汇总!$B21)</f>
        <v>80</v>
      </c>
      <c r="K21" s="37">
        <f>($A21-INDEX(新属性投放!$B$42:$B$62,新属性汇总!$B21))*INDEX(新属性投放!E$42:E$62,新属性汇总!$B21)</f>
        <v>40</v>
      </c>
      <c r="L21" s="37">
        <f>($A21-INDEX(新属性投放!$B$42:$B$62,新属性汇总!$B21))*INDEX(新属性投放!F$42:F$62,新属性汇总!$B21)</f>
        <v>360</v>
      </c>
      <c r="M21" s="37">
        <f t="shared" si="1"/>
        <v>454.24999999999994</v>
      </c>
      <c r="N21" s="37">
        <f t="shared" si="2"/>
        <v>224.24999999999997</v>
      </c>
      <c r="O21" s="37">
        <f t="shared" si="3"/>
        <v>1655.9999999999998</v>
      </c>
      <c r="P21" s="37">
        <v>0</v>
      </c>
      <c r="Q21" s="37">
        <v>0</v>
      </c>
      <c r="R21" s="37">
        <v>0</v>
      </c>
      <c r="S21" s="37">
        <f>IF($P21&gt;0,INDEX(装备!L$11:L$16,新属性汇总!$P21),0)</f>
        <v>0</v>
      </c>
      <c r="T21" s="37">
        <f>IF($P21&gt;0,INDEX(装备!M$11:M$16,新属性汇总!$P21),0)</f>
        <v>0</v>
      </c>
      <c r="U21" s="37">
        <f>IF($P21&gt;0,INDEX(装备!N$11:N$16,新属性汇总!$P21),0)</f>
        <v>0</v>
      </c>
      <c r="V21" s="37">
        <f>IF($P21&gt;0,INDEX(装备!H$11:H$16,新属性汇总!$P21),0)</f>
        <v>0</v>
      </c>
      <c r="W21" s="37">
        <f>IF($P21&gt;0,INDEX(装备!I$11:I$16,新属性汇总!$P21),0)</f>
        <v>0</v>
      </c>
      <c r="X21" s="37">
        <f>IF($P21&gt;0,INDEX(装备!J$11:J$16,新属性汇总!$P21),0)</f>
        <v>0</v>
      </c>
      <c r="Y21" s="37">
        <f t="shared" si="4"/>
        <v>0</v>
      </c>
      <c r="Z21" s="37">
        <f t="shared" si="5"/>
        <v>0</v>
      </c>
      <c r="AA21" s="37">
        <f t="shared" si="6"/>
        <v>0</v>
      </c>
      <c r="AB21" s="37">
        <v>0.65</v>
      </c>
      <c r="AC21" s="37">
        <f>IF(P21&gt;0,INDEX(装备!$BP$5:$BP$16,新属性汇总!P21),0)</f>
        <v>0</v>
      </c>
      <c r="AD21" s="37">
        <f>IF($P21&gt;0,ROUND(INDEX(装备!AY$11:AY$16,新属性汇总!$P21)*$AC21/3,0)*8*AB21,0)</f>
        <v>0</v>
      </c>
      <c r="AE21" s="37">
        <f>IF($P21&gt;0,ROUND(INDEX(装备!AZ$11:AZ$16,新属性汇总!$P21)*$AC21/3,0)*8*AB21,0)</f>
        <v>0</v>
      </c>
      <c r="AF21" s="37">
        <f>IF($P21&gt;0,ROUND(INDEX(装备!BA$11:BA$16,新属性汇总!$P21)*$AC21/3,0)*8*AB21,0)</f>
        <v>0</v>
      </c>
      <c r="AG21" s="37">
        <f>IF(新属性汇总!P21&gt;0,INDEX(装备!$AP$11:$AP$16,新属性汇总!$P21)*2,0)</f>
        <v>0</v>
      </c>
      <c r="AH21" s="37">
        <v>0</v>
      </c>
      <c r="AI21" s="37">
        <f>IF(新属性汇总!P21&gt;0,INDEX(装备!$AP$11:$AP$16,新属性汇总!$P21)*2,0)</f>
        <v>0</v>
      </c>
      <c r="AJ21" s="37">
        <v>0</v>
      </c>
      <c r="AK21" s="37">
        <f>IF($AJ21&gt;0,INDEX(专属武器!H$4:H$53,新属性汇总!$AJ21),0)</f>
        <v>0</v>
      </c>
      <c r="AL21" s="37">
        <f>IF($AJ21&gt;0,INDEX(专属武器!I$4:I$53,新属性汇总!$AJ21),0)</f>
        <v>0</v>
      </c>
      <c r="AM21" s="37">
        <f>IF($AJ21&gt;0,INDEX(专属武器!J$4:J$53,新属性汇总!$AJ21),0)</f>
        <v>0</v>
      </c>
      <c r="AQ21" s="13">
        <v>17</v>
      </c>
      <c r="AR21" s="13">
        <f t="shared" si="7"/>
        <v>442.74999999999994</v>
      </c>
      <c r="AS21" s="13">
        <f t="shared" si="8"/>
        <v>218.49999999999997</v>
      </c>
      <c r="AT21" s="13">
        <f t="shared" si="9"/>
        <v>1604.2499999999998</v>
      </c>
      <c r="AU21" s="13">
        <f t="shared" si="10"/>
        <v>0</v>
      </c>
      <c r="AV21" s="13">
        <f t="shared" si="11"/>
        <v>0</v>
      </c>
      <c r="AW21" s="13">
        <f t="shared" si="12"/>
        <v>0</v>
      </c>
      <c r="AX21" s="13">
        <f t="shared" si="13"/>
        <v>0</v>
      </c>
      <c r="AY21" s="13">
        <f t="shared" si="14"/>
        <v>0</v>
      </c>
      <c r="AZ21" s="13">
        <f t="shared" si="15"/>
        <v>0</v>
      </c>
      <c r="BA21" s="13">
        <f t="shared" si="16"/>
        <v>0</v>
      </c>
      <c r="BB21" s="13">
        <f t="shared" si="17"/>
        <v>0</v>
      </c>
      <c r="BC21" s="13">
        <f t="shared" si="18"/>
        <v>0</v>
      </c>
      <c r="BD21" s="13">
        <f t="shared" si="19"/>
        <v>0</v>
      </c>
      <c r="BE21" s="13">
        <f t="shared" si="20"/>
        <v>0</v>
      </c>
      <c r="BF21" s="13">
        <f t="shared" si="21"/>
        <v>0</v>
      </c>
      <c r="BG21" s="13">
        <f t="shared" si="22"/>
        <v>6003</v>
      </c>
      <c r="BH21" s="13">
        <f t="shared" si="23"/>
        <v>0</v>
      </c>
      <c r="BI21" s="13">
        <f t="shared" si="24"/>
        <v>0</v>
      </c>
      <c r="BJ21" s="13">
        <f t="shared" si="25"/>
        <v>0</v>
      </c>
      <c r="BK21" s="13">
        <f t="shared" si="26"/>
        <v>0</v>
      </c>
      <c r="BL21" s="13">
        <f t="shared" si="27"/>
        <v>6003</v>
      </c>
      <c r="BM21" s="31">
        <f t="shared" si="28"/>
        <v>1</v>
      </c>
      <c r="BN21" s="31">
        <f t="shared" si="29"/>
        <v>0</v>
      </c>
      <c r="BO21" s="31">
        <f t="shared" si="30"/>
        <v>0</v>
      </c>
      <c r="BP21" s="31">
        <f t="shared" si="31"/>
        <v>0</v>
      </c>
      <c r="BQ21" s="31">
        <f t="shared" si="32"/>
        <v>0</v>
      </c>
    </row>
    <row r="22" spans="1:69" ht="16.5" x14ac:dyDescent="0.2">
      <c r="A22" s="37">
        <v>19</v>
      </c>
      <c r="B22" s="37">
        <v>2</v>
      </c>
      <c r="C22" s="37">
        <v>1</v>
      </c>
      <c r="D22" s="37">
        <v>3</v>
      </c>
      <c r="E22" s="37">
        <v>19</v>
      </c>
      <c r="F22" s="37">
        <f>INDEX(新属性投放!$L$6:$L$10,新属性汇总!D22)</f>
        <v>1.1499999999999999</v>
      </c>
      <c r="G22" s="37">
        <f>INDEX(新属性投放!J$42:J$62,新属性汇总!$B22)</f>
        <v>315</v>
      </c>
      <c r="H22" s="37">
        <f>INDEX(新属性投放!K$42:K$62,新属性汇总!$B22)</f>
        <v>155</v>
      </c>
      <c r="I22" s="37">
        <f>INDEX(新属性投放!L$42:L$62,新属性汇总!$B22)</f>
        <v>1080</v>
      </c>
      <c r="J22" s="37">
        <f>($A22-INDEX(新属性投放!$B$42:$B$62,新属性汇总!$B22))*INDEX(新属性投放!D$42:D$62,新属性汇总!$B22)</f>
        <v>90</v>
      </c>
      <c r="K22" s="37">
        <f>($A22-INDEX(新属性投放!$B$42:$B$62,新属性汇总!$B22))*INDEX(新属性投放!E$42:E$62,新属性汇总!$B22)</f>
        <v>45</v>
      </c>
      <c r="L22" s="37">
        <f>($A22-INDEX(新属性投放!$B$42:$B$62,新属性汇总!$B22))*INDEX(新属性投放!F$42:F$62,新属性汇总!$B22)</f>
        <v>405</v>
      </c>
      <c r="M22" s="37">
        <f t="shared" si="1"/>
        <v>465.74999999999994</v>
      </c>
      <c r="N22" s="37">
        <f t="shared" si="2"/>
        <v>229.99999999999997</v>
      </c>
      <c r="O22" s="37">
        <f t="shared" si="3"/>
        <v>1707.7499999999998</v>
      </c>
      <c r="P22" s="37">
        <v>0</v>
      </c>
      <c r="Q22" s="37">
        <v>0</v>
      </c>
      <c r="R22" s="37">
        <v>0</v>
      </c>
      <c r="S22" s="37">
        <f>IF($P22&gt;0,INDEX(装备!L$11:L$16,新属性汇总!$P22),0)</f>
        <v>0</v>
      </c>
      <c r="T22" s="37">
        <f>IF($P22&gt;0,INDEX(装备!M$11:M$16,新属性汇总!$P22),0)</f>
        <v>0</v>
      </c>
      <c r="U22" s="37">
        <f>IF($P22&gt;0,INDEX(装备!N$11:N$16,新属性汇总!$P22),0)</f>
        <v>0</v>
      </c>
      <c r="V22" s="37">
        <f>IF($P22&gt;0,INDEX(装备!H$11:H$16,新属性汇总!$P22),0)</f>
        <v>0</v>
      </c>
      <c r="W22" s="37">
        <f>IF($P22&gt;0,INDEX(装备!I$11:I$16,新属性汇总!$P22),0)</f>
        <v>0</v>
      </c>
      <c r="X22" s="37">
        <f>IF($P22&gt;0,INDEX(装备!J$11:J$16,新属性汇总!$P22),0)</f>
        <v>0</v>
      </c>
      <c r="Y22" s="37">
        <f t="shared" si="4"/>
        <v>0</v>
      </c>
      <c r="Z22" s="37">
        <f t="shared" si="5"/>
        <v>0</v>
      </c>
      <c r="AA22" s="37">
        <f t="shared" si="6"/>
        <v>0</v>
      </c>
      <c r="AB22" s="37">
        <v>0.65</v>
      </c>
      <c r="AC22" s="37">
        <f>IF(P22&gt;0,INDEX(装备!$BP$5:$BP$16,新属性汇总!P22),0)</f>
        <v>0</v>
      </c>
      <c r="AD22" s="37">
        <f>IF($P22&gt;0,ROUND(INDEX(装备!AY$11:AY$16,新属性汇总!$P22)*$AC22/3,0)*8*AB22,0)</f>
        <v>0</v>
      </c>
      <c r="AE22" s="37">
        <f>IF($P22&gt;0,ROUND(INDEX(装备!AZ$11:AZ$16,新属性汇总!$P22)*$AC22/3,0)*8*AB22,0)</f>
        <v>0</v>
      </c>
      <c r="AF22" s="37">
        <f>IF($P22&gt;0,ROUND(INDEX(装备!BA$11:BA$16,新属性汇总!$P22)*$AC22/3,0)*8*AB22,0)</f>
        <v>0</v>
      </c>
      <c r="AG22" s="37">
        <f>IF(新属性汇总!P22&gt;0,INDEX(装备!$AP$11:$AP$16,新属性汇总!$P22)*2,0)</f>
        <v>0</v>
      </c>
      <c r="AH22" s="37">
        <v>0</v>
      </c>
      <c r="AI22" s="37">
        <f>IF(新属性汇总!P22&gt;0,INDEX(装备!$AP$11:$AP$16,新属性汇总!$P22)*2,0)</f>
        <v>0</v>
      </c>
      <c r="AJ22" s="37">
        <v>0</v>
      </c>
      <c r="AK22" s="37">
        <f>IF($AJ22&gt;0,INDEX(专属武器!H$4:H$53,新属性汇总!$AJ22),0)</f>
        <v>0</v>
      </c>
      <c r="AL22" s="37">
        <f>IF($AJ22&gt;0,INDEX(专属武器!I$4:I$53,新属性汇总!$AJ22),0)</f>
        <v>0</v>
      </c>
      <c r="AM22" s="37">
        <f>IF($AJ22&gt;0,INDEX(专属武器!J$4:J$53,新属性汇总!$AJ22),0)</f>
        <v>0</v>
      </c>
      <c r="AQ22" s="13">
        <v>18</v>
      </c>
      <c r="AR22" s="13">
        <f t="shared" si="7"/>
        <v>454.24999999999994</v>
      </c>
      <c r="AS22" s="13">
        <f t="shared" si="8"/>
        <v>224.24999999999997</v>
      </c>
      <c r="AT22" s="13">
        <f t="shared" si="9"/>
        <v>1655.9999999999998</v>
      </c>
      <c r="AU22" s="13">
        <f t="shared" si="10"/>
        <v>0</v>
      </c>
      <c r="AV22" s="13">
        <f t="shared" si="11"/>
        <v>0</v>
      </c>
      <c r="AW22" s="13">
        <f t="shared" si="12"/>
        <v>0</v>
      </c>
      <c r="AX22" s="13">
        <f t="shared" si="13"/>
        <v>0</v>
      </c>
      <c r="AY22" s="13">
        <f t="shared" si="14"/>
        <v>0</v>
      </c>
      <c r="AZ22" s="13">
        <f t="shared" si="15"/>
        <v>0</v>
      </c>
      <c r="BA22" s="13">
        <f t="shared" si="16"/>
        <v>0</v>
      </c>
      <c r="BB22" s="13">
        <f t="shared" si="17"/>
        <v>0</v>
      </c>
      <c r="BC22" s="13">
        <f t="shared" si="18"/>
        <v>0</v>
      </c>
      <c r="BD22" s="13">
        <f t="shared" si="19"/>
        <v>0</v>
      </c>
      <c r="BE22" s="13">
        <f t="shared" si="20"/>
        <v>0</v>
      </c>
      <c r="BF22" s="13">
        <f t="shared" si="21"/>
        <v>0</v>
      </c>
      <c r="BG22" s="13">
        <f t="shared" si="22"/>
        <v>6169</v>
      </c>
      <c r="BH22" s="13">
        <f t="shared" si="23"/>
        <v>0</v>
      </c>
      <c r="BI22" s="13">
        <f t="shared" si="24"/>
        <v>0</v>
      </c>
      <c r="BJ22" s="13">
        <f t="shared" si="25"/>
        <v>0</v>
      </c>
      <c r="BK22" s="13">
        <f t="shared" si="26"/>
        <v>0</v>
      </c>
      <c r="BL22" s="13">
        <f t="shared" si="27"/>
        <v>6169</v>
      </c>
      <c r="BM22" s="31">
        <f t="shared" si="28"/>
        <v>1</v>
      </c>
      <c r="BN22" s="31">
        <f t="shared" si="29"/>
        <v>0</v>
      </c>
      <c r="BO22" s="31">
        <f t="shared" si="30"/>
        <v>0</v>
      </c>
      <c r="BP22" s="31">
        <f t="shared" si="31"/>
        <v>0</v>
      </c>
      <c r="BQ22" s="31">
        <f t="shared" si="32"/>
        <v>0</v>
      </c>
    </row>
    <row r="23" spans="1:69" ht="16.5" x14ac:dyDescent="0.2">
      <c r="A23" s="37">
        <v>20</v>
      </c>
      <c r="B23" s="37">
        <v>3</v>
      </c>
      <c r="C23" s="37">
        <v>1</v>
      </c>
      <c r="D23" s="37">
        <v>3</v>
      </c>
      <c r="E23" s="37">
        <v>20</v>
      </c>
      <c r="F23" s="37">
        <f>INDEX(新属性投放!$L$6:$L$10,新属性汇总!D23)</f>
        <v>1.1499999999999999</v>
      </c>
      <c r="G23" s="37">
        <f>INDEX(新属性投放!J$42:J$62,新属性汇总!$B23)</f>
        <v>440</v>
      </c>
      <c r="H23" s="37">
        <f>INDEX(新属性投放!K$42:K$62,新属性汇总!$B23)</f>
        <v>218</v>
      </c>
      <c r="I23" s="37">
        <f>INDEX(新属性投放!L$42:L$62,新属性汇总!$B23)</f>
        <v>1755</v>
      </c>
      <c r="J23" s="37">
        <f>($A23-INDEX(新属性投放!$B$42:$B$62,新属性汇总!$B23))*INDEX(新属性投放!D$42:D$62,新属性汇总!$B23)</f>
        <v>0</v>
      </c>
      <c r="K23" s="37">
        <f>($A23-INDEX(新属性投放!$B$42:$B$62,新属性汇总!$B23))*INDEX(新属性投放!E$42:E$62,新属性汇总!$B23)</f>
        <v>0</v>
      </c>
      <c r="L23" s="37">
        <f>($A23-INDEX(新属性投放!$B$42:$B$62,新属性汇总!$B23))*INDEX(新属性投放!F$42:F$62,新属性汇总!$B23)</f>
        <v>0</v>
      </c>
      <c r="M23" s="37">
        <f t="shared" si="1"/>
        <v>505.99999999999994</v>
      </c>
      <c r="N23" s="37">
        <f t="shared" si="2"/>
        <v>250.7</v>
      </c>
      <c r="O23" s="37">
        <f t="shared" si="3"/>
        <v>2018.2499999999998</v>
      </c>
      <c r="P23" s="37">
        <v>0</v>
      </c>
      <c r="Q23" s="37">
        <v>0</v>
      </c>
      <c r="R23" s="37">
        <v>0</v>
      </c>
      <c r="S23" s="37">
        <f>IF($P23&gt;0,INDEX(装备!L$11:L$16,新属性汇总!$P23),0)</f>
        <v>0</v>
      </c>
      <c r="T23" s="37">
        <f>IF($P23&gt;0,INDEX(装备!M$11:M$16,新属性汇总!$P23),0)</f>
        <v>0</v>
      </c>
      <c r="U23" s="37">
        <f>IF($P23&gt;0,INDEX(装备!N$11:N$16,新属性汇总!$P23),0)</f>
        <v>0</v>
      </c>
      <c r="V23" s="37">
        <f>IF($P23&gt;0,INDEX(装备!H$11:H$16,新属性汇总!$P23),0)</f>
        <v>0</v>
      </c>
      <c r="W23" s="37">
        <f>IF($P23&gt;0,INDEX(装备!I$11:I$16,新属性汇总!$P23),0)</f>
        <v>0</v>
      </c>
      <c r="X23" s="37">
        <f>IF($P23&gt;0,INDEX(装备!J$11:J$16,新属性汇总!$P23),0)</f>
        <v>0</v>
      </c>
      <c r="Y23" s="37">
        <f t="shared" si="4"/>
        <v>0</v>
      </c>
      <c r="Z23" s="37">
        <f t="shared" si="5"/>
        <v>0</v>
      </c>
      <c r="AA23" s="37">
        <f t="shared" si="6"/>
        <v>0</v>
      </c>
      <c r="AB23" s="37">
        <v>0.65</v>
      </c>
      <c r="AC23" s="37">
        <f>IF(P23&gt;0,INDEX(装备!$BP$5:$BP$16,新属性汇总!P23),0)</f>
        <v>0</v>
      </c>
      <c r="AD23" s="37">
        <f>IF($P23&gt;0,ROUND(INDEX(装备!AY$11:AY$16,新属性汇总!$P23)*$AC23/3,0)*8*AB23,0)</f>
        <v>0</v>
      </c>
      <c r="AE23" s="37">
        <f>IF($P23&gt;0,ROUND(INDEX(装备!AZ$11:AZ$16,新属性汇总!$P23)*$AC23/3,0)*8*AB23,0)</f>
        <v>0</v>
      </c>
      <c r="AF23" s="37">
        <f>IF($P23&gt;0,ROUND(INDEX(装备!BA$11:BA$16,新属性汇总!$P23)*$AC23/3,0)*8*AB23,0)</f>
        <v>0</v>
      </c>
      <c r="AG23" s="37">
        <f>IF(新属性汇总!P23&gt;0,INDEX(装备!$AP$11:$AP$16,新属性汇总!$P23)*2,0)</f>
        <v>0</v>
      </c>
      <c r="AH23" s="37">
        <v>0</v>
      </c>
      <c r="AI23" s="37">
        <f>IF(新属性汇总!P23&gt;0,INDEX(装备!$AP$11:$AP$16,新属性汇总!$P23)*2,0)</f>
        <v>0</v>
      </c>
      <c r="AJ23" s="37">
        <v>0</v>
      </c>
      <c r="AK23" s="37">
        <f>IF($AJ23&gt;0,INDEX(专属武器!H$4:H$53,新属性汇总!$AJ23),0)</f>
        <v>0</v>
      </c>
      <c r="AL23" s="37">
        <f>IF($AJ23&gt;0,INDEX(专属武器!I$4:I$53,新属性汇总!$AJ23),0)</f>
        <v>0</v>
      </c>
      <c r="AM23" s="37">
        <f>IF($AJ23&gt;0,INDEX(专属武器!J$4:J$53,新属性汇总!$AJ23),0)</f>
        <v>0</v>
      </c>
      <c r="AQ23" s="13">
        <v>19</v>
      </c>
      <c r="AR23" s="13">
        <f t="shared" si="7"/>
        <v>465.74999999999994</v>
      </c>
      <c r="AS23" s="13">
        <f t="shared" si="8"/>
        <v>229.99999999999997</v>
      </c>
      <c r="AT23" s="13">
        <f t="shared" si="9"/>
        <v>1707.7499999999998</v>
      </c>
      <c r="AU23" s="13">
        <f t="shared" si="10"/>
        <v>0</v>
      </c>
      <c r="AV23" s="13">
        <f t="shared" si="11"/>
        <v>0</v>
      </c>
      <c r="AW23" s="13">
        <f t="shared" si="12"/>
        <v>0</v>
      </c>
      <c r="AX23" s="13">
        <f t="shared" si="13"/>
        <v>0</v>
      </c>
      <c r="AY23" s="13">
        <f t="shared" si="14"/>
        <v>0</v>
      </c>
      <c r="AZ23" s="13">
        <f t="shared" si="15"/>
        <v>0</v>
      </c>
      <c r="BA23" s="13">
        <f t="shared" si="16"/>
        <v>0</v>
      </c>
      <c r="BB23" s="13">
        <f t="shared" si="17"/>
        <v>0</v>
      </c>
      <c r="BC23" s="13">
        <f t="shared" si="18"/>
        <v>0</v>
      </c>
      <c r="BD23" s="13">
        <f t="shared" si="19"/>
        <v>0</v>
      </c>
      <c r="BE23" s="13">
        <f t="shared" si="20"/>
        <v>0</v>
      </c>
      <c r="BF23" s="13">
        <f t="shared" si="21"/>
        <v>0</v>
      </c>
      <c r="BG23" s="13">
        <f t="shared" si="22"/>
        <v>6336</v>
      </c>
      <c r="BH23" s="13">
        <f t="shared" si="23"/>
        <v>0</v>
      </c>
      <c r="BI23" s="13">
        <f t="shared" si="24"/>
        <v>0</v>
      </c>
      <c r="BJ23" s="13">
        <f t="shared" si="25"/>
        <v>0</v>
      </c>
      <c r="BK23" s="13">
        <f t="shared" si="26"/>
        <v>0</v>
      </c>
      <c r="BL23" s="13">
        <f t="shared" si="27"/>
        <v>6336</v>
      </c>
      <c r="BM23" s="31">
        <f t="shared" si="28"/>
        <v>1</v>
      </c>
      <c r="BN23" s="31">
        <f t="shared" si="29"/>
        <v>0</v>
      </c>
      <c r="BO23" s="31">
        <f t="shared" si="30"/>
        <v>0</v>
      </c>
      <c r="BP23" s="31">
        <f t="shared" si="31"/>
        <v>0</v>
      </c>
      <c r="BQ23" s="31">
        <f t="shared" si="32"/>
        <v>0</v>
      </c>
    </row>
    <row r="24" spans="1:69" ht="16.5" x14ac:dyDescent="0.2">
      <c r="A24" s="37">
        <v>21</v>
      </c>
      <c r="B24" s="37">
        <v>3</v>
      </c>
      <c r="C24" s="37">
        <v>1</v>
      </c>
      <c r="D24" s="37">
        <v>3</v>
      </c>
      <c r="E24" s="37">
        <v>21</v>
      </c>
      <c r="F24" s="37">
        <f>INDEX(新属性投放!$L$6:$L$10,新属性汇总!D24)</f>
        <v>1.1499999999999999</v>
      </c>
      <c r="G24" s="37">
        <f>INDEX(新属性投放!J$42:J$62,新属性汇总!$B24)</f>
        <v>440</v>
      </c>
      <c r="H24" s="37">
        <f>INDEX(新属性投放!K$42:K$62,新属性汇总!$B24)</f>
        <v>218</v>
      </c>
      <c r="I24" s="37">
        <f>INDEX(新属性投放!L$42:L$62,新属性汇总!$B24)</f>
        <v>1755</v>
      </c>
      <c r="J24" s="37">
        <f>($A24-INDEX(新属性投放!$B$42:$B$62,新属性汇总!$B24))*INDEX(新属性投放!D$42:D$62,新属性汇总!$B24)</f>
        <v>15</v>
      </c>
      <c r="K24" s="37">
        <f>($A24-INDEX(新属性投放!$B$42:$B$62,新属性汇总!$B24))*INDEX(新属性投放!E$42:E$62,新属性汇总!$B24)</f>
        <v>7.5</v>
      </c>
      <c r="L24" s="37">
        <f>($A24-INDEX(新属性投放!$B$42:$B$62,新属性汇总!$B24))*INDEX(新属性投放!F$42:F$62,新属性汇总!$B24)</f>
        <v>67</v>
      </c>
      <c r="M24" s="37">
        <f t="shared" si="1"/>
        <v>523.25</v>
      </c>
      <c r="N24" s="37">
        <f t="shared" si="2"/>
        <v>259.32499999999999</v>
      </c>
      <c r="O24" s="37">
        <f t="shared" si="3"/>
        <v>2095.2999999999997</v>
      </c>
      <c r="P24" s="37">
        <v>1</v>
      </c>
      <c r="Q24">
        <v>2</v>
      </c>
      <c r="R24">
        <v>21</v>
      </c>
      <c r="S24">
        <f>IF($P24&gt;0,INDEX(装备!L$11:L$16,新属性汇总!$P24),0)</f>
        <v>136.5</v>
      </c>
      <c r="T24" s="37">
        <f>IF($P24&gt;0,INDEX(装备!M$11:M$16,新属性汇总!$P24),0)</f>
        <v>68.25</v>
      </c>
      <c r="U24" s="37">
        <f>IF($P24&gt;0,INDEX(装备!N$11:N$16,新属性汇总!$P24),0)</f>
        <v>619.5</v>
      </c>
      <c r="V24" s="37">
        <f>IF($P24&gt;0,INDEX(装备!H$11:H$16,新属性汇总!$P24),0)</f>
        <v>10</v>
      </c>
      <c r="W24" s="37">
        <f>IF($P24&gt;0,INDEX(装备!I$11:I$16,新属性汇总!$P24),0)</f>
        <v>5</v>
      </c>
      <c r="X24" s="37">
        <f>IF($P24&gt;0,INDEX(装备!J$11:J$16,新属性汇总!$P24),0)</f>
        <v>50</v>
      </c>
      <c r="Y24" s="37">
        <f t="shared" si="4"/>
        <v>346.5</v>
      </c>
      <c r="Z24" s="37">
        <f t="shared" si="5"/>
        <v>173.25</v>
      </c>
      <c r="AA24" s="37">
        <f t="shared" si="6"/>
        <v>1669.5</v>
      </c>
      <c r="AB24" s="37">
        <v>0.65</v>
      </c>
      <c r="AC24" s="37">
        <f>IF(P24&gt;0,INDEX(装备!$BP$5:$BP$16,新属性汇总!P24),0)</f>
        <v>2</v>
      </c>
      <c r="AD24" s="37">
        <f>IF($P24&gt;0,ROUND(INDEX(装备!AY$11:AY$16,新属性汇总!$P24)*$AC24/3,0)*8*AB24,0)</f>
        <v>119.60000000000001</v>
      </c>
      <c r="AE24" s="37">
        <f>IF($P24&gt;0,ROUND(INDEX(装备!AZ$11:AZ$16,新属性汇总!$P24)*$AC24/3,0)*8*AB24,0)</f>
        <v>57.2</v>
      </c>
      <c r="AF24" s="37">
        <f>IF($P24&gt;0,ROUND(INDEX(装备!BA$11:BA$16,新属性汇总!$P24)*$AC24/3,0)*8*AB24,0)</f>
        <v>265.2</v>
      </c>
      <c r="AG24" s="37">
        <f>IF(新属性汇总!P24&gt;0,INDEX(装备!$AP$11:$AP$16,新属性汇总!$P24)*2,0)</f>
        <v>628</v>
      </c>
      <c r="AH24" s="37">
        <v>0</v>
      </c>
      <c r="AI24" s="37">
        <f>IF(新属性汇总!P24&gt;0,INDEX(装备!$AP$11:$AP$16,新属性汇总!$P24)*2,0)</f>
        <v>628</v>
      </c>
      <c r="AJ24" s="37">
        <v>0</v>
      </c>
      <c r="AK24" s="37">
        <f>IF($AJ24&gt;0,INDEX(专属武器!H$4:H$53,新属性汇总!$AJ24),0)</f>
        <v>0</v>
      </c>
      <c r="AL24" s="37">
        <f>IF($AJ24&gt;0,INDEX(专属武器!I$4:I$53,新属性汇总!$AJ24),0)</f>
        <v>0</v>
      </c>
      <c r="AM24" s="37">
        <f>IF($AJ24&gt;0,INDEX(专属武器!J$4:J$53,新属性汇总!$AJ24),0)</f>
        <v>0</v>
      </c>
      <c r="AQ24" s="13">
        <v>20</v>
      </c>
      <c r="AR24" s="13">
        <f t="shared" si="7"/>
        <v>505.99999999999994</v>
      </c>
      <c r="AS24" s="13">
        <f t="shared" si="8"/>
        <v>250.7</v>
      </c>
      <c r="AT24" s="13">
        <f t="shared" si="9"/>
        <v>2018.2499999999998</v>
      </c>
      <c r="AU24" s="13">
        <f t="shared" si="10"/>
        <v>0</v>
      </c>
      <c r="AV24" s="13">
        <f t="shared" si="11"/>
        <v>0</v>
      </c>
      <c r="AW24" s="13">
        <f t="shared" si="12"/>
        <v>0</v>
      </c>
      <c r="AX24" s="13">
        <f t="shared" si="13"/>
        <v>0</v>
      </c>
      <c r="AY24" s="13">
        <f t="shared" si="14"/>
        <v>0</v>
      </c>
      <c r="AZ24" s="13">
        <f t="shared" si="15"/>
        <v>0</v>
      </c>
      <c r="BA24" s="13">
        <f t="shared" si="16"/>
        <v>0</v>
      </c>
      <c r="BB24" s="13">
        <f t="shared" si="17"/>
        <v>0</v>
      </c>
      <c r="BC24" s="13">
        <f t="shared" si="18"/>
        <v>0</v>
      </c>
      <c r="BD24" s="13">
        <f t="shared" si="19"/>
        <v>0</v>
      </c>
      <c r="BE24" s="13">
        <f t="shared" si="20"/>
        <v>0</v>
      </c>
      <c r="BF24" s="13">
        <f t="shared" si="21"/>
        <v>0</v>
      </c>
      <c r="BG24" s="13">
        <f t="shared" si="22"/>
        <v>7055</v>
      </c>
      <c r="BH24" s="13">
        <f t="shared" si="23"/>
        <v>0</v>
      </c>
      <c r="BI24" s="13">
        <f t="shared" si="24"/>
        <v>0</v>
      </c>
      <c r="BJ24" s="13">
        <f t="shared" si="25"/>
        <v>0</v>
      </c>
      <c r="BK24" s="13">
        <f t="shared" si="26"/>
        <v>0</v>
      </c>
      <c r="BL24" s="13">
        <f t="shared" si="27"/>
        <v>7055</v>
      </c>
      <c r="BM24" s="31">
        <f t="shared" si="28"/>
        <v>1</v>
      </c>
      <c r="BN24" s="31">
        <f t="shared" si="29"/>
        <v>0</v>
      </c>
      <c r="BO24" s="31">
        <f t="shared" si="30"/>
        <v>0</v>
      </c>
      <c r="BP24" s="31">
        <f t="shared" si="31"/>
        <v>0</v>
      </c>
      <c r="BQ24" s="31">
        <f t="shared" si="32"/>
        <v>0</v>
      </c>
    </row>
    <row r="25" spans="1:69" ht="16.5" x14ac:dyDescent="0.2">
      <c r="A25" s="37">
        <v>22</v>
      </c>
      <c r="B25" s="37">
        <v>3</v>
      </c>
      <c r="C25" s="37">
        <v>1</v>
      </c>
      <c r="D25" s="37">
        <v>3</v>
      </c>
      <c r="E25" s="37">
        <v>22</v>
      </c>
      <c r="F25" s="37">
        <f>INDEX(新属性投放!$L$6:$L$10,新属性汇总!D25)</f>
        <v>1.1499999999999999</v>
      </c>
      <c r="G25" s="37">
        <f>INDEX(新属性投放!J$42:J$62,新属性汇总!$B25)</f>
        <v>440</v>
      </c>
      <c r="H25" s="37">
        <f>INDEX(新属性投放!K$42:K$62,新属性汇总!$B25)</f>
        <v>218</v>
      </c>
      <c r="I25" s="37">
        <f>INDEX(新属性投放!L$42:L$62,新属性汇总!$B25)</f>
        <v>1755</v>
      </c>
      <c r="J25" s="37">
        <f>($A25-INDEX(新属性投放!$B$42:$B$62,新属性汇总!$B25))*INDEX(新属性投放!D$42:D$62,新属性汇总!$B25)</f>
        <v>30</v>
      </c>
      <c r="K25" s="37">
        <f>($A25-INDEX(新属性投放!$B$42:$B$62,新属性汇总!$B25))*INDEX(新属性投放!E$42:E$62,新属性汇总!$B25)</f>
        <v>15</v>
      </c>
      <c r="L25" s="37">
        <f>($A25-INDEX(新属性投放!$B$42:$B$62,新属性汇总!$B25))*INDEX(新属性投放!F$42:F$62,新属性汇总!$B25)</f>
        <v>134</v>
      </c>
      <c r="M25" s="37">
        <f t="shared" si="1"/>
        <v>540.5</v>
      </c>
      <c r="N25" s="37">
        <f t="shared" si="2"/>
        <v>267.95</v>
      </c>
      <c r="O25" s="37">
        <f t="shared" si="3"/>
        <v>2172.35</v>
      </c>
      <c r="P25" s="37">
        <v>1</v>
      </c>
      <c r="Q25" s="37">
        <v>2</v>
      </c>
      <c r="R25">
        <v>22</v>
      </c>
      <c r="S25" s="37">
        <f>IF($P25&gt;0,INDEX(装备!L$11:L$16,新属性汇总!$P25),0)</f>
        <v>136.5</v>
      </c>
      <c r="T25" s="37">
        <f>IF($P25&gt;0,INDEX(装备!M$11:M$16,新属性汇总!$P25),0)</f>
        <v>68.25</v>
      </c>
      <c r="U25" s="37">
        <f>IF($P25&gt;0,INDEX(装备!N$11:N$16,新属性汇总!$P25),0)</f>
        <v>619.5</v>
      </c>
      <c r="V25" s="37">
        <f>IF($P25&gt;0,INDEX(装备!H$11:H$16,新属性汇总!$P25),0)</f>
        <v>10</v>
      </c>
      <c r="W25" s="37">
        <f>IF($P25&gt;0,INDEX(装备!I$11:I$16,新属性汇总!$P25),0)</f>
        <v>5</v>
      </c>
      <c r="X25" s="37">
        <f>IF($P25&gt;0,INDEX(装备!J$11:J$16,新属性汇总!$P25),0)</f>
        <v>50</v>
      </c>
      <c r="Y25" s="37">
        <f t="shared" si="4"/>
        <v>356.5</v>
      </c>
      <c r="Z25" s="37">
        <f t="shared" si="5"/>
        <v>178.25</v>
      </c>
      <c r="AA25" s="37">
        <f t="shared" si="6"/>
        <v>1719.5</v>
      </c>
      <c r="AB25" s="37">
        <v>0.65</v>
      </c>
      <c r="AC25" s="37">
        <f>IF(P25&gt;0,INDEX(装备!$BP$5:$BP$16,新属性汇总!P25),0)</f>
        <v>2</v>
      </c>
      <c r="AD25" s="37">
        <f>IF($P25&gt;0,ROUND(INDEX(装备!AY$11:AY$16,新属性汇总!$P25)*$AC25/3,0)*8*AB25,0)</f>
        <v>119.60000000000001</v>
      </c>
      <c r="AE25" s="37">
        <f>IF($P25&gt;0,ROUND(INDEX(装备!AZ$11:AZ$16,新属性汇总!$P25)*$AC25/3,0)*8*AB25,0)</f>
        <v>57.2</v>
      </c>
      <c r="AF25" s="37">
        <f>IF($P25&gt;0,ROUND(INDEX(装备!BA$11:BA$16,新属性汇总!$P25)*$AC25/3,0)*8*AB25,0)</f>
        <v>265.2</v>
      </c>
      <c r="AG25" s="37">
        <f>IF(新属性汇总!P25&gt;0,INDEX(装备!$AP$11:$AP$16,新属性汇总!$P25)*2,0)</f>
        <v>628</v>
      </c>
      <c r="AH25" s="37">
        <v>0</v>
      </c>
      <c r="AI25" s="37">
        <f>IF(新属性汇总!P25&gt;0,INDEX(装备!$AP$11:$AP$16,新属性汇总!$P25)*2,0)</f>
        <v>628</v>
      </c>
      <c r="AJ25" s="37">
        <v>0</v>
      </c>
      <c r="AK25" s="37">
        <f>IF($AJ25&gt;0,INDEX(专属武器!H$4:H$53,新属性汇总!$AJ25),0)</f>
        <v>0</v>
      </c>
      <c r="AL25" s="37">
        <f>IF($AJ25&gt;0,INDEX(专属武器!I$4:I$53,新属性汇总!$AJ25),0)</f>
        <v>0</v>
      </c>
      <c r="AM25" s="37">
        <f>IF($AJ25&gt;0,INDEX(专属武器!J$4:J$53,新属性汇总!$AJ25),0)</f>
        <v>0</v>
      </c>
      <c r="AQ25" s="13">
        <v>21</v>
      </c>
      <c r="AR25" s="13">
        <f t="shared" si="7"/>
        <v>523.25</v>
      </c>
      <c r="AS25" s="13">
        <f t="shared" si="8"/>
        <v>259.32499999999999</v>
      </c>
      <c r="AT25" s="13">
        <f t="shared" si="9"/>
        <v>2095.2999999999997</v>
      </c>
      <c r="AU25" s="13">
        <f t="shared" si="10"/>
        <v>346.5</v>
      </c>
      <c r="AV25" s="13">
        <f t="shared" si="11"/>
        <v>173.25</v>
      </c>
      <c r="AW25" s="13">
        <f t="shared" si="12"/>
        <v>1669.5</v>
      </c>
      <c r="AX25" s="13">
        <f t="shared" si="13"/>
        <v>119.60000000000001</v>
      </c>
      <c r="AY25" s="13">
        <f t="shared" si="14"/>
        <v>57.2</v>
      </c>
      <c r="AZ25" s="13">
        <f t="shared" si="15"/>
        <v>265.2</v>
      </c>
      <c r="BA25" s="13">
        <f t="shared" si="16"/>
        <v>628</v>
      </c>
      <c r="BB25" s="13">
        <f t="shared" si="17"/>
        <v>0</v>
      </c>
      <c r="BC25" s="13">
        <f t="shared" si="18"/>
        <v>628</v>
      </c>
      <c r="BD25" s="13">
        <f t="shared" si="19"/>
        <v>0</v>
      </c>
      <c r="BE25" s="13">
        <f t="shared" si="20"/>
        <v>0</v>
      </c>
      <c r="BF25" s="13">
        <f t="shared" si="21"/>
        <v>0</v>
      </c>
      <c r="BG25" s="13">
        <f t="shared" si="22"/>
        <v>7304</v>
      </c>
      <c r="BH25" s="13">
        <f t="shared" si="23"/>
        <v>5134</v>
      </c>
      <c r="BI25" s="13">
        <f t="shared" si="24"/>
        <v>1435</v>
      </c>
      <c r="BJ25" s="13">
        <f t="shared" si="25"/>
        <v>3768</v>
      </c>
      <c r="BK25" s="13">
        <f t="shared" si="26"/>
        <v>0</v>
      </c>
      <c r="BL25" s="13">
        <f t="shared" si="27"/>
        <v>17641</v>
      </c>
      <c r="BM25" s="31">
        <f t="shared" si="28"/>
        <v>0.41399999999999998</v>
      </c>
      <c r="BN25" s="31">
        <f t="shared" si="29"/>
        <v>0.29099999999999998</v>
      </c>
      <c r="BO25" s="31">
        <f t="shared" si="30"/>
        <v>8.1299999999999997E-2</v>
      </c>
      <c r="BP25" s="31">
        <f t="shared" si="31"/>
        <v>0.21360000000000001</v>
      </c>
      <c r="BQ25" s="31">
        <f t="shared" si="32"/>
        <v>0</v>
      </c>
    </row>
    <row r="26" spans="1:69" ht="16.5" x14ac:dyDescent="0.2">
      <c r="A26" s="37">
        <v>23</v>
      </c>
      <c r="B26" s="37">
        <v>3</v>
      </c>
      <c r="C26" s="37">
        <v>1</v>
      </c>
      <c r="D26" s="37">
        <v>3</v>
      </c>
      <c r="E26" s="37">
        <v>23</v>
      </c>
      <c r="F26" s="37">
        <f>INDEX(新属性投放!$L$6:$L$10,新属性汇总!D26)</f>
        <v>1.1499999999999999</v>
      </c>
      <c r="G26" s="37">
        <f>INDEX(新属性投放!J$42:J$62,新属性汇总!$B26)</f>
        <v>440</v>
      </c>
      <c r="H26" s="37">
        <f>INDEX(新属性投放!K$42:K$62,新属性汇总!$B26)</f>
        <v>218</v>
      </c>
      <c r="I26" s="37">
        <f>INDEX(新属性投放!L$42:L$62,新属性汇总!$B26)</f>
        <v>1755</v>
      </c>
      <c r="J26" s="37">
        <f>($A26-INDEX(新属性投放!$B$42:$B$62,新属性汇总!$B26))*INDEX(新属性投放!D$42:D$62,新属性汇总!$B26)</f>
        <v>45</v>
      </c>
      <c r="K26" s="37">
        <f>($A26-INDEX(新属性投放!$B$42:$B$62,新属性汇总!$B26))*INDEX(新属性投放!E$42:E$62,新属性汇总!$B26)</f>
        <v>22.5</v>
      </c>
      <c r="L26" s="37">
        <f>($A26-INDEX(新属性投放!$B$42:$B$62,新属性汇总!$B26))*INDEX(新属性投放!F$42:F$62,新属性汇总!$B26)</f>
        <v>201</v>
      </c>
      <c r="M26" s="37">
        <f t="shared" si="1"/>
        <v>557.75</v>
      </c>
      <c r="N26" s="37">
        <f t="shared" si="2"/>
        <v>276.57499999999999</v>
      </c>
      <c r="O26" s="37">
        <f t="shared" si="3"/>
        <v>2249.3999999999996</v>
      </c>
      <c r="P26" s="37">
        <v>1</v>
      </c>
      <c r="Q26" s="37">
        <v>2</v>
      </c>
      <c r="R26">
        <v>23</v>
      </c>
      <c r="S26" s="37">
        <f>IF($P26&gt;0,INDEX(装备!L$11:L$16,新属性汇总!$P26),0)</f>
        <v>136.5</v>
      </c>
      <c r="T26" s="37">
        <f>IF($P26&gt;0,INDEX(装备!M$11:M$16,新属性汇总!$P26),0)</f>
        <v>68.25</v>
      </c>
      <c r="U26" s="37">
        <f>IF($P26&gt;0,INDEX(装备!N$11:N$16,新属性汇总!$P26),0)</f>
        <v>619.5</v>
      </c>
      <c r="V26" s="37">
        <f>IF($P26&gt;0,INDEX(装备!H$11:H$16,新属性汇总!$P26),0)</f>
        <v>10</v>
      </c>
      <c r="W26" s="37">
        <f>IF($P26&gt;0,INDEX(装备!I$11:I$16,新属性汇总!$P26),0)</f>
        <v>5</v>
      </c>
      <c r="X26" s="37">
        <f>IF($P26&gt;0,INDEX(装备!J$11:J$16,新属性汇总!$P26),0)</f>
        <v>50</v>
      </c>
      <c r="Y26" s="37">
        <f t="shared" si="4"/>
        <v>366.5</v>
      </c>
      <c r="Z26" s="37">
        <f t="shared" si="5"/>
        <v>183.25</v>
      </c>
      <c r="AA26" s="37">
        <f t="shared" si="6"/>
        <v>1769.5</v>
      </c>
      <c r="AB26" s="37">
        <v>0.65</v>
      </c>
      <c r="AC26" s="37">
        <f>IF(P26&gt;0,INDEX(装备!$BP$5:$BP$16,新属性汇总!P26),0)</f>
        <v>2</v>
      </c>
      <c r="AD26" s="37">
        <f>IF($P26&gt;0,ROUND(INDEX(装备!AY$11:AY$16,新属性汇总!$P26)*$AC26/3,0)*8*AB26,0)</f>
        <v>119.60000000000001</v>
      </c>
      <c r="AE26" s="37">
        <f>IF($P26&gt;0,ROUND(INDEX(装备!AZ$11:AZ$16,新属性汇总!$P26)*$AC26/3,0)*8*AB26,0)</f>
        <v>57.2</v>
      </c>
      <c r="AF26" s="37">
        <f>IF($P26&gt;0,ROUND(INDEX(装备!BA$11:BA$16,新属性汇总!$P26)*$AC26/3,0)*8*AB26,0)</f>
        <v>265.2</v>
      </c>
      <c r="AG26" s="37">
        <f>IF(新属性汇总!P26&gt;0,INDEX(装备!$AP$11:$AP$16,新属性汇总!$P26)*2,0)</f>
        <v>628</v>
      </c>
      <c r="AH26" s="37">
        <v>0</v>
      </c>
      <c r="AI26" s="37">
        <f>IF(新属性汇总!P26&gt;0,INDEX(装备!$AP$11:$AP$16,新属性汇总!$P26)*2,0)</f>
        <v>628</v>
      </c>
      <c r="AJ26" s="37">
        <v>0</v>
      </c>
      <c r="AK26" s="37">
        <f>IF($AJ26&gt;0,INDEX(专属武器!H$4:H$53,新属性汇总!$AJ26),0)</f>
        <v>0</v>
      </c>
      <c r="AL26" s="37">
        <f>IF($AJ26&gt;0,INDEX(专属武器!I$4:I$53,新属性汇总!$AJ26),0)</f>
        <v>0</v>
      </c>
      <c r="AM26" s="37">
        <f>IF($AJ26&gt;0,INDEX(专属武器!J$4:J$53,新属性汇总!$AJ26),0)</f>
        <v>0</v>
      </c>
      <c r="AQ26" s="13">
        <v>22</v>
      </c>
      <c r="AR26" s="13">
        <f t="shared" si="7"/>
        <v>540.5</v>
      </c>
      <c r="AS26" s="13">
        <f t="shared" si="8"/>
        <v>267.95</v>
      </c>
      <c r="AT26" s="13">
        <f t="shared" si="9"/>
        <v>2172.35</v>
      </c>
      <c r="AU26" s="13">
        <f t="shared" si="10"/>
        <v>356.5</v>
      </c>
      <c r="AV26" s="13">
        <f t="shared" si="11"/>
        <v>178.25</v>
      </c>
      <c r="AW26" s="13">
        <f t="shared" si="12"/>
        <v>1719.5</v>
      </c>
      <c r="AX26" s="13">
        <f t="shared" si="13"/>
        <v>119.60000000000001</v>
      </c>
      <c r="AY26" s="13">
        <f t="shared" si="14"/>
        <v>57.2</v>
      </c>
      <c r="AZ26" s="13">
        <f t="shared" si="15"/>
        <v>265.2</v>
      </c>
      <c r="BA26" s="13">
        <f t="shared" si="16"/>
        <v>628</v>
      </c>
      <c r="BB26" s="13">
        <f t="shared" si="17"/>
        <v>0</v>
      </c>
      <c r="BC26" s="13">
        <f t="shared" si="18"/>
        <v>628</v>
      </c>
      <c r="BD26" s="13">
        <f t="shared" si="19"/>
        <v>0</v>
      </c>
      <c r="BE26" s="13">
        <f t="shared" si="20"/>
        <v>0</v>
      </c>
      <c r="BF26" s="13">
        <f t="shared" si="21"/>
        <v>0</v>
      </c>
      <c r="BG26" s="13">
        <f t="shared" si="22"/>
        <v>7554</v>
      </c>
      <c r="BH26" s="13">
        <f t="shared" si="23"/>
        <v>5284</v>
      </c>
      <c r="BI26" s="13">
        <f t="shared" si="24"/>
        <v>1435</v>
      </c>
      <c r="BJ26" s="13">
        <f t="shared" si="25"/>
        <v>3768</v>
      </c>
      <c r="BK26" s="13">
        <f t="shared" si="26"/>
        <v>0</v>
      </c>
      <c r="BL26" s="13">
        <f t="shared" si="27"/>
        <v>18041</v>
      </c>
      <c r="BM26" s="31">
        <f t="shared" si="28"/>
        <v>0.41870000000000002</v>
      </c>
      <c r="BN26" s="31">
        <f t="shared" si="29"/>
        <v>0.29289999999999999</v>
      </c>
      <c r="BO26" s="31">
        <f t="shared" si="30"/>
        <v>7.9500000000000001E-2</v>
      </c>
      <c r="BP26" s="31">
        <f t="shared" si="31"/>
        <v>0.2089</v>
      </c>
      <c r="BQ26" s="31">
        <f t="shared" si="32"/>
        <v>0</v>
      </c>
    </row>
    <row r="27" spans="1:69" ht="16.5" x14ac:dyDescent="0.2">
      <c r="A27" s="37">
        <v>24</v>
      </c>
      <c r="B27" s="37">
        <v>3</v>
      </c>
      <c r="C27" s="37">
        <v>1</v>
      </c>
      <c r="D27" s="37">
        <v>3</v>
      </c>
      <c r="E27" s="37">
        <v>24</v>
      </c>
      <c r="F27" s="37">
        <f>INDEX(新属性投放!$L$6:$L$10,新属性汇总!D27)</f>
        <v>1.1499999999999999</v>
      </c>
      <c r="G27" s="37">
        <f>INDEX(新属性投放!J$42:J$62,新属性汇总!$B27)</f>
        <v>440</v>
      </c>
      <c r="H27" s="37">
        <f>INDEX(新属性投放!K$42:K$62,新属性汇总!$B27)</f>
        <v>218</v>
      </c>
      <c r="I27" s="37">
        <f>INDEX(新属性投放!L$42:L$62,新属性汇总!$B27)</f>
        <v>1755</v>
      </c>
      <c r="J27" s="37">
        <f>($A27-INDEX(新属性投放!$B$42:$B$62,新属性汇总!$B27))*INDEX(新属性投放!D$42:D$62,新属性汇总!$B27)</f>
        <v>60</v>
      </c>
      <c r="K27" s="37">
        <f>($A27-INDEX(新属性投放!$B$42:$B$62,新属性汇总!$B27))*INDEX(新属性投放!E$42:E$62,新属性汇总!$B27)</f>
        <v>30</v>
      </c>
      <c r="L27" s="37">
        <f>($A27-INDEX(新属性投放!$B$42:$B$62,新属性汇总!$B27))*INDEX(新属性投放!F$42:F$62,新属性汇总!$B27)</f>
        <v>268</v>
      </c>
      <c r="M27" s="37">
        <f t="shared" si="1"/>
        <v>575</v>
      </c>
      <c r="N27" s="37">
        <f t="shared" si="2"/>
        <v>285.2</v>
      </c>
      <c r="O27" s="37">
        <f t="shared" si="3"/>
        <v>2326.4499999999998</v>
      </c>
      <c r="P27" s="37">
        <v>1</v>
      </c>
      <c r="Q27" s="37">
        <v>2</v>
      </c>
      <c r="R27">
        <v>24</v>
      </c>
      <c r="S27" s="37">
        <f>IF($P27&gt;0,INDEX(装备!L$11:L$16,新属性汇总!$P27),0)</f>
        <v>136.5</v>
      </c>
      <c r="T27" s="37">
        <f>IF($P27&gt;0,INDEX(装备!M$11:M$16,新属性汇总!$P27),0)</f>
        <v>68.25</v>
      </c>
      <c r="U27" s="37">
        <f>IF($P27&gt;0,INDEX(装备!N$11:N$16,新属性汇总!$P27),0)</f>
        <v>619.5</v>
      </c>
      <c r="V27" s="37">
        <f>IF($P27&gt;0,INDEX(装备!H$11:H$16,新属性汇总!$P27),0)</f>
        <v>10</v>
      </c>
      <c r="W27" s="37">
        <f>IF($P27&gt;0,INDEX(装备!I$11:I$16,新属性汇总!$P27),0)</f>
        <v>5</v>
      </c>
      <c r="X27" s="37">
        <f>IF($P27&gt;0,INDEX(装备!J$11:J$16,新属性汇总!$P27),0)</f>
        <v>50</v>
      </c>
      <c r="Y27" s="37">
        <f t="shared" si="4"/>
        <v>376.5</v>
      </c>
      <c r="Z27" s="37">
        <f t="shared" si="5"/>
        <v>188.25</v>
      </c>
      <c r="AA27" s="37">
        <f t="shared" si="6"/>
        <v>1819.5</v>
      </c>
      <c r="AB27" s="37">
        <v>0.65</v>
      </c>
      <c r="AC27" s="37">
        <f>IF(P27&gt;0,INDEX(装备!$BP$5:$BP$16,新属性汇总!P27),0)</f>
        <v>2</v>
      </c>
      <c r="AD27" s="37">
        <f>IF($P27&gt;0,ROUND(INDEX(装备!AY$11:AY$16,新属性汇总!$P27)*$AC27/3,0)*8*AB27,0)</f>
        <v>119.60000000000001</v>
      </c>
      <c r="AE27" s="37">
        <f>IF($P27&gt;0,ROUND(INDEX(装备!AZ$11:AZ$16,新属性汇总!$P27)*$AC27/3,0)*8*AB27,0)</f>
        <v>57.2</v>
      </c>
      <c r="AF27" s="37">
        <f>IF($P27&gt;0,ROUND(INDEX(装备!BA$11:BA$16,新属性汇总!$P27)*$AC27/3,0)*8*AB27,0)</f>
        <v>265.2</v>
      </c>
      <c r="AG27" s="37">
        <f>IF(新属性汇总!P27&gt;0,INDEX(装备!$AP$11:$AP$16,新属性汇总!$P27)*2,0)</f>
        <v>628</v>
      </c>
      <c r="AH27" s="37">
        <v>0</v>
      </c>
      <c r="AI27" s="37">
        <f>IF(新属性汇总!P27&gt;0,INDEX(装备!$AP$11:$AP$16,新属性汇总!$P27)*2,0)</f>
        <v>628</v>
      </c>
      <c r="AJ27" s="37">
        <v>0</v>
      </c>
      <c r="AK27" s="37">
        <f>IF($AJ27&gt;0,INDEX(专属武器!H$4:H$53,新属性汇总!$AJ27),0)</f>
        <v>0</v>
      </c>
      <c r="AL27" s="37">
        <f>IF($AJ27&gt;0,INDEX(专属武器!I$4:I$53,新属性汇总!$AJ27),0)</f>
        <v>0</v>
      </c>
      <c r="AM27" s="37">
        <f>IF($AJ27&gt;0,INDEX(专属武器!J$4:J$53,新属性汇总!$AJ27),0)</f>
        <v>0</v>
      </c>
      <c r="AQ27" s="13">
        <v>23</v>
      </c>
      <c r="AR27" s="13">
        <f t="shared" si="7"/>
        <v>557.75</v>
      </c>
      <c r="AS27" s="13">
        <f t="shared" si="8"/>
        <v>276.57499999999999</v>
      </c>
      <c r="AT27" s="13">
        <f t="shared" si="9"/>
        <v>2249.3999999999996</v>
      </c>
      <c r="AU27" s="13">
        <f t="shared" si="10"/>
        <v>366.5</v>
      </c>
      <c r="AV27" s="13">
        <f t="shared" si="11"/>
        <v>183.25</v>
      </c>
      <c r="AW27" s="13">
        <f t="shared" si="12"/>
        <v>1769.5</v>
      </c>
      <c r="AX27" s="13">
        <f t="shared" si="13"/>
        <v>119.60000000000001</v>
      </c>
      <c r="AY27" s="13">
        <f t="shared" si="14"/>
        <v>57.2</v>
      </c>
      <c r="AZ27" s="13">
        <f t="shared" si="15"/>
        <v>265.2</v>
      </c>
      <c r="BA27" s="13">
        <f t="shared" si="16"/>
        <v>628</v>
      </c>
      <c r="BB27" s="13">
        <f t="shared" si="17"/>
        <v>0</v>
      </c>
      <c r="BC27" s="13">
        <f t="shared" si="18"/>
        <v>628</v>
      </c>
      <c r="BD27" s="13">
        <f t="shared" si="19"/>
        <v>0</v>
      </c>
      <c r="BE27" s="13">
        <f t="shared" si="20"/>
        <v>0</v>
      </c>
      <c r="BF27" s="13">
        <f t="shared" si="21"/>
        <v>0</v>
      </c>
      <c r="BG27" s="13">
        <f t="shared" si="22"/>
        <v>7803</v>
      </c>
      <c r="BH27" s="13">
        <f t="shared" si="23"/>
        <v>5434</v>
      </c>
      <c r="BI27" s="13">
        <f t="shared" si="24"/>
        <v>1435</v>
      </c>
      <c r="BJ27" s="13">
        <f t="shared" si="25"/>
        <v>3768</v>
      </c>
      <c r="BK27" s="13">
        <f t="shared" si="26"/>
        <v>0</v>
      </c>
      <c r="BL27" s="13">
        <f t="shared" si="27"/>
        <v>18440</v>
      </c>
      <c r="BM27" s="31">
        <f t="shared" si="28"/>
        <v>0.42320000000000002</v>
      </c>
      <c r="BN27" s="31">
        <f t="shared" si="29"/>
        <v>0.29470000000000002</v>
      </c>
      <c r="BO27" s="31">
        <f t="shared" si="30"/>
        <v>7.7799999999999994E-2</v>
      </c>
      <c r="BP27" s="31">
        <f t="shared" si="31"/>
        <v>0.20430000000000001</v>
      </c>
      <c r="BQ27" s="31">
        <f t="shared" si="32"/>
        <v>0</v>
      </c>
    </row>
    <row r="28" spans="1:69" ht="16.5" x14ac:dyDescent="0.2">
      <c r="A28" s="37">
        <v>25</v>
      </c>
      <c r="B28" s="37">
        <v>3</v>
      </c>
      <c r="C28" s="37">
        <v>1</v>
      </c>
      <c r="D28" s="37">
        <v>3</v>
      </c>
      <c r="E28" s="37">
        <v>25</v>
      </c>
      <c r="F28" s="37">
        <f>INDEX(新属性投放!$L$6:$L$10,新属性汇总!D28)</f>
        <v>1.1499999999999999</v>
      </c>
      <c r="G28" s="37">
        <f>INDEX(新属性投放!J$42:J$62,新属性汇总!$B28)</f>
        <v>440</v>
      </c>
      <c r="H28" s="37">
        <f>INDEX(新属性投放!K$42:K$62,新属性汇总!$B28)</f>
        <v>218</v>
      </c>
      <c r="I28" s="37">
        <f>INDEX(新属性投放!L$42:L$62,新属性汇总!$B28)</f>
        <v>1755</v>
      </c>
      <c r="J28" s="37">
        <f>($A28-INDEX(新属性投放!$B$42:$B$62,新属性汇总!$B28))*INDEX(新属性投放!D$42:D$62,新属性汇总!$B28)</f>
        <v>75</v>
      </c>
      <c r="K28" s="37">
        <f>($A28-INDEX(新属性投放!$B$42:$B$62,新属性汇总!$B28))*INDEX(新属性投放!E$42:E$62,新属性汇总!$B28)</f>
        <v>37.5</v>
      </c>
      <c r="L28" s="37">
        <f>($A28-INDEX(新属性投放!$B$42:$B$62,新属性汇总!$B28))*INDEX(新属性投放!F$42:F$62,新属性汇总!$B28)</f>
        <v>335</v>
      </c>
      <c r="M28" s="37">
        <f t="shared" si="1"/>
        <v>592.25</v>
      </c>
      <c r="N28" s="37">
        <f t="shared" si="2"/>
        <v>293.82499999999999</v>
      </c>
      <c r="O28" s="37">
        <f t="shared" si="3"/>
        <v>2403.5</v>
      </c>
      <c r="P28" s="37">
        <v>1</v>
      </c>
      <c r="Q28" s="37">
        <v>2</v>
      </c>
      <c r="R28">
        <v>25</v>
      </c>
      <c r="S28" s="37">
        <f>IF($P28&gt;0,INDEX(装备!L$11:L$16,新属性汇总!$P28),0)</f>
        <v>136.5</v>
      </c>
      <c r="T28" s="37">
        <f>IF($P28&gt;0,INDEX(装备!M$11:M$16,新属性汇总!$P28),0)</f>
        <v>68.25</v>
      </c>
      <c r="U28" s="37">
        <f>IF($P28&gt;0,INDEX(装备!N$11:N$16,新属性汇总!$P28),0)</f>
        <v>619.5</v>
      </c>
      <c r="V28" s="37">
        <f>IF($P28&gt;0,INDEX(装备!H$11:H$16,新属性汇总!$P28),0)</f>
        <v>10</v>
      </c>
      <c r="W28" s="37">
        <f>IF($P28&gt;0,INDEX(装备!I$11:I$16,新属性汇总!$P28),0)</f>
        <v>5</v>
      </c>
      <c r="X28" s="37">
        <f>IF($P28&gt;0,INDEX(装备!J$11:J$16,新属性汇总!$P28),0)</f>
        <v>50</v>
      </c>
      <c r="Y28" s="37">
        <f t="shared" si="4"/>
        <v>386.5</v>
      </c>
      <c r="Z28" s="37">
        <f t="shared" si="5"/>
        <v>193.25</v>
      </c>
      <c r="AA28" s="37">
        <f t="shared" si="6"/>
        <v>1869.5</v>
      </c>
      <c r="AB28" s="37">
        <v>0.65</v>
      </c>
      <c r="AC28" s="37">
        <f>IF(P28&gt;0,INDEX(装备!$BP$5:$BP$16,新属性汇总!P28),0)</f>
        <v>2</v>
      </c>
      <c r="AD28" s="37">
        <f>IF($P28&gt;0,ROUND(INDEX(装备!AY$11:AY$16,新属性汇总!$P28)*$AC28/3,0)*8*AB28,0)</f>
        <v>119.60000000000001</v>
      </c>
      <c r="AE28" s="37">
        <f>IF($P28&gt;0,ROUND(INDEX(装备!AZ$11:AZ$16,新属性汇总!$P28)*$AC28/3,0)*8*AB28,0)</f>
        <v>57.2</v>
      </c>
      <c r="AF28" s="37">
        <f>IF($P28&gt;0,ROUND(INDEX(装备!BA$11:BA$16,新属性汇总!$P28)*$AC28/3,0)*8*AB28,0)</f>
        <v>265.2</v>
      </c>
      <c r="AG28" s="37">
        <f>IF(新属性汇总!P28&gt;0,INDEX(装备!$AP$11:$AP$16,新属性汇总!$P28)*2,0)</f>
        <v>628</v>
      </c>
      <c r="AH28" s="37">
        <v>0</v>
      </c>
      <c r="AI28" s="37">
        <f>IF(新属性汇总!P28&gt;0,INDEX(装备!$AP$11:$AP$16,新属性汇总!$P28)*2,0)</f>
        <v>628</v>
      </c>
      <c r="AJ28" s="37">
        <v>0</v>
      </c>
      <c r="AK28" s="37">
        <f>IF($AJ28&gt;0,INDEX(专属武器!H$4:H$53,新属性汇总!$AJ28),0)</f>
        <v>0</v>
      </c>
      <c r="AL28" s="37">
        <f>IF($AJ28&gt;0,INDEX(专属武器!I$4:I$53,新属性汇总!$AJ28),0)</f>
        <v>0</v>
      </c>
      <c r="AM28" s="37">
        <f>IF($AJ28&gt;0,INDEX(专属武器!J$4:J$53,新属性汇总!$AJ28),0)</f>
        <v>0</v>
      </c>
      <c r="AQ28" s="13">
        <v>24</v>
      </c>
      <c r="AR28" s="13">
        <f t="shared" si="7"/>
        <v>575</v>
      </c>
      <c r="AS28" s="13">
        <f t="shared" si="8"/>
        <v>285.2</v>
      </c>
      <c r="AT28" s="13">
        <f t="shared" si="9"/>
        <v>2326.4499999999998</v>
      </c>
      <c r="AU28" s="13">
        <f t="shared" si="10"/>
        <v>376.5</v>
      </c>
      <c r="AV28" s="13">
        <f t="shared" si="11"/>
        <v>188.25</v>
      </c>
      <c r="AW28" s="13">
        <f t="shared" si="12"/>
        <v>1819.5</v>
      </c>
      <c r="AX28" s="13">
        <f t="shared" si="13"/>
        <v>119.60000000000001</v>
      </c>
      <c r="AY28" s="13">
        <f t="shared" si="14"/>
        <v>57.2</v>
      </c>
      <c r="AZ28" s="13">
        <f t="shared" si="15"/>
        <v>265.2</v>
      </c>
      <c r="BA28" s="13">
        <f t="shared" si="16"/>
        <v>628</v>
      </c>
      <c r="BB28" s="13">
        <f t="shared" si="17"/>
        <v>0</v>
      </c>
      <c r="BC28" s="13">
        <f t="shared" si="18"/>
        <v>628</v>
      </c>
      <c r="BD28" s="13">
        <f t="shared" si="19"/>
        <v>0</v>
      </c>
      <c r="BE28" s="13">
        <f t="shared" si="20"/>
        <v>0</v>
      </c>
      <c r="BF28" s="13">
        <f t="shared" si="21"/>
        <v>0</v>
      </c>
      <c r="BG28" s="13">
        <f t="shared" si="22"/>
        <v>8053</v>
      </c>
      <c r="BH28" s="13">
        <f t="shared" si="23"/>
        <v>5584</v>
      </c>
      <c r="BI28" s="13">
        <f t="shared" si="24"/>
        <v>1435</v>
      </c>
      <c r="BJ28" s="13">
        <f t="shared" si="25"/>
        <v>3768</v>
      </c>
      <c r="BK28" s="13">
        <f t="shared" si="26"/>
        <v>0</v>
      </c>
      <c r="BL28" s="13">
        <f t="shared" si="27"/>
        <v>18840</v>
      </c>
      <c r="BM28" s="31">
        <f t="shared" si="28"/>
        <v>0.4274</v>
      </c>
      <c r="BN28" s="31">
        <f t="shared" si="29"/>
        <v>0.2964</v>
      </c>
      <c r="BO28" s="31">
        <f t="shared" si="30"/>
        <v>7.6200000000000004E-2</v>
      </c>
      <c r="BP28" s="31">
        <f t="shared" si="31"/>
        <v>0.2</v>
      </c>
      <c r="BQ28" s="31">
        <f t="shared" si="32"/>
        <v>0</v>
      </c>
    </row>
    <row r="29" spans="1:69" ht="16.5" x14ac:dyDescent="0.2">
      <c r="A29" s="37">
        <v>26</v>
      </c>
      <c r="B29" s="37">
        <v>3</v>
      </c>
      <c r="C29" s="37">
        <v>1</v>
      </c>
      <c r="D29" s="37">
        <v>3</v>
      </c>
      <c r="E29" s="37">
        <v>26</v>
      </c>
      <c r="F29" s="37">
        <f>INDEX(新属性投放!$L$6:$L$10,新属性汇总!D29)</f>
        <v>1.1499999999999999</v>
      </c>
      <c r="G29" s="37">
        <f>INDEX(新属性投放!J$42:J$62,新属性汇总!$B29)</f>
        <v>440</v>
      </c>
      <c r="H29" s="37">
        <f>INDEX(新属性投放!K$42:K$62,新属性汇总!$B29)</f>
        <v>218</v>
      </c>
      <c r="I29" s="37">
        <f>INDEX(新属性投放!L$42:L$62,新属性汇总!$B29)</f>
        <v>1755</v>
      </c>
      <c r="J29" s="37">
        <f>($A29-INDEX(新属性投放!$B$42:$B$62,新属性汇总!$B29))*INDEX(新属性投放!D$42:D$62,新属性汇总!$B29)</f>
        <v>90</v>
      </c>
      <c r="K29" s="37">
        <f>($A29-INDEX(新属性投放!$B$42:$B$62,新属性汇总!$B29))*INDEX(新属性投放!E$42:E$62,新属性汇总!$B29)</f>
        <v>45</v>
      </c>
      <c r="L29" s="37">
        <f>($A29-INDEX(新属性投放!$B$42:$B$62,新属性汇总!$B29))*INDEX(新属性投放!F$42:F$62,新属性汇总!$B29)</f>
        <v>402</v>
      </c>
      <c r="M29" s="37">
        <f t="shared" si="1"/>
        <v>609.5</v>
      </c>
      <c r="N29" s="37">
        <f t="shared" si="2"/>
        <v>302.45</v>
      </c>
      <c r="O29" s="37">
        <f t="shared" si="3"/>
        <v>2480.5499999999997</v>
      </c>
      <c r="P29" s="37">
        <v>1</v>
      </c>
      <c r="Q29" s="37">
        <v>2</v>
      </c>
      <c r="R29">
        <v>26</v>
      </c>
      <c r="S29" s="37">
        <f>IF($P29&gt;0,INDEX(装备!L$11:L$16,新属性汇总!$P29),0)</f>
        <v>136.5</v>
      </c>
      <c r="T29" s="37">
        <f>IF($P29&gt;0,INDEX(装备!M$11:M$16,新属性汇总!$P29),0)</f>
        <v>68.25</v>
      </c>
      <c r="U29" s="37">
        <f>IF($P29&gt;0,INDEX(装备!N$11:N$16,新属性汇总!$P29),0)</f>
        <v>619.5</v>
      </c>
      <c r="V29" s="37">
        <f>IF($P29&gt;0,INDEX(装备!H$11:H$16,新属性汇总!$P29),0)</f>
        <v>10</v>
      </c>
      <c r="W29" s="37">
        <f>IF($P29&gt;0,INDEX(装备!I$11:I$16,新属性汇总!$P29),0)</f>
        <v>5</v>
      </c>
      <c r="X29" s="37">
        <f>IF($P29&gt;0,INDEX(装备!J$11:J$16,新属性汇总!$P29),0)</f>
        <v>50</v>
      </c>
      <c r="Y29" s="37">
        <f t="shared" si="4"/>
        <v>396.5</v>
      </c>
      <c r="Z29" s="37">
        <f t="shared" si="5"/>
        <v>198.25</v>
      </c>
      <c r="AA29" s="37">
        <f t="shared" si="6"/>
        <v>1919.5</v>
      </c>
      <c r="AB29" s="37">
        <v>0.65</v>
      </c>
      <c r="AC29" s="37">
        <f>IF(P29&gt;0,INDEX(装备!$BP$5:$BP$16,新属性汇总!P29),0)</f>
        <v>2</v>
      </c>
      <c r="AD29" s="37">
        <f>IF($P29&gt;0,ROUND(INDEX(装备!AY$11:AY$16,新属性汇总!$P29)*$AC29/3,0)*8*AB29,0)</f>
        <v>119.60000000000001</v>
      </c>
      <c r="AE29" s="37">
        <f>IF($P29&gt;0,ROUND(INDEX(装备!AZ$11:AZ$16,新属性汇总!$P29)*$AC29/3,0)*8*AB29,0)</f>
        <v>57.2</v>
      </c>
      <c r="AF29" s="37">
        <f>IF($P29&gt;0,ROUND(INDEX(装备!BA$11:BA$16,新属性汇总!$P29)*$AC29/3,0)*8*AB29,0)</f>
        <v>265.2</v>
      </c>
      <c r="AG29" s="37">
        <f>IF(新属性汇总!P29&gt;0,INDEX(装备!$AP$11:$AP$16,新属性汇总!$P29)*2,0)</f>
        <v>628</v>
      </c>
      <c r="AH29" s="37">
        <v>0</v>
      </c>
      <c r="AI29" s="37">
        <f>IF(新属性汇总!P29&gt;0,INDEX(装备!$AP$11:$AP$16,新属性汇总!$P29)*2,0)</f>
        <v>628</v>
      </c>
      <c r="AJ29" s="37">
        <v>0</v>
      </c>
      <c r="AK29" s="37">
        <f>IF($AJ29&gt;0,INDEX(专属武器!H$4:H$53,新属性汇总!$AJ29),0)</f>
        <v>0</v>
      </c>
      <c r="AL29" s="37">
        <f>IF($AJ29&gt;0,INDEX(专属武器!I$4:I$53,新属性汇总!$AJ29),0)</f>
        <v>0</v>
      </c>
      <c r="AM29" s="37">
        <f>IF($AJ29&gt;0,INDEX(专属武器!J$4:J$53,新属性汇总!$AJ29),0)</f>
        <v>0</v>
      </c>
      <c r="AQ29" s="13">
        <v>25</v>
      </c>
      <c r="AR29" s="13">
        <f t="shared" si="7"/>
        <v>592.25</v>
      </c>
      <c r="AS29" s="13">
        <f t="shared" si="8"/>
        <v>293.82499999999999</v>
      </c>
      <c r="AT29" s="13">
        <f t="shared" si="9"/>
        <v>2403.5</v>
      </c>
      <c r="AU29" s="13">
        <f t="shared" si="10"/>
        <v>386.5</v>
      </c>
      <c r="AV29" s="13">
        <f t="shared" si="11"/>
        <v>193.25</v>
      </c>
      <c r="AW29" s="13">
        <f t="shared" si="12"/>
        <v>1869.5</v>
      </c>
      <c r="AX29" s="13">
        <f t="shared" si="13"/>
        <v>119.60000000000001</v>
      </c>
      <c r="AY29" s="13">
        <f t="shared" si="14"/>
        <v>57.2</v>
      </c>
      <c r="AZ29" s="13">
        <f t="shared" si="15"/>
        <v>265.2</v>
      </c>
      <c r="BA29" s="13">
        <f t="shared" si="16"/>
        <v>628</v>
      </c>
      <c r="BB29" s="13">
        <f t="shared" si="17"/>
        <v>0</v>
      </c>
      <c r="BC29" s="13">
        <f t="shared" si="18"/>
        <v>628</v>
      </c>
      <c r="BD29" s="13">
        <f t="shared" si="19"/>
        <v>0</v>
      </c>
      <c r="BE29" s="13">
        <f t="shared" si="20"/>
        <v>0</v>
      </c>
      <c r="BF29" s="13">
        <f t="shared" si="21"/>
        <v>0</v>
      </c>
      <c r="BG29" s="13">
        <f t="shared" si="22"/>
        <v>8303</v>
      </c>
      <c r="BH29" s="13">
        <f t="shared" si="23"/>
        <v>5734</v>
      </c>
      <c r="BI29" s="13">
        <f t="shared" si="24"/>
        <v>1435</v>
      </c>
      <c r="BJ29" s="13">
        <f t="shared" si="25"/>
        <v>3768</v>
      </c>
      <c r="BK29" s="13">
        <f t="shared" si="26"/>
        <v>0</v>
      </c>
      <c r="BL29" s="13">
        <f t="shared" si="27"/>
        <v>19240</v>
      </c>
      <c r="BM29" s="31">
        <f t="shared" si="28"/>
        <v>0.43149999999999999</v>
      </c>
      <c r="BN29" s="31">
        <f t="shared" si="29"/>
        <v>0.29799999999999999</v>
      </c>
      <c r="BO29" s="31">
        <f t="shared" si="30"/>
        <v>7.46E-2</v>
      </c>
      <c r="BP29" s="31">
        <f t="shared" si="31"/>
        <v>0.1958</v>
      </c>
      <c r="BQ29" s="31">
        <f t="shared" si="32"/>
        <v>0</v>
      </c>
    </row>
    <row r="30" spans="1:69" ht="16.5" x14ac:dyDescent="0.2">
      <c r="A30" s="37">
        <v>27</v>
      </c>
      <c r="B30" s="37">
        <v>3</v>
      </c>
      <c r="C30" s="37">
        <v>1</v>
      </c>
      <c r="D30" s="37">
        <v>3</v>
      </c>
      <c r="E30" s="37">
        <v>27</v>
      </c>
      <c r="F30" s="37">
        <f>INDEX(新属性投放!$L$6:$L$10,新属性汇总!D30)</f>
        <v>1.1499999999999999</v>
      </c>
      <c r="G30" s="37">
        <f>INDEX(新属性投放!J$42:J$62,新属性汇总!$B30)</f>
        <v>440</v>
      </c>
      <c r="H30" s="37">
        <f>INDEX(新属性投放!K$42:K$62,新属性汇总!$B30)</f>
        <v>218</v>
      </c>
      <c r="I30" s="37">
        <f>INDEX(新属性投放!L$42:L$62,新属性汇总!$B30)</f>
        <v>1755</v>
      </c>
      <c r="J30" s="37">
        <f>($A30-INDEX(新属性投放!$B$42:$B$62,新属性汇总!$B30))*INDEX(新属性投放!D$42:D$62,新属性汇总!$B30)</f>
        <v>105</v>
      </c>
      <c r="K30" s="37">
        <f>($A30-INDEX(新属性投放!$B$42:$B$62,新属性汇总!$B30))*INDEX(新属性投放!E$42:E$62,新属性汇总!$B30)</f>
        <v>52.5</v>
      </c>
      <c r="L30" s="37">
        <f>($A30-INDEX(新属性投放!$B$42:$B$62,新属性汇总!$B30))*INDEX(新属性投放!F$42:F$62,新属性汇总!$B30)</f>
        <v>469</v>
      </c>
      <c r="M30" s="37">
        <f t="shared" si="1"/>
        <v>626.75</v>
      </c>
      <c r="N30" s="37">
        <f t="shared" si="2"/>
        <v>311.07499999999999</v>
      </c>
      <c r="O30" s="37">
        <f t="shared" si="3"/>
        <v>2557.6</v>
      </c>
      <c r="P30" s="37">
        <v>1</v>
      </c>
      <c r="Q30" s="37">
        <v>2</v>
      </c>
      <c r="R30">
        <v>27</v>
      </c>
      <c r="S30" s="37">
        <f>IF($P30&gt;0,INDEX(装备!L$11:L$16,新属性汇总!$P30),0)</f>
        <v>136.5</v>
      </c>
      <c r="T30" s="37">
        <f>IF($P30&gt;0,INDEX(装备!M$11:M$16,新属性汇总!$P30),0)</f>
        <v>68.25</v>
      </c>
      <c r="U30" s="37">
        <f>IF($P30&gt;0,INDEX(装备!N$11:N$16,新属性汇总!$P30),0)</f>
        <v>619.5</v>
      </c>
      <c r="V30" s="37">
        <f>IF($P30&gt;0,INDEX(装备!H$11:H$16,新属性汇总!$P30),0)</f>
        <v>10</v>
      </c>
      <c r="W30" s="37">
        <f>IF($P30&gt;0,INDEX(装备!I$11:I$16,新属性汇总!$P30),0)</f>
        <v>5</v>
      </c>
      <c r="X30" s="37">
        <f>IF($P30&gt;0,INDEX(装备!J$11:J$16,新属性汇总!$P30),0)</f>
        <v>50</v>
      </c>
      <c r="Y30" s="37">
        <f t="shared" si="4"/>
        <v>406.5</v>
      </c>
      <c r="Z30" s="37">
        <f t="shared" si="5"/>
        <v>203.25</v>
      </c>
      <c r="AA30" s="37">
        <f t="shared" si="6"/>
        <v>1969.5</v>
      </c>
      <c r="AB30" s="37">
        <v>0.65</v>
      </c>
      <c r="AC30" s="37">
        <f>IF(P30&gt;0,INDEX(装备!$BP$5:$BP$16,新属性汇总!P30),0)</f>
        <v>2</v>
      </c>
      <c r="AD30" s="37">
        <f>IF($P30&gt;0,ROUND(INDEX(装备!AY$11:AY$16,新属性汇总!$P30)*$AC30/3,0)*8*AB30,0)</f>
        <v>119.60000000000001</v>
      </c>
      <c r="AE30" s="37">
        <f>IF($P30&gt;0,ROUND(INDEX(装备!AZ$11:AZ$16,新属性汇总!$P30)*$AC30/3,0)*8*AB30,0)</f>
        <v>57.2</v>
      </c>
      <c r="AF30" s="37">
        <f>IF($P30&gt;0,ROUND(INDEX(装备!BA$11:BA$16,新属性汇总!$P30)*$AC30/3,0)*8*AB30,0)</f>
        <v>265.2</v>
      </c>
      <c r="AG30" s="37">
        <f>IF(新属性汇总!P30&gt;0,INDEX(装备!$AP$11:$AP$16,新属性汇总!$P30)*2,0)</f>
        <v>628</v>
      </c>
      <c r="AH30" s="37">
        <v>0</v>
      </c>
      <c r="AI30" s="37">
        <f>IF(新属性汇总!P30&gt;0,INDEX(装备!$AP$11:$AP$16,新属性汇总!$P30)*2,0)</f>
        <v>628</v>
      </c>
      <c r="AJ30" s="37">
        <v>0</v>
      </c>
      <c r="AK30" s="37">
        <f>IF($AJ30&gt;0,INDEX(专属武器!H$4:H$53,新属性汇总!$AJ30),0)</f>
        <v>0</v>
      </c>
      <c r="AL30" s="37">
        <f>IF($AJ30&gt;0,INDEX(专属武器!I$4:I$53,新属性汇总!$AJ30),0)</f>
        <v>0</v>
      </c>
      <c r="AM30" s="37">
        <f>IF($AJ30&gt;0,INDEX(专属武器!J$4:J$53,新属性汇总!$AJ30),0)</f>
        <v>0</v>
      </c>
      <c r="AQ30" s="13">
        <v>26</v>
      </c>
      <c r="AR30" s="13">
        <f t="shared" si="7"/>
        <v>609.5</v>
      </c>
      <c r="AS30" s="13">
        <f t="shared" si="8"/>
        <v>302.45</v>
      </c>
      <c r="AT30" s="13">
        <f t="shared" si="9"/>
        <v>2480.5499999999997</v>
      </c>
      <c r="AU30" s="13">
        <f t="shared" si="10"/>
        <v>396.5</v>
      </c>
      <c r="AV30" s="13">
        <f t="shared" si="11"/>
        <v>198.25</v>
      </c>
      <c r="AW30" s="13">
        <f t="shared" si="12"/>
        <v>1919.5</v>
      </c>
      <c r="AX30" s="13">
        <f t="shared" si="13"/>
        <v>119.60000000000001</v>
      </c>
      <c r="AY30" s="13">
        <f t="shared" si="14"/>
        <v>57.2</v>
      </c>
      <c r="AZ30" s="13">
        <f t="shared" si="15"/>
        <v>265.2</v>
      </c>
      <c r="BA30" s="13">
        <f t="shared" si="16"/>
        <v>628</v>
      </c>
      <c r="BB30" s="13">
        <f t="shared" si="17"/>
        <v>0</v>
      </c>
      <c r="BC30" s="13">
        <f t="shared" si="18"/>
        <v>628</v>
      </c>
      <c r="BD30" s="13">
        <f t="shared" si="19"/>
        <v>0</v>
      </c>
      <c r="BE30" s="13">
        <f t="shared" si="20"/>
        <v>0</v>
      </c>
      <c r="BF30" s="13">
        <f t="shared" si="21"/>
        <v>0</v>
      </c>
      <c r="BG30" s="13">
        <f t="shared" si="22"/>
        <v>8552</v>
      </c>
      <c r="BH30" s="13">
        <f t="shared" si="23"/>
        <v>5884</v>
      </c>
      <c r="BI30" s="13">
        <f t="shared" si="24"/>
        <v>1435</v>
      </c>
      <c r="BJ30" s="13">
        <f t="shared" si="25"/>
        <v>3768</v>
      </c>
      <c r="BK30" s="13">
        <f t="shared" si="26"/>
        <v>0</v>
      </c>
      <c r="BL30" s="13">
        <f t="shared" si="27"/>
        <v>19639</v>
      </c>
      <c r="BM30" s="31">
        <f t="shared" si="28"/>
        <v>0.4355</v>
      </c>
      <c r="BN30" s="31">
        <f t="shared" si="29"/>
        <v>0.29959999999999998</v>
      </c>
      <c r="BO30" s="31">
        <f t="shared" si="30"/>
        <v>7.3099999999999998E-2</v>
      </c>
      <c r="BP30" s="31">
        <f t="shared" si="31"/>
        <v>0.19189999999999999</v>
      </c>
      <c r="BQ30" s="31">
        <f t="shared" si="32"/>
        <v>0</v>
      </c>
    </row>
    <row r="31" spans="1:69" ht="16.5" x14ac:dyDescent="0.2">
      <c r="A31" s="37">
        <v>28</v>
      </c>
      <c r="B31" s="37">
        <v>3</v>
      </c>
      <c r="C31" s="37">
        <v>1</v>
      </c>
      <c r="D31" s="37">
        <v>3</v>
      </c>
      <c r="E31" s="37">
        <v>28</v>
      </c>
      <c r="F31" s="37">
        <f>INDEX(新属性投放!$L$6:$L$10,新属性汇总!D31)</f>
        <v>1.1499999999999999</v>
      </c>
      <c r="G31" s="37">
        <f>INDEX(新属性投放!J$42:J$62,新属性汇总!$B31)</f>
        <v>440</v>
      </c>
      <c r="H31" s="37">
        <f>INDEX(新属性投放!K$42:K$62,新属性汇总!$B31)</f>
        <v>218</v>
      </c>
      <c r="I31" s="37">
        <f>INDEX(新属性投放!L$42:L$62,新属性汇总!$B31)</f>
        <v>1755</v>
      </c>
      <c r="J31" s="37">
        <f>($A31-INDEX(新属性投放!$B$42:$B$62,新属性汇总!$B31))*INDEX(新属性投放!D$42:D$62,新属性汇总!$B31)</f>
        <v>120</v>
      </c>
      <c r="K31" s="37">
        <f>($A31-INDEX(新属性投放!$B$42:$B$62,新属性汇总!$B31))*INDEX(新属性投放!E$42:E$62,新属性汇总!$B31)</f>
        <v>60</v>
      </c>
      <c r="L31" s="37">
        <f>($A31-INDEX(新属性投放!$B$42:$B$62,新属性汇总!$B31))*INDEX(新属性投放!F$42:F$62,新属性汇总!$B31)</f>
        <v>536</v>
      </c>
      <c r="M31" s="37">
        <f t="shared" si="1"/>
        <v>644</v>
      </c>
      <c r="N31" s="37">
        <f t="shared" si="2"/>
        <v>319.7</v>
      </c>
      <c r="O31" s="37">
        <f t="shared" si="3"/>
        <v>2634.6499999999996</v>
      </c>
      <c r="P31" s="37">
        <v>1</v>
      </c>
      <c r="Q31" s="37">
        <v>2</v>
      </c>
      <c r="R31">
        <v>28</v>
      </c>
      <c r="S31" s="37">
        <f>IF($P31&gt;0,INDEX(装备!L$11:L$16,新属性汇总!$P31),0)</f>
        <v>136.5</v>
      </c>
      <c r="T31" s="37">
        <f>IF($P31&gt;0,INDEX(装备!M$11:M$16,新属性汇总!$P31),0)</f>
        <v>68.25</v>
      </c>
      <c r="U31" s="37">
        <f>IF($P31&gt;0,INDEX(装备!N$11:N$16,新属性汇总!$P31),0)</f>
        <v>619.5</v>
      </c>
      <c r="V31" s="37">
        <f>IF($P31&gt;0,INDEX(装备!H$11:H$16,新属性汇总!$P31),0)</f>
        <v>10</v>
      </c>
      <c r="W31" s="37">
        <f>IF($P31&gt;0,INDEX(装备!I$11:I$16,新属性汇总!$P31),0)</f>
        <v>5</v>
      </c>
      <c r="X31" s="37">
        <f>IF($P31&gt;0,INDEX(装备!J$11:J$16,新属性汇总!$P31),0)</f>
        <v>50</v>
      </c>
      <c r="Y31" s="37">
        <f t="shared" si="4"/>
        <v>416.5</v>
      </c>
      <c r="Z31" s="37">
        <f t="shared" si="5"/>
        <v>208.25</v>
      </c>
      <c r="AA31" s="37">
        <f t="shared" si="6"/>
        <v>2019.5</v>
      </c>
      <c r="AB31" s="37">
        <v>0.65</v>
      </c>
      <c r="AC31" s="37">
        <f>IF(P31&gt;0,INDEX(装备!$BP$5:$BP$16,新属性汇总!P31),0)</f>
        <v>2</v>
      </c>
      <c r="AD31" s="37">
        <f>IF($P31&gt;0,ROUND(INDEX(装备!AY$11:AY$16,新属性汇总!$P31)*$AC31/3,0)*8*AB31,0)</f>
        <v>119.60000000000001</v>
      </c>
      <c r="AE31" s="37">
        <f>IF($P31&gt;0,ROUND(INDEX(装备!AZ$11:AZ$16,新属性汇总!$P31)*$AC31/3,0)*8*AB31,0)</f>
        <v>57.2</v>
      </c>
      <c r="AF31" s="37">
        <f>IF($P31&gt;0,ROUND(INDEX(装备!BA$11:BA$16,新属性汇总!$P31)*$AC31/3,0)*8*AB31,0)</f>
        <v>265.2</v>
      </c>
      <c r="AG31" s="37">
        <f>IF(新属性汇总!P31&gt;0,INDEX(装备!$AP$11:$AP$16,新属性汇总!$P31)*2,0)</f>
        <v>628</v>
      </c>
      <c r="AH31" s="37">
        <v>0</v>
      </c>
      <c r="AI31" s="37">
        <f>IF(新属性汇总!P31&gt;0,INDEX(装备!$AP$11:$AP$16,新属性汇总!$P31)*2,0)</f>
        <v>628</v>
      </c>
      <c r="AJ31" s="37">
        <v>0</v>
      </c>
      <c r="AK31" s="37">
        <f>IF($AJ31&gt;0,INDEX(专属武器!H$4:H$53,新属性汇总!$AJ31),0)</f>
        <v>0</v>
      </c>
      <c r="AL31" s="37">
        <f>IF($AJ31&gt;0,INDEX(专属武器!I$4:I$53,新属性汇总!$AJ31),0)</f>
        <v>0</v>
      </c>
      <c r="AM31" s="37">
        <f>IF($AJ31&gt;0,INDEX(专属武器!J$4:J$53,新属性汇总!$AJ31),0)</f>
        <v>0</v>
      </c>
      <c r="AQ31" s="13">
        <v>27</v>
      </c>
      <c r="AR31" s="13">
        <f t="shared" si="7"/>
        <v>626.75</v>
      </c>
      <c r="AS31" s="13">
        <f t="shared" si="8"/>
        <v>311.07499999999999</v>
      </c>
      <c r="AT31" s="13">
        <f t="shared" si="9"/>
        <v>2557.6</v>
      </c>
      <c r="AU31" s="13">
        <f t="shared" si="10"/>
        <v>406.5</v>
      </c>
      <c r="AV31" s="13">
        <f t="shared" si="11"/>
        <v>203.25</v>
      </c>
      <c r="AW31" s="13">
        <f t="shared" si="12"/>
        <v>1969.5</v>
      </c>
      <c r="AX31" s="13">
        <f t="shared" si="13"/>
        <v>119.60000000000001</v>
      </c>
      <c r="AY31" s="13">
        <f t="shared" si="14"/>
        <v>57.2</v>
      </c>
      <c r="AZ31" s="13">
        <f t="shared" si="15"/>
        <v>265.2</v>
      </c>
      <c r="BA31" s="13">
        <f t="shared" si="16"/>
        <v>628</v>
      </c>
      <c r="BB31" s="13">
        <f t="shared" si="17"/>
        <v>0</v>
      </c>
      <c r="BC31" s="13">
        <f t="shared" si="18"/>
        <v>628</v>
      </c>
      <c r="BD31" s="13">
        <f t="shared" si="19"/>
        <v>0</v>
      </c>
      <c r="BE31" s="13">
        <f t="shared" si="20"/>
        <v>0</v>
      </c>
      <c r="BF31" s="13">
        <f t="shared" si="21"/>
        <v>0</v>
      </c>
      <c r="BG31" s="13">
        <f t="shared" si="22"/>
        <v>8802</v>
      </c>
      <c r="BH31" s="13">
        <f t="shared" si="23"/>
        <v>6034</v>
      </c>
      <c r="BI31" s="13">
        <f t="shared" si="24"/>
        <v>1435</v>
      </c>
      <c r="BJ31" s="13">
        <f t="shared" si="25"/>
        <v>3768</v>
      </c>
      <c r="BK31" s="13">
        <f t="shared" si="26"/>
        <v>0</v>
      </c>
      <c r="BL31" s="13">
        <f t="shared" si="27"/>
        <v>20039</v>
      </c>
      <c r="BM31" s="31">
        <f t="shared" si="28"/>
        <v>0.43919999999999998</v>
      </c>
      <c r="BN31" s="31">
        <f t="shared" si="29"/>
        <v>0.30109999999999998</v>
      </c>
      <c r="BO31" s="31">
        <f t="shared" si="30"/>
        <v>7.1599999999999997E-2</v>
      </c>
      <c r="BP31" s="31">
        <f t="shared" si="31"/>
        <v>0.188</v>
      </c>
      <c r="BQ31" s="31">
        <f t="shared" si="32"/>
        <v>0</v>
      </c>
    </row>
    <row r="32" spans="1:69" ht="16.5" x14ac:dyDescent="0.2">
      <c r="A32" s="37">
        <v>29</v>
      </c>
      <c r="B32" s="37">
        <v>3</v>
      </c>
      <c r="C32" s="37">
        <v>1</v>
      </c>
      <c r="D32" s="37">
        <v>3</v>
      </c>
      <c r="E32" s="37">
        <v>29</v>
      </c>
      <c r="F32" s="37">
        <f>INDEX(新属性投放!$L$6:$L$10,新属性汇总!D32)</f>
        <v>1.1499999999999999</v>
      </c>
      <c r="G32" s="37">
        <f>INDEX(新属性投放!J$42:J$62,新属性汇总!$B32)</f>
        <v>440</v>
      </c>
      <c r="H32" s="37">
        <f>INDEX(新属性投放!K$42:K$62,新属性汇总!$B32)</f>
        <v>218</v>
      </c>
      <c r="I32" s="37">
        <f>INDEX(新属性投放!L$42:L$62,新属性汇总!$B32)</f>
        <v>1755</v>
      </c>
      <c r="J32" s="37">
        <f>($A32-INDEX(新属性投放!$B$42:$B$62,新属性汇总!$B32))*INDEX(新属性投放!D$42:D$62,新属性汇总!$B32)</f>
        <v>135</v>
      </c>
      <c r="K32" s="37">
        <f>($A32-INDEX(新属性投放!$B$42:$B$62,新属性汇总!$B32))*INDEX(新属性投放!E$42:E$62,新属性汇总!$B32)</f>
        <v>67.5</v>
      </c>
      <c r="L32" s="37">
        <f>($A32-INDEX(新属性投放!$B$42:$B$62,新属性汇总!$B32))*INDEX(新属性投放!F$42:F$62,新属性汇总!$B32)</f>
        <v>603</v>
      </c>
      <c r="M32" s="37">
        <f t="shared" si="1"/>
        <v>661.25</v>
      </c>
      <c r="N32" s="37">
        <f t="shared" si="2"/>
        <v>328.32499999999999</v>
      </c>
      <c r="O32" s="37">
        <f t="shared" si="3"/>
        <v>2711.7</v>
      </c>
      <c r="P32" s="37">
        <v>1</v>
      </c>
      <c r="Q32" s="37">
        <v>2</v>
      </c>
      <c r="R32">
        <v>29</v>
      </c>
      <c r="S32" s="37">
        <f>IF($P32&gt;0,INDEX(装备!L$11:L$16,新属性汇总!$P32),0)</f>
        <v>136.5</v>
      </c>
      <c r="T32" s="37">
        <f>IF($P32&gt;0,INDEX(装备!M$11:M$16,新属性汇总!$P32),0)</f>
        <v>68.25</v>
      </c>
      <c r="U32" s="37">
        <f>IF($P32&gt;0,INDEX(装备!N$11:N$16,新属性汇总!$P32),0)</f>
        <v>619.5</v>
      </c>
      <c r="V32" s="37">
        <f>IF($P32&gt;0,INDEX(装备!H$11:H$16,新属性汇总!$P32),0)</f>
        <v>10</v>
      </c>
      <c r="W32" s="37">
        <f>IF($P32&gt;0,INDEX(装备!I$11:I$16,新属性汇总!$P32),0)</f>
        <v>5</v>
      </c>
      <c r="X32" s="37">
        <f>IF($P32&gt;0,INDEX(装备!J$11:J$16,新属性汇总!$P32),0)</f>
        <v>50</v>
      </c>
      <c r="Y32" s="37">
        <f t="shared" si="4"/>
        <v>426.5</v>
      </c>
      <c r="Z32" s="37">
        <f t="shared" si="5"/>
        <v>213.25</v>
      </c>
      <c r="AA32" s="37">
        <f t="shared" si="6"/>
        <v>2069.5</v>
      </c>
      <c r="AB32" s="37">
        <v>0.65</v>
      </c>
      <c r="AC32" s="37">
        <f>IF(P32&gt;0,INDEX(装备!$BP$5:$BP$16,新属性汇总!P32),0)</f>
        <v>2</v>
      </c>
      <c r="AD32" s="37">
        <f>IF($P32&gt;0,ROUND(INDEX(装备!AY$11:AY$16,新属性汇总!$P32)*$AC32/3,0)*8*AB32,0)</f>
        <v>119.60000000000001</v>
      </c>
      <c r="AE32" s="37">
        <f>IF($P32&gt;0,ROUND(INDEX(装备!AZ$11:AZ$16,新属性汇总!$P32)*$AC32/3,0)*8*AB32,0)</f>
        <v>57.2</v>
      </c>
      <c r="AF32" s="37">
        <f>IF($P32&gt;0,ROUND(INDEX(装备!BA$11:BA$16,新属性汇总!$P32)*$AC32/3,0)*8*AB32,0)</f>
        <v>265.2</v>
      </c>
      <c r="AG32" s="37">
        <f>IF(新属性汇总!P32&gt;0,INDEX(装备!$AP$11:$AP$16,新属性汇总!$P32)*2,0)</f>
        <v>628</v>
      </c>
      <c r="AH32" s="37">
        <v>0</v>
      </c>
      <c r="AI32" s="37">
        <f>IF(新属性汇总!P32&gt;0,INDEX(装备!$AP$11:$AP$16,新属性汇总!$P32)*2,0)</f>
        <v>628</v>
      </c>
      <c r="AJ32">
        <v>0</v>
      </c>
      <c r="AK32" s="37">
        <f>IF($AJ32&gt;0,INDEX(专属武器!H$4:H$53,新属性汇总!$AJ32),0)</f>
        <v>0</v>
      </c>
      <c r="AL32" s="37">
        <f>IF($AJ32&gt;0,INDEX(专属武器!I$4:I$53,新属性汇总!$AJ32),0)</f>
        <v>0</v>
      </c>
      <c r="AM32" s="37">
        <f>IF($AJ32&gt;0,INDEX(专属武器!J$4:J$53,新属性汇总!$AJ32),0)</f>
        <v>0</v>
      </c>
      <c r="AQ32" s="13">
        <v>28</v>
      </c>
      <c r="AR32" s="13">
        <f t="shared" si="7"/>
        <v>644</v>
      </c>
      <c r="AS32" s="13">
        <f t="shared" si="8"/>
        <v>319.7</v>
      </c>
      <c r="AT32" s="13">
        <f t="shared" si="9"/>
        <v>2634.6499999999996</v>
      </c>
      <c r="AU32" s="13">
        <f t="shared" si="10"/>
        <v>416.5</v>
      </c>
      <c r="AV32" s="13">
        <f t="shared" si="11"/>
        <v>208.25</v>
      </c>
      <c r="AW32" s="13">
        <f t="shared" si="12"/>
        <v>2019.5</v>
      </c>
      <c r="AX32" s="13">
        <f t="shared" si="13"/>
        <v>119.60000000000001</v>
      </c>
      <c r="AY32" s="13">
        <f t="shared" si="14"/>
        <v>57.2</v>
      </c>
      <c r="AZ32" s="13">
        <f t="shared" si="15"/>
        <v>265.2</v>
      </c>
      <c r="BA32" s="13">
        <f t="shared" si="16"/>
        <v>628</v>
      </c>
      <c r="BB32" s="13">
        <f t="shared" si="17"/>
        <v>0</v>
      </c>
      <c r="BC32" s="13">
        <f t="shared" si="18"/>
        <v>628</v>
      </c>
      <c r="BD32" s="13">
        <f t="shared" si="19"/>
        <v>0</v>
      </c>
      <c r="BE32" s="13">
        <f t="shared" si="20"/>
        <v>0</v>
      </c>
      <c r="BF32" s="13">
        <f t="shared" si="21"/>
        <v>0</v>
      </c>
      <c r="BG32" s="13">
        <f t="shared" si="22"/>
        <v>9051</v>
      </c>
      <c r="BH32" s="13">
        <f t="shared" si="23"/>
        <v>6184</v>
      </c>
      <c r="BI32" s="13">
        <f t="shared" si="24"/>
        <v>1435</v>
      </c>
      <c r="BJ32" s="13">
        <f t="shared" si="25"/>
        <v>3768</v>
      </c>
      <c r="BK32" s="13">
        <f t="shared" si="26"/>
        <v>0</v>
      </c>
      <c r="BL32" s="13">
        <f t="shared" si="27"/>
        <v>20438</v>
      </c>
      <c r="BM32" s="31">
        <f t="shared" si="28"/>
        <v>0.44290000000000002</v>
      </c>
      <c r="BN32" s="31">
        <f t="shared" si="29"/>
        <v>0.30259999999999998</v>
      </c>
      <c r="BO32" s="31">
        <f t="shared" si="30"/>
        <v>7.0199999999999999E-2</v>
      </c>
      <c r="BP32" s="31">
        <f t="shared" si="31"/>
        <v>0.18440000000000001</v>
      </c>
      <c r="BQ32" s="31">
        <f t="shared" si="32"/>
        <v>0</v>
      </c>
    </row>
    <row r="33" spans="1:69" ht="16.5" x14ac:dyDescent="0.2">
      <c r="A33" s="37">
        <v>30</v>
      </c>
      <c r="B33" s="37">
        <v>4</v>
      </c>
      <c r="C33" s="37">
        <v>1</v>
      </c>
      <c r="D33" s="37">
        <v>3</v>
      </c>
      <c r="E33" s="37">
        <v>30</v>
      </c>
      <c r="F33" s="37">
        <f>INDEX(新属性投放!$L$6:$L$10,新属性汇总!D33)</f>
        <v>1.1499999999999999</v>
      </c>
      <c r="G33" s="37">
        <f>INDEX(新属性投放!J$42:J$62,新属性汇总!$B33)</f>
        <v>628</v>
      </c>
      <c r="H33" s="37">
        <f>INDEX(新属性投放!K$42:K$62,新属性汇总!$B33)</f>
        <v>312</v>
      </c>
      <c r="I33" s="37">
        <f>INDEX(新属性投放!L$42:L$62,新属性汇总!$B33)</f>
        <v>2767</v>
      </c>
      <c r="J33" s="37">
        <f>($A33-INDEX(新属性投放!$B$42:$B$62,新属性汇总!$B33))*INDEX(新属性投放!D$42:D$62,新属性汇总!$B33)</f>
        <v>0</v>
      </c>
      <c r="K33" s="37">
        <f>($A33-INDEX(新属性投放!$B$42:$B$62,新属性汇总!$B33))*INDEX(新属性投放!E$42:E$62,新属性汇总!$B33)</f>
        <v>0</v>
      </c>
      <c r="L33" s="37">
        <f>($A33-INDEX(新属性投放!$B$42:$B$62,新属性汇总!$B33))*INDEX(新属性投放!F$42:F$62,新属性汇总!$B33)</f>
        <v>0</v>
      </c>
      <c r="M33" s="37">
        <f t="shared" si="1"/>
        <v>722.19999999999993</v>
      </c>
      <c r="N33" s="37">
        <f t="shared" si="2"/>
        <v>358.79999999999995</v>
      </c>
      <c r="O33" s="37">
        <f t="shared" si="3"/>
        <v>3182.0499999999997</v>
      </c>
      <c r="P33" s="37">
        <v>1</v>
      </c>
      <c r="Q33">
        <v>3</v>
      </c>
      <c r="R33">
        <v>30</v>
      </c>
      <c r="S33" s="37">
        <f>IF($P33&gt;0,INDEX(装备!L$11:L$16,新属性汇总!$P33),0)</f>
        <v>136.5</v>
      </c>
      <c r="T33" s="37">
        <f>IF($P33&gt;0,INDEX(装备!M$11:M$16,新属性汇总!$P33),0)</f>
        <v>68.25</v>
      </c>
      <c r="U33" s="37">
        <f>IF($P33&gt;0,INDEX(装备!N$11:N$16,新属性汇总!$P33),0)</f>
        <v>619.5</v>
      </c>
      <c r="V33" s="37">
        <f>IF($P33&gt;0,INDEX(装备!H$11:H$16,新属性汇总!$P33),0)</f>
        <v>10</v>
      </c>
      <c r="W33" s="37">
        <f>IF($P33&gt;0,INDEX(装备!I$11:I$16,新属性汇总!$P33),0)</f>
        <v>5</v>
      </c>
      <c r="X33" s="37">
        <f>IF($P33&gt;0,INDEX(装备!J$11:J$16,新属性汇总!$P33),0)</f>
        <v>50</v>
      </c>
      <c r="Y33" s="37">
        <f t="shared" si="4"/>
        <v>436.5</v>
      </c>
      <c r="Z33" s="37">
        <f t="shared" si="5"/>
        <v>218.25</v>
      </c>
      <c r="AA33" s="37">
        <f t="shared" si="6"/>
        <v>2119.5</v>
      </c>
      <c r="AB33" s="37">
        <v>0.65</v>
      </c>
      <c r="AC33" s="37">
        <f>IF(P33&gt;0,INDEX(装备!$BP$5:$BP$16,新属性汇总!P33),0)</f>
        <v>2</v>
      </c>
      <c r="AD33" s="37">
        <f>IF($P33&gt;0,ROUND(INDEX(装备!AY$11:AY$16,新属性汇总!$P33)*$AC33/3,0)*8*AB33,0)</f>
        <v>119.60000000000001</v>
      </c>
      <c r="AE33" s="37">
        <f>IF($P33&gt;0,ROUND(INDEX(装备!AZ$11:AZ$16,新属性汇总!$P33)*$AC33/3,0)*8*AB33,0)</f>
        <v>57.2</v>
      </c>
      <c r="AF33" s="37">
        <f>IF($P33&gt;0,ROUND(INDEX(装备!BA$11:BA$16,新属性汇总!$P33)*$AC33/3,0)*8*AB33,0)</f>
        <v>265.2</v>
      </c>
      <c r="AG33" s="37">
        <f>IF(新属性汇总!P33&gt;0,INDEX(装备!$AP$11:$AP$16,新属性汇总!$P33)*2,0)</f>
        <v>628</v>
      </c>
      <c r="AH33" s="37">
        <v>0</v>
      </c>
      <c r="AI33" s="37">
        <f>IF(新属性汇总!P33&gt;0,INDEX(装备!$AP$11:$AP$16,新属性汇总!$P33)*2,0)</f>
        <v>628</v>
      </c>
      <c r="AJ33">
        <v>1</v>
      </c>
      <c r="AK33" s="37">
        <f>IF($AJ33&gt;0,INDEX(专属武器!H$4:H$53,新属性汇总!$AJ33),0)</f>
        <v>52</v>
      </c>
      <c r="AL33" s="37">
        <f>IF($AJ33&gt;0,INDEX(专属武器!I$4:I$53,新属性汇总!$AJ33),0)</f>
        <v>26</v>
      </c>
      <c r="AM33" s="37">
        <f>IF($AJ33&gt;0,INDEX(专属武器!J$4:J$53,新属性汇总!$AJ33),0)</f>
        <v>235</v>
      </c>
      <c r="AQ33" s="13">
        <v>29</v>
      </c>
      <c r="AR33" s="13">
        <f t="shared" si="7"/>
        <v>661.25</v>
      </c>
      <c r="AS33" s="13">
        <f t="shared" si="8"/>
        <v>328.32499999999999</v>
      </c>
      <c r="AT33" s="13">
        <f t="shared" si="9"/>
        <v>2711.7</v>
      </c>
      <c r="AU33" s="13">
        <f t="shared" si="10"/>
        <v>426.5</v>
      </c>
      <c r="AV33" s="13">
        <f t="shared" si="11"/>
        <v>213.25</v>
      </c>
      <c r="AW33" s="13">
        <f t="shared" si="12"/>
        <v>2069.5</v>
      </c>
      <c r="AX33" s="13">
        <f t="shared" si="13"/>
        <v>119.60000000000001</v>
      </c>
      <c r="AY33" s="13">
        <f t="shared" si="14"/>
        <v>57.2</v>
      </c>
      <c r="AZ33" s="13">
        <f t="shared" si="15"/>
        <v>265.2</v>
      </c>
      <c r="BA33" s="13">
        <f t="shared" si="16"/>
        <v>628</v>
      </c>
      <c r="BB33" s="13">
        <f t="shared" si="17"/>
        <v>0</v>
      </c>
      <c r="BC33" s="13">
        <f t="shared" si="18"/>
        <v>628</v>
      </c>
      <c r="BD33" s="13">
        <f t="shared" si="19"/>
        <v>0</v>
      </c>
      <c r="BE33" s="13">
        <f t="shared" si="20"/>
        <v>0</v>
      </c>
      <c r="BF33" s="13">
        <f t="shared" si="21"/>
        <v>0</v>
      </c>
      <c r="BG33" s="13">
        <f t="shared" si="22"/>
        <v>9301</v>
      </c>
      <c r="BH33" s="13">
        <f t="shared" si="23"/>
        <v>6334</v>
      </c>
      <c r="BI33" s="13">
        <f t="shared" si="24"/>
        <v>1435</v>
      </c>
      <c r="BJ33" s="13">
        <f t="shared" si="25"/>
        <v>3768</v>
      </c>
      <c r="BK33" s="13">
        <f t="shared" si="26"/>
        <v>0</v>
      </c>
      <c r="BL33" s="13">
        <f t="shared" si="27"/>
        <v>20838</v>
      </c>
      <c r="BM33" s="31">
        <f t="shared" si="28"/>
        <v>0.44629999999999997</v>
      </c>
      <c r="BN33" s="31">
        <f t="shared" si="29"/>
        <v>0.30399999999999999</v>
      </c>
      <c r="BO33" s="31">
        <f t="shared" si="30"/>
        <v>6.8900000000000003E-2</v>
      </c>
      <c r="BP33" s="31">
        <f t="shared" si="31"/>
        <v>0.18079999999999999</v>
      </c>
      <c r="BQ33" s="31">
        <f t="shared" si="32"/>
        <v>0</v>
      </c>
    </row>
    <row r="34" spans="1:69" ht="16.5" x14ac:dyDescent="0.2">
      <c r="A34" s="37">
        <v>31</v>
      </c>
      <c r="B34" s="37">
        <v>4</v>
      </c>
      <c r="C34" s="37">
        <v>1</v>
      </c>
      <c r="D34" s="37">
        <v>3</v>
      </c>
      <c r="E34" s="37">
        <v>31</v>
      </c>
      <c r="F34" s="37">
        <f>INDEX(新属性投放!$L$6:$L$10,新属性汇总!D34)</f>
        <v>1.1499999999999999</v>
      </c>
      <c r="G34" s="37">
        <f>INDEX(新属性投放!J$42:J$62,新属性汇总!$B34)</f>
        <v>628</v>
      </c>
      <c r="H34" s="37">
        <f>INDEX(新属性投放!K$42:K$62,新属性汇总!$B34)</f>
        <v>312</v>
      </c>
      <c r="I34" s="37">
        <f>INDEX(新属性投放!L$42:L$62,新属性汇总!$B34)</f>
        <v>2767</v>
      </c>
      <c r="J34" s="37">
        <f>($A34-INDEX(新属性投放!$B$42:$B$62,新属性汇总!$B34))*INDEX(新属性投放!D$42:D$62,新属性汇总!$B34)</f>
        <v>20</v>
      </c>
      <c r="K34" s="37">
        <f>($A34-INDEX(新属性投放!$B$42:$B$62,新属性汇总!$B34))*INDEX(新属性投放!E$42:E$62,新属性汇总!$B34)</f>
        <v>10</v>
      </c>
      <c r="L34" s="37">
        <f>($A34-INDEX(新属性投放!$B$42:$B$62,新属性汇总!$B34))*INDEX(新属性投放!F$42:F$62,新属性汇总!$B34)</f>
        <v>90</v>
      </c>
      <c r="M34" s="37">
        <f t="shared" si="1"/>
        <v>745.19999999999993</v>
      </c>
      <c r="N34" s="37">
        <f t="shared" si="2"/>
        <v>370.29999999999995</v>
      </c>
      <c r="O34" s="37">
        <f t="shared" si="3"/>
        <v>3285.5499999999997</v>
      </c>
      <c r="P34" s="37">
        <v>1</v>
      </c>
      <c r="Q34" s="37">
        <v>3</v>
      </c>
      <c r="R34">
        <v>31</v>
      </c>
      <c r="S34" s="37">
        <f>IF($P34&gt;0,INDEX(装备!L$11:L$16,新属性汇总!$P34),0)</f>
        <v>136.5</v>
      </c>
      <c r="T34" s="37">
        <f>IF($P34&gt;0,INDEX(装备!M$11:M$16,新属性汇总!$P34),0)</f>
        <v>68.25</v>
      </c>
      <c r="U34" s="37">
        <f>IF($P34&gt;0,INDEX(装备!N$11:N$16,新属性汇总!$P34),0)</f>
        <v>619.5</v>
      </c>
      <c r="V34" s="37">
        <f>IF($P34&gt;0,INDEX(装备!H$11:H$16,新属性汇总!$P34),0)</f>
        <v>10</v>
      </c>
      <c r="W34" s="37">
        <f>IF($P34&gt;0,INDEX(装备!I$11:I$16,新属性汇总!$P34),0)</f>
        <v>5</v>
      </c>
      <c r="X34" s="37">
        <f>IF($P34&gt;0,INDEX(装备!J$11:J$16,新属性汇总!$P34),0)</f>
        <v>50</v>
      </c>
      <c r="Y34" s="37">
        <f t="shared" si="4"/>
        <v>446.5</v>
      </c>
      <c r="Z34" s="37">
        <f t="shared" si="5"/>
        <v>223.25</v>
      </c>
      <c r="AA34" s="37">
        <f t="shared" si="6"/>
        <v>2169.5</v>
      </c>
      <c r="AB34" s="37">
        <v>0.65</v>
      </c>
      <c r="AC34" s="37">
        <f>IF(P34&gt;0,INDEX(装备!$BP$5:$BP$16,新属性汇总!P34),0)</f>
        <v>2</v>
      </c>
      <c r="AD34" s="37">
        <f>IF($P34&gt;0,ROUND(INDEX(装备!AY$11:AY$16,新属性汇总!$P34)*$AC34/3,0)*8*AB34,0)</f>
        <v>119.60000000000001</v>
      </c>
      <c r="AE34" s="37">
        <f>IF($P34&gt;0,ROUND(INDEX(装备!AZ$11:AZ$16,新属性汇总!$P34)*$AC34/3,0)*8*AB34,0)</f>
        <v>57.2</v>
      </c>
      <c r="AF34" s="37">
        <f>IF($P34&gt;0,ROUND(INDEX(装备!BA$11:BA$16,新属性汇总!$P34)*$AC34/3,0)*8*AB34,0)</f>
        <v>265.2</v>
      </c>
      <c r="AG34" s="37">
        <f>IF(新属性汇总!P34&gt;0,INDEX(装备!$AP$11:$AP$16,新属性汇总!$P34)*2,0)</f>
        <v>628</v>
      </c>
      <c r="AH34" s="37">
        <v>0</v>
      </c>
      <c r="AI34" s="37">
        <f>IF(新属性汇总!P34&gt;0,INDEX(装备!$AP$11:$AP$16,新属性汇总!$P34)*2,0)</f>
        <v>628</v>
      </c>
      <c r="AJ34" s="37">
        <v>1</v>
      </c>
      <c r="AK34" s="37">
        <f>IF($AJ34&gt;0,INDEX(专属武器!H$4:H$53,新属性汇总!$AJ34),0)</f>
        <v>52</v>
      </c>
      <c r="AL34" s="37">
        <f>IF($AJ34&gt;0,INDEX(专属武器!I$4:I$53,新属性汇总!$AJ34),0)</f>
        <v>26</v>
      </c>
      <c r="AM34" s="37">
        <f>IF($AJ34&gt;0,INDEX(专属武器!J$4:J$53,新属性汇总!$AJ34),0)</f>
        <v>235</v>
      </c>
      <c r="AQ34" s="13">
        <v>30</v>
      </c>
      <c r="AR34" s="13">
        <f t="shared" si="7"/>
        <v>722.19999999999993</v>
      </c>
      <c r="AS34" s="13">
        <f t="shared" si="8"/>
        <v>358.79999999999995</v>
      </c>
      <c r="AT34" s="13">
        <f t="shared" si="9"/>
        <v>3182.0499999999997</v>
      </c>
      <c r="AU34" s="13">
        <f t="shared" si="10"/>
        <v>436.5</v>
      </c>
      <c r="AV34" s="13">
        <f t="shared" si="11"/>
        <v>218.25</v>
      </c>
      <c r="AW34" s="13">
        <f t="shared" si="12"/>
        <v>2119.5</v>
      </c>
      <c r="AX34" s="13">
        <f t="shared" si="13"/>
        <v>119.60000000000001</v>
      </c>
      <c r="AY34" s="13">
        <f t="shared" si="14"/>
        <v>57.2</v>
      </c>
      <c r="AZ34" s="13">
        <f t="shared" si="15"/>
        <v>265.2</v>
      </c>
      <c r="BA34" s="13">
        <f t="shared" si="16"/>
        <v>628</v>
      </c>
      <c r="BB34" s="13">
        <f t="shared" si="17"/>
        <v>0</v>
      </c>
      <c r="BC34" s="13">
        <f t="shared" si="18"/>
        <v>628</v>
      </c>
      <c r="BD34" s="13">
        <f t="shared" si="19"/>
        <v>52</v>
      </c>
      <c r="BE34" s="13">
        <f t="shared" si="20"/>
        <v>26</v>
      </c>
      <c r="BF34" s="13">
        <f t="shared" si="21"/>
        <v>235</v>
      </c>
      <c r="BG34" s="13">
        <f t="shared" si="22"/>
        <v>10381</v>
      </c>
      <c r="BH34" s="13">
        <f t="shared" si="23"/>
        <v>6484</v>
      </c>
      <c r="BI34" s="13">
        <f t="shared" si="24"/>
        <v>1435</v>
      </c>
      <c r="BJ34" s="13">
        <f t="shared" si="25"/>
        <v>3768</v>
      </c>
      <c r="BK34" s="13">
        <f t="shared" si="26"/>
        <v>755</v>
      </c>
      <c r="BL34" s="13">
        <f t="shared" si="27"/>
        <v>22823</v>
      </c>
      <c r="BM34" s="31">
        <f t="shared" si="28"/>
        <v>0.45479999999999998</v>
      </c>
      <c r="BN34" s="31">
        <f t="shared" si="29"/>
        <v>0.28410000000000002</v>
      </c>
      <c r="BO34" s="31">
        <f t="shared" si="30"/>
        <v>6.2899999999999998E-2</v>
      </c>
      <c r="BP34" s="31">
        <f t="shared" si="31"/>
        <v>0.1651</v>
      </c>
      <c r="BQ34" s="31">
        <f t="shared" si="32"/>
        <v>3.3099999999999997E-2</v>
      </c>
    </row>
    <row r="35" spans="1:69" ht="16.5" x14ac:dyDescent="0.2">
      <c r="A35" s="37">
        <v>32</v>
      </c>
      <c r="B35" s="37">
        <v>4</v>
      </c>
      <c r="C35" s="37">
        <v>1</v>
      </c>
      <c r="D35" s="37">
        <v>3</v>
      </c>
      <c r="E35" s="37">
        <v>32</v>
      </c>
      <c r="F35" s="37">
        <f>INDEX(新属性投放!$L$6:$L$10,新属性汇总!D35)</f>
        <v>1.1499999999999999</v>
      </c>
      <c r="G35" s="37">
        <f>INDEX(新属性投放!J$42:J$62,新属性汇总!$B35)</f>
        <v>628</v>
      </c>
      <c r="H35" s="37">
        <f>INDEX(新属性投放!K$42:K$62,新属性汇总!$B35)</f>
        <v>312</v>
      </c>
      <c r="I35" s="37">
        <f>INDEX(新属性投放!L$42:L$62,新属性汇总!$B35)</f>
        <v>2767</v>
      </c>
      <c r="J35" s="37">
        <f>($A35-INDEX(新属性投放!$B$42:$B$62,新属性汇总!$B35))*INDEX(新属性投放!D$42:D$62,新属性汇总!$B35)</f>
        <v>40</v>
      </c>
      <c r="K35" s="37">
        <f>($A35-INDEX(新属性投放!$B$42:$B$62,新属性汇总!$B35))*INDEX(新属性投放!E$42:E$62,新属性汇总!$B35)</f>
        <v>20</v>
      </c>
      <c r="L35" s="37">
        <f>($A35-INDEX(新属性投放!$B$42:$B$62,新属性汇总!$B35))*INDEX(新属性投放!F$42:F$62,新属性汇总!$B35)</f>
        <v>180</v>
      </c>
      <c r="M35" s="37">
        <f t="shared" si="1"/>
        <v>768.19999999999993</v>
      </c>
      <c r="N35" s="37">
        <f t="shared" si="2"/>
        <v>381.79999999999995</v>
      </c>
      <c r="O35" s="37">
        <f t="shared" si="3"/>
        <v>3389.0499999999997</v>
      </c>
      <c r="P35" s="37">
        <v>1</v>
      </c>
      <c r="Q35" s="37">
        <v>3</v>
      </c>
      <c r="R35">
        <v>32</v>
      </c>
      <c r="S35" s="37">
        <f>IF($P35&gt;0,INDEX(装备!L$11:L$16,新属性汇总!$P35),0)</f>
        <v>136.5</v>
      </c>
      <c r="T35" s="37">
        <f>IF($P35&gt;0,INDEX(装备!M$11:M$16,新属性汇总!$P35),0)</f>
        <v>68.25</v>
      </c>
      <c r="U35" s="37">
        <f>IF($P35&gt;0,INDEX(装备!N$11:N$16,新属性汇总!$P35),0)</f>
        <v>619.5</v>
      </c>
      <c r="V35" s="37">
        <f>IF($P35&gt;0,INDEX(装备!H$11:H$16,新属性汇总!$P35),0)</f>
        <v>10</v>
      </c>
      <c r="W35" s="37">
        <f>IF($P35&gt;0,INDEX(装备!I$11:I$16,新属性汇总!$P35),0)</f>
        <v>5</v>
      </c>
      <c r="X35" s="37">
        <f>IF($P35&gt;0,INDEX(装备!J$11:J$16,新属性汇总!$P35),0)</f>
        <v>50</v>
      </c>
      <c r="Y35" s="37">
        <f t="shared" si="4"/>
        <v>456.5</v>
      </c>
      <c r="Z35" s="37">
        <f t="shared" si="5"/>
        <v>228.25</v>
      </c>
      <c r="AA35" s="37">
        <f t="shared" si="6"/>
        <v>2219.5</v>
      </c>
      <c r="AB35" s="37">
        <v>0.65</v>
      </c>
      <c r="AC35" s="37">
        <f>IF(P35&gt;0,INDEX(装备!$BP$5:$BP$16,新属性汇总!P35),0)</f>
        <v>2</v>
      </c>
      <c r="AD35" s="37">
        <f>IF($P35&gt;0,ROUND(INDEX(装备!AY$11:AY$16,新属性汇总!$P35)*$AC35/3,0)*8*AB35,0)</f>
        <v>119.60000000000001</v>
      </c>
      <c r="AE35" s="37">
        <f>IF($P35&gt;0,ROUND(INDEX(装备!AZ$11:AZ$16,新属性汇总!$P35)*$AC35/3,0)*8*AB35,0)</f>
        <v>57.2</v>
      </c>
      <c r="AF35" s="37">
        <f>IF($P35&gt;0,ROUND(INDEX(装备!BA$11:BA$16,新属性汇总!$P35)*$AC35/3,0)*8*AB35,0)</f>
        <v>265.2</v>
      </c>
      <c r="AG35" s="37">
        <f>IF(新属性汇总!P35&gt;0,INDEX(装备!$AP$11:$AP$16,新属性汇总!$P35)*2,0)</f>
        <v>628</v>
      </c>
      <c r="AH35" s="37">
        <v>0</v>
      </c>
      <c r="AI35" s="37">
        <f>IF(新属性汇总!P35&gt;0,INDEX(装备!$AP$11:$AP$16,新属性汇总!$P35)*2,0)</f>
        <v>628</v>
      </c>
      <c r="AJ35" s="37">
        <v>1</v>
      </c>
      <c r="AK35" s="37">
        <f>IF($AJ35&gt;0,INDEX(专属武器!H$4:H$53,新属性汇总!$AJ35),0)</f>
        <v>52</v>
      </c>
      <c r="AL35" s="37">
        <f>IF($AJ35&gt;0,INDEX(专属武器!I$4:I$53,新属性汇总!$AJ35),0)</f>
        <v>26</v>
      </c>
      <c r="AM35" s="37">
        <f>IF($AJ35&gt;0,INDEX(专属武器!J$4:J$53,新属性汇总!$AJ35),0)</f>
        <v>235</v>
      </c>
      <c r="AQ35" s="13">
        <v>31</v>
      </c>
      <c r="AR35" s="13">
        <f t="shared" si="7"/>
        <v>745.19999999999993</v>
      </c>
      <c r="AS35" s="13">
        <f t="shared" si="8"/>
        <v>370.29999999999995</v>
      </c>
      <c r="AT35" s="13">
        <f t="shared" si="9"/>
        <v>3285.5499999999997</v>
      </c>
      <c r="AU35" s="13">
        <f t="shared" si="10"/>
        <v>446.5</v>
      </c>
      <c r="AV35" s="13">
        <f t="shared" si="11"/>
        <v>223.25</v>
      </c>
      <c r="AW35" s="13">
        <f t="shared" si="12"/>
        <v>2169.5</v>
      </c>
      <c r="AX35" s="13">
        <f t="shared" si="13"/>
        <v>119.60000000000001</v>
      </c>
      <c r="AY35" s="13">
        <f t="shared" si="14"/>
        <v>57.2</v>
      </c>
      <c r="AZ35" s="13">
        <f t="shared" si="15"/>
        <v>265.2</v>
      </c>
      <c r="BA35" s="13">
        <f t="shared" si="16"/>
        <v>628</v>
      </c>
      <c r="BB35" s="13">
        <f t="shared" si="17"/>
        <v>0</v>
      </c>
      <c r="BC35" s="13">
        <f t="shared" si="18"/>
        <v>628</v>
      </c>
      <c r="BD35" s="13">
        <f t="shared" si="19"/>
        <v>52</v>
      </c>
      <c r="BE35" s="13">
        <f t="shared" si="20"/>
        <v>26</v>
      </c>
      <c r="BF35" s="13">
        <f t="shared" si="21"/>
        <v>235</v>
      </c>
      <c r="BG35" s="13">
        <f t="shared" si="22"/>
        <v>10714</v>
      </c>
      <c r="BH35" s="13">
        <f t="shared" si="23"/>
        <v>6634</v>
      </c>
      <c r="BI35" s="13">
        <f t="shared" si="24"/>
        <v>1435</v>
      </c>
      <c r="BJ35" s="13">
        <f t="shared" si="25"/>
        <v>3768</v>
      </c>
      <c r="BK35" s="13">
        <f t="shared" si="26"/>
        <v>755</v>
      </c>
      <c r="BL35" s="13">
        <f t="shared" si="27"/>
        <v>23306</v>
      </c>
      <c r="BM35" s="31">
        <f t="shared" si="28"/>
        <v>0.4597</v>
      </c>
      <c r="BN35" s="31">
        <f t="shared" si="29"/>
        <v>0.28460000000000002</v>
      </c>
      <c r="BO35" s="31">
        <f t="shared" si="30"/>
        <v>6.1600000000000002E-2</v>
      </c>
      <c r="BP35" s="31">
        <f t="shared" si="31"/>
        <v>0.16170000000000001</v>
      </c>
      <c r="BQ35" s="31">
        <f t="shared" si="32"/>
        <v>3.2399999999999998E-2</v>
      </c>
    </row>
    <row r="36" spans="1:69" ht="16.5" x14ac:dyDescent="0.2">
      <c r="A36" s="37">
        <v>33</v>
      </c>
      <c r="B36" s="37">
        <v>4</v>
      </c>
      <c r="C36" s="37">
        <v>1</v>
      </c>
      <c r="D36" s="37">
        <v>3</v>
      </c>
      <c r="E36" s="37">
        <v>33</v>
      </c>
      <c r="F36" s="37">
        <f>INDEX(新属性投放!$L$6:$L$10,新属性汇总!D36)</f>
        <v>1.1499999999999999</v>
      </c>
      <c r="G36" s="37">
        <f>INDEX(新属性投放!J$42:J$62,新属性汇总!$B36)</f>
        <v>628</v>
      </c>
      <c r="H36" s="37">
        <f>INDEX(新属性投放!K$42:K$62,新属性汇总!$B36)</f>
        <v>312</v>
      </c>
      <c r="I36" s="37">
        <f>INDEX(新属性投放!L$42:L$62,新属性汇总!$B36)</f>
        <v>2767</v>
      </c>
      <c r="J36" s="37">
        <f>($A36-INDEX(新属性投放!$B$42:$B$62,新属性汇总!$B36))*INDEX(新属性投放!D$42:D$62,新属性汇总!$B36)</f>
        <v>60</v>
      </c>
      <c r="K36" s="37">
        <f>($A36-INDEX(新属性投放!$B$42:$B$62,新属性汇总!$B36))*INDEX(新属性投放!E$42:E$62,新属性汇总!$B36)</f>
        <v>30</v>
      </c>
      <c r="L36" s="37">
        <f>($A36-INDEX(新属性投放!$B$42:$B$62,新属性汇总!$B36))*INDEX(新属性投放!F$42:F$62,新属性汇总!$B36)</f>
        <v>270</v>
      </c>
      <c r="M36" s="37">
        <f t="shared" si="1"/>
        <v>791.19999999999993</v>
      </c>
      <c r="N36" s="37">
        <f t="shared" si="2"/>
        <v>393.29999999999995</v>
      </c>
      <c r="O36" s="37">
        <f t="shared" si="3"/>
        <v>3492.5499999999997</v>
      </c>
      <c r="P36" s="37">
        <v>1</v>
      </c>
      <c r="Q36" s="37">
        <v>3</v>
      </c>
      <c r="R36">
        <v>33</v>
      </c>
      <c r="S36" s="37">
        <f>IF($P36&gt;0,INDEX(装备!L$11:L$16,新属性汇总!$P36),0)</f>
        <v>136.5</v>
      </c>
      <c r="T36" s="37">
        <f>IF($P36&gt;0,INDEX(装备!M$11:M$16,新属性汇总!$P36),0)</f>
        <v>68.25</v>
      </c>
      <c r="U36" s="37">
        <f>IF($P36&gt;0,INDEX(装备!N$11:N$16,新属性汇总!$P36),0)</f>
        <v>619.5</v>
      </c>
      <c r="V36" s="37">
        <f>IF($P36&gt;0,INDEX(装备!H$11:H$16,新属性汇总!$P36),0)</f>
        <v>10</v>
      </c>
      <c r="W36" s="37">
        <f>IF($P36&gt;0,INDEX(装备!I$11:I$16,新属性汇总!$P36),0)</f>
        <v>5</v>
      </c>
      <c r="X36" s="37">
        <f>IF($P36&gt;0,INDEX(装备!J$11:J$16,新属性汇总!$P36),0)</f>
        <v>50</v>
      </c>
      <c r="Y36" s="37">
        <f t="shared" si="4"/>
        <v>466.5</v>
      </c>
      <c r="Z36" s="37">
        <f t="shared" si="5"/>
        <v>233.25</v>
      </c>
      <c r="AA36" s="37">
        <f t="shared" si="6"/>
        <v>2269.5</v>
      </c>
      <c r="AB36" s="37">
        <v>0.65</v>
      </c>
      <c r="AC36" s="37">
        <f>IF(P36&gt;0,INDEX(装备!$BP$5:$BP$16,新属性汇总!P36),0)</f>
        <v>2</v>
      </c>
      <c r="AD36" s="37">
        <f>IF($P36&gt;0,ROUND(INDEX(装备!AY$11:AY$16,新属性汇总!$P36)*$AC36/3,0)*8*AB36,0)</f>
        <v>119.60000000000001</v>
      </c>
      <c r="AE36" s="37">
        <f>IF($P36&gt;0,ROUND(INDEX(装备!AZ$11:AZ$16,新属性汇总!$P36)*$AC36/3,0)*8*AB36,0)</f>
        <v>57.2</v>
      </c>
      <c r="AF36" s="37">
        <f>IF($P36&gt;0,ROUND(INDEX(装备!BA$11:BA$16,新属性汇总!$P36)*$AC36/3,0)*8*AB36,0)</f>
        <v>265.2</v>
      </c>
      <c r="AG36" s="37">
        <f>IF(新属性汇总!P36&gt;0,INDEX(装备!$AP$11:$AP$16,新属性汇总!$P36)*2,0)</f>
        <v>628</v>
      </c>
      <c r="AH36" s="37">
        <v>0</v>
      </c>
      <c r="AI36" s="37">
        <f>IF(新属性汇总!P36&gt;0,INDEX(装备!$AP$11:$AP$16,新属性汇总!$P36)*2,0)</f>
        <v>628</v>
      </c>
      <c r="AJ36" s="37">
        <v>1</v>
      </c>
      <c r="AK36" s="37">
        <f>IF($AJ36&gt;0,INDEX(专属武器!H$4:H$53,新属性汇总!$AJ36),0)</f>
        <v>52</v>
      </c>
      <c r="AL36" s="37">
        <f>IF($AJ36&gt;0,INDEX(专属武器!I$4:I$53,新属性汇总!$AJ36),0)</f>
        <v>26</v>
      </c>
      <c r="AM36" s="37">
        <f>IF($AJ36&gt;0,INDEX(专属武器!J$4:J$53,新属性汇总!$AJ36),0)</f>
        <v>235</v>
      </c>
      <c r="AQ36" s="13">
        <v>32</v>
      </c>
      <c r="AR36" s="13">
        <f t="shared" si="7"/>
        <v>768.19999999999993</v>
      </c>
      <c r="AS36" s="13">
        <f t="shared" si="8"/>
        <v>381.79999999999995</v>
      </c>
      <c r="AT36" s="13">
        <f t="shared" si="9"/>
        <v>3389.0499999999997</v>
      </c>
      <c r="AU36" s="13">
        <f t="shared" si="10"/>
        <v>456.5</v>
      </c>
      <c r="AV36" s="13">
        <f t="shared" si="11"/>
        <v>228.25</v>
      </c>
      <c r="AW36" s="13">
        <f t="shared" si="12"/>
        <v>2219.5</v>
      </c>
      <c r="AX36" s="13">
        <f t="shared" si="13"/>
        <v>119.60000000000001</v>
      </c>
      <c r="AY36" s="13">
        <f t="shared" si="14"/>
        <v>57.2</v>
      </c>
      <c r="AZ36" s="13">
        <f t="shared" si="15"/>
        <v>265.2</v>
      </c>
      <c r="BA36" s="13">
        <f t="shared" si="16"/>
        <v>628</v>
      </c>
      <c r="BB36" s="13">
        <f t="shared" si="17"/>
        <v>0</v>
      </c>
      <c r="BC36" s="13">
        <f t="shared" si="18"/>
        <v>628</v>
      </c>
      <c r="BD36" s="13">
        <f t="shared" si="19"/>
        <v>52</v>
      </c>
      <c r="BE36" s="13">
        <f t="shared" si="20"/>
        <v>26</v>
      </c>
      <c r="BF36" s="13">
        <f t="shared" si="21"/>
        <v>235</v>
      </c>
      <c r="BG36" s="13">
        <f t="shared" si="22"/>
        <v>11048</v>
      </c>
      <c r="BH36" s="13">
        <f t="shared" si="23"/>
        <v>6784</v>
      </c>
      <c r="BI36" s="13">
        <f t="shared" si="24"/>
        <v>1435</v>
      </c>
      <c r="BJ36" s="13">
        <f t="shared" si="25"/>
        <v>3768</v>
      </c>
      <c r="BK36" s="13">
        <f t="shared" si="26"/>
        <v>755</v>
      </c>
      <c r="BL36" s="13">
        <f t="shared" si="27"/>
        <v>23790</v>
      </c>
      <c r="BM36" s="31">
        <f t="shared" si="28"/>
        <v>0.46439999999999998</v>
      </c>
      <c r="BN36" s="31">
        <f t="shared" si="29"/>
        <v>0.28520000000000001</v>
      </c>
      <c r="BO36" s="31">
        <f t="shared" si="30"/>
        <v>6.0299999999999999E-2</v>
      </c>
      <c r="BP36" s="31">
        <f t="shared" si="31"/>
        <v>0.15840000000000001</v>
      </c>
      <c r="BQ36" s="31">
        <f t="shared" si="32"/>
        <v>3.1699999999999999E-2</v>
      </c>
    </row>
    <row r="37" spans="1:69" ht="16.5" x14ac:dyDescent="0.2">
      <c r="A37" s="37">
        <v>34</v>
      </c>
      <c r="B37" s="37">
        <v>4</v>
      </c>
      <c r="C37" s="37">
        <v>1</v>
      </c>
      <c r="D37" s="37">
        <v>3</v>
      </c>
      <c r="E37" s="37">
        <v>34</v>
      </c>
      <c r="F37" s="37">
        <f>INDEX(新属性投放!$L$6:$L$10,新属性汇总!D37)</f>
        <v>1.1499999999999999</v>
      </c>
      <c r="G37" s="37">
        <f>INDEX(新属性投放!J$42:J$62,新属性汇总!$B37)</f>
        <v>628</v>
      </c>
      <c r="H37" s="37">
        <f>INDEX(新属性投放!K$42:K$62,新属性汇总!$B37)</f>
        <v>312</v>
      </c>
      <c r="I37" s="37">
        <f>INDEX(新属性投放!L$42:L$62,新属性汇总!$B37)</f>
        <v>2767</v>
      </c>
      <c r="J37" s="37">
        <f>($A37-INDEX(新属性投放!$B$42:$B$62,新属性汇总!$B37))*INDEX(新属性投放!D$42:D$62,新属性汇总!$B37)</f>
        <v>80</v>
      </c>
      <c r="K37" s="37">
        <f>($A37-INDEX(新属性投放!$B$42:$B$62,新属性汇总!$B37))*INDEX(新属性投放!E$42:E$62,新属性汇总!$B37)</f>
        <v>40</v>
      </c>
      <c r="L37" s="37">
        <f>($A37-INDEX(新属性投放!$B$42:$B$62,新属性汇总!$B37))*INDEX(新属性投放!F$42:F$62,新属性汇总!$B37)</f>
        <v>360</v>
      </c>
      <c r="M37" s="37">
        <f t="shared" si="1"/>
        <v>814.19999999999993</v>
      </c>
      <c r="N37" s="37">
        <f t="shared" si="2"/>
        <v>404.79999999999995</v>
      </c>
      <c r="O37" s="37">
        <f t="shared" si="3"/>
        <v>3596.0499999999997</v>
      </c>
      <c r="P37" s="37">
        <v>1</v>
      </c>
      <c r="Q37" s="37">
        <v>3</v>
      </c>
      <c r="R37">
        <v>34</v>
      </c>
      <c r="S37" s="37">
        <f>IF($P37&gt;0,INDEX(装备!L$11:L$16,新属性汇总!$P37),0)</f>
        <v>136.5</v>
      </c>
      <c r="T37" s="37">
        <f>IF($P37&gt;0,INDEX(装备!M$11:M$16,新属性汇总!$P37),0)</f>
        <v>68.25</v>
      </c>
      <c r="U37" s="37">
        <f>IF($P37&gt;0,INDEX(装备!N$11:N$16,新属性汇总!$P37),0)</f>
        <v>619.5</v>
      </c>
      <c r="V37" s="37">
        <f>IF($P37&gt;0,INDEX(装备!H$11:H$16,新属性汇总!$P37),0)</f>
        <v>10</v>
      </c>
      <c r="W37" s="37">
        <f>IF($P37&gt;0,INDEX(装备!I$11:I$16,新属性汇总!$P37),0)</f>
        <v>5</v>
      </c>
      <c r="X37" s="37">
        <f>IF($P37&gt;0,INDEX(装备!J$11:J$16,新属性汇总!$P37),0)</f>
        <v>50</v>
      </c>
      <c r="Y37" s="37">
        <f t="shared" si="4"/>
        <v>476.5</v>
      </c>
      <c r="Z37" s="37">
        <f t="shared" si="5"/>
        <v>238.25</v>
      </c>
      <c r="AA37" s="37">
        <f t="shared" si="6"/>
        <v>2319.5</v>
      </c>
      <c r="AB37" s="37">
        <v>0.65</v>
      </c>
      <c r="AC37" s="37">
        <f>IF(P37&gt;0,INDEX(装备!$BP$5:$BP$16,新属性汇总!P37),0)</f>
        <v>2</v>
      </c>
      <c r="AD37" s="37">
        <f>IF($P37&gt;0,ROUND(INDEX(装备!AY$11:AY$16,新属性汇总!$P37)*$AC37/3,0)*8*AB37,0)</f>
        <v>119.60000000000001</v>
      </c>
      <c r="AE37" s="37">
        <f>IF($P37&gt;0,ROUND(INDEX(装备!AZ$11:AZ$16,新属性汇总!$P37)*$AC37/3,0)*8*AB37,0)</f>
        <v>57.2</v>
      </c>
      <c r="AF37" s="37">
        <f>IF($P37&gt;0,ROUND(INDEX(装备!BA$11:BA$16,新属性汇总!$P37)*$AC37/3,0)*8*AB37,0)</f>
        <v>265.2</v>
      </c>
      <c r="AG37" s="37">
        <f>IF(新属性汇总!P37&gt;0,INDEX(装备!$AP$11:$AP$16,新属性汇总!$P37)*2,0)</f>
        <v>628</v>
      </c>
      <c r="AH37" s="37">
        <v>0</v>
      </c>
      <c r="AI37" s="37">
        <f>IF(新属性汇总!P37&gt;0,INDEX(装备!$AP$11:$AP$16,新属性汇总!$P37)*2,0)</f>
        <v>628</v>
      </c>
      <c r="AJ37" s="37">
        <v>1</v>
      </c>
      <c r="AK37" s="37">
        <f>IF($AJ37&gt;0,INDEX(专属武器!H$4:H$53,新属性汇总!$AJ37),0)</f>
        <v>52</v>
      </c>
      <c r="AL37" s="37">
        <f>IF($AJ37&gt;0,INDEX(专属武器!I$4:I$53,新属性汇总!$AJ37),0)</f>
        <v>26</v>
      </c>
      <c r="AM37" s="37">
        <f>IF($AJ37&gt;0,INDEX(专属武器!J$4:J$53,新属性汇总!$AJ37),0)</f>
        <v>235</v>
      </c>
      <c r="AQ37" s="13">
        <v>33</v>
      </c>
      <c r="AR37" s="13">
        <f t="shared" si="7"/>
        <v>791.19999999999993</v>
      </c>
      <c r="AS37" s="13">
        <f t="shared" si="8"/>
        <v>393.29999999999995</v>
      </c>
      <c r="AT37" s="13">
        <f t="shared" si="9"/>
        <v>3492.5499999999997</v>
      </c>
      <c r="AU37" s="13">
        <f t="shared" si="10"/>
        <v>466.5</v>
      </c>
      <c r="AV37" s="13">
        <f t="shared" si="11"/>
        <v>233.25</v>
      </c>
      <c r="AW37" s="13">
        <f t="shared" si="12"/>
        <v>2269.5</v>
      </c>
      <c r="AX37" s="13">
        <f t="shared" si="13"/>
        <v>119.60000000000001</v>
      </c>
      <c r="AY37" s="13">
        <f t="shared" si="14"/>
        <v>57.2</v>
      </c>
      <c r="AZ37" s="13">
        <f t="shared" si="15"/>
        <v>265.2</v>
      </c>
      <c r="BA37" s="13">
        <f t="shared" si="16"/>
        <v>628</v>
      </c>
      <c r="BB37" s="13">
        <f t="shared" si="17"/>
        <v>0</v>
      </c>
      <c r="BC37" s="13">
        <f t="shared" si="18"/>
        <v>628</v>
      </c>
      <c r="BD37" s="13">
        <f t="shared" si="19"/>
        <v>52</v>
      </c>
      <c r="BE37" s="13">
        <f t="shared" si="20"/>
        <v>26</v>
      </c>
      <c r="BF37" s="13">
        <f t="shared" si="21"/>
        <v>235</v>
      </c>
      <c r="BG37" s="13">
        <f t="shared" si="22"/>
        <v>11381</v>
      </c>
      <c r="BH37" s="13">
        <f t="shared" si="23"/>
        <v>6934</v>
      </c>
      <c r="BI37" s="13">
        <f t="shared" si="24"/>
        <v>1435</v>
      </c>
      <c r="BJ37" s="13">
        <f t="shared" si="25"/>
        <v>3768</v>
      </c>
      <c r="BK37" s="13">
        <f t="shared" si="26"/>
        <v>755</v>
      </c>
      <c r="BL37" s="13">
        <f t="shared" si="27"/>
        <v>24273</v>
      </c>
      <c r="BM37" s="31">
        <f t="shared" si="28"/>
        <v>0.46889999999999998</v>
      </c>
      <c r="BN37" s="31">
        <f t="shared" si="29"/>
        <v>0.28570000000000001</v>
      </c>
      <c r="BO37" s="31">
        <f t="shared" si="30"/>
        <v>5.91E-2</v>
      </c>
      <c r="BP37" s="31">
        <f t="shared" si="31"/>
        <v>0.1552</v>
      </c>
      <c r="BQ37" s="31">
        <f t="shared" si="32"/>
        <v>3.1099999999999999E-2</v>
      </c>
    </row>
    <row r="38" spans="1:69" ht="16.5" x14ac:dyDescent="0.2">
      <c r="A38" s="37">
        <v>35</v>
      </c>
      <c r="B38" s="37">
        <v>4</v>
      </c>
      <c r="C38" s="37">
        <v>1</v>
      </c>
      <c r="D38" s="37">
        <v>3</v>
      </c>
      <c r="E38" s="37">
        <v>35</v>
      </c>
      <c r="F38" s="37">
        <f>INDEX(新属性投放!$L$6:$L$10,新属性汇总!D38)</f>
        <v>1.1499999999999999</v>
      </c>
      <c r="G38" s="37">
        <f>INDEX(新属性投放!J$42:J$62,新属性汇总!$B38)</f>
        <v>628</v>
      </c>
      <c r="H38" s="37">
        <f>INDEX(新属性投放!K$42:K$62,新属性汇总!$B38)</f>
        <v>312</v>
      </c>
      <c r="I38" s="37">
        <f>INDEX(新属性投放!L$42:L$62,新属性汇总!$B38)</f>
        <v>2767</v>
      </c>
      <c r="J38" s="37">
        <f>($A38-INDEX(新属性投放!$B$42:$B$62,新属性汇总!$B38))*INDEX(新属性投放!D$42:D$62,新属性汇总!$B38)</f>
        <v>100</v>
      </c>
      <c r="K38" s="37">
        <f>($A38-INDEX(新属性投放!$B$42:$B$62,新属性汇总!$B38))*INDEX(新属性投放!E$42:E$62,新属性汇总!$B38)</f>
        <v>50</v>
      </c>
      <c r="L38" s="37">
        <f>($A38-INDEX(新属性投放!$B$42:$B$62,新属性汇总!$B38))*INDEX(新属性投放!F$42:F$62,新属性汇总!$B38)</f>
        <v>450</v>
      </c>
      <c r="M38" s="37">
        <f t="shared" si="1"/>
        <v>837.19999999999993</v>
      </c>
      <c r="N38" s="37">
        <f t="shared" si="2"/>
        <v>416.29999999999995</v>
      </c>
      <c r="O38" s="37">
        <f t="shared" si="3"/>
        <v>3699.5499999999997</v>
      </c>
      <c r="P38" s="37">
        <v>1</v>
      </c>
      <c r="Q38" s="37">
        <v>3</v>
      </c>
      <c r="R38">
        <v>35</v>
      </c>
      <c r="S38" s="37">
        <f>IF($P38&gt;0,INDEX(装备!L$11:L$16,新属性汇总!$P38),0)</f>
        <v>136.5</v>
      </c>
      <c r="T38" s="37">
        <f>IF($P38&gt;0,INDEX(装备!M$11:M$16,新属性汇总!$P38),0)</f>
        <v>68.25</v>
      </c>
      <c r="U38" s="37">
        <f>IF($P38&gt;0,INDEX(装备!N$11:N$16,新属性汇总!$P38),0)</f>
        <v>619.5</v>
      </c>
      <c r="V38" s="37">
        <f>IF($P38&gt;0,INDEX(装备!H$11:H$16,新属性汇总!$P38),0)</f>
        <v>10</v>
      </c>
      <c r="W38" s="37">
        <f>IF($P38&gt;0,INDEX(装备!I$11:I$16,新属性汇总!$P38),0)</f>
        <v>5</v>
      </c>
      <c r="X38" s="37">
        <f>IF($P38&gt;0,INDEX(装备!J$11:J$16,新属性汇总!$P38),0)</f>
        <v>50</v>
      </c>
      <c r="Y38" s="37">
        <f t="shared" si="4"/>
        <v>486.5</v>
      </c>
      <c r="Z38" s="37">
        <f t="shared" si="5"/>
        <v>243.25</v>
      </c>
      <c r="AA38" s="37">
        <f t="shared" si="6"/>
        <v>2369.5</v>
      </c>
      <c r="AB38" s="37">
        <v>0.65</v>
      </c>
      <c r="AC38" s="37">
        <f>IF(P38&gt;0,INDEX(装备!$BP$5:$BP$16,新属性汇总!P38),0)</f>
        <v>2</v>
      </c>
      <c r="AD38" s="37">
        <f>IF($P38&gt;0,ROUND(INDEX(装备!AY$11:AY$16,新属性汇总!$P38)*$AC38/3,0)*8*AB38,0)</f>
        <v>119.60000000000001</v>
      </c>
      <c r="AE38" s="37">
        <f>IF($P38&gt;0,ROUND(INDEX(装备!AZ$11:AZ$16,新属性汇总!$P38)*$AC38/3,0)*8*AB38,0)</f>
        <v>57.2</v>
      </c>
      <c r="AF38" s="37">
        <f>IF($P38&gt;0,ROUND(INDEX(装备!BA$11:BA$16,新属性汇总!$P38)*$AC38/3,0)*8*AB38,0)</f>
        <v>265.2</v>
      </c>
      <c r="AG38" s="37">
        <f>IF(新属性汇总!P38&gt;0,INDEX(装备!$AP$11:$AP$16,新属性汇总!$P38)*2,0)</f>
        <v>628</v>
      </c>
      <c r="AH38" s="37">
        <v>0</v>
      </c>
      <c r="AI38" s="37">
        <f>IF(新属性汇总!P38&gt;0,INDEX(装备!$AP$11:$AP$16,新属性汇总!$P38)*2,0)</f>
        <v>628</v>
      </c>
      <c r="AJ38" s="37">
        <v>2</v>
      </c>
      <c r="AK38" s="37">
        <f>IF($AJ38&gt;0,INDEX(专属武器!H$4:H$53,新属性汇总!$AJ38),0)</f>
        <v>104</v>
      </c>
      <c r="AL38" s="37">
        <f>IF($AJ38&gt;0,INDEX(专属武器!I$4:I$53,新属性汇总!$AJ38),0)</f>
        <v>52</v>
      </c>
      <c r="AM38" s="37">
        <f>IF($AJ38&gt;0,INDEX(专属武器!J$4:J$53,新属性汇总!$AJ38),0)</f>
        <v>470</v>
      </c>
      <c r="AQ38" s="13">
        <v>34</v>
      </c>
      <c r="AR38" s="13">
        <f t="shared" si="7"/>
        <v>814.19999999999993</v>
      </c>
      <c r="AS38" s="13">
        <f t="shared" si="8"/>
        <v>404.79999999999995</v>
      </c>
      <c r="AT38" s="13">
        <f t="shared" si="9"/>
        <v>3596.0499999999997</v>
      </c>
      <c r="AU38" s="13">
        <f t="shared" si="10"/>
        <v>476.5</v>
      </c>
      <c r="AV38" s="13">
        <f t="shared" si="11"/>
        <v>238.25</v>
      </c>
      <c r="AW38" s="13">
        <f t="shared" si="12"/>
        <v>2319.5</v>
      </c>
      <c r="AX38" s="13">
        <f t="shared" si="13"/>
        <v>119.60000000000001</v>
      </c>
      <c r="AY38" s="13">
        <f t="shared" si="14"/>
        <v>57.2</v>
      </c>
      <c r="AZ38" s="13">
        <f t="shared" si="15"/>
        <v>265.2</v>
      </c>
      <c r="BA38" s="13">
        <f t="shared" si="16"/>
        <v>628</v>
      </c>
      <c r="BB38" s="13">
        <f t="shared" si="17"/>
        <v>0</v>
      </c>
      <c r="BC38" s="13">
        <f t="shared" si="18"/>
        <v>628</v>
      </c>
      <c r="BD38" s="13">
        <f t="shared" si="19"/>
        <v>52</v>
      </c>
      <c r="BE38" s="13">
        <f t="shared" si="20"/>
        <v>26</v>
      </c>
      <c r="BF38" s="13">
        <f t="shared" si="21"/>
        <v>235</v>
      </c>
      <c r="BG38" s="13">
        <f t="shared" si="22"/>
        <v>11715</v>
      </c>
      <c r="BH38" s="13">
        <f t="shared" si="23"/>
        <v>7084</v>
      </c>
      <c r="BI38" s="13">
        <f t="shared" si="24"/>
        <v>1435</v>
      </c>
      <c r="BJ38" s="13">
        <f t="shared" si="25"/>
        <v>3768</v>
      </c>
      <c r="BK38" s="13">
        <f t="shared" si="26"/>
        <v>755</v>
      </c>
      <c r="BL38" s="13">
        <f t="shared" si="27"/>
        <v>24757</v>
      </c>
      <c r="BM38" s="31">
        <f t="shared" si="28"/>
        <v>0.47320000000000001</v>
      </c>
      <c r="BN38" s="31">
        <f t="shared" si="29"/>
        <v>0.28610000000000002</v>
      </c>
      <c r="BO38" s="31">
        <f t="shared" si="30"/>
        <v>5.8000000000000003E-2</v>
      </c>
      <c r="BP38" s="31">
        <f t="shared" si="31"/>
        <v>0.1522</v>
      </c>
      <c r="BQ38" s="31">
        <f t="shared" si="32"/>
        <v>3.0499999999999999E-2</v>
      </c>
    </row>
    <row r="39" spans="1:69" ht="16.5" x14ac:dyDescent="0.2">
      <c r="A39" s="37">
        <v>36</v>
      </c>
      <c r="B39" s="37">
        <v>4</v>
      </c>
      <c r="C39" s="37">
        <v>1</v>
      </c>
      <c r="D39" s="37">
        <v>3</v>
      </c>
      <c r="E39" s="37">
        <v>36</v>
      </c>
      <c r="F39" s="37">
        <f>INDEX(新属性投放!$L$6:$L$10,新属性汇总!D39)</f>
        <v>1.1499999999999999</v>
      </c>
      <c r="G39" s="37">
        <f>INDEX(新属性投放!J$42:J$62,新属性汇总!$B39)</f>
        <v>628</v>
      </c>
      <c r="H39" s="37">
        <f>INDEX(新属性投放!K$42:K$62,新属性汇总!$B39)</f>
        <v>312</v>
      </c>
      <c r="I39" s="37">
        <f>INDEX(新属性投放!L$42:L$62,新属性汇总!$B39)</f>
        <v>2767</v>
      </c>
      <c r="J39" s="37">
        <f>($A39-INDEX(新属性投放!$B$42:$B$62,新属性汇总!$B39))*INDEX(新属性投放!D$42:D$62,新属性汇总!$B39)</f>
        <v>120</v>
      </c>
      <c r="K39" s="37">
        <f>($A39-INDEX(新属性投放!$B$42:$B$62,新属性汇总!$B39))*INDEX(新属性投放!E$42:E$62,新属性汇总!$B39)</f>
        <v>60</v>
      </c>
      <c r="L39" s="37">
        <f>($A39-INDEX(新属性投放!$B$42:$B$62,新属性汇总!$B39))*INDEX(新属性投放!F$42:F$62,新属性汇总!$B39)</f>
        <v>540</v>
      </c>
      <c r="M39" s="37">
        <f t="shared" si="1"/>
        <v>860.19999999999993</v>
      </c>
      <c r="N39" s="37">
        <f t="shared" si="2"/>
        <v>427.79999999999995</v>
      </c>
      <c r="O39" s="37">
        <f t="shared" si="3"/>
        <v>3803.0499999999997</v>
      </c>
      <c r="P39" s="37">
        <v>1</v>
      </c>
      <c r="Q39" s="37">
        <v>3</v>
      </c>
      <c r="R39">
        <v>36</v>
      </c>
      <c r="S39" s="37">
        <f>IF($P39&gt;0,INDEX(装备!L$11:L$16,新属性汇总!$P39),0)</f>
        <v>136.5</v>
      </c>
      <c r="T39" s="37">
        <f>IF($P39&gt;0,INDEX(装备!M$11:M$16,新属性汇总!$P39),0)</f>
        <v>68.25</v>
      </c>
      <c r="U39" s="37">
        <f>IF($P39&gt;0,INDEX(装备!N$11:N$16,新属性汇总!$P39),0)</f>
        <v>619.5</v>
      </c>
      <c r="V39" s="37">
        <f>IF($P39&gt;0,INDEX(装备!H$11:H$16,新属性汇总!$P39),0)</f>
        <v>10</v>
      </c>
      <c r="W39" s="37">
        <f>IF($P39&gt;0,INDEX(装备!I$11:I$16,新属性汇总!$P39),0)</f>
        <v>5</v>
      </c>
      <c r="X39" s="37">
        <f>IF($P39&gt;0,INDEX(装备!J$11:J$16,新属性汇总!$P39),0)</f>
        <v>50</v>
      </c>
      <c r="Y39" s="37">
        <f t="shared" si="4"/>
        <v>496.5</v>
      </c>
      <c r="Z39" s="37">
        <f t="shared" si="5"/>
        <v>248.25</v>
      </c>
      <c r="AA39" s="37">
        <f t="shared" si="6"/>
        <v>2419.5</v>
      </c>
      <c r="AB39" s="37">
        <v>0.65</v>
      </c>
      <c r="AC39" s="37">
        <f>IF(P39&gt;0,INDEX(装备!$BP$5:$BP$16,新属性汇总!P39),0)</f>
        <v>2</v>
      </c>
      <c r="AD39" s="37">
        <f>IF($P39&gt;0,ROUND(INDEX(装备!AY$11:AY$16,新属性汇总!$P39)*$AC39/3,0)*8*AB39,0)</f>
        <v>119.60000000000001</v>
      </c>
      <c r="AE39" s="37">
        <f>IF($P39&gt;0,ROUND(INDEX(装备!AZ$11:AZ$16,新属性汇总!$P39)*$AC39/3,0)*8*AB39,0)</f>
        <v>57.2</v>
      </c>
      <c r="AF39" s="37">
        <f>IF($P39&gt;0,ROUND(INDEX(装备!BA$11:BA$16,新属性汇总!$P39)*$AC39/3,0)*8*AB39,0)</f>
        <v>265.2</v>
      </c>
      <c r="AG39" s="37">
        <f>IF(新属性汇总!P39&gt;0,INDEX(装备!$AP$11:$AP$16,新属性汇总!$P39)*2,0)</f>
        <v>628</v>
      </c>
      <c r="AH39" s="37">
        <v>0</v>
      </c>
      <c r="AI39" s="37">
        <f>IF(新属性汇总!P39&gt;0,INDEX(装备!$AP$11:$AP$16,新属性汇总!$P39)*2,0)</f>
        <v>628</v>
      </c>
      <c r="AJ39" s="37">
        <v>2</v>
      </c>
      <c r="AK39" s="37">
        <f>IF($AJ39&gt;0,INDEX(专属武器!H$4:H$53,新属性汇总!$AJ39),0)</f>
        <v>104</v>
      </c>
      <c r="AL39" s="37">
        <f>IF($AJ39&gt;0,INDEX(专属武器!I$4:I$53,新属性汇总!$AJ39),0)</f>
        <v>52</v>
      </c>
      <c r="AM39" s="37">
        <f>IF($AJ39&gt;0,INDEX(专属武器!J$4:J$53,新属性汇总!$AJ39),0)</f>
        <v>470</v>
      </c>
      <c r="AQ39" s="13">
        <v>35</v>
      </c>
      <c r="AR39" s="13">
        <f t="shared" si="7"/>
        <v>837.19999999999993</v>
      </c>
      <c r="AS39" s="13">
        <f t="shared" si="8"/>
        <v>416.29999999999995</v>
      </c>
      <c r="AT39" s="13">
        <f t="shared" si="9"/>
        <v>3699.5499999999997</v>
      </c>
      <c r="AU39" s="13">
        <f t="shared" si="10"/>
        <v>486.5</v>
      </c>
      <c r="AV39" s="13">
        <f t="shared" si="11"/>
        <v>243.25</v>
      </c>
      <c r="AW39" s="13">
        <f t="shared" si="12"/>
        <v>2369.5</v>
      </c>
      <c r="AX39" s="13">
        <f t="shared" si="13"/>
        <v>119.60000000000001</v>
      </c>
      <c r="AY39" s="13">
        <f t="shared" si="14"/>
        <v>57.2</v>
      </c>
      <c r="AZ39" s="13">
        <f t="shared" si="15"/>
        <v>265.2</v>
      </c>
      <c r="BA39" s="13">
        <f t="shared" si="16"/>
        <v>628</v>
      </c>
      <c r="BB39" s="13">
        <f t="shared" si="17"/>
        <v>0</v>
      </c>
      <c r="BC39" s="13">
        <f t="shared" si="18"/>
        <v>628</v>
      </c>
      <c r="BD39" s="13">
        <f t="shared" si="19"/>
        <v>104</v>
      </c>
      <c r="BE39" s="13">
        <f t="shared" si="20"/>
        <v>52</v>
      </c>
      <c r="BF39" s="13">
        <f t="shared" si="21"/>
        <v>470</v>
      </c>
      <c r="BG39" s="13">
        <f t="shared" si="22"/>
        <v>12048</v>
      </c>
      <c r="BH39" s="13">
        <f t="shared" si="23"/>
        <v>7234</v>
      </c>
      <c r="BI39" s="13">
        <f t="shared" si="24"/>
        <v>1435</v>
      </c>
      <c r="BJ39" s="13">
        <f t="shared" si="25"/>
        <v>3768</v>
      </c>
      <c r="BK39" s="13">
        <f t="shared" si="26"/>
        <v>1510</v>
      </c>
      <c r="BL39" s="13">
        <f t="shared" si="27"/>
        <v>25995</v>
      </c>
      <c r="BM39" s="31">
        <f t="shared" si="28"/>
        <v>0.46350000000000002</v>
      </c>
      <c r="BN39" s="31">
        <f t="shared" si="29"/>
        <v>0.27829999999999999</v>
      </c>
      <c r="BO39" s="31">
        <f t="shared" si="30"/>
        <v>5.5199999999999999E-2</v>
      </c>
      <c r="BP39" s="31">
        <f t="shared" si="31"/>
        <v>0.14499999999999999</v>
      </c>
      <c r="BQ39" s="31">
        <f t="shared" si="32"/>
        <v>5.8099999999999999E-2</v>
      </c>
    </row>
    <row r="40" spans="1:69" ht="16.5" x14ac:dyDescent="0.2">
      <c r="A40" s="37">
        <v>37</v>
      </c>
      <c r="B40" s="37">
        <v>4</v>
      </c>
      <c r="C40" s="37">
        <v>1</v>
      </c>
      <c r="D40" s="37">
        <v>3</v>
      </c>
      <c r="E40" s="37">
        <v>37</v>
      </c>
      <c r="F40" s="37">
        <f>INDEX(新属性投放!$L$6:$L$10,新属性汇总!D40)</f>
        <v>1.1499999999999999</v>
      </c>
      <c r="G40" s="37">
        <f>INDEX(新属性投放!J$42:J$62,新属性汇总!$B40)</f>
        <v>628</v>
      </c>
      <c r="H40" s="37">
        <f>INDEX(新属性投放!K$42:K$62,新属性汇总!$B40)</f>
        <v>312</v>
      </c>
      <c r="I40" s="37">
        <f>INDEX(新属性投放!L$42:L$62,新属性汇总!$B40)</f>
        <v>2767</v>
      </c>
      <c r="J40" s="37">
        <f>($A40-INDEX(新属性投放!$B$42:$B$62,新属性汇总!$B40))*INDEX(新属性投放!D$42:D$62,新属性汇总!$B40)</f>
        <v>140</v>
      </c>
      <c r="K40" s="37">
        <f>($A40-INDEX(新属性投放!$B$42:$B$62,新属性汇总!$B40))*INDEX(新属性投放!E$42:E$62,新属性汇总!$B40)</f>
        <v>70</v>
      </c>
      <c r="L40" s="37">
        <f>($A40-INDEX(新属性投放!$B$42:$B$62,新属性汇总!$B40))*INDEX(新属性投放!F$42:F$62,新属性汇总!$B40)</f>
        <v>630</v>
      </c>
      <c r="M40" s="37">
        <f t="shared" si="1"/>
        <v>883.19999999999993</v>
      </c>
      <c r="N40" s="37">
        <f t="shared" si="2"/>
        <v>439.29999999999995</v>
      </c>
      <c r="O40" s="37">
        <f t="shared" si="3"/>
        <v>3906.5499999999997</v>
      </c>
      <c r="P40" s="37">
        <v>1</v>
      </c>
      <c r="Q40" s="37">
        <v>3</v>
      </c>
      <c r="R40">
        <v>37</v>
      </c>
      <c r="S40" s="37">
        <f>IF($P40&gt;0,INDEX(装备!L$11:L$16,新属性汇总!$P40),0)</f>
        <v>136.5</v>
      </c>
      <c r="T40" s="37">
        <f>IF($P40&gt;0,INDEX(装备!M$11:M$16,新属性汇总!$P40),0)</f>
        <v>68.25</v>
      </c>
      <c r="U40" s="37">
        <f>IF($P40&gt;0,INDEX(装备!N$11:N$16,新属性汇总!$P40),0)</f>
        <v>619.5</v>
      </c>
      <c r="V40" s="37">
        <f>IF($P40&gt;0,INDEX(装备!H$11:H$16,新属性汇总!$P40),0)</f>
        <v>10</v>
      </c>
      <c r="W40" s="37">
        <f>IF($P40&gt;0,INDEX(装备!I$11:I$16,新属性汇总!$P40),0)</f>
        <v>5</v>
      </c>
      <c r="X40" s="37">
        <f>IF($P40&gt;0,INDEX(装备!J$11:J$16,新属性汇总!$P40),0)</f>
        <v>50</v>
      </c>
      <c r="Y40" s="37">
        <f t="shared" si="4"/>
        <v>506.5</v>
      </c>
      <c r="Z40" s="37">
        <f t="shared" si="5"/>
        <v>253.25</v>
      </c>
      <c r="AA40" s="37">
        <f t="shared" si="6"/>
        <v>2469.5</v>
      </c>
      <c r="AB40" s="37">
        <v>0.65</v>
      </c>
      <c r="AC40" s="37">
        <f>IF(P40&gt;0,INDEX(装备!$BP$5:$BP$16,新属性汇总!P40),0)</f>
        <v>2</v>
      </c>
      <c r="AD40" s="37">
        <f>IF($P40&gt;0,ROUND(INDEX(装备!AY$11:AY$16,新属性汇总!$P40)*$AC40/3,0)*8*AB40,0)</f>
        <v>119.60000000000001</v>
      </c>
      <c r="AE40" s="37">
        <f>IF($P40&gt;0,ROUND(INDEX(装备!AZ$11:AZ$16,新属性汇总!$P40)*$AC40/3,0)*8*AB40,0)</f>
        <v>57.2</v>
      </c>
      <c r="AF40" s="37">
        <f>IF($P40&gt;0,ROUND(INDEX(装备!BA$11:BA$16,新属性汇总!$P40)*$AC40/3,0)*8*AB40,0)</f>
        <v>265.2</v>
      </c>
      <c r="AG40" s="37">
        <f>IF(新属性汇总!P40&gt;0,INDEX(装备!$AP$11:$AP$16,新属性汇总!$P40)*2,0)</f>
        <v>628</v>
      </c>
      <c r="AH40" s="37">
        <v>0</v>
      </c>
      <c r="AI40" s="37">
        <f>IF(新属性汇总!P40&gt;0,INDEX(装备!$AP$11:$AP$16,新属性汇总!$P40)*2,0)</f>
        <v>628</v>
      </c>
      <c r="AJ40" s="37">
        <v>2</v>
      </c>
      <c r="AK40" s="37">
        <f>IF($AJ40&gt;0,INDEX(专属武器!H$4:H$53,新属性汇总!$AJ40),0)</f>
        <v>104</v>
      </c>
      <c r="AL40" s="37">
        <f>IF($AJ40&gt;0,INDEX(专属武器!I$4:I$53,新属性汇总!$AJ40),0)</f>
        <v>52</v>
      </c>
      <c r="AM40" s="37">
        <f>IF($AJ40&gt;0,INDEX(专属武器!J$4:J$53,新属性汇总!$AJ40),0)</f>
        <v>470</v>
      </c>
      <c r="AQ40" s="13">
        <v>36</v>
      </c>
      <c r="AR40" s="13">
        <f t="shared" si="7"/>
        <v>860.19999999999993</v>
      </c>
      <c r="AS40" s="13">
        <f t="shared" si="8"/>
        <v>427.79999999999995</v>
      </c>
      <c r="AT40" s="13">
        <f t="shared" si="9"/>
        <v>3803.0499999999997</v>
      </c>
      <c r="AU40" s="13">
        <f t="shared" si="10"/>
        <v>496.5</v>
      </c>
      <c r="AV40" s="13">
        <f t="shared" si="11"/>
        <v>248.25</v>
      </c>
      <c r="AW40" s="13">
        <f t="shared" si="12"/>
        <v>2419.5</v>
      </c>
      <c r="AX40" s="13">
        <f t="shared" si="13"/>
        <v>119.60000000000001</v>
      </c>
      <c r="AY40" s="13">
        <f t="shared" si="14"/>
        <v>57.2</v>
      </c>
      <c r="AZ40" s="13">
        <f t="shared" si="15"/>
        <v>265.2</v>
      </c>
      <c r="BA40" s="13">
        <f t="shared" si="16"/>
        <v>628</v>
      </c>
      <c r="BB40" s="13">
        <f t="shared" si="17"/>
        <v>0</v>
      </c>
      <c r="BC40" s="13">
        <f t="shared" si="18"/>
        <v>628</v>
      </c>
      <c r="BD40" s="13">
        <f t="shared" si="19"/>
        <v>104</v>
      </c>
      <c r="BE40" s="13">
        <f t="shared" si="20"/>
        <v>52</v>
      </c>
      <c r="BF40" s="13">
        <f t="shared" si="21"/>
        <v>470</v>
      </c>
      <c r="BG40" s="13">
        <f t="shared" si="22"/>
        <v>12382</v>
      </c>
      <c r="BH40" s="13">
        <f t="shared" si="23"/>
        <v>7384</v>
      </c>
      <c r="BI40" s="13">
        <f t="shared" si="24"/>
        <v>1435</v>
      </c>
      <c r="BJ40" s="13">
        <f t="shared" si="25"/>
        <v>3768</v>
      </c>
      <c r="BK40" s="13">
        <f t="shared" si="26"/>
        <v>1510</v>
      </c>
      <c r="BL40" s="13">
        <f t="shared" si="27"/>
        <v>26479</v>
      </c>
      <c r="BM40" s="31">
        <f t="shared" si="28"/>
        <v>0.46760000000000002</v>
      </c>
      <c r="BN40" s="31">
        <f t="shared" si="29"/>
        <v>0.27889999999999998</v>
      </c>
      <c r="BO40" s="31">
        <f t="shared" si="30"/>
        <v>5.4199999999999998E-2</v>
      </c>
      <c r="BP40" s="31">
        <f t="shared" si="31"/>
        <v>0.14230000000000001</v>
      </c>
      <c r="BQ40" s="31">
        <f t="shared" si="32"/>
        <v>5.7000000000000002E-2</v>
      </c>
    </row>
    <row r="41" spans="1:69" ht="16.5" x14ac:dyDescent="0.2">
      <c r="A41" s="37">
        <v>38</v>
      </c>
      <c r="B41" s="37">
        <v>4</v>
      </c>
      <c r="C41" s="37">
        <v>1</v>
      </c>
      <c r="D41" s="37">
        <v>3</v>
      </c>
      <c r="E41" s="37">
        <v>38</v>
      </c>
      <c r="F41" s="37">
        <f>INDEX(新属性投放!$L$6:$L$10,新属性汇总!D41)</f>
        <v>1.1499999999999999</v>
      </c>
      <c r="G41" s="37">
        <f>INDEX(新属性投放!J$42:J$62,新属性汇总!$B41)</f>
        <v>628</v>
      </c>
      <c r="H41" s="37">
        <f>INDEX(新属性投放!K$42:K$62,新属性汇总!$B41)</f>
        <v>312</v>
      </c>
      <c r="I41" s="37">
        <f>INDEX(新属性投放!L$42:L$62,新属性汇总!$B41)</f>
        <v>2767</v>
      </c>
      <c r="J41" s="37">
        <f>($A41-INDEX(新属性投放!$B$42:$B$62,新属性汇总!$B41))*INDEX(新属性投放!D$42:D$62,新属性汇总!$B41)</f>
        <v>160</v>
      </c>
      <c r="K41" s="37">
        <f>($A41-INDEX(新属性投放!$B$42:$B$62,新属性汇总!$B41))*INDEX(新属性投放!E$42:E$62,新属性汇总!$B41)</f>
        <v>80</v>
      </c>
      <c r="L41" s="37">
        <f>($A41-INDEX(新属性投放!$B$42:$B$62,新属性汇总!$B41))*INDEX(新属性投放!F$42:F$62,新属性汇总!$B41)</f>
        <v>720</v>
      </c>
      <c r="M41" s="37">
        <f t="shared" si="1"/>
        <v>906.19999999999993</v>
      </c>
      <c r="N41" s="37">
        <f t="shared" si="2"/>
        <v>450.79999999999995</v>
      </c>
      <c r="O41" s="37">
        <f t="shared" si="3"/>
        <v>4010.0499999999997</v>
      </c>
      <c r="P41" s="37">
        <v>1</v>
      </c>
      <c r="Q41" s="37">
        <v>3</v>
      </c>
      <c r="R41">
        <v>38</v>
      </c>
      <c r="S41" s="37">
        <f>IF($P41&gt;0,INDEX(装备!L$11:L$16,新属性汇总!$P41),0)</f>
        <v>136.5</v>
      </c>
      <c r="T41" s="37">
        <f>IF($P41&gt;0,INDEX(装备!M$11:M$16,新属性汇总!$P41),0)</f>
        <v>68.25</v>
      </c>
      <c r="U41" s="37">
        <f>IF($P41&gt;0,INDEX(装备!N$11:N$16,新属性汇总!$P41),0)</f>
        <v>619.5</v>
      </c>
      <c r="V41" s="37">
        <f>IF($P41&gt;0,INDEX(装备!H$11:H$16,新属性汇总!$P41),0)</f>
        <v>10</v>
      </c>
      <c r="W41" s="37">
        <f>IF($P41&gt;0,INDEX(装备!I$11:I$16,新属性汇总!$P41),0)</f>
        <v>5</v>
      </c>
      <c r="X41" s="37">
        <f>IF($P41&gt;0,INDEX(装备!J$11:J$16,新属性汇总!$P41),0)</f>
        <v>50</v>
      </c>
      <c r="Y41" s="37">
        <f t="shared" si="4"/>
        <v>516.5</v>
      </c>
      <c r="Z41" s="37">
        <f t="shared" si="5"/>
        <v>258.25</v>
      </c>
      <c r="AA41" s="37">
        <f t="shared" si="6"/>
        <v>2519.5</v>
      </c>
      <c r="AB41" s="37">
        <v>0.65</v>
      </c>
      <c r="AC41" s="37">
        <f>IF(P41&gt;0,INDEX(装备!$BP$5:$BP$16,新属性汇总!P41),0)</f>
        <v>2</v>
      </c>
      <c r="AD41" s="37">
        <f>IF($P41&gt;0,ROUND(INDEX(装备!AY$11:AY$16,新属性汇总!$P41)*$AC41/3,0)*8*AB41,0)</f>
        <v>119.60000000000001</v>
      </c>
      <c r="AE41" s="37">
        <f>IF($P41&gt;0,ROUND(INDEX(装备!AZ$11:AZ$16,新属性汇总!$P41)*$AC41/3,0)*8*AB41,0)</f>
        <v>57.2</v>
      </c>
      <c r="AF41" s="37">
        <f>IF($P41&gt;0,ROUND(INDEX(装备!BA$11:BA$16,新属性汇总!$P41)*$AC41/3,0)*8*AB41,0)</f>
        <v>265.2</v>
      </c>
      <c r="AG41" s="37">
        <f>IF(新属性汇总!P41&gt;0,INDEX(装备!$AP$11:$AP$16,新属性汇总!$P41)*2,0)</f>
        <v>628</v>
      </c>
      <c r="AH41" s="37">
        <v>0</v>
      </c>
      <c r="AI41" s="37">
        <f>IF(新属性汇总!P41&gt;0,INDEX(装备!$AP$11:$AP$16,新属性汇总!$P41)*2,0)</f>
        <v>628</v>
      </c>
      <c r="AJ41" s="37">
        <v>2</v>
      </c>
      <c r="AK41" s="37">
        <f>IF($AJ41&gt;0,INDEX(专属武器!H$4:H$53,新属性汇总!$AJ41),0)</f>
        <v>104</v>
      </c>
      <c r="AL41" s="37">
        <f>IF($AJ41&gt;0,INDEX(专属武器!I$4:I$53,新属性汇总!$AJ41),0)</f>
        <v>52</v>
      </c>
      <c r="AM41" s="37">
        <f>IF($AJ41&gt;0,INDEX(专属武器!J$4:J$53,新属性汇总!$AJ41),0)</f>
        <v>470</v>
      </c>
      <c r="AQ41" s="13">
        <v>37</v>
      </c>
      <c r="AR41" s="13">
        <f t="shared" si="7"/>
        <v>883.19999999999993</v>
      </c>
      <c r="AS41" s="13">
        <f t="shared" si="8"/>
        <v>439.29999999999995</v>
      </c>
      <c r="AT41" s="13">
        <f t="shared" si="9"/>
        <v>3906.5499999999997</v>
      </c>
      <c r="AU41" s="13">
        <f t="shared" si="10"/>
        <v>506.5</v>
      </c>
      <c r="AV41" s="13">
        <f t="shared" si="11"/>
        <v>253.25</v>
      </c>
      <c r="AW41" s="13">
        <f t="shared" si="12"/>
        <v>2469.5</v>
      </c>
      <c r="AX41" s="13">
        <f t="shared" si="13"/>
        <v>119.60000000000001</v>
      </c>
      <c r="AY41" s="13">
        <f t="shared" si="14"/>
        <v>57.2</v>
      </c>
      <c r="AZ41" s="13">
        <f t="shared" si="15"/>
        <v>265.2</v>
      </c>
      <c r="BA41" s="13">
        <f t="shared" si="16"/>
        <v>628</v>
      </c>
      <c r="BB41" s="13">
        <f t="shared" si="17"/>
        <v>0</v>
      </c>
      <c r="BC41" s="13">
        <f t="shared" si="18"/>
        <v>628</v>
      </c>
      <c r="BD41" s="13">
        <f t="shared" si="19"/>
        <v>104</v>
      </c>
      <c r="BE41" s="13">
        <f t="shared" si="20"/>
        <v>52</v>
      </c>
      <c r="BF41" s="13">
        <f t="shared" si="21"/>
        <v>470</v>
      </c>
      <c r="BG41" s="13">
        <f t="shared" si="22"/>
        <v>12715</v>
      </c>
      <c r="BH41" s="13">
        <f t="shared" si="23"/>
        <v>7534</v>
      </c>
      <c r="BI41" s="13">
        <f t="shared" si="24"/>
        <v>1435</v>
      </c>
      <c r="BJ41" s="13">
        <f t="shared" si="25"/>
        <v>3768</v>
      </c>
      <c r="BK41" s="13">
        <f t="shared" si="26"/>
        <v>1510</v>
      </c>
      <c r="BL41" s="13">
        <f t="shared" si="27"/>
        <v>26962</v>
      </c>
      <c r="BM41" s="31">
        <f t="shared" si="28"/>
        <v>0.47160000000000002</v>
      </c>
      <c r="BN41" s="31">
        <f t="shared" si="29"/>
        <v>0.27939999999999998</v>
      </c>
      <c r="BO41" s="31">
        <f t="shared" si="30"/>
        <v>5.3199999999999997E-2</v>
      </c>
      <c r="BP41" s="31">
        <f t="shared" si="31"/>
        <v>0.13980000000000001</v>
      </c>
      <c r="BQ41" s="31">
        <f t="shared" si="32"/>
        <v>5.6000000000000001E-2</v>
      </c>
    </row>
    <row r="42" spans="1:69" ht="16.5" x14ac:dyDescent="0.2">
      <c r="A42" s="37">
        <v>39</v>
      </c>
      <c r="B42" s="37">
        <v>4</v>
      </c>
      <c r="C42" s="37">
        <v>1</v>
      </c>
      <c r="D42" s="37">
        <v>3</v>
      </c>
      <c r="E42" s="37">
        <v>39</v>
      </c>
      <c r="F42" s="37">
        <f>INDEX(新属性投放!$L$6:$L$10,新属性汇总!D42)</f>
        <v>1.1499999999999999</v>
      </c>
      <c r="G42" s="37">
        <f>INDEX(新属性投放!J$42:J$62,新属性汇总!$B42)</f>
        <v>628</v>
      </c>
      <c r="H42" s="37">
        <f>INDEX(新属性投放!K$42:K$62,新属性汇总!$B42)</f>
        <v>312</v>
      </c>
      <c r="I42" s="37">
        <f>INDEX(新属性投放!L$42:L$62,新属性汇总!$B42)</f>
        <v>2767</v>
      </c>
      <c r="J42" s="37">
        <f>($A42-INDEX(新属性投放!$B$42:$B$62,新属性汇总!$B42))*INDEX(新属性投放!D$42:D$62,新属性汇总!$B42)</f>
        <v>180</v>
      </c>
      <c r="K42" s="37">
        <f>($A42-INDEX(新属性投放!$B$42:$B$62,新属性汇总!$B42))*INDEX(新属性投放!E$42:E$62,新属性汇总!$B42)</f>
        <v>90</v>
      </c>
      <c r="L42" s="37">
        <f>($A42-INDEX(新属性投放!$B$42:$B$62,新属性汇总!$B42))*INDEX(新属性投放!F$42:F$62,新属性汇总!$B42)</f>
        <v>810</v>
      </c>
      <c r="M42" s="37">
        <f t="shared" si="1"/>
        <v>929.19999999999993</v>
      </c>
      <c r="N42" s="37">
        <f t="shared" si="2"/>
        <v>462.29999999999995</v>
      </c>
      <c r="O42" s="37">
        <f t="shared" si="3"/>
        <v>4113.5499999999993</v>
      </c>
      <c r="P42" s="37">
        <v>1</v>
      </c>
      <c r="Q42" s="37">
        <v>3</v>
      </c>
      <c r="R42">
        <v>39</v>
      </c>
      <c r="S42" s="37">
        <f>IF($P42&gt;0,INDEX(装备!L$11:L$16,新属性汇总!$P42),0)</f>
        <v>136.5</v>
      </c>
      <c r="T42" s="37">
        <f>IF($P42&gt;0,INDEX(装备!M$11:M$16,新属性汇总!$P42),0)</f>
        <v>68.25</v>
      </c>
      <c r="U42" s="37">
        <f>IF($P42&gt;0,INDEX(装备!N$11:N$16,新属性汇总!$P42),0)</f>
        <v>619.5</v>
      </c>
      <c r="V42" s="37">
        <f>IF($P42&gt;0,INDEX(装备!H$11:H$16,新属性汇总!$P42),0)</f>
        <v>10</v>
      </c>
      <c r="W42" s="37">
        <f>IF($P42&gt;0,INDEX(装备!I$11:I$16,新属性汇总!$P42),0)</f>
        <v>5</v>
      </c>
      <c r="X42" s="37">
        <f>IF($P42&gt;0,INDEX(装备!J$11:J$16,新属性汇总!$P42),0)</f>
        <v>50</v>
      </c>
      <c r="Y42" s="37">
        <f t="shared" si="4"/>
        <v>526.5</v>
      </c>
      <c r="Z42" s="37">
        <f t="shared" si="5"/>
        <v>263.25</v>
      </c>
      <c r="AA42" s="37">
        <f t="shared" si="6"/>
        <v>2569.5</v>
      </c>
      <c r="AB42" s="37">
        <v>0.65</v>
      </c>
      <c r="AC42" s="37">
        <f>IF(P42&gt;0,INDEX(装备!$BP$5:$BP$16,新属性汇总!P42),0)</f>
        <v>2</v>
      </c>
      <c r="AD42" s="37">
        <f>IF($P42&gt;0,ROUND(INDEX(装备!AY$11:AY$16,新属性汇总!$P42)*$AC42/3,0)*8*AB42,0)</f>
        <v>119.60000000000001</v>
      </c>
      <c r="AE42" s="37">
        <f>IF($P42&gt;0,ROUND(INDEX(装备!AZ$11:AZ$16,新属性汇总!$P42)*$AC42/3,0)*8*AB42,0)</f>
        <v>57.2</v>
      </c>
      <c r="AF42" s="37">
        <f>IF($P42&gt;0,ROUND(INDEX(装备!BA$11:BA$16,新属性汇总!$P42)*$AC42/3,0)*8*AB42,0)</f>
        <v>265.2</v>
      </c>
      <c r="AG42" s="37">
        <f>IF(新属性汇总!P42&gt;0,INDEX(装备!$AP$11:$AP$16,新属性汇总!$P42)*2,0)</f>
        <v>628</v>
      </c>
      <c r="AH42" s="37">
        <v>0</v>
      </c>
      <c r="AI42" s="37">
        <f>IF(新属性汇总!P42&gt;0,INDEX(装备!$AP$11:$AP$16,新属性汇总!$P42)*2,0)</f>
        <v>628</v>
      </c>
      <c r="AJ42" s="37">
        <v>2</v>
      </c>
      <c r="AK42" s="37">
        <f>IF($AJ42&gt;0,INDEX(专属武器!H$4:H$53,新属性汇总!$AJ42),0)</f>
        <v>104</v>
      </c>
      <c r="AL42" s="37">
        <f>IF($AJ42&gt;0,INDEX(专属武器!I$4:I$53,新属性汇总!$AJ42),0)</f>
        <v>52</v>
      </c>
      <c r="AM42" s="37">
        <f>IF($AJ42&gt;0,INDEX(专属武器!J$4:J$53,新属性汇总!$AJ42),0)</f>
        <v>470</v>
      </c>
      <c r="AQ42" s="13">
        <v>38</v>
      </c>
      <c r="AR42" s="13">
        <f t="shared" si="7"/>
        <v>906.19999999999993</v>
      </c>
      <c r="AS42" s="13">
        <f t="shared" si="8"/>
        <v>450.79999999999995</v>
      </c>
      <c r="AT42" s="13">
        <f t="shared" si="9"/>
        <v>4010.0499999999997</v>
      </c>
      <c r="AU42" s="13">
        <f t="shared" si="10"/>
        <v>516.5</v>
      </c>
      <c r="AV42" s="13">
        <f t="shared" si="11"/>
        <v>258.25</v>
      </c>
      <c r="AW42" s="13">
        <f t="shared" si="12"/>
        <v>2519.5</v>
      </c>
      <c r="AX42" s="13">
        <f t="shared" si="13"/>
        <v>119.60000000000001</v>
      </c>
      <c r="AY42" s="13">
        <f t="shared" si="14"/>
        <v>57.2</v>
      </c>
      <c r="AZ42" s="13">
        <f t="shared" si="15"/>
        <v>265.2</v>
      </c>
      <c r="BA42" s="13">
        <f t="shared" si="16"/>
        <v>628</v>
      </c>
      <c r="BB42" s="13">
        <f t="shared" si="17"/>
        <v>0</v>
      </c>
      <c r="BC42" s="13">
        <f t="shared" si="18"/>
        <v>628</v>
      </c>
      <c r="BD42" s="13">
        <f t="shared" si="19"/>
        <v>104</v>
      </c>
      <c r="BE42" s="13">
        <f t="shared" si="20"/>
        <v>52</v>
      </c>
      <c r="BF42" s="13">
        <f t="shared" si="21"/>
        <v>470</v>
      </c>
      <c r="BG42" s="13">
        <f t="shared" si="22"/>
        <v>13049</v>
      </c>
      <c r="BH42" s="13">
        <f t="shared" si="23"/>
        <v>7684</v>
      </c>
      <c r="BI42" s="13">
        <f t="shared" si="24"/>
        <v>1435</v>
      </c>
      <c r="BJ42" s="13">
        <f t="shared" si="25"/>
        <v>3768</v>
      </c>
      <c r="BK42" s="13">
        <f t="shared" si="26"/>
        <v>1510</v>
      </c>
      <c r="BL42" s="13">
        <f t="shared" si="27"/>
        <v>27446</v>
      </c>
      <c r="BM42" s="31">
        <f t="shared" si="28"/>
        <v>0.47539999999999999</v>
      </c>
      <c r="BN42" s="31">
        <f t="shared" si="29"/>
        <v>0.28000000000000003</v>
      </c>
      <c r="BO42" s="31">
        <f t="shared" si="30"/>
        <v>5.2299999999999999E-2</v>
      </c>
      <c r="BP42" s="31">
        <f t="shared" si="31"/>
        <v>0.13730000000000001</v>
      </c>
      <c r="BQ42" s="31">
        <f t="shared" si="32"/>
        <v>5.5E-2</v>
      </c>
    </row>
    <row r="43" spans="1:69" ht="16.5" x14ac:dyDescent="0.2">
      <c r="A43" s="37">
        <v>40</v>
      </c>
      <c r="B43" s="37">
        <v>5</v>
      </c>
      <c r="C43" s="37">
        <v>1</v>
      </c>
      <c r="D43" s="37">
        <v>3</v>
      </c>
      <c r="E43" s="37">
        <v>40</v>
      </c>
      <c r="F43" s="37">
        <f>INDEX(新属性投放!$L$6:$L$10,新属性汇总!D43)</f>
        <v>1.1499999999999999</v>
      </c>
      <c r="G43" s="37">
        <f>INDEX(新属性投放!J$42:J$62,新属性汇总!$B43)</f>
        <v>878</v>
      </c>
      <c r="H43" s="37">
        <f>INDEX(新属性投放!K$42:K$62,新属性汇总!$B43)</f>
        <v>437</v>
      </c>
      <c r="I43" s="37">
        <f>INDEX(新属性投放!L$42:L$62,新属性汇总!$B43)</f>
        <v>4117</v>
      </c>
      <c r="J43" s="37">
        <f>($A43-INDEX(新属性投放!$B$42:$B$62,新属性汇总!$B43))*INDEX(新属性投放!D$42:D$62,新属性汇总!$B43)</f>
        <v>0</v>
      </c>
      <c r="K43" s="37">
        <f>($A43-INDEX(新属性投放!$B$42:$B$62,新属性汇总!$B43))*INDEX(新属性投放!E$42:E$62,新属性汇总!$B43)</f>
        <v>0</v>
      </c>
      <c r="L43" s="37">
        <f>($A43-INDEX(新属性投放!$B$42:$B$62,新属性汇总!$B43))*INDEX(新属性投放!F$42:F$62,新属性汇总!$B43)</f>
        <v>0</v>
      </c>
      <c r="M43" s="37">
        <f t="shared" si="1"/>
        <v>1009.6999999999999</v>
      </c>
      <c r="N43" s="37">
        <f t="shared" si="2"/>
        <v>502.54999999999995</v>
      </c>
      <c r="O43" s="37">
        <f t="shared" si="3"/>
        <v>4734.5499999999993</v>
      </c>
      <c r="P43" s="37">
        <v>1</v>
      </c>
      <c r="Q43">
        <v>4</v>
      </c>
      <c r="R43">
        <v>40</v>
      </c>
      <c r="S43" s="37">
        <f>IF($P43&gt;0,INDEX(装备!L$11:L$16,新属性汇总!$P43),0)</f>
        <v>136.5</v>
      </c>
      <c r="T43" s="37">
        <f>IF($P43&gt;0,INDEX(装备!M$11:M$16,新属性汇总!$P43),0)</f>
        <v>68.25</v>
      </c>
      <c r="U43" s="37">
        <f>IF($P43&gt;0,INDEX(装备!N$11:N$16,新属性汇总!$P43),0)</f>
        <v>619.5</v>
      </c>
      <c r="V43" s="37">
        <f>IF($P43&gt;0,INDEX(装备!H$11:H$16,新属性汇总!$P43),0)</f>
        <v>10</v>
      </c>
      <c r="W43" s="37">
        <f>IF($P43&gt;0,INDEX(装备!I$11:I$16,新属性汇总!$P43),0)</f>
        <v>5</v>
      </c>
      <c r="X43" s="37">
        <f>IF($P43&gt;0,INDEX(装备!J$11:J$16,新属性汇总!$P43),0)</f>
        <v>50</v>
      </c>
      <c r="Y43" s="37">
        <f t="shared" si="4"/>
        <v>536.5</v>
      </c>
      <c r="Z43" s="37">
        <f t="shared" si="5"/>
        <v>268.25</v>
      </c>
      <c r="AA43" s="37">
        <f t="shared" si="6"/>
        <v>2619.5</v>
      </c>
      <c r="AB43" s="37">
        <v>0.65</v>
      </c>
      <c r="AC43" s="37">
        <f>IF(P43&gt;0,INDEX(装备!$BP$5:$BP$16,新属性汇总!P43),0)</f>
        <v>2</v>
      </c>
      <c r="AD43" s="37">
        <f>IF($P43&gt;0,ROUND(INDEX(装备!AY$11:AY$16,新属性汇总!$P43)*$AC43/3,0)*8*AB43,0)</f>
        <v>119.60000000000001</v>
      </c>
      <c r="AE43" s="37">
        <f>IF($P43&gt;0,ROUND(INDEX(装备!AZ$11:AZ$16,新属性汇总!$P43)*$AC43/3,0)*8*AB43,0)</f>
        <v>57.2</v>
      </c>
      <c r="AF43" s="37">
        <f>IF($P43&gt;0,ROUND(INDEX(装备!BA$11:BA$16,新属性汇总!$P43)*$AC43/3,0)*8*AB43,0)</f>
        <v>265.2</v>
      </c>
      <c r="AG43" s="37">
        <f>IF(新属性汇总!P43&gt;0,INDEX(装备!$AP$11:$AP$16,新属性汇总!$P43)*2,0)</f>
        <v>628</v>
      </c>
      <c r="AH43" s="37">
        <v>0</v>
      </c>
      <c r="AI43" s="37">
        <f>IF(新属性汇总!P43&gt;0,INDEX(装备!$AP$11:$AP$16,新属性汇总!$P43)*2,0)</f>
        <v>628</v>
      </c>
      <c r="AJ43" s="37">
        <v>3</v>
      </c>
      <c r="AK43" s="37">
        <f>IF($AJ43&gt;0,INDEX(专属武器!H$4:H$53,新属性汇总!$AJ43),0)</f>
        <v>174</v>
      </c>
      <c r="AL43" s="37">
        <f>IF($AJ43&gt;0,INDEX(专属武器!I$4:I$53,新属性汇总!$AJ43),0)</f>
        <v>87</v>
      </c>
      <c r="AM43" s="37">
        <f>IF($AJ43&gt;0,INDEX(专属武器!J$4:J$53,新属性汇总!$AJ43),0)</f>
        <v>783</v>
      </c>
      <c r="AQ43" s="13">
        <v>39</v>
      </c>
      <c r="AR43" s="13">
        <f t="shared" si="7"/>
        <v>929.19999999999993</v>
      </c>
      <c r="AS43" s="13">
        <f t="shared" si="8"/>
        <v>462.29999999999995</v>
      </c>
      <c r="AT43" s="13">
        <f t="shared" si="9"/>
        <v>4113.5499999999993</v>
      </c>
      <c r="AU43" s="13">
        <f t="shared" si="10"/>
        <v>526.5</v>
      </c>
      <c r="AV43" s="13">
        <f t="shared" si="11"/>
        <v>263.25</v>
      </c>
      <c r="AW43" s="13">
        <f t="shared" si="12"/>
        <v>2569.5</v>
      </c>
      <c r="AX43" s="13">
        <f t="shared" si="13"/>
        <v>119.60000000000001</v>
      </c>
      <c r="AY43" s="13">
        <f t="shared" si="14"/>
        <v>57.2</v>
      </c>
      <c r="AZ43" s="13">
        <f t="shared" si="15"/>
        <v>265.2</v>
      </c>
      <c r="BA43" s="13">
        <f t="shared" si="16"/>
        <v>628</v>
      </c>
      <c r="BB43" s="13">
        <f t="shared" si="17"/>
        <v>0</v>
      </c>
      <c r="BC43" s="13">
        <f t="shared" si="18"/>
        <v>628</v>
      </c>
      <c r="BD43" s="13">
        <f t="shared" si="19"/>
        <v>104</v>
      </c>
      <c r="BE43" s="13">
        <f t="shared" si="20"/>
        <v>52</v>
      </c>
      <c r="BF43" s="13">
        <f t="shared" si="21"/>
        <v>470</v>
      </c>
      <c r="BG43" s="13">
        <f t="shared" si="22"/>
        <v>13382</v>
      </c>
      <c r="BH43" s="13">
        <f t="shared" si="23"/>
        <v>7834</v>
      </c>
      <c r="BI43" s="13">
        <f t="shared" si="24"/>
        <v>1435</v>
      </c>
      <c r="BJ43" s="13">
        <f t="shared" si="25"/>
        <v>3768</v>
      </c>
      <c r="BK43" s="13">
        <f t="shared" si="26"/>
        <v>1510</v>
      </c>
      <c r="BL43" s="13">
        <f t="shared" si="27"/>
        <v>27929</v>
      </c>
      <c r="BM43" s="31">
        <f t="shared" si="28"/>
        <v>0.47910000000000003</v>
      </c>
      <c r="BN43" s="31">
        <f t="shared" si="29"/>
        <v>0.28050000000000003</v>
      </c>
      <c r="BO43" s="31">
        <f t="shared" si="30"/>
        <v>5.1400000000000001E-2</v>
      </c>
      <c r="BP43" s="31">
        <f t="shared" si="31"/>
        <v>0.13489999999999999</v>
      </c>
      <c r="BQ43" s="31">
        <f t="shared" si="32"/>
        <v>5.4100000000000002E-2</v>
      </c>
    </row>
    <row r="44" spans="1:69" ht="16.5" x14ac:dyDescent="0.2">
      <c r="A44" s="37">
        <v>41</v>
      </c>
      <c r="B44" s="37">
        <v>5</v>
      </c>
      <c r="C44" s="37">
        <v>1</v>
      </c>
      <c r="D44" s="37">
        <v>3</v>
      </c>
      <c r="E44" s="37">
        <v>41</v>
      </c>
      <c r="F44" s="37">
        <f>INDEX(新属性投放!$L$6:$L$10,新属性汇总!D44)</f>
        <v>1.1499999999999999</v>
      </c>
      <c r="G44" s="37">
        <f>INDEX(新属性投放!J$42:J$62,新属性汇总!$B44)</f>
        <v>878</v>
      </c>
      <c r="H44" s="37">
        <f>INDEX(新属性投放!K$42:K$62,新属性汇总!$B44)</f>
        <v>437</v>
      </c>
      <c r="I44" s="37">
        <f>INDEX(新属性投放!L$42:L$62,新属性汇总!$B44)</f>
        <v>4117</v>
      </c>
      <c r="J44" s="37">
        <f>($A44-INDEX(新属性投放!$B$42:$B$62,新属性汇总!$B44))*INDEX(新属性投放!D$42:D$62,新属性汇总!$B44)</f>
        <v>25</v>
      </c>
      <c r="K44" s="37">
        <f>($A44-INDEX(新属性投放!$B$42:$B$62,新属性汇总!$B44))*INDEX(新属性投放!E$42:E$62,新属性汇总!$B44)</f>
        <v>12.5</v>
      </c>
      <c r="L44" s="37">
        <f>($A44-INDEX(新属性投放!$B$42:$B$62,新属性汇总!$B44))*INDEX(新属性投放!F$42:F$62,新属性汇总!$B44)</f>
        <v>112</v>
      </c>
      <c r="M44" s="37">
        <f t="shared" si="1"/>
        <v>1038.4499999999998</v>
      </c>
      <c r="N44" s="37">
        <f t="shared" si="2"/>
        <v>516.92499999999995</v>
      </c>
      <c r="O44" s="37">
        <f t="shared" si="3"/>
        <v>4863.3499999999995</v>
      </c>
      <c r="P44" s="37">
        <v>1</v>
      </c>
      <c r="Q44" s="37">
        <v>4</v>
      </c>
      <c r="R44">
        <v>41</v>
      </c>
      <c r="S44" s="37">
        <f>IF($P44&gt;0,INDEX(装备!L$11:L$16,新属性汇总!$P44),0)</f>
        <v>136.5</v>
      </c>
      <c r="T44" s="37">
        <f>IF($P44&gt;0,INDEX(装备!M$11:M$16,新属性汇总!$P44),0)</f>
        <v>68.25</v>
      </c>
      <c r="U44" s="37">
        <f>IF($P44&gt;0,INDEX(装备!N$11:N$16,新属性汇总!$P44),0)</f>
        <v>619.5</v>
      </c>
      <c r="V44" s="37">
        <f>IF($P44&gt;0,INDEX(装备!H$11:H$16,新属性汇总!$P44),0)</f>
        <v>10</v>
      </c>
      <c r="W44" s="37">
        <f>IF($P44&gt;0,INDEX(装备!I$11:I$16,新属性汇总!$P44),0)</f>
        <v>5</v>
      </c>
      <c r="X44" s="37">
        <f>IF($P44&gt;0,INDEX(装备!J$11:J$16,新属性汇总!$P44),0)</f>
        <v>50</v>
      </c>
      <c r="Y44" s="37">
        <f t="shared" si="4"/>
        <v>546.5</v>
      </c>
      <c r="Z44" s="37">
        <f t="shared" si="5"/>
        <v>273.25</v>
      </c>
      <c r="AA44" s="37">
        <f t="shared" si="6"/>
        <v>2669.5</v>
      </c>
      <c r="AB44" s="37">
        <v>0.65</v>
      </c>
      <c r="AC44" s="37">
        <f>IF(P44&gt;0,INDEX(装备!$BP$5:$BP$16,新属性汇总!P44),0)</f>
        <v>2</v>
      </c>
      <c r="AD44" s="37">
        <f>IF($P44&gt;0,ROUND(INDEX(装备!AY$11:AY$16,新属性汇总!$P44)*$AC44/3,0)*8*AB44,0)</f>
        <v>119.60000000000001</v>
      </c>
      <c r="AE44" s="37">
        <f>IF($P44&gt;0,ROUND(INDEX(装备!AZ$11:AZ$16,新属性汇总!$P44)*$AC44/3,0)*8*AB44,0)</f>
        <v>57.2</v>
      </c>
      <c r="AF44" s="37">
        <f>IF($P44&gt;0,ROUND(INDEX(装备!BA$11:BA$16,新属性汇总!$P44)*$AC44/3,0)*8*AB44,0)</f>
        <v>265.2</v>
      </c>
      <c r="AG44" s="37">
        <f>IF(新属性汇总!P44&gt;0,INDEX(装备!$AP$11:$AP$16,新属性汇总!$P44)*2,0)</f>
        <v>628</v>
      </c>
      <c r="AH44" s="37">
        <v>0</v>
      </c>
      <c r="AI44" s="37">
        <f>IF(新属性汇总!P44&gt;0,INDEX(装备!$AP$11:$AP$16,新属性汇总!$P44)*2,0)</f>
        <v>628</v>
      </c>
      <c r="AJ44" s="37">
        <v>3</v>
      </c>
      <c r="AK44" s="37">
        <f>IF($AJ44&gt;0,INDEX(专属武器!H$4:H$53,新属性汇总!$AJ44),0)</f>
        <v>174</v>
      </c>
      <c r="AL44" s="37">
        <f>IF($AJ44&gt;0,INDEX(专属武器!I$4:I$53,新属性汇总!$AJ44),0)</f>
        <v>87</v>
      </c>
      <c r="AM44" s="37">
        <f>IF($AJ44&gt;0,INDEX(专属武器!J$4:J$53,新属性汇总!$AJ44),0)</f>
        <v>783</v>
      </c>
      <c r="AQ44" s="13">
        <v>40</v>
      </c>
      <c r="AR44" s="13">
        <f t="shared" si="7"/>
        <v>1009.6999999999999</v>
      </c>
      <c r="AS44" s="13">
        <f t="shared" si="8"/>
        <v>502.54999999999995</v>
      </c>
      <c r="AT44" s="13">
        <f t="shared" si="9"/>
        <v>4734.5499999999993</v>
      </c>
      <c r="AU44" s="13">
        <f t="shared" si="10"/>
        <v>536.5</v>
      </c>
      <c r="AV44" s="13">
        <f t="shared" si="11"/>
        <v>268.25</v>
      </c>
      <c r="AW44" s="13">
        <f t="shared" si="12"/>
        <v>2619.5</v>
      </c>
      <c r="AX44" s="13">
        <f t="shared" si="13"/>
        <v>119.60000000000001</v>
      </c>
      <c r="AY44" s="13">
        <f t="shared" si="14"/>
        <v>57.2</v>
      </c>
      <c r="AZ44" s="13">
        <f t="shared" si="15"/>
        <v>265.2</v>
      </c>
      <c r="BA44" s="13">
        <f t="shared" si="16"/>
        <v>628</v>
      </c>
      <c r="BB44" s="13">
        <f t="shared" si="17"/>
        <v>0</v>
      </c>
      <c r="BC44" s="13">
        <f t="shared" si="18"/>
        <v>628</v>
      </c>
      <c r="BD44" s="13">
        <f t="shared" si="19"/>
        <v>174</v>
      </c>
      <c r="BE44" s="13">
        <f t="shared" si="20"/>
        <v>87</v>
      </c>
      <c r="BF44" s="13">
        <f t="shared" si="21"/>
        <v>783</v>
      </c>
      <c r="BG44" s="13">
        <f t="shared" si="22"/>
        <v>14808</v>
      </c>
      <c r="BH44" s="13">
        <f t="shared" si="23"/>
        <v>7984</v>
      </c>
      <c r="BI44" s="13">
        <f t="shared" si="24"/>
        <v>1435</v>
      </c>
      <c r="BJ44" s="13">
        <f t="shared" si="25"/>
        <v>3768</v>
      </c>
      <c r="BK44" s="13">
        <f t="shared" si="26"/>
        <v>2523</v>
      </c>
      <c r="BL44" s="13">
        <f t="shared" si="27"/>
        <v>30518</v>
      </c>
      <c r="BM44" s="31">
        <f t="shared" si="28"/>
        <v>0.48520000000000002</v>
      </c>
      <c r="BN44" s="31">
        <f t="shared" si="29"/>
        <v>0.2616</v>
      </c>
      <c r="BO44" s="31">
        <f t="shared" si="30"/>
        <v>4.7E-2</v>
      </c>
      <c r="BP44" s="31">
        <f t="shared" si="31"/>
        <v>0.1235</v>
      </c>
      <c r="BQ44" s="31">
        <f t="shared" si="32"/>
        <v>8.2699999999999996E-2</v>
      </c>
    </row>
    <row r="45" spans="1:69" ht="16.5" x14ac:dyDescent="0.2">
      <c r="A45" s="37">
        <v>42</v>
      </c>
      <c r="B45" s="37">
        <v>5</v>
      </c>
      <c r="C45" s="37">
        <v>1</v>
      </c>
      <c r="D45" s="37">
        <v>3</v>
      </c>
      <c r="E45" s="37">
        <v>42</v>
      </c>
      <c r="F45" s="37">
        <f>INDEX(新属性投放!$L$6:$L$10,新属性汇总!D45)</f>
        <v>1.1499999999999999</v>
      </c>
      <c r="G45" s="37">
        <f>INDEX(新属性投放!J$42:J$62,新属性汇总!$B45)</f>
        <v>878</v>
      </c>
      <c r="H45" s="37">
        <f>INDEX(新属性投放!K$42:K$62,新属性汇总!$B45)</f>
        <v>437</v>
      </c>
      <c r="I45" s="37">
        <f>INDEX(新属性投放!L$42:L$62,新属性汇总!$B45)</f>
        <v>4117</v>
      </c>
      <c r="J45" s="37">
        <f>($A45-INDEX(新属性投放!$B$42:$B$62,新属性汇总!$B45))*INDEX(新属性投放!D$42:D$62,新属性汇总!$B45)</f>
        <v>50</v>
      </c>
      <c r="K45" s="37">
        <f>($A45-INDEX(新属性投放!$B$42:$B$62,新属性汇总!$B45))*INDEX(新属性投放!E$42:E$62,新属性汇总!$B45)</f>
        <v>25</v>
      </c>
      <c r="L45" s="37">
        <f>($A45-INDEX(新属性投放!$B$42:$B$62,新属性汇总!$B45))*INDEX(新属性投放!F$42:F$62,新属性汇总!$B45)</f>
        <v>224</v>
      </c>
      <c r="M45" s="37">
        <f t="shared" si="1"/>
        <v>1067.1999999999998</v>
      </c>
      <c r="N45" s="37">
        <f t="shared" si="2"/>
        <v>531.29999999999995</v>
      </c>
      <c r="O45" s="37">
        <f t="shared" si="3"/>
        <v>4992.1499999999996</v>
      </c>
      <c r="P45" s="37">
        <v>1</v>
      </c>
      <c r="Q45" s="37">
        <v>4</v>
      </c>
      <c r="R45">
        <v>42</v>
      </c>
      <c r="S45" s="37">
        <f>IF($P45&gt;0,INDEX(装备!L$11:L$16,新属性汇总!$P45),0)</f>
        <v>136.5</v>
      </c>
      <c r="T45" s="37">
        <f>IF($P45&gt;0,INDEX(装备!M$11:M$16,新属性汇总!$P45),0)</f>
        <v>68.25</v>
      </c>
      <c r="U45" s="37">
        <f>IF($P45&gt;0,INDEX(装备!N$11:N$16,新属性汇总!$P45),0)</f>
        <v>619.5</v>
      </c>
      <c r="V45" s="37">
        <f>IF($P45&gt;0,INDEX(装备!H$11:H$16,新属性汇总!$P45),0)</f>
        <v>10</v>
      </c>
      <c r="W45" s="37">
        <f>IF($P45&gt;0,INDEX(装备!I$11:I$16,新属性汇总!$P45),0)</f>
        <v>5</v>
      </c>
      <c r="X45" s="37">
        <f>IF($P45&gt;0,INDEX(装备!J$11:J$16,新属性汇总!$P45),0)</f>
        <v>50</v>
      </c>
      <c r="Y45" s="37">
        <f t="shared" si="4"/>
        <v>556.5</v>
      </c>
      <c r="Z45" s="37">
        <f t="shared" si="5"/>
        <v>278.25</v>
      </c>
      <c r="AA45" s="37">
        <f t="shared" si="6"/>
        <v>2719.5</v>
      </c>
      <c r="AB45" s="37">
        <v>0.65</v>
      </c>
      <c r="AC45" s="37">
        <f>IF(P45&gt;0,INDEX(装备!$BP$5:$BP$16,新属性汇总!P45),0)</f>
        <v>2</v>
      </c>
      <c r="AD45" s="37">
        <f>IF($P45&gt;0,ROUND(INDEX(装备!AY$11:AY$16,新属性汇总!$P45)*$AC45/3,0)*8*AB45,0)</f>
        <v>119.60000000000001</v>
      </c>
      <c r="AE45" s="37">
        <f>IF($P45&gt;0,ROUND(INDEX(装备!AZ$11:AZ$16,新属性汇总!$P45)*$AC45/3,0)*8*AB45,0)</f>
        <v>57.2</v>
      </c>
      <c r="AF45" s="37">
        <f>IF($P45&gt;0,ROUND(INDEX(装备!BA$11:BA$16,新属性汇总!$P45)*$AC45/3,0)*8*AB45,0)</f>
        <v>265.2</v>
      </c>
      <c r="AG45" s="37">
        <f>IF(新属性汇总!P45&gt;0,INDEX(装备!$AP$11:$AP$16,新属性汇总!$P45)*2,0)</f>
        <v>628</v>
      </c>
      <c r="AH45" s="37">
        <v>0</v>
      </c>
      <c r="AI45" s="37">
        <f>IF(新属性汇总!P45&gt;0,INDEX(装备!$AP$11:$AP$16,新属性汇总!$P45)*2,0)</f>
        <v>628</v>
      </c>
      <c r="AJ45" s="37">
        <v>3</v>
      </c>
      <c r="AK45" s="37">
        <f>IF($AJ45&gt;0,INDEX(专属武器!H$4:H$53,新属性汇总!$AJ45),0)</f>
        <v>174</v>
      </c>
      <c r="AL45" s="37">
        <f>IF($AJ45&gt;0,INDEX(专属武器!I$4:I$53,新属性汇总!$AJ45),0)</f>
        <v>87</v>
      </c>
      <c r="AM45" s="37">
        <f>IF($AJ45&gt;0,INDEX(专属武器!J$4:J$53,新属性汇总!$AJ45),0)</f>
        <v>783</v>
      </c>
      <c r="AQ45" s="13">
        <v>41</v>
      </c>
      <c r="AR45" s="13">
        <f t="shared" si="7"/>
        <v>1038.4499999999998</v>
      </c>
      <c r="AS45" s="13">
        <f t="shared" si="8"/>
        <v>516.92499999999995</v>
      </c>
      <c r="AT45" s="13">
        <f t="shared" si="9"/>
        <v>4863.3499999999995</v>
      </c>
      <c r="AU45" s="13">
        <f t="shared" si="10"/>
        <v>546.5</v>
      </c>
      <c r="AV45" s="13">
        <f t="shared" si="11"/>
        <v>273.25</v>
      </c>
      <c r="AW45" s="13">
        <f t="shared" si="12"/>
        <v>2669.5</v>
      </c>
      <c r="AX45" s="13">
        <f t="shared" si="13"/>
        <v>119.60000000000001</v>
      </c>
      <c r="AY45" s="13">
        <f t="shared" si="14"/>
        <v>57.2</v>
      </c>
      <c r="AZ45" s="13">
        <f t="shared" si="15"/>
        <v>265.2</v>
      </c>
      <c r="BA45" s="13">
        <f t="shared" si="16"/>
        <v>628</v>
      </c>
      <c r="BB45" s="13">
        <f t="shared" si="17"/>
        <v>0</v>
      </c>
      <c r="BC45" s="13">
        <f t="shared" si="18"/>
        <v>628</v>
      </c>
      <c r="BD45" s="13">
        <f t="shared" si="19"/>
        <v>174</v>
      </c>
      <c r="BE45" s="13">
        <f t="shared" si="20"/>
        <v>87</v>
      </c>
      <c r="BF45" s="13">
        <f t="shared" si="21"/>
        <v>783</v>
      </c>
      <c r="BG45" s="13">
        <f t="shared" si="22"/>
        <v>15224</v>
      </c>
      <c r="BH45" s="13">
        <f t="shared" si="23"/>
        <v>8134</v>
      </c>
      <c r="BI45" s="13">
        <f t="shared" si="24"/>
        <v>1435</v>
      </c>
      <c r="BJ45" s="13">
        <f t="shared" si="25"/>
        <v>3768</v>
      </c>
      <c r="BK45" s="13">
        <f t="shared" si="26"/>
        <v>2523</v>
      </c>
      <c r="BL45" s="13">
        <f t="shared" si="27"/>
        <v>31084</v>
      </c>
      <c r="BM45" s="31">
        <f t="shared" si="28"/>
        <v>0.48980000000000001</v>
      </c>
      <c r="BN45" s="31">
        <f t="shared" si="29"/>
        <v>0.26169999999999999</v>
      </c>
      <c r="BO45" s="31">
        <f t="shared" si="30"/>
        <v>4.6199999999999998E-2</v>
      </c>
      <c r="BP45" s="31">
        <f t="shared" si="31"/>
        <v>0.1212</v>
      </c>
      <c r="BQ45" s="31">
        <f t="shared" si="32"/>
        <v>8.1199999999999994E-2</v>
      </c>
    </row>
    <row r="46" spans="1:69" ht="16.5" x14ac:dyDescent="0.2">
      <c r="A46" s="37">
        <v>43</v>
      </c>
      <c r="B46" s="37">
        <v>5</v>
      </c>
      <c r="C46" s="37">
        <v>1</v>
      </c>
      <c r="D46" s="37">
        <v>3</v>
      </c>
      <c r="E46" s="37">
        <v>43</v>
      </c>
      <c r="F46" s="37">
        <f>INDEX(新属性投放!$L$6:$L$10,新属性汇总!D46)</f>
        <v>1.1499999999999999</v>
      </c>
      <c r="G46" s="37">
        <f>INDEX(新属性投放!J$42:J$62,新属性汇总!$B46)</f>
        <v>878</v>
      </c>
      <c r="H46" s="37">
        <f>INDEX(新属性投放!K$42:K$62,新属性汇总!$B46)</f>
        <v>437</v>
      </c>
      <c r="I46" s="37">
        <f>INDEX(新属性投放!L$42:L$62,新属性汇总!$B46)</f>
        <v>4117</v>
      </c>
      <c r="J46" s="37">
        <f>($A46-INDEX(新属性投放!$B$42:$B$62,新属性汇总!$B46))*INDEX(新属性投放!D$42:D$62,新属性汇总!$B46)</f>
        <v>75</v>
      </c>
      <c r="K46" s="37">
        <f>($A46-INDEX(新属性投放!$B$42:$B$62,新属性汇总!$B46))*INDEX(新属性投放!E$42:E$62,新属性汇总!$B46)</f>
        <v>37.5</v>
      </c>
      <c r="L46" s="37">
        <f>($A46-INDEX(新属性投放!$B$42:$B$62,新属性汇总!$B46))*INDEX(新属性投放!F$42:F$62,新属性汇总!$B46)</f>
        <v>336</v>
      </c>
      <c r="M46" s="37">
        <f t="shared" si="1"/>
        <v>1095.9499999999998</v>
      </c>
      <c r="N46" s="37">
        <f t="shared" si="2"/>
        <v>545.67499999999995</v>
      </c>
      <c r="O46" s="37">
        <f t="shared" si="3"/>
        <v>5120.95</v>
      </c>
      <c r="P46" s="37">
        <v>1</v>
      </c>
      <c r="Q46" s="37">
        <v>4</v>
      </c>
      <c r="R46">
        <v>43</v>
      </c>
      <c r="S46" s="37">
        <f>IF($P46&gt;0,INDEX(装备!L$11:L$16,新属性汇总!$P46),0)</f>
        <v>136.5</v>
      </c>
      <c r="T46" s="37">
        <f>IF($P46&gt;0,INDEX(装备!M$11:M$16,新属性汇总!$P46),0)</f>
        <v>68.25</v>
      </c>
      <c r="U46" s="37">
        <f>IF($P46&gt;0,INDEX(装备!N$11:N$16,新属性汇总!$P46),0)</f>
        <v>619.5</v>
      </c>
      <c r="V46" s="37">
        <f>IF($P46&gt;0,INDEX(装备!H$11:H$16,新属性汇总!$P46),0)</f>
        <v>10</v>
      </c>
      <c r="W46" s="37">
        <f>IF($P46&gt;0,INDEX(装备!I$11:I$16,新属性汇总!$P46),0)</f>
        <v>5</v>
      </c>
      <c r="X46" s="37">
        <f>IF($P46&gt;0,INDEX(装备!J$11:J$16,新属性汇总!$P46),0)</f>
        <v>50</v>
      </c>
      <c r="Y46" s="37">
        <f t="shared" si="4"/>
        <v>566.5</v>
      </c>
      <c r="Z46" s="37">
        <f t="shared" si="5"/>
        <v>283.25</v>
      </c>
      <c r="AA46" s="37">
        <f t="shared" si="6"/>
        <v>2769.5</v>
      </c>
      <c r="AB46" s="37">
        <v>0.65</v>
      </c>
      <c r="AC46" s="37">
        <f>IF(P46&gt;0,INDEX(装备!$BP$5:$BP$16,新属性汇总!P46),0)</f>
        <v>2</v>
      </c>
      <c r="AD46" s="37">
        <f>IF($P46&gt;0,ROUND(INDEX(装备!AY$11:AY$16,新属性汇总!$P46)*$AC46/3,0)*8*AB46,0)</f>
        <v>119.60000000000001</v>
      </c>
      <c r="AE46" s="37">
        <f>IF($P46&gt;0,ROUND(INDEX(装备!AZ$11:AZ$16,新属性汇总!$P46)*$AC46/3,0)*8*AB46,0)</f>
        <v>57.2</v>
      </c>
      <c r="AF46" s="37">
        <f>IF($P46&gt;0,ROUND(INDEX(装备!BA$11:BA$16,新属性汇总!$P46)*$AC46/3,0)*8*AB46,0)</f>
        <v>265.2</v>
      </c>
      <c r="AG46" s="37">
        <f>IF(新属性汇总!P46&gt;0,INDEX(装备!$AP$11:$AP$16,新属性汇总!$P46)*2,0)</f>
        <v>628</v>
      </c>
      <c r="AH46" s="37">
        <v>0</v>
      </c>
      <c r="AI46" s="37">
        <f>IF(新属性汇总!P46&gt;0,INDEX(装备!$AP$11:$AP$16,新属性汇总!$P46)*2,0)</f>
        <v>628</v>
      </c>
      <c r="AJ46" s="37">
        <v>3</v>
      </c>
      <c r="AK46" s="37">
        <f>IF($AJ46&gt;0,INDEX(专属武器!H$4:H$53,新属性汇总!$AJ46),0)</f>
        <v>174</v>
      </c>
      <c r="AL46" s="37">
        <f>IF($AJ46&gt;0,INDEX(专属武器!I$4:I$53,新属性汇总!$AJ46),0)</f>
        <v>87</v>
      </c>
      <c r="AM46" s="37">
        <f>IF($AJ46&gt;0,INDEX(专属武器!J$4:J$53,新属性汇总!$AJ46),0)</f>
        <v>783</v>
      </c>
      <c r="AQ46" s="13">
        <v>42</v>
      </c>
      <c r="AR46" s="13">
        <f t="shared" si="7"/>
        <v>1067.1999999999998</v>
      </c>
      <c r="AS46" s="13">
        <f t="shared" si="8"/>
        <v>531.29999999999995</v>
      </c>
      <c r="AT46" s="13">
        <f t="shared" si="9"/>
        <v>4992.1499999999996</v>
      </c>
      <c r="AU46" s="13">
        <f t="shared" si="10"/>
        <v>556.5</v>
      </c>
      <c r="AV46" s="13">
        <f t="shared" si="11"/>
        <v>278.25</v>
      </c>
      <c r="AW46" s="13">
        <f t="shared" si="12"/>
        <v>2719.5</v>
      </c>
      <c r="AX46" s="13">
        <f t="shared" si="13"/>
        <v>119.60000000000001</v>
      </c>
      <c r="AY46" s="13">
        <f t="shared" si="14"/>
        <v>57.2</v>
      </c>
      <c r="AZ46" s="13">
        <f t="shared" si="15"/>
        <v>265.2</v>
      </c>
      <c r="BA46" s="13">
        <f t="shared" si="16"/>
        <v>628</v>
      </c>
      <c r="BB46" s="13">
        <f t="shared" si="17"/>
        <v>0</v>
      </c>
      <c r="BC46" s="13">
        <f t="shared" si="18"/>
        <v>628</v>
      </c>
      <c r="BD46" s="13">
        <f t="shared" si="19"/>
        <v>174</v>
      </c>
      <c r="BE46" s="13">
        <f t="shared" si="20"/>
        <v>87</v>
      </c>
      <c r="BF46" s="13">
        <f t="shared" si="21"/>
        <v>783</v>
      </c>
      <c r="BG46" s="13">
        <f t="shared" si="22"/>
        <v>15641</v>
      </c>
      <c r="BH46" s="13">
        <f t="shared" si="23"/>
        <v>8284</v>
      </c>
      <c r="BI46" s="13">
        <f t="shared" si="24"/>
        <v>1435</v>
      </c>
      <c r="BJ46" s="13">
        <f t="shared" si="25"/>
        <v>3768</v>
      </c>
      <c r="BK46" s="13">
        <f t="shared" si="26"/>
        <v>2523</v>
      </c>
      <c r="BL46" s="13">
        <f t="shared" si="27"/>
        <v>31651</v>
      </c>
      <c r="BM46" s="31">
        <f t="shared" si="28"/>
        <v>0.49419999999999997</v>
      </c>
      <c r="BN46" s="31">
        <f t="shared" si="29"/>
        <v>0.26169999999999999</v>
      </c>
      <c r="BO46" s="31">
        <f t="shared" si="30"/>
        <v>4.53E-2</v>
      </c>
      <c r="BP46" s="31">
        <f t="shared" si="31"/>
        <v>0.11899999999999999</v>
      </c>
      <c r="BQ46" s="31">
        <f t="shared" si="32"/>
        <v>7.9699999999999993E-2</v>
      </c>
    </row>
    <row r="47" spans="1:69" ht="16.5" x14ac:dyDescent="0.2">
      <c r="A47" s="37">
        <v>44</v>
      </c>
      <c r="B47" s="37">
        <v>5</v>
      </c>
      <c r="C47" s="37">
        <v>1</v>
      </c>
      <c r="D47" s="37">
        <v>3</v>
      </c>
      <c r="E47" s="37">
        <v>44</v>
      </c>
      <c r="F47" s="37">
        <f>INDEX(新属性投放!$L$6:$L$10,新属性汇总!D47)</f>
        <v>1.1499999999999999</v>
      </c>
      <c r="G47" s="37">
        <f>INDEX(新属性投放!J$42:J$62,新属性汇总!$B47)</f>
        <v>878</v>
      </c>
      <c r="H47" s="37">
        <f>INDEX(新属性投放!K$42:K$62,新属性汇总!$B47)</f>
        <v>437</v>
      </c>
      <c r="I47" s="37">
        <f>INDEX(新属性投放!L$42:L$62,新属性汇总!$B47)</f>
        <v>4117</v>
      </c>
      <c r="J47" s="37">
        <f>($A47-INDEX(新属性投放!$B$42:$B$62,新属性汇总!$B47))*INDEX(新属性投放!D$42:D$62,新属性汇总!$B47)</f>
        <v>100</v>
      </c>
      <c r="K47" s="37">
        <f>($A47-INDEX(新属性投放!$B$42:$B$62,新属性汇总!$B47))*INDEX(新属性投放!E$42:E$62,新属性汇总!$B47)</f>
        <v>50</v>
      </c>
      <c r="L47" s="37">
        <f>($A47-INDEX(新属性投放!$B$42:$B$62,新属性汇总!$B47))*INDEX(新属性投放!F$42:F$62,新属性汇总!$B47)</f>
        <v>448</v>
      </c>
      <c r="M47" s="37">
        <f t="shared" si="1"/>
        <v>1124.6999999999998</v>
      </c>
      <c r="N47" s="37">
        <f t="shared" si="2"/>
        <v>560.04999999999995</v>
      </c>
      <c r="O47" s="37">
        <f t="shared" si="3"/>
        <v>5249.75</v>
      </c>
      <c r="P47" s="37">
        <v>1</v>
      </c>
      <c r="Q47" s="37">
        <v>4</v>
      </c>
      <c r="R47">
        <v>44</v>
      </c>
      <c r="S47" s="37">
        <f>IF($P47&gt;0,INDEX(装备!L$11:L$16,新属性汇总!$P47),0)</f>
        <v>136.5</v>
      </c>
      <c r="T47" s="37">
        <f>IF($P47&gt;0,INDEX(装备!M$11:M$16,新属性汇总!$P47),0)</f>
        <v>68.25</v>
      </c>
      <c r="U47" s="37">
        <f>IF($P47&gt;0,INDEX(装备!N$11:N$16,新属性汇总!$P47),0)</f>
        <v>619.5</v>
      </c>
      <c r="V47" s="37">
        <f>IF($P47&gt;0,INDEX(装备!H$11:H$16,新属性汇总!$P47),0)</f>
        <v>10</v>
      </c>
      <c r="W47" s="37">
        <f>IF($P47&gt;0,INDEX(装备!I$11:I$16,新属性汇总!$P47),0)</f>
        <v>5</v>
      </c>
      <c r="X47" s="37">
        <f>IF($P47&gt;0,INDEX(装备!J$11:J$16,新属性汇总!$P47),0)</f>
        <v>50</v>
      </c>
      <c r="Y47" s="37">
        <f t="shared" si="4"/>
        <v>576.5</v>
      </c>
      <c r="Z47" s="37">
        <f t="shared" si="5"/>
        <v>288.25</v>
      </c>
      <c r="AA47" s="37">
        <f t="shared" si="6"/>
        <v>2819.5</v>
      </c>
      <c r="AB47" s="37">
        <v>0.65</v>
      </c>
      <c r="AC47" s="37">
        <f>IF(P47&gt;0,INDEX(装备!$BP$5:$BP$16,新属性汇总!P47),0)</f>
        <v>2</v>
      </c>
      <c r="AD47" s="37">
        <f>IF($P47&gt;0,ROUND(INDEX(装备!AY$11:AY$16,新属性汇总!$P47)*$AC47/3,0)*8*AB47,0)</f>
        <v>119.60000000000001</v>
      </c>
      <c r="AE47" s="37">
        <f>IF($P47&gt;0,ROUND(INDEX(装备!AZ$11:AZ$16,新属性汇总!$P47)*$AC47/3,0)*8*AB47,0)</f>
        <v>57.2</v>
      </c>
      <c r="AF47" s="37">
        <f>IF($P47&gt;0,ROUND(INDEX(装备!BA$11:BA$16,新属性汇总!$P47)*$AC47/3,0)*8*AB47,0)</f>
        <v>265.2</v>
      </c>
      <c r="AG47" s="37">
        <f>IF(新属性汇总!P47&gt;0,INDEX(装备!$AP$11:$AP$16,新属性汇总!$P47)*2,0)</f>
        <v>628</v>
      </c>
      <c r="AH47" s="37">
        <v>0</v>
      </c>
      <c r="AI47" s="37">
        <f>IF(新属性汇总!P47&gt;0,INDEX(装备!$AP$11:$AP$16,新属性汇总!$P47)*2,0)</f>
        <v>628</v>
      </c>
      <c r="AJ47" s="37">
        <v>3</v>
      </c>
      <c r="AK47" s="37">
        <f>IF($AJ47&gt;0,INDEX(专属武器!H$4:H$53,新属性汇总!$AJ47),0)</f>
        <v>174</v>
      </c>
      <c r="AL47" s="37">
        <f>IF($AJ47&gt;0,INDEX(专属武器!I$4:I$53,新属性汇总!$AJ47),0)</f>
        <v>87</v>
      </c>
      <c r="AM47" s="37">
        <f>IF($AJ47&gt;0,INDEX(专属武器!J$4:J$53,新属性汇总!$AJ47),0)</f>
        <v>783</v>
      </c>
      <c r="AQ47" s="13">
        <v>43</v>
      </c>
      <c r="AR47" s="13">
        <f t="shared" si="7"/>
        <v>1095.9499999999998</v>
      </c>
      <c r="AS47" s="13">
        <f t="shared" si="8"/>
        <v>545.67499999999995</v>
      </c>
      <c r="AT47" s="13">
        <f t="shared" si="9"/>
        <v>5120.95</v>
      </c>
      <c r="AU47" s="13">
        <f t="shared" si="10"/>
        <v>566.5</v>
      </c>
      <c r="AV47" s="13">
        <f t="shared" si="11"/>
        <v>283.25</v>
      </c>
      <c r="AW47" s="13">
        <f t="shared" si="12"/>
        <v>2769.5</v>
      </c>
      <c r="AX47" s="13">
        <f t="shared" si="13"/>
        <v>119.60000000000001</v>
      </c>
      <c r="AY47" s="13">
        <f t="shared" si="14"/>
        <v>57.2</v>
      </c>
      <c r="AZ47" s="13">
        <f t="shared" si="15"/>
        <v>265.2</v>
      </c>
      <c r="BA47" s="13">
        <f t="shared" si="16"/>
        <v>628</v>
      </c>
      <c r="BB47" s="13">
        <f t="shared" si="17"/>
        <v>0</v>
      </c>
      <c r="BC47" s="13">
        <f t="shared" si="18"/>
        <v>628</v>
      </c>
      <c r="BD47" s="13">
        <f t="shared" si="19"/>
        <v>174</v>
      </c>
      <c r="BE47" s="13">
        <f t="shared" si="20"/>
        <v>87</v>
      </c>
      <c r="BF47" s="13">
        <f t="shared" si="21"/>
        <v>783</v>
      </c>
      <c r="BG47" s="13">
        <f t="shared" si="22"/>
        <v>16057</v>
      </c>
      <c r="BH47" s="13">
        <f t="shared" si="23"/>
        <v>8434</v>
      </c>
      <c r="BI47" s="13">
        <f t="shared" si="24"/>
        <v>1435</v>
      </c>
      <c r="BJ47" s="13">
        <f t="shared" si="25"/>
        <v>3768</v>
      </c>
      <c r="BK47" s="13">
        <f t="shared" si="26"/>
        <v>2523</v>
      </c>
      <c r="BL47" s="13">
        <f t="shared" si="27"/>
        <v>32217</v>
      </c>
      <c r="BM47" s="31">
        <f t="shared" si="28"/>
        <v>0.49840000000000001</v>
      </c>
      <c r="BN47" s="31">
        <f t="shared" si="29"/>
        <v>0.26179999999999998</v>
      </c>
      <c r="BO47" s="31">
        <f t="shared" si="30"/>
        <v>4.4499999999999998E-2</v>
      </c>
      <c r="BP47" s="31">
        <f t="shared" si="31"/>
        <v>0.11700000000000001</v>
      </c>
      <c r="BQ47" s="31">
        <f t="shared" si="32"/>
        <v>7.8299999999999995E-2</v>
      </c>
    </row>
    <row r="48" spans="1:69" ht="16.5" x14ac:dyDescent="0.2">
      <c r="A48" s="37">
        <v>45</v>
      </c>
      <c r="B48" s="37">
        <v>5</v>
      </c>
      <c r="C48" s="37">
        <v>1</v>
      </c>
      <c r="D48" s="37">
        <v>3</v>
      </c>
      <c r="E48" s="37">
        <v>45</v>
      </c>
      <c r="F48" s="37">
        <f>INDEX(新属性投放!$L$6:$L$10,新属性汇总!D48)</f>
        <v>1.1499999999999999</v>
      </c>
      <c r="G48" s="37">
        <f>INDEX(新属性投放!J$42:J$62,新属性汇总!$B48)</f>
        <v>878</v>
      </c>
      <c r="H48" s="37">
        <f>INDEX(新属性投放!K$42:K$62,新属性汇总!$B48)</f>
        <v>437</v>
      </c>
      <c r="I48" s="37">
        <f>INDEX(新属性投放!L$42:L$62,新属性汇总!$B48)</f>
        <v>4117</v>
      </c>
      <c r="J48" s="37">
        <f>($A48-INDEX(新属性投放!$B$42:$B$62,新属性汇总!$B48))*INDEX(新属性投放!D$42:D$62,新属性汇总!$B48)</f>
        <v>125</v>
      </c>
      <c r="K48" s="37">
        <f>($A48-INDEX(新属性投放!$B$42:$B$62,新属性汇总!$B48))*INDEX(新属性投放!E$42:E$62,新属性汇总!$B48)</f>
        <v>62.5</v>
      </c>
      <c r="L48" s="37">
        <f>($A48-INDEX(新属性投放!$B$42:$B$62,新属性汇总!$B48))*INDEX(新属性投放!F$42:F$62,新属性汇总!$B48)</f>
        <v>560</v>
      </c>
      <c r="M48" s="37">
        <f t="shared" si="1"/>
        <v>1153.4499999999998</v>
      </c>
      <c r="N48" s="37">
        <f t="shared" si="2"/>
        <v>574.42499999999995</v>
      </c>
      <c r="O48" s="37">
        <f t="shared" si="3"/>
        <v>5378.5499999999993</v>
      </c>
      <c r="P48" s="37">
        <v>1</v>
      </c>
      <c r="Q48" s="37">
        <v>4</v>
      </c>
      <c r="R48">
        <v>45</v>
      </c>
      <c r="S48" s="37">
        <f>IF($P48&gt;0,INDEX(装备!L$11:L$16,新属性汇总!$P48),0)</f>
        <v>136.5</v>
      </c>
      <c r="T48" s="37">
        <f>IF($P48&gt;0,INDEX(装备!M$11:M$16,新属性汇总!$P48),0)</f>
        <v>68.25</v>
      </c>
      <c r="U48" s="37">
        <f>IF($P48&gt;0,INDEX(装备!N$11:N$16,新属性汇总!$P48),0)</f>
        <v>619.5</v>
      </c>
      <c r="V48" s="37">
        <f>IF($P48&gt;0,INDEX(装备!H$11:H$16,新属性汇总!$P48),0)</f>
        <v>10</v>
      </c>
      <c r="W48" s="37">
        <f>IF($P48&gt;0,INDEX(装备!I$11:I$16,新属性汇总!$P48),0)</f>
        <v>5</v>
      </c>
      <c r="X48" s="37">
        <f>IF($P48&gt;0,INDEX(装备!J$11:J$16,新属性汇总!$P48),0)</f>
        <v>50</v>
      </c>
      <c r="Y48" s="37">
        <f t="shared" si="4"/>
        <v>586.5</v>
      </c>
      <c r="Z48" s="37">
        <f t="shared" si="5"/>
        <v>293.25</v>
      </c>
      <c r="AA48" s="37">
        <f t="shared" si="6"/>
        <v>2869.5</v>
      </c>
      <c r="AB48" s="37">
        <v>0.65</v>
      </c>
      <c r="AC48" s="37">
        <f>IF(P48&gt;0,INDEX(装备!$BP$5:$BP$16,新属性汇总!P48),0)</f>
        <v>2</v>
      </c>
      <c r="AD48" s="37">
        <f>IF($P48&gt;0,ROUND(INDEX(装备!AY$11:AY$16,新属性汇总!$P48)*$AC48/3,0)*8*AB48,0)</f>
        <v>119.60000000000001</v>
      </c>
      <c r="AE48" s="37">
        <f>IF($P48&gt;0,ROUND(INDEX(装备!AZ$11:AZ$16,新属性汇总!$P48)*$AC48/3,0)*8*AB48,0)</f>
        <v>57.2</v>
      </c>
      <c r="AF48" s="37">
        <f>IF($P48&gt;0,ROUND(INDEX(装备!BA$11:BA$16,新属性汇总!$P48)*$AC48/3,0)*8*AB48,0)</f>
        <v>265.2</v>
      </c>
      <c r="AG48" s="37">
        <f>IF(新属性汇总!P48&gt;0,INDEX(装备!$AP$11:$AP$16,新属性汇总!$P48)*2,0)</f>
        <v>628</v>
      </c>
      <c r="AH48" s="37">
        <v>0</v>
      </c>
      <c r="AI48" s="37">
        <f>IF(新属性汇总!P48&gt;0,INDEX(装备!$AP$11:$AP$16,新属性汇总!$P48)*2,0)</f>
        <v>628</v>
      </c>
      <c r="AJ48" s="37">
        <v>4</v>
      </c>
      <c r="AK48" s="37">
        <f>IF($AJ48&gt;0,INDEX(专属武器!H$4:H$53,新属性汇总!$AJ48),0)</f>
        <v>237</v>
      </c>
      <c r="AL48" s="37">
        <f>IF($AJ48&gt;0,INDEX(专属武器!I$4:I$53,新属性汇总!$AJ48),0)</f>
        <v>118</v>
      </c>
      <c r="AM48" s="37">
        <f>IF($AJ48&gt;0,INDEX(专属武器!J$4:J$53,新属性汇总!$AJ48),0)</f>
        <v>1066</v>
      </c>
      <c r="AQ48" s="13">
        <v>44</v>
      </c>
      <c r="AR48" s="13">
        <f t="shared" si="7"/>
        <v>1124.6999999999998</v>
      </c>
      <c r="AS48" s="13">
        <f t="shared" si="8"/>
        <v>560.04999999999995</v>
      </c>
      <c r="AT48" s="13">
        <f t="shared" si="9"/>
        <v>5249.75</v>
      </c>
      <c r="AU48" s="13">
        <f t="shared" si="10"/>
        <v>576.5</v>
      </c>
      <c r="AV48" s="13">
        <f t="shared" si="11"/>
        <v>288.25</v>
      </c>
      <c r="AW48" s="13">
        <f t="shared" si="12"/>
        <v>2819.5</v>
      </c>
      <c r="AX48" s="13">
        <f t="shared" si="13"/>
        <v>119.60000000000001</v>
      </c>
      <c r="AY48" s="13">
        <f t="shared" si="14"/>
        <v>57.2</v>
      </c>
      <c r="AZ48" s="13">
        <f t="shared" si="15"/>
        <v>265.2</v>
      </c>
      <c r="BA48" s="13">
        <f t="shared" si="16"/>
        <v>628</v>
      </c>
      <c r="BB48" s="13">
        <f t="shared" si="17"/>
        <v>0</v>
      </c>
      <c r="BC48" s="13">
        <f t="shared" si="18"/>
        <v>628</v>
      </c>
      <c r="BD48" s="13">
        <f t="shared" si="19"/>
        <v>174</v>
      </c>
      <c r="BE48" s="13">
        <f t="shared" si="20"/>
        <v>87</v>
      </c>
      <c r="BF48" s="13">
        <f t="shared" si="21"/>
        <v>783</v>
      </c>
      <c r="BG48" s="13">
        <f t="shared" si="22"/>
        <v>16473</v>
      </c>
      <c r="BH48" s="13">
        <f t="shared" si="23"/>
        <v>8584</v>
      </c>
      <c r="BI48" s="13">
        <f t="shared" si="24"/>
        <v>1435</v>
      </c>
      <c r="BJ48" s="13">
        <f t="shared" si="25"/>
        <v>3768</v>
      </c>
      <c r="BK48" s="13">
        <f t="shared" si="26"/>
        <v>2523</v>
      </c>
      <c r="BL48" s="13">
        <f t="shared" si="27"/>
        <v>32783</v>
      </c>
      <c r="BM48" s="31">
        <f t="shared" si="28"/>
        <v>0.50249999999999995</v>
      </c>
      <c r="BN48" s="31">
        <f t="shared" si="29"/>
        <v>0.26179999999999998</v>
      </c>
      <c r="BO48" s="31">
        <f t="shared" si="30"/>
        <v>4.3799999999999999E-2</v>
      </c>
      <c r="BP48" s="31">
        <f t="shared" si="31"/>
        <v>0.1149</v>
      </c>
      <c r="BQ48" s="31">
        <f t="shared" si="32"/>
        <v>7.6999999999999999E-2</v>
      </c>
    </row>
    <row r="49" spans="1:69" ht="16.5" x14ac:dyDescent="0.2">
      <c r="A49" s="37">
        <v>46</v>
      </c>
      <c r="B49" s="37">
        <v>5</v>
      </c>
      <c r="C49" s="37">
        <v>1</v>
      </c>
      <c r="D49" s="37">
        <v>3</v>
      </c>
      <c r="E49" s="37">
        <v>46</v>
      </c>
      <c r="F49" s="37">
        <f>INDEX(新属性投放!$L$6:$L$10,新属性汇总!D49)</f>
        <v>1.1499999999999999</v>
      </c>
      <c r="G49" s="37">
        <f>INDEX(新属性投放!J$42:J$62,新属性汇总!$B49)</f>
        <v>878</v>
      </c>
      <c r="H49" s="37">
        <f>INDEX(新属性投放!K$42:K$62,新属性汇总!$B49)</f>
        <v>437</v>
      </c>
      <c r="I49" s="37">
        <f>INDEX(新属性投放!L$42:L$62,新属性汇总!$B49)</f>
        <v>4117</v>
      </c>
      <c r="J49" s="37">
        <f>($A49-INDEX(新属性投放!$B$42:$B$62,新属性汇总!$B49))*INDEX(新属性投放!D$42:D$62,新属性汇总!$B49)</f>
        <v>150</v>
      </c>
      <c r="K49" s="37">
        <f>($A49-INDEX(新属性投放!$B$42:$B$62,新属性汇总!$B49))*INDEX(新属性投放!E$42:E$62,新属性汇总!$B49)</f>
        <v>75</v>
      </c>
      <c r="L49" s="37">
        <f>($A49-INDEX(新属性投放!$B$42:$B$62,新属性汇总!$B49))*INDEX(新属性投放!F$42:F$62,新属性汇总!$B49)</f>
        <v>672</v>
      </c>
      <c r="M49" s="37">
        <f t="shared" si="1"/>
        <v>1182.1999999999998</v>
      </c>
      <c r="N49" s="37">
        <f t="shared" si="2"/>
        <v>588.79999999999995</v>
      </c>
      <c r="O49" s="37">
        <f t="shared" si="3"/>
        <v>5507.3499999999995</v>
      </c>
      <c r="P49" s="37">
        <v>1</v>
      </c>
      <c r="Q49" s="37">
        <v>4</v>
      </c>
      <c r="R49">
        <v>46</v>
      </c>
      <c r="S49" s="37">
        <f>IF($P49&gt;0,INDEX(装备!L$11:L$16,新属性汇总!$P49),0)</f>
        <v>136.5</v>
      </c>
      <c r="T49" s="37">
        <f>IF($P49&gt;0,INDEX(装备!M$11:M$16,新属性汇总!$P49),0)</f>
        <v>68.25</v>
      </c>
      <c r="U49" s="37">
        <f>IF($P49&gt;0,INDEX(装备!N$11:N$16,新属性汇总!$P49),0)</f>
        <v>619.5</v>
      </c>
      <c r="V49" s="37">
        <f>IF($P49&gt;0,INDEX(装备!H$11:H$16,新属性汇总!$P49),0)</f>
        <v>10</v>
      </c>
      <c r="W49" s="37">
        <f>IF($P49&gt;0,INDEX(装备!I$11:I$16,新属性汇总!$P49),0)</f>
        <v>5</v>
      </c>
      <c r="X49" s="37">
        <f>IF($P49&gt;0,INDEX(装备!J$11:J$16,新属性汇总!$P49),0)</f>
        <v>50</v>
      </c>
      <c r="Y49" s="37">
        <f t="shared" si="4"/>
        <v>596.5</v>
      </c>
      <c r="Z49" s="37">
        <f t="shared" si="5"/>
        <v>298.25</v>
      </c>
      <c r="AA49" s="37">
        <f t="shared" si="6"/>
        <v>2919.5</v>
      </c>
      <c r="AB49" s="37">
        <v>0.65</v>
      </c>
      <c r="AC49" s="37">
        <f>IF(P49&gt;0,INDEX(装备!$BP$5:$BP$16,新属性汇总!P49),0)</f>
        <v>2</v>
      </c>
      <c r="AD49" s="37">
        <f>IF($P49&gt;0,ROUND(INDEX(装备!AY$11:AY$16,新属性汇总!$P49)*$AC49/3,0)*8*AB49,0)</f>
        <v>119.60000000000001</v>
      </c>
      <c r="AE49" s="37">
        <f>IF($P49&gt;0,ROUND(INDEX(装备!AZ$11:AZ$16,新属性汇总!$P49)*$AC49/3,0)*8*AB49,0)</f>
        <v>57.2</v>
      </c>
      <c r="AF49" s="37">
        <f>IF($P49&gt;0,ROUND(INDEX(装备!BA$11:BA$16,新属性汇总!$P49)*$AC49/3,0)*8*AB49,0)</f>
        <v>265.2</v>
      </c>
      <c r="AG49" s="37">
        <f>IF(新属性汇总!P49&gt;0,INDEX(装备!$AP$11:$AP$16,新属性汇总!$P49)*2,0)</f>
        <v>628</v>
      </c>
      <c r="AH49" s="37">
        <v>0</v>
      </c>
      <c r="AI49" s="37">
        <f>IF(新属性汇总!P49&gt;0,INDEX(装备!$AP$11:$AP$16,新属性汇总!$P49)*2,0)</f>
        <v>628</v>
      </c>
      <c r="AJ49" s="37">
        <v>4</v>
      </c>
      <c r="AK49" s="37">
        <f>IF($AJ49&gt;0,INDEX(专属武器!H$4:H$53,新属性汇总!$AJ49),0)</f>
        <v>237</v>
      </c>
      <c r="AL49" s="37">
        <f>IF($AJ49&gt;0,INDEX(专属武器!I$4:I$53,新属性汇总!$AJ49),0)</f>
        <v>118</v>
      </c>
      <c r="AM49" s="37">
        <f>IF($AJ49&gt;0,INDEX(专属武器!J$4:J$53,新属性汇总!$AJ49),0)</f>
        <v>1066</v>
      </c>
      <c r="AQ49" s="13">
        <v>45</v>
      </c>
      <c r="AR49" s="13">
        <f t="shared" si="7"/>
        <v>1153.4499999999998</v>
      </c>
      <c r="AS49" s="13">
        <f t="shared" si="8"/>
        <v>574.42499999999995</v>
      </c>
      <c r="AT49" s="13">
        <f t="shared" si="9"/>
        <v>5378.5499999999993</v>
      </c>
      <c r="AU49" s="13">
        <f t="shared" si="10"/>
        <v>586.5</v>
      </c>
      <c r="AV49" s="13">
        <f t="shared" si="11"/>
        <v>293.25</v>
      </c>
      <c r="AW49" s="13">
        <f t="shared" si="12"/>
        <v>2869.5</v>
      </c>
      <c r="AX49" s="13">
        <f t="shared" si="13"/>
        <v>119.60000000000001</v>
      </c>
      <c r="AY49" s="13">
        <f t="shared" si="14"/>
        <v>57.2</v>
      </c>
      <c r="AZ49" s="13">
        <f t="shared" si="15"/>
        <v>265.2</v>
      </c>
      <c r="BA49" s="13">
        <f t="shared" si="16"/>
        <v>628</v>
      </c>
      <c r="BB49" s="13">
        <f t="shared" si="17"/>
        <v>0</v>
      </c>
      <c r="BC49" s="13">
        <f t="shared" si="18"/>
        <v>628</v>
      </c>
      <c r="BD49" s="13">
        <f t="shared" si="19"/>
        <v>237</v>
      </c>
      <c r="BE49" s="13">
        <f t="shared" si="20"/>
        <v>118</v>
      </c>
      <c r="BF49" s="13">
        <f t="shared" si="21"/>
        <v>1066</v>
      </c>
      <c r="BG49" s="13">
        <f t="shared" si="22"/>
        <v>16890</v>
      </c>
      <c r="BH49" s="13">
        <f t="shared" si="23"/>
        <v>8734</v>
      </c>
      <c r="BI49" s="13">
        <f t="shared" si="24"/>
        <v>1435</v>
      </c>
      <c r="BJ49" s="13">
        <f t="shared" si="25"/>
        <v>3768</v>
      </c>
      <c r="BK49" s="13">
        <f t="shared" si="26"/>
        <v>3431</v>
      </c>
      <c r="BL49" s="13">
        <f t="shared" si="27"/>
        <v>34258</v>
      </c>
      <c r="BM49" s="31">
        <f t="shared" si="28"/>
        <v>0.49299999999999999</v>
      </c>
      <c r="BN49" s="31">
        <f t="shared" si="29"/>
        <v>0.25490000000000002</v>
      </c>
      <c r="BO49" s="31">
        <f t="shared" si="30"/>
        <v>4.19E-2</v>
      </c>
      <c r="BP49" s="31">
        <f t="shared" si="31"/>
        <v>0.11</v>
      </c>
      <c r="BQ49" s="31">
        <f t="shared" si="32"/>
        <v>0.1002</v>
      </c>
    </row>
    <row r="50" spans="1:69" ht="16.5" x14ac:dyDescent="0.2">
      <c r="A50" s="37">
        <v>47</v>
      </c>
      <c r="B50" s="37">
        <v>5</v>
      </c>
      <c r="C50" s="37">
        <v>1</v>
      </c>
      <c r="D50" s="37">
        <v>3</v>
      </c>
      <c r="E50" s="37">
        <v>47</v>
      </c>
      <c r="F50" s="37">
        <f>INDEX(新属性投放!$L$6:$L$10,新属性汇总!D50)</f>
        <v>1.1499999999999999</v>
      </c>
      <c r="G50" s="37">
        <f>INDEX(新属性投放!J$42:J$62,新属性汇总!$B50)</f>
        <v>878</v>
      </c>
      <c r="H50" s="37">
        <f>INDEX(新属性投放!K$42:K$62,新属性汇总!$B50)</f>
        <v>437</v>
      </c>
      <c r="I50" s="37">
        <f>INDEX(新属性投放!L$42:L$62,新属性汇总!$B50)</f>
        <v>4117</v>
      </c>
      <c r="J50" s="37">
        <f>($A50-INDEX(新属性投放!$B$42:$B$62,新属性汇总!$B50))*INDEX(新属性投放!D$42:D$62,新属性汇总!$B50)</f>
        <v>175</v>
      </c>
      <c r="K50" s="37">
        <f>($A50-INDEX(新属性投放!$B$42:$B$62,新属性汇总!$B50))*INDEX(新属性投放!E$42:E$62,新属性汇总!$B50)</f>
        <v>87.5</v>
      </c>
      <c r="L50" s="37">
        <f>($A50-INDEX(新属性投放!$B$42:$B$62,新属性汇总!$B50))*INDEX(新属性投放!F$42:F$62,新属性汇总!$B50)</f>
        <v>784</v>
      </c>
      <c r="M50" s="37">
        <f t="shared" si="1"/>
        <v>1210.9499999999998</v>
      </c>
      <c r="N50" s="37">
        <f t="shared" si="2"/>
        <v>603.17499999999995</v>
      </c>
      <c r="O50" s="37">
        <f t="shared" si="3"/>
        <v>5636.15</v>
      </c>
      <c r="P50" s="37">
        <v>1</v>
      </c>
      <c r="Q50" s="37">
        <v>4</v>
      </c>
      <c r="R50">
        <v>47</v>
      </c>
      <c r="S50" s="37">
        <f>IF($P50&gt;0,INDEX(装备!L$11:L$16,新属性汇总!$P50),0)</f>
        <v>136.5</v>
      </c>
      <c r="T50" s="37">
        <f>IF($P50&gt;0,INDEX(装备!M$11:M$16,新属性汇总!$P50),0)</f>
        <v>68.25</v>
      </c>
      <c r="U50" s="37">
        <f>IF($P50&gt;0,INDEX(装备!N$11:N$16,新属性汇总!$P50),0)</f>
        <v>619.5</v>
      </c>
      <c r="V50" s="37">
        <f>IF($P50&gt;0,INDEX(装备!H$11:H$16,新属性汇总!$P50),0)</f>
        <v>10</v>
      </c>
      <c r="W50" s="37">
        <f>IF($P50&gt;0,INDEX(装备!I$11:I$16,新属性汇总!$P50),0)</f>
        <v>5</v>
      </c>
      <c r="X50" s="37">
        <f>IF($P50&gt;0,INDEX(装备!J$11:J$16,新属性汇总!$P50),0)</f>
        <v>50</v>
      </c>
      <c r="Y50" s="37">
        <f t="shared" si="4"/>
        <v>606.5</v>
      </c>
      <c r="Z50" s="37">
        <f t="shared" si="5"/>
        <v>303.25</v>
      </c>
      <c r="AA50" s="37">
        <f t="shared" si="6"/>
        <v>2969.5</v>
      </c>
      <c r="AB50" s="37">
        <v>0.65</v>
      </c>
      <c r="AC50" s="37">
        <f>IF(P50&gt;0,INDEX(装备!$BP$5:$BP$16,新属性汇总!P50),0)</f>
        <v>2</v>
      </c>
      <c r="AD50" s="37">
        <f>IF($P50&gt;0,ROUND(INDEX(装备!AY$11:AY$16,新属性汇总!$P50)*$AC50/3,0)*8*AB50,0)</f>
        <v>119.60000000000001</v>
      </c>
      <c r="AE50" s="37">
        <f>IF($P50&gt;0,ROUND(INDEX(装备!AZ$11:AZ$16,新属性汇总!$P50)*$AC50/3,0)*8*AB50,0)</f>
        <v>57.2</v>
      </c>
      <c r="AF50" s="37">
        <f>IF($P50&gt;0,ROUND(INDEX(装备!BA$11:BA$16,新属性汇总!$P50)*$AC50/3,0)*8*AB50,0)</f>
        <v>265.2</v>
      </c>
      <c r="AG50" s="37">
        <f>IF(新属性汇总!P50&gt;0,INDEX(装备!$AP$11:$AP$16,新属性汇总!$P50)*2,0)</f>
        <v>628</v>
      </c>
      <c r="AH50" s="37">
        <v>0</v>
      </c>
      <c r="AI50" s="37">
        <f>IF(新属性汇总!P50&gt;0,INDEX(装备!$AP$11:$AP$16,新属性汇总!$P50)*2,0)</f>
        <v>628</v>
      </c>
      <c r="AJ50" s="37">
        <v>4</v>
      </c>
      <c r="AK50" s="37">
        <f>IF($AJ50&gt;0,INDEX(专属武器!H$4:H$53,新属性汇总!$AJ50),0)</f>
        <v>237</v>
      </c>
      <c r="AL50" s="37">
        <f>IF($AJ50&gt;0,INDEX(专属武器!I$4:I$53,新属性汇总!$AJ50),0)</f>
        <v>118</v>
      </c>
      <c r="AM50" s="37">
        <f>IF($AJ50&gt;0,INDEX(专属武器!J$4:J$53,新属性汇总!$AJ50),0)</f>
        <v>1066</v>
      </c>
      <c r="AQ50" s="13">
        <v>46</v>
      </c>
      <c r="AR50" s="13">
        <f t="shared" si="7"/>
        <v>1182.1999999999998</v>
      </c>
      <c r="AS50" s="13">
        <f t="shared" si="8"/>
        <v>588.79999999999995</v>
      </c>
      <c r="AT50" s="13">
        <f t="shared" si="9"/>
        <v>5507.3499999999995</v>
      </c>
      <c r="AU50" s="13">
        <f t="shared" si="10"/>
        <v>596.5</v>
      </c>
      <c r="AV50" s="13">
        <f t="shared" si="11"/>
        <v>298.25</v>
      </c>
      <c r="AW50" s="13">
        <f t="shared" si="12"/>
        <v>2919.5</v>
      </c>
      <c r="AX50" s="13">
        <f t="shared" si="13"/>
        <v>119.60000000000001</v>
      </c>
      <c r="AY50" s="13">
        <f t="shared" si="14"/>
        <v>57.2</v>
      </c>
      <c r="AZ50" s="13">
        <f t="shared" si="15"/>
        <v>265.2</v>
      </c>
      <c r="BA50" s="13">
        <f t="shared" si="16"/>
        <v>628</v>
      </c>
      <c r="BB50" s="13">
        <f t="shared" si="17"/>
        <v>0</v>
      </c>
      <c r="BC50" s="13">
        <f t="shared" si="18"/>
        <v>628</v>
      </c>
      <c r="BD50" s="13">
        <f t="shared" si="19"/>
        <v>237</v>
      </c>
      <c r="BE50" s="13">
        <f t="shared" si="20"/>
        <v>118</v>
      </c>
      <c r="BF50" s="13">
        <f t="shared" si="21"/>
        <v>1066</v>
      </c>
      <c r="BG50" s="13">
        <f t="shared" si="22"/>
        <v>17306</v>
      </c>
      <c r="BH50" s="13">
        <f t="shared" si="23"/>
        <v>8884</v>
      </c>
      <c r="BI50" s="13">
        <f t="shared" si="24"/>
        <v>1435</v>
      </c>
      <c r="BJ50" s="13">
        <f t="shared" si="25"/>
        <v>3768</v>
      </c>
      <c r="BK50" s="13">
        <f t="shared" si="26"/>
        <v>3431</v>
      </c>
      <c r="BL50" s="13">
        <f t="shared" si="27"/>
        <v>34824</v>
      </c>
      <c r="BM50" s="31">
        <f t="shared" si="28"/>
        <v>0.497</v>
      </c>
      <c r="BN50" s="31">
        <f t="shared" si="29"/>
        <v>0.25509999999999999</v>
      </c>
      <c r="BO50" s="31">
        <f t="shared" si="30"/>
        <v>4.1200000000000001E-2</v>
      </c>
      <c r="BP50" s="31">
        <f t="shared" si="31"/>
        <v>0.1082</v>
      </c>
      <c r="BQ50" s="31">
        <f t="shared" si="32"/>
        <v>9.8500000000000004E-2</v>
      </c>
    </row>
    <row r="51" spans="1:69" ht="16.5" x14ac:dyDescent="0.2">
      <c r="A51" s="37">
        <v>48</v>
      </c>
      <c r="B51" s="37">
        <v>5</v>
      </c>
      <c r="C51" s="37">
        <v>1</v>
      </c>
      <c r="D51" s="37">
        <v>3</v>
      </c>
      <c r="E51" s="37">
        <v>48</v>
      </c>
      <c r="F51" s="37">
        <f>INDEX(新属性投放!$L$6:$L$10,新属性汇总!D51)</f>
        <v>1.1499999999999999</v>
      </c>
      <c r="G51" s="37">
        <f>INDEX(新属性投放!J$42:J$62,新属性汇总!$B51)</f>
        <v>878</v>
      </c>
      <c r="H51" s="37">
        <f>INDEX(新属性投放!K$42:K$62,新属性汇总!$B51)</f>
        <v>437</v>
      </c>
      <c r="I51" s="37">
        <f>INDEX(新属性投放!L$42:L$62,新属性汇总!$B51)</f>
        <v>4117</v>
      </c>
      <c r="J51" s="37">
        <f>($A51-INDEX(新属性投放!$B$42:$B$62,新属性汇总!$B51))*INDEX(新属性投放!D$42:D$62,新属性汇总!$B51)</f>
        <v>200</v>
      </c>
      <c r="K51" s="37">
        <f>($A51-INDEX(新属性投放!$B$42:$B$62,新属性汇总!$B51))*INDEX(新属性投放!E$42:E$62,新属性汇总!$B51)</f>
        <v>100</v>
      </c>
      <c r="L51" s="37">
        <f>($A51-INDEX(新属性投放!$B$42:$B$62,新属性汇总!$B51))*INDEX(新属性投放!F$42:F$62,新属性汇总!$B51)</f>
        <v>896</v>
      </c>
      <c r="M51" s="37">
        <f t="shared" si="1"/>
        <v>1239.6999999999998</v>
      </c>
      <c r="N51" s="37">
        <f t="shared" si="2"/>
        <v>617.54999999999995</v>
      </c>
      <c r="O51" s="37">
        <f t="shared" si="3"/>
        <v>5764.95</v>
      </c>
      <c r="P51" s="37">
        <v>1</v>
      </c>
      <c r="Q51" s="37">
        <v>4</v>
      </c>
      <c r="R51">
        <v>48</v>
      </c>
      <c r="S51" s="37">
        <f>IF($P51&gt;0,INDEX(装备!L$11:L$16,新属性汇总!$P51),0)</f>
        <v>136.5</v>
      </c>
      <c r="T51" s="37">
        <f>IF($P51&gt;0,INDEX(装备!M$11:M$16,新属性汇总!$P51),0)</f>
        <v>68.25</v>
      </c>
      <c r="U51" s="37">
        <f>IF($P51&gt;0,INDEX(装备!N$11:N$16,新属性汇总!$P51),0)</f>
        <v>619.5</v>
      </c>
      <c r="V51" s="37">
        <f>IF($P51&gt;0,INDEX(装备!H$11:H$16,新属性汇总!$P51),0)</f>
        <v>10</v>
      </c>
      <c r="W51" s="37">
        <f>IF($P51&gt;0,INDEX(装备!I$11:I$16,新属性汇总!$P51),0)</f>
        <v>5</v>
      </c>
      <c r="X51" s="37">
        <f>IF($P51&gt;0,INDEX(装备!J$11:J$16,新属性汇总!$P51),0)</f>
        <v>50</v>
      </c>
      <c r="Y51" s="37">
        <f t="shared" si="4"/>
        <v>616.5</v>
      </c>
      <c r="Z51" s="37">
        <f t="shared" si="5"/>
        <v>308.25</v>
      </c>
      <c r="AA51" s="37">
        <f t="shared" si="6"/>
        <v>3019.5</v>
      </c>
      <c r="AB51" s="37">
        <v>0.65</v>
      </c>
      <c r="AC51" s="37">
        <f>IF(P51&gt;0,INDEX(装备!$BP$5:$BP$16,新属性汇总!P51),0)</f>
        <v>2</v>
      </c>
      <c r="AD51" s="37">
        <f>IF($P51&gt;0,ROUND(INDEX(装备!AY$11:AY$16,新属性汇总!$P51)*$AC51/3,0)*8*AB51,0)</f>
        <v>119.60000000000001</v>
      </c>
      <c r="AE51" s="37">
        <f>IF($P51&gt;0,ROUND(INDEX(装备!AZ$11:AZ$16,新属性汇总!$P51)*$AC51/3,0)*8*AB51,0)</f>
        <v>57.2</v>
      </c>
      <c r="AF51" s="37">
        <f>IF($P51&gt;0,ROUND(INDEX(装备!BA$11:BA$16,新属性汇总!$P51)*$AC51/3,0)*8*AB51,0)</f>
        <v>265.2</v>
      </c>
      <c r="AG51" s="37">
        <f>IF(新属性汇总!P51&gt;0,INDEX(装备!$AP$11:$AP$16,新属性汇总!$P51)*2,0)</f>
        <v>628</v>
      </c>
      <c r="AH51" s="37">
        <v>0</v>
      </c>
      <c r="AI51" s="37">
        <f>IF(新属性汇总!P51&gt;0,INDEX(装备!$AP$11:$AP$16,新属性汇总!$P51)*2,0)</f>
        <v>628</v>
      </c>
      <c r="AJ51" s="37">
        <v>4</v>
      </c>
      <c r="AK51" s="37">
        <f>IF($AJ51&gt;0,INDEX(专属武器!H$4:H$53,新属性汇总!$AJ51),0)</f>
        <v>237</v>
      </c>
      <c r="AL51" s="37">
        <f>IF($AJ51&gt;0,INDEX(专属武器!I$4:I$53,新属性汇总!$AJ51),0)</f>
        <v>118</v>
      </c>
      <c r="AM51" s="37">
        <f>IF($AJ51&gt;0,INDEX(专属武器!J$4:J$53,新属性汇总!$AJ51),0)</f>
        <v>1066</v>
      </c>
      <c r="AQ51" s="13">
        <v>47</v>
      </c>
      <c r="AR51" s="13">
        <f t="shared" si="7"/>
        <v>1210.9499999999998</v>
      </c>
      <c r="AS51" s="13">
        <f t="shared" si="8"/>
        <v>603.17499999999995</v>
      </c>
      <c r="AT51" s="13">
        <f t="shared" si="9"/>
        <v>5636.15</v>
      </c>
      <c r="AU51" s="13">
        <f t="shared" si="10"/>
        <v>606.5</v>
      </c>
      <c r="AV51" s="13">
        <f t="shared" si="11"/>
        <v>303.25</v>
      </c>
      <c r="AW51" s="13">
        <f t="shared" si="12"/>
        <v>2969.5</v>
      </c>
      <c r="AX51" s="13">
        <f t="shared" si="13"/>
        <v>119.60000000000001</v>
      </c>
      <c r="AY51" s="13">
        <f t="shared" si="14"/>
        <v>57.2</v>
      </c>
      <c r="AZ51" s="13">
        <f t="shared" si="15"/>
        <v>265.2</v>
      </c>
      <c r="BA51" s="13">
        <f t="shared" si="16"/>
        <v>628</v>
      </c>
      <c r="BB51" s="13">
        <f t="shared" si="17"/>
        <v>0</v>
      </c>
      <c r="BC51" s="13">
        <f t="shared" si="18"/>
        <v>628</v>
      </c>
      <c r="BD51" s="13">
        <f t="shared" si="19"/>
        <v>237</v>
      </c>
      <c r="BE51" s="13">
        <f t="shared" si="20"/>
        <v>118</v>
      </c>
      <c r="BF51" s="13">
        <f t="shared" si="21"/>
        <v>1066</v>
      </c>
      <c r="BG51" s="13">
        <f t="shared" si="22"/>
        <v>17722</v>
      </c>
      <c r="BH51" s="13">
        <f t="shared" si="23"/>
        <v>9034</v>
      </c>
      <c r="BI51" s="13">
        <f t="shared" si="24"/>
        <v>1435</v>
      </c>
      <c r="BJ51" s="13">
        <f t="shared" si="25"/>
        <v>3768</v>
      </c>
      <c r="BK51" s="13">
        <f t="shared" si="26"/>
        <v>3431</v>
      </c>
      <c r="BL51" s="13">
        <f t="shared" si="27"/>
        <v>35390</v>
      </c>
      <c r="BM51" s="31">
        <f t="shared" si="28"/>
        <v>0.50080000000000002</v>
      </c>
      <c r="BN51" s="31">
        <f t="shared" si="29"/>
        <v>0.25530000000000003</v>
      </c>
      <c r="BO51" s="31">
        <f t="shared" si="30"/>
        <v>4.0500000000000001E-2</v>
      </c>
      <c r="BP51" s="31">
        <f t="shared" si="31"/>
        <v>0.1065</v>
      </c>
      <c r="BQ51" s="31">
        <f t="shared" si="32"/>
        <v>9.69E-2</v>
      </c>
    </row>
    <row r="52" spans="1:69" ht="16.5" x14ac:dyDescent="0.2">
      <c r="A52" s="37">
        <v>49</v>
      </c>
      <c r="B52" s="37">
        <v>5</v>
      </c>
      <c r="C52" s="37">
        <v>1</v>
      </c>
      <c r="D52" s="37">
        <v>3</v>
      </c>
      <c r="E52" s="37">
        <v>49</v>
      </c>
      <c r="F52" s="37">
        <f>INDEX(新属性投放!$L$6:$L$10,新属性汇总!D52)</f>
        <v>1.1499999999999999</v>
      </c>
      <c r="G52" s="37">
        <f>INDEX(新属性投放!J$42:J$62,新属性汇总!$B52)</f>
        <v>878</v>
      </c>
      <c r="H52" s="37">
        <f>INDEX(新属性投放!K$42:K$62,新属性汇总!$B52)</f>
        <v>437</v>
      </c>
      <c r="I52" s="37">
        <f>INDEX(新属性投放!L$42:L$62,新属性汇总!$B52)</f>
        <v>4117</v>
      </c>
      <c r="J52" s="37">
        <f>($A52-INDEX(新属性投放!$B$42:$B$62,新属性汇总!$B52))*INDEX(新属性投放!D$42:D$62,新属性汇总!$B52)</f>
        <v>225</v>
      </c>
      <c r="K52" s="37">
        <f>($A52-INDEX(新属性投放!$B$42:$B$62,新属性汇总!$B52))*INDEX(新属性投放!E$42:E$62,新属性汇总!$B52)</f>
        <v>112.5</v>
      </c>
      <c r="L52" s="37">
        <f>($A52-INDEX(新属性投放!$B$42:$B$62,新属性汇总!$B52))*INDEX(新属性投放!F$42:F$62,新属性汇总!$B52)</f>
        <v>1008</v>
      </c>
      <c r="M52" s="37">
        <f t="shared" si="1"/>
        <v>1268.4499999999998</v>
      </c>
      <c r="N52" s="37">
        <f t="shared" si="2"/>
        <v>631.92499999999995</v>
      </c>
      <c r="O52" s="37">
        <f t="shared" si="3"/>
        <v>5893.7499999999991</v>
      </c>
      <c r="P52" s="37">
        <v>1</v>
      </c>
      <c r="Q52" s="37">
        <v>4</v>
      </c>
      <c r="R52">
        <v>49</v>
      </c>
      <c r="S52" s="37">
        <f>IF($P52&gt;0,INDEX(装备!L$11:L$16,新属性汇总!$P52),0)</f>
        <v>136.5</v>
      </c>
      <c r="T52" s="37">
        <f>IF($P52&gt;0,INDEX(装备!M$11:M$16,新属性汇总!$P52),0)</f>
        <v>68.25</v>
      </c>
      <c r="U52" s="37">
        <f>IF($P52&gt;0,INDEX(装备!N$11:N$16,新属性汇总!$P52),0)</f>
        <v>619.5</v>
      </c>
      <c r="V52" s="37">
        <f>IF($P52&gt;0,INDEX(装备!H$11:H$16,新属性汇总!$P52),0)</f>
        <v>10</v>
      </c>
      <c r="W52" s="37">
        <f>IF($P52&gt;0,INDEX(装备!I$11:I$16,新属性汇总!$P52),0)</f>
        <v>5</v>
      </c>
      <c r="X52" s="37">
        <f>IF($P52&gt;0,INDEX(装备!J$11:J$16,新属性汇总!$P52),0)</f>
        <v>50</v>
      </c>
      <c r="Y52" s="37">
        <f t="shared" si="4"/>
        <v>626.5</v>
      </c>
      <c r="Z52" s="37">
        <f t="shared" si="5"/>
        <v>313.25</v>
      </c>
      <c r="AA52" s="37">
        <f t="shared" si="6"/>
        <v>3069.5</v>
      </c>
      <c r="AB52" s="37">
        <v>0.65</v>
      </c>
      <c r="AC52" s="37">
        <f>IF(P52&gt;0,INDEX(装备!$BP$5:$BP$16,新属性汇总!P52),0)</f>
        <v>2</v>
      </c>
      <c r="AD52" s="37">
        <f>IF($P52&gt;0,ROUND(INDEX(装备!AY$11:AY$16,新属性汇总!$P52)*$AC52/3,0)*8*AB52,0)</f>
        <v>119.60000000000001</v>
      </c>
      <c r="AE52" s="37">
        <f>IF($P52&gt;0,ROUND(INDEX(装备!AZ$11:AZ$16,新属性汇总!$P52)*$AC52/3,0)*8*AB52,0)</f>
        <v>57.2</v>
      </c>
      <c r="AF52" s="37">
        <f>IF($P52&gt;0,ROUND(INDEX(装备!BA$11:BA$16,新属性汇总!$P52)*$AC52/3,0)*8*AB52,0)</f>
        <v>265.2</v>
      </c>
      <c r="AG52" s="37">
        <f>IF(新属性汇总!P52&gt;0,INDEX(装备!$AP$11:$AP$16,新属性汇总!$P52)*2,0)</f>
        <v>628</v>
      </c>
      <c r="AH52" s="37">
        <v>0</v>
      </c>
      <c r="AI52" s="37">
        <f>IF(新属性汇总!P52&gt;0,INDEX(装备!$AP$11:$AP$16,新属性汇总!$P52)*2,0)</f>
        <v>628</v>
      </c>
      <c r="AJ52" s="37">
        <v>4</v>
      </c>
      <c r="AK52" s="37">
        <f>IF($AJ52&gt;0,INDEX(专属武器!H$4:H$53,新属性汇总!$AJ52),0)</f>
        <v>237</v>
      </c>
      <c r="AL52" s="37">
        <f>IF($AJ52&gt;0,INDEX(专属武器!I$4:I$53,新属性汇总!$AJ52),0)</f>
        <v>118</v>
      </c>
      <c r="AM52" s="37">
        <f>IF($AJ52&gt;0,INDEX(专属武器!J$4:J$53,新属性汇总!$AJ52),0)</f>
        <v>1066</v>
      </c>
      <c r="AQ52" s="13">
        <v>48</v>
      </c>
      <c r="AR52" s="13">
        <f t="shared" si="7"/>
        <v>1239.6999999999998</v>
      </c>
      <c r="AS52" s="13">
        <f t="shared" si="8"/>
        <v>617.54999999999995</v>
      </c>
      <c r="AT52" s="13">
        <f t="shared" si="9"/>
        <v>5764.95</v>
      </c>
      <c r="AU52" s="13">
        <f t="shared" si="10"/>
        <v>616.5</v>
      </c>
      <c r="AV52" s="13">
        <f t="shared" si="11"/>
        <v>308.25</v>
      </c>
      <c r="AW52" s="13">
        <f t="shared" si="12"/>
        <v>3019.5</v>
      </c>
      <c r="AX52" s="13">
        <f t="shared" si="13"/>
        <v>119.60000000000001</v>
      </c>
      <c r="AY52" s="13">
        <f t="shared" si="14"/>
        <v>57.2</v>
      </c>
      <c r="AZ52" s="13">
        <f t="shared" si="15"/>
        <v>265.2</v>
      </c>
      <c r="BA52" s="13">
        <f t="shared" si="16"/>
        <v>628</v>
      </c>
      <c r="BB52" s="13">
        <f t="shared" si="17"/>
        <v>0</v>
      </c>
      <c r="BC52" s="13">
        <f t="shared" si="18"/>
        <v>628</v>
      </c>
      <c r="BD52" s="13">
        <f t="shared" si="19"/>
        <v>237</v>
      </c>
      <c r="BE52" s="13">
        <f t="shared" si="20"/>
        <v>118</v>
      </c>
      <c r="BF52" s="13">
        <f t="shared" si="21"/>
        <v>1066</v>
      </c>
      <c r="BG52" s="13">
        <f t="shared" si="22"/>
        <v>18138</v>
      </c>
      <c r="BH52" s="13">
        <f t="shared" si="23"/>
        <v>9184</v>
      </c>
      <c r="BI52" s="13">
        <f t="shared" si="24"/>
        <v>1435</v>
      </c>
      <c r="BJ52" s="13">
        <f t="shared" si="25"/>
        <v>3768</v>
      </c>
      <c r="BK52" s="13">
        <f t="shared" si="26"/>
        <v>3431</v>
      </c>
      <c r="BL52" s="13">
        <f t="shared" si="27"/>
        <v>35956</v>
      </c>
      <c r="BM52" s="31">
        <f t="shared" si="28"/>
        <v>0.50439999999999996</v>
      </c>
      <c r="BN52" s="31">
        <f t="shared" si="29"/>
        <v>0.25540000000000002</v>
      </c>
      <c r="BO52" s="31">
        <f t="shared" si="30"/>
        <v>3.9899999999999998E-2</v>
      </c>
      <c r="BP52" s="31">
        <f t="shared" si="31"/>
        <v>0.1048</v>
      </c>
      <c r="BQ52" s="31">
        <f t="shared" si="32"/>
        <v>9.5399999999999999E-2</v>
      </c>
    </row>
    <row r="53" spans="1:69" ht="16.5" x14ac:dyDescent="0.2">
      <c r="A53" s="37">
        <v>50</v>
      </c>
      <c r="B53" s="37">
        <v>6</v>
      </c>
      <c r="C53" s="37">
        <v>1</v>
      </c>
      <c r="D53" s="37">
        <v>3</v>
      </c>
      <c r="E53" s="37">
        <v>50</v>
      </c>
      <c r="F53" s="37">
        <f>INDEX(新属性投放!$L$6:$L$10,新属性汇总!D53)</f>
        <v>1.1499999999999999</v>
      </c>
      <c r="G53" s="37">
        <f>INDEX(新属性投放!J$42:J$62,新属性汇总!$B53)</f>
        <v>1191</v>
      </c>
      <c r="H53" s="37">
        <f>INDEX(新属性投放!K$42:K$62,新属性汇总!$B53)</f>
        <v>593</v>
      </c>
      <c r="I53" s="37">
        <f>INDEX(新属性投放!L$42:L$62,新属性汇总!$B53)</f>
        <v>5804</v>
      </c>
      <c r="J53" s="37">
        <f>($A53-INDEX(新属性投放!$B$42:$B$62,新属性汇总!$B53))*INDEX(新属性投放!D$42:D$62,新属性汇总!$B53)</f>
        <v>0</v>
      </c>
      <c r="K53" s="37">
        <f>($A53-INDEX(新属性投放!$B$42:$B$62,新属性汇总!$B53))*INDEX(新属性投放!E$42:E$62,新属性汇总!$B53)</f>
        <v>0</v>
      </c>
      <c r="L53" s="37">
        <f>($A53-INDEX(新属性投放!$B$42:$B$62,新属性汇总!$B53))*INDEX(新属性投放!F$42:F$62,新属性汇总!$B53)</f>
        <v>0</v>
      </c>
      <c r="M53" s="37">
        <f t="shared" si="1"/>
        <v>1369.6499999999999</v>
      </c>
      <c r="N53" s="37">
        <f t="shared" si="2"/>
        <v>681.94999999999993</v>
      </c>
      <c r="O53" s="37">
        <f t="shared" si="3"/>
        <v>6674.5999999999995</v>
      </c>
      <c r="P53" s="37">
        <v>1</v>
      </c>
      <c r="Q53" s="37">
        <v>4</v>
      </c>
      <c r="R53">
        <v>50</v>
      </c>
      <c r="S53" s="37">
        <f>IF($P53&gt;0,INDEX(装备!L$11:L$16,新属性汇总!$P53),0)</f>
        <v>136.5</v>
      </c>
      <c r="T53" s="37">
        <f>IF($P53&gt;0,INDEX(装备!M$11:M$16,新属性汇总!$P53),0)</f>
        <v>68.25</v>
      </c>
      <c r="U53" s="37">
        <f>IF($P53&gt;0,INDEX(装备!N$11:N$16,新属性汇总!$P53),0)</f>
        <v>619.5</v>
      </c>
      <c r="V53" s="37">
        <f>IF($P53&gt;0,INDEX(装备!H$11:H$16,新属性汇总!$P53),0)</f>
        <v>10</v>
      </c>
      <c r="W53" s="37">
        <f>IF($P53&gt;0,INDEX(装备!I$11:I$16,新属性汇总!$P53),0)</f>
        <v>5</v>
      </c>
      <c r="X53" s="37">
        <f>IF($P53&gt;0,INDEX(装备!J$11:J$16,新属性汇总!$P53),0)</f>
        <v>50</v>
      </c>
      <c r="Y53" s="37">
        <f t="shared" si="4"/>
        <v>636.5</v>
      </c>
      <c r="Z53" s="37">
        <f t="shared" si="5"/>
        <v>318.25</v>
      </c>
      <c r="AA53" s="37">
        <f t="shared" si="6"/>
        <v>3119.5</v>
      </c>
      <c r="AB53" s="37">
        <v>0.65</v>
      </c>
      <c r="AC53" s="37">
        <f>IF(P53&gt;0,INDEX(装备!$BP$5:$BP$16,新属性汇总!P53),0)</f>
        <v>2</v>
      </c>
      <c r="AD53" s="37">
        <f>IF($P53&gt;0,ROUND(INDEX(装备!AY$11:AY$16,新属性汇总!$P53)*$AC53/3,0)*8*AB53,0)</f>
        <v>119.60000000000001</v>
      </c>
      <c r="AE53" s="37">
        <f>IF($P53&gt;0,ROUND(INDEX(装备!AZ$11:AZ$16,新属性汇总!$P53)*$AC53/3,0)*8*AB53,0)</f>
        <v>57.2</v>
      </c>
      <c r="AF53" s="37">
        <f>IF($P53&gt;0,ROUND(INDEX(装备!BA$11:BA$16,新属性汇总!$P53)*$AC53/3,0)*8*AB53,0)</f>
        <v>265.2</v>
      </c>
      <c r="AG53" s="37">
        <f>IF(新属性汇总!P53&gt;0,INDEX(装备!$AP$11:$AP$16,新属性汇总!$P53)*2,0)</f>
        <v>628</v>
      </c>
      <c r="AH53" s="37">
        <v>0</v>
      </c>
      <c r="AI53" s="37">
        <f>IF(新属性汇总!P53&gt;0,INDEX(装备!$AP$11:$AP$16,新属性汇总!$P53)*2,0)</f>
        <v>628</v>
      </c>
      <c r="AJ53" s="37">
        <v>5</v>
      </c>
      <c r="AK53" s="37">
        <f>IF($AJ53&gt;0,INDEX(专属武器!H$4:H$53,新属性汇总!$AJ53),0)</f>
        <v>300</v>
      </c>
      <c r="AL53" s="37">
        <f>IF($AJ53&gt;0,INDEX(专属武器!I$4:I$53,新属性汇总!$AJ53),0)</f>
        <v>149</v>
      </c>
      <c r="AM53" s="37">
        <f>IF($AJ53&gt;0,INDEX(专属武器!J$4:J$53,新属性汇总!$AJ53),0)</f>
        <v>1349</v>
      </c>
      <c r="AQ53" s="13">
        <v>49</v>
      </c>
      <c r="AR53" s="13">
        <f t="shared" si="7"/>
        <v>1268.4499999999998</v>
      </c>
      <c r="AS53" s="13">
        <f t="shared" si="8"/>
        <v>631.92499999999995</v>
      </c>
      <c r="AT53" s="13">
        <f t="shared" si="9"/>
        <v>5893.7499999999991</v>
      </c>
      <c r="AU53" s="13">
        <f t="shared" si="10"/>
        <v>626.5</v>
      </c>
      <c r="AV53" s="13">
        <f t="shared" si="11"/>
        <v>313.25</v>
      </c>
      <c r="AW53" s="13">
        <f t="shared" si="12"/>
        <v>3069.5</v>
      </c>
      <c r="AX53" s="13">
        <f t="shared" si="13"/>
        <v>119.60000000000001</v>
      </c>
      <c r="AY53" s="13">
        <f t="shared" si="14"/>
        <v>57.2</v>
      </c>
      <c r="AZ53" s="13">
        <f t="shared" si="15"/>
        <v>265.2</v>
      </c>
      <c r="BA53" s="13">
        <f t="shared" si="16"/>
        <v>628</v>
      </c>
      <c r="BB53" s="13">
        <f t="shared" si="17"/>
        <v>0</v>
      </c>
      <c r="BC53" s="13">
        <f t="shared" si="18"/>
        <v>628</v>
      </c>
      <c r="BD53" s="13">
        <f t="shared" si="19"/>
        <v>237</v>
      </c>
      <c r="BE53" s="13">
        <f t="shared" si="20"/>
        <v>118</v>
      </c>
      <c r="BF53" s="13">
        <f t="shared" si="21"/>
        <v>1066</v>
      </c>
      <c r="BG53" s="13">
        <f t="shared" si="22"/>
        <v>18555</v>
      </c>
      <c r="BH53" s="13">
        <f t="shared" si="23"/>
        <v>9334</v>
      </c>
      <c r="BI53" s="13">
        <f t="shared" si="24"/>
        <v>1435</v>
      </c>
      <c r="BJ53" s="13">
        <f t="shared" si="25"/>
        <v>3768</v>
      </c>
      <c r="BK53" s="13">
        <f t="shared" si="26"/>
        <v>3431</v>
      </c>
      <c r="BL53" s="13">
        <f t="shared" si="27"/>
        <v>36523</v>
      </c>
      <c r="BM53" s="31">
        <f t="shared" si="28"/>
        <v>0.50800000000000001</v>
      </c>
      <c r="BN53" s="31">
        <f t="shared" si="29"/>
        <v>0.25559999999999999</v>
      </c>
      <c r="BO53" s="31">
        <f t="shared" si="30"/>
        <v>3.9300000000000002E-2</v>
      </c>
      <c r="BP53" s="31">
        <f t="shared" si="31"/>
        <v>0.1032</v>
      </c>
      <c r="BQ53" s="31">
        <f t="shared" si="32"/>
        <v>9.3899999999999997E-2</v>
      </c>
    </row>
    <row r="54" spans="1:69" ht="16.5" x14ac:dyDescent="0.2">
      <c r="A54" s="37">
        <v>51</v>
      </c>
      <c r="B54" s="37">
        <v>6</v>
      </c>
      <c r="C54" s="37">
        <v>1</v>
      </c>
      <c r="D54" s="37">
        <v>3</v>
      </c>
      <c r="E54" s="37">
        <v>51</v>
      </c>
      <c r="F54" s="37">
        <f>INDEX(新属性投放!$L$6:$L$10,新属性汇总!D54)</f>
        <v>1.1499999999999999</v>
      </c>
      <c r="G54" s="37">
        <f>INDEX(新属性投放!J$42:J$62,新属性汇总!$B54)</f>
        <v>1191</v>
      </c>
      <c r="H54" s="37">
        <f>INDEX(新属性投放!K$42:K$62,新属性汇总!$B54)</f>
        <v>593</v>
      </c>
      <c r="I54" s="37">
        <f>INDEX(新属性投放!L$42:L$62,新属性汇总!$B54)</f>
        <v>5804</v>
      </c>
      <c r="J54" s="37">
        <f>($A54-INDEX(新属性投放!$B$42:$B$62,新属性汇总!$B54))*INDEX(新属性投放!D$42:D$62,新属性汇总!$B54)</f>
        <v>30</v>
      </c>
      <c r="K54" s="37">
        <f>($A54-INDEX(新属性投放!$B$42:$B$62,新属性汇总!$B54))*INDEX(新属性投放!E$42:E$62,新属性汇总!$B54)</f>
        <v>15</v>
      </c>
      <c r="L54" s="37">
        <f>($A54-INDEX(新属性投放!$B$42:$B$62,新属性汇总!$B54))*INDEX(新属性投放!F$42:F$62,新属性汇总!$B54)</f>
        <v>135</v>
      </c>
      <c r="M54" s="37">
        <f t="shared" si="1"/>
        <v>1404.1499999999999</v>
      </c>
      <c r="N54" s="37">
        <f t="shared" si="2"/>
        <v>699.19999999999993</v>
      </c>
      <c r="O54" s="37">
        <f t="shared" si="3"/>
        <v>6829.8499999999995</v>
      </c>
      <c r="P54" s="37">
        <v>1</v>
      </c>
      <c r="Q54" s="37">
        <v>4</v>
      </c>
      <c r="R54">
        <v>51</v>
      </c>
      <c r="S54" s="37">
        <f>IF($P54&gt;0,INDEX(装备!L$11:L$16,新属性汇总!$P54),0)</f>
        <v>136.5</v>
      </c>
      <c r="T54" s="37">
        <f>IF($P54&gt;0,INDEX(装备!M$11:M$16,新属性汇总!$P54),0)</f>
        <v>68.25</v>
      </c>
      <c r="U54" s="37">
        <f>IF($P54&gt;0,INDEX(装备!N$11:N$16,新属性汇总!$P54),0)</f>
        <v>619.5</v>
      </c>
      <c r="V54" s="37">
        <f>IF($P54&gt;0,INDEX(装备!H$11:H$16,新属性汇总!$P54),0)</f>
        <v>10</v>
      </c>
      <c r="W54" s="37">
        <f>IF($P54&gt;0,INDEX(装备!I$11:I$16,新属性汇总!$P54),0)</f>
        <v>5</v>
      </c>
      <c r="X54" s="37">
        <f>IF($P54&gt;0,INDEX(装备!J$11:J$16,新属性汇总!$P54),0)</f>
        <v>50</v>
      </c>
      <c r="Y54" s="37">
        <f t="shared" si="4"/>
        <v>646.5</v>
      </c>
      <c r="Z54" s="37">
        <f t="shared" si="5"/>
        <v>323.25</v>
      </c>
      <c r="AA54" s="37">
        <f t="shared" si="6"/>
        <v>3169.5</v>
      </c>
      <c r="AB54" s="37">
        <v>0.65</v>
      </c>
      <c r="AC54" s="37">
        <f>IF(P54&gt;0,INDEX(装备!$BP$5:$BP$16,新属性汇总!P54),0)</f>
        <v>2</v>
      </c>
      <c r="AD54" s="37">
        <f>IF($P54&gt;0,ROUND(INDEX(装备!AY$11:AY$16,新属性汇总!$P54)*$AC54/3,0)*8*AB54,0)</f>
        <v>119.60000000000001</v>
      </c>
      <c r="AE54" s="37">
        <f>IF($P54&gt;0,ROUND(INDEX(装备!AZ$11:AZ$16,新属性汇总!$P54)*$AC54/3,0)*8*AB54,0)</f>
        <v>57.2</v>
      </c>
      <c r="AF54" s="37">
        <f>IF($P54&gt;0,ROUND(INDEX(装备!BA$11:BA$16,新属性汇总!$P54)*$AC54/3,0)*8*AB54,0)</f>
        <v>265.2</v>
      </c>
      <c r="AG54" s="37">
        <f>IF(新属性汇总!P54&gt;0,INDEX(装备!$AP$11:$AP$16,新属性汇总!$P54)*2,0)</f>
        <v>628</v>
      </c>
      <c r="AH54" s="37">
        <v>0</v>
      </c>
      <c r="AI54" s="37">
        <f>IF(新属性汇总!P54&gt;0,INDEX(装备!$AP$11:$AP$16,新属性汇总!$P54)*2,0)</f>
        <v>628</v>
      </c>
      <c r="AJ54" s="37">
        <v>5</v>
      </c>
      <c r="AK54" s="37">
        <f>IF($AJ54&gt;0,INDEX(专属武器!H$4:H$53,新属性汇总!$AJ54),0)</f>
        <v>300</v>
      </c>
      <c r="AL54" s="37">
        <f>IF($AJ54&gt;0,INDEX(专属武器!I$4:I$53,新属性汇总!$AJ54),0)</f>
        <v>149</v>
      </c>
      <c r="AM54" s="37">
        <f>IF($AJ54&gt;0,INDEX(专属武器!J$4:J$53,新属性汇总!$AJ54),0)</f>
        <v>1349</v>
      </c>
      <c r="AQ54" s="13">
        <v>50</v>
      </c>
      <c r="AR54" s="13">
        <f t="shared" si="7"/>
        <v>1369.6499999999999</v>
      </c>
      <c r="AS54" s="13">
        <f t="shared" si="8"/>
        <v>681.94999999999993</v>
      </c>
      <c r="AT54" s="13">
        <f t="shared" si="9"/>
        <v>6674.5999999999995</v>
      </c>
      <c r="AU54" s="13">
        <f t="shared" si="10"/>
        <v>636.5</v>
      </c>
      <c r="AV54" s="13">
        <f t="shared" si="11"/>
        <v>318.25</v>
      </c>
      <c r="AW54" s="13">
        <f t="shared" si="12"/>
        <v>3119.5</v>
      </c>
      <c r="AX54" s="13">
        <f t="shared" si="13"/>
        <v>119.60000000000001</v>
      </c>
      <c r="AY54" s="13">
        <f t="shared" si="14"/>
        <v>57.2</v>
      </c>
      <c r="AZ54" s="13">
        <f t="shared" si="15"/>
        <v>265.2</v>
      </c>
      <c r="BA54" s="13">
        <f t="shared" si="16"/>
        <v>628</v>
      </c>
      <c r="BB54" s="13">
        <f t="shared" si="17"/>
        <v>0</v>
      </c>
      <c r="BC54" s="13">
        <f t="shared" si="18"/>
        <v>628</v>
      </c>
      <c r="BD54" s="13">
        <f t="shared" si="19"/>
        <v>300</v>
      </c>
      <c r="BE54" s="13">
        <f t="shared" si="20"/>
        <v>149</v>
      </c>
      <c r="BF54" s="13">
        <f t="shared" si="21"/>
        <v>1349</v>
      </c>
      <c r="BG54" s="13">
        <f t="shared" si="22"/>
        <v>20342</v>
      </c>
      <c r="BH54" s="13">
        <f t="shared" si="23"/>
        <v>9484</v>
      </c>
      <c r="BI54" s="13">
        <f t="shared" si="24"/>
        <v>1435</v>
      </c>
      <c r="BJ54" s="13">
        <f t="shared" si="25"/>
        <v>3768</v>
      </c>
      <c r="BK54" s="13">
        <f t="shared" si="26"/>
        <v>4339</v>
      </c>
      <c r="BL54" s="13">
        <f t="shared" si="27"/>
        <v>39368</v>
      </c>
      <c r="BM54" s="31">
        <f t="shared" si="28"/>
        <v>0.51670000000000005</v>
      </c>
      <c r="BN54" s="31">
        <f t="shared" si="29"/>
        <v>0.2409</v>
      </c>
      <c r="BO54" s="31">
        <f t="shared" si="30"/>
        <v>3.6499999999999998E-2</v>
      </c>
      <c r="BP54" s="31">
        <f t="shared" si="31"/>
        <v>9.5699999999999993E-2</v>
      </c>
      <c r="BQ54" s="31">
        <f t="shared" si="32"/>
        <v>0.11020000000000001</v>
      </c>
    </row>
    <row r="55" spans="1:69" ht="16.5" x14ac:dyDescent="0.2">
      <c r="A55" s="37">
        <v>52</v>
      </c>
      <c r="B55" s="37">
        <v>6</v>
      </c>
      <c r="C55" s="37">
        <v>1</v>
      </c>
      <c r="D55" s="37">
        <v>3</v>
      </c>
      <c r="E55" s="37">
        <v>52</v>
      </c>
      <c r="F55" s="37">
        <f>INDEX(新属性投放!$L$6:$L$10,新属性汇总!D55)</f>
        <v>1.1499999999999999</v>
      </c>
      <c r="G55" s="37">
        <f>INDEX(新属性投放!J$42:J$62,新属性汇总!$B55)</f>
        <v>1191</v>
      </c>
      <c r="H55" s="37">
        <f>INDEX(新属性投放!K$42:K$62,新属性汇总!$B55)</f>
        <v>593</v>
      </c>
      <c r="I55" s="37">
        <f>INDEX(新属性投放!L$42:L$62,新属性汇总!$B55)</f>
        <v>5804</v>
      </c>
      <c r="J55" s="37">
        <f>($A55-INDEX(新属性投放!$B$42:$B$62,新属性汇总!$B55))*INDEX(新属性投放!D$42:D$62,新属性汇总!$B55)</f>
        <v>60</v>
      </c>
      <c r="K55" s="37">
        <f>($A55-INDEX(新属性投放!$B$42:$B$62,新属性汇总!$B55))*INDEX(新属性投放!E$42:E$62,新属性汇总!$B55)</f>
        <v>30</v>
      </c>
      <c r="L55" s="37">
        <f>($A55-INDEX(新属性投放!$B$42:$B$62,新属性汇总!$B55))*INDEX(新属性投放!F$42:F$62,新属性汇总!$B55)</f>
        <v>270</v>
      </c>
      <c r="M55" s="37">
        <f t="shared" si="1"/>
        <v>1438.6499999999999</v>
      </c>
      <c r="N55" s="37">
        <f t="shared" si="2"/>
        <v>716.44999999999993</v>
      </c>
      <c r="O55" s="37">
        <f t="shared" si="3"/>
        <v>6985.0999999999995</v>
      </c>
      <c r="P55" s="37">
        <v>1</v>
      </c>
      <c r="Q55" s="37">
        <v>4</v>
      </c>
      <c r="R55">
        <v>52</v>
      </c>
      <c r="S55" s="37">
        <f>IF($P55&gt;0,INDEX(装备!L$11:L$16,新属性汇总!$P55),0)</f>
        <v>136.5</v>
      </c>
      <c r="T55" s="37">
        <f>IF($P55&gt;0,INDEX(装备!M$11:M$16,新属性汇总!$P55),0)</f>
        <v>68.25</v>
      </c>
      <c r="U55" s="37">
        <f>IF($P55&gt;0,INDEX(装备!N$11:N$16,新属性汇总!$P55),0)</f>
        <v>619.5</v>
      </c>
      <c r="V55" s="37">
        <f>IF($P55&gt;0,INDEX(装备!H$11:H$16,新属性汇总!$P55),0)</f>
        <v>10</v>
      </c>
      <c r="W55" s="37">
        <f>IF($P55&gt;0,INDEX(装备!I$11:I$16,新属性汇总!$P55),0)</f>
        <v>5</v>
      </c>
      <c r="X55" s="37">
        <f>IF($P55&gt;0,INDEX(装备!J$11:J$16,新属性汇总!$P55),0)</f>
        <v>50</v>
      </c>
      <c r="Y55" s="37">
        <f t="shared" si="4"/>
        <v>656.5</v>
      </c>
      <c r="Z55" s="37">
        <f t="shared" si="5"/>
        <v>328.25</v>
      </c>
      <c r="AA55" s="37">
        <f t="shared" si="6"/>
        <v>3219.5</v>
      </c>
      <c r="AB55" s="37">
        <v>0.65</v>
      </c>
      <c r="AC55" s="37">
        <f>IF(P55&gt;0,INDEX(装备!$BP$5:$BP$16,新属性汇总!P55),0)</f>
        <v>2</v>
      </c>
      <c r="AD55" s="37">
        <f>IF($P55&gt;0,ROUND(INDEX(装备!AY$11:AY$16,新属性汇总!$P55)*$AC55/3,0)*8*AB55,0)</f>
        <v>119.60000000000001</v>
      </c>
      <c r="AE55" s="37">
        <f>IF($P55&gt;0,ROUND(INDEX(装备!AZ$11:AZ$16,新属性汇总!$P55)*$AC55/3,0)*8*AB55,0)</f>
        <v>57.2</v>
      </c>
      <c r="AF55" s="37">
        <f>IF($P55&gt;0,ROUND(INDEX(装备!BA$11:BA$16,新属性汇总!$P55)*$AC55/3,0)*8*AB55,0)</f>
        <v>265.2</v>
      </c>
      <c r="AG55" s="37">
        <f>IF(新属性汇总!P55&gt;0,INDEX(装备!$AP$11:$AP$16,新属性汇总!$P55)*2,0)</f>
        <v>628</v>
      </c>
      <c r="AH55" s="37">
        <v>0</v>
      </c>
      <c r="AI55" s="37">
        <f>IF(新属性汇总!P55&gt;0,INDEX(装备!$AP$11:$AP$16,新属性汇总!$P55)*2,0)</f>
        <v>628</v>
      </c>
      <c r="AJ55" s="37">
        <v>5</v>
      </c>
      <c r="AK55" s="37">
        <f>IF($AJ55&gt;0,INDEX(专属武器!H$4:H$53,新属性汇总!$AJ55),0)</f>
        <v>300</v>
      </c>
      <c r="AL55" s="37">
        <f>IF($AJ55&gt;0,INDEX(专属武器!I$4:I$53,新属性汇总!$AJ55),0)</f>
        <v>149</v>
      </c>
      <c r="AM55" s="37">
        <f>IF($AJ55&gt;0,INDEX(专属武器!J$4:J$53,新属性汇总!$AJ55),0)</f>
        <v>1349</v>
      </c>
      <c r="AQ55" s="13">
        <v>51</v>
      </c>
      <c r="AR55" s="13">
        <f t="shared" si="7"/>
        <v>1404.1499999999999</v>
      </c>
      <c r="AS55" s="13">
        <f t="shared" si="8"/>
        <v>699.19999999999993</v>
      </c>
      <c r="AT55" s="13">
        <f t="shared" si="9"/>
        <v>6829.8499999999995</v>
      </c>
      <c r="AU55" s="13">
        <f t="shared" si="10"/>
        <v>646.5</v>
      </c>
      <c r="AV55" s="13">
        <f t="shared" si="11"/>
        <v>323.25</v>
      </c>
      <c r="AW55" s="13">
        <f t="shared" si="12"/>
        <v>3169.5</v>
      </c>
      <c r="AX55" s="13">
        <f t="shared" si="13"/>
        <v>119.60000000000001</v>
      </c>
      <c r="AY55" s="13">
        <f t="shared" si="14"/>
        <v>57.2</v>
      </c>
      <c r="AZ55" s="13">
        <f t="shared" si="15"/>
        <v>265.2</v>
      </c>
      <c r="BA55" s="13">
        <f t="shared" si="16"/>
        <v>628</v>
      </c>
      <c r="BB55" s="13">
        <f t="shared" si="17"/>
        <v>0</v>
      </c>
      <c r="BC55" s="13">
        <f t="shared" si="18"/>
        <v>628</v>
      </c>
      <c r="BD55" s="13">
        <f t="shared" si="19"/>
        <v>300</v>
      </c>
      <c r="BE55" s="13">
        <f t="shared" si="20"/>
        <v>149</v>
      </c>
      <c r="BF55" s="13">
        <f t="shared" si="21"/>
        <v>1349</v>
      </c>
      <c r="BG55" s="13">
        <f t="shared" si="22"/>
        <v>20842</v>
      </c>
      <c r="BH55" s="13">
        <f t="shared" si="23"/>
        <v>9634</v>
      </c>
      <c r="BI55" s="13">
        <f t="shared" si="24"/>
        <v>1435</v>
      </c>
      <c r="BJ55" s="13">
        <f t="shared" si="25"/>
        <v>3768</v>
      </c>
      <c r="BK55" s="13">
        <f t="shared" si="26"/>
        <v>4339</v>
      </c>
      <c r="BL55" s="13">
        <f t="shared" si="27"/>
        <v>40018</v>
      </c>
      <c r="BM55" s="31">
        <f t="shared" si="28"/>
        <v>0.52080000000000004</v>
      </c>
      <c r="BN55" s="31">
        <f t="shared" si="29"/>
        <v>0.2407</v>
      </c>
      <c r="BO55" s="31">
        <f t="shared" si="30"/>
        <v>3.5900000000000001E-2</v>
      </c>
      <c r="BP55" s="31">
        <f t="shared" si="31"/>
        <v>9.4200000000000006E-2</v>
      </c>
      <c r="BQ55" s="31">
        <f t="shared" si="32"/>
        <v>0.1084</v>
      </c>
    </row>
    <row r="56" spans="1:69" ht="16.5" x14ac:dyDescent="0.2">
      <c r="A56" s="37">
        <v>53</v>
      </c>
      <c r="B56" s="37">
        <v>6</v>
      </c>
      <c r="C56" s="37">
        <v>1</v>
      </c>
      <c r="D56" s="37">
        <v>3</v>
      </c>
      <c r="E56" s="37">
        <v>53</v>
      </c>
      <c r="F56" s="37">
        <f>INDEX(新属性投放!$L$6:$L$10,新属性汇总!D56)</f>
        <v>1.1499999999999999</v>
      </c>
      <c r="G56" s="37">
        <f>INDEX(新属性投放!J$42:J$62,新属性汇总!$B56)</f>
        <v>1191</v>
      </c>
      <c r="H56" s="37">
        <f>INDEX(新属性投放!K$42:K$62,新属性汇总!$B56)</f>
        <v>593</v>
      </c>
      <c r="I56" s="37">
        <f>INDEX(新属性投放!L$42:L$62,新属性汇总!$B56)</f>
        <v>5804</v>
      </c>
      <c r="J56" s="37">
        <f>($A56-INDEX(新属性投放!$B$42:$B$62,新属性汇总!$B56))*INDEX(新属性投放!D$42:D$62,新属性汇总!$B56)</f>
        <v>90</v>
      </c>
      <c r="K56" s="37">
        <f>($A56-INDEX(新属性投放!$B$42:$B$62,新属性汇总!$B56))*INDEX(新属性投放!E$42:E$62,新属性汇总!$B56)</f>
        <v>45</v>
      </c>
      <c r="L56" s="37">
        <f>($A56-INDEX(新属性投放!$B$42:$B$62,新属性汇总!$B56))*INDEX(新属性投放!F$42:F$62,新属性汇总!$B56)</f>
        <v>405</v>
      </c>
      <c r="M56" s="37">
        <f t="shared" si="1"/>
        <v>1473.1499999999999</v>
      </c>
      <c r="N56" s="37">
        <f t="shared" si="2"/>
        <v>733.69999999999993</v>
      </c>
      <c r="O56" s="37">
        <f t="shared" si="3"/>
        <v>7140.3499999999995</v>
      </c>
      <c r="P56" s="37">
        <v>1</v>
      </c>
      <c r="Q56" s="37">
        <v>4</v>
      </c>
      <c r="R56">
        <v>53</v>
      </c>
      <c r="S56" s="37">
        <f>IF($P56&gt;0,INDEX(装备!L$11:L$16,新属性汇总!$P56),0)</f>
        <v>136.5</v>
      </c>
      <c r="T56" s="37">
        <f>IF($P56&gt;0,INDEX(装备!M$11:M$16,新属性汇总!$P56),0)</f>
        <v>68.25</v>
      </c>
      <c r="U56" s="37">
        <f>IF($P56&gt;0,INDEX(装备!N$11:N$16,新属性汇总!$P56),0)</f>
        <v>619.5</v>
      </c>
      <c r="V56" s="37">
        <f>IF($P56&gt;0,INDEX(装备!H$11:H$16,新属性汇总!$P56),0)</f>
        <v>10</v>
      </c>
      <c r="W56" s="37">
        <f>IF($P56&gt;0,INDEX(装备!I$11:I$16,新属性汇总!$P56),0)</f>
        <v>5</v>
      </c>
      <c r="X56" s="37">
        <f>IF($P56&gt;0,INDEX(装备!J$11:J$16,新属性汇总!$P56),0)</f>
        <v>50</v>
      </c>
      <c r="Y56" s="37">
        <f t="shared" si="4"/>
        <v>666.5</v>
      </c>
      <c r="Z56" s="37">
        <f t="shared" si="5"/>
        <v>333.25</v>
      </c>
      <c r="AA56" s="37">
        <f t="shared" si="6"/>
        <v>3269.5</v>
      </c>
      <c r="AB56" s="37">
        <v>0.65</v>
      </c>
      <c r="AC56" s="37">
        <f>IF(P56&gt;0,INDEX(装备!$BP$5:$BP$16,新属性汇总!P56),0)</f>
        <v>2</v>
      </c>
      <c r="AD56" s="37">
        <f>IF($P56&gt;0,ROUND(INDEX(装备!AY$11:AY$16,新属性汇总!$P56)*$AC56/3,0)*8*AB56,0)</f>
        <v>119.60000000000001</v>
      </c>
      <c r="AE56" s="37">
        <f>IF($P56&gt;0,ROUND(INDEX(装备!AZ$11:AZ$16,新属性汇总!$P56)*$AC56/3,0)*8*AB56,0)</f>
        <v>57.2</v>
      </c>
      <c r="AF56" s="37">
        <f>IF($P56&gt;0,ROUND(INDEX(装备!BA$11:BA$16,新属性汇总!$P56)*$AC56/3,0)*8*AB56,0)</f>
        <v>265.2</v>
      </c>
      <c r="AG56" s="37">
        <f>IF(新属性汇总!P56&gt;0,INDEX(装备!$AP$11:$AP$16,新属性汇总!$P56)*2,0)</f>
        <v>628</v>
      </c>
      <c r="AH56" s="37">
        <v>0</v>
      </c>
      <c r="AI56" s="37">
        <f>IF(新属性汇总!P56&gt;0,INDEX(装备!$AP$11:$AP$16,新属性汇总!$P56)*2,0)</f>
        <v>628</v>
      </c>
      <c r="AJ56" s="37">
        <v>5</v>
      </c>
      <c r="AK56" s="37">
        <f>IF($AJ56&gt;0,INDEX(专属武器!H$4:H$53,新属性汇总!$AJ56),0)</f>
        <v>300</v>
      </c>
      <c r="AL56" s="37">
        <f>IF($AJ56&gt;0,INDEX(专属武器!I$4:I$53,新属性汇总!$AJ56),0)</f>
        <v>149</v>
      </c>
      <c r="AM56" s="37">
        <f>IF($AJ56&gt;0,INDEX(专属武器!J$4:J$53,新属性汇总!$AJ56),0)</f>
        <v>1349</v>
      </c>
      <c r="AQ56" s="13">
        <v>52</v>
      </c>
      <c r="AR56" s="13">
        <f t="shared" si="7"/>
        <v>1438.6499999999999</v>
      </c>
      <c r="AS56" s="13">
        <f t="shared" si="8"/>
        <v>716.44999999999993</v>
      </c>
      <c r="AT56" s="13">
        <f t="shared" si="9"/>
        <v>6985.0999999999995</v>
      </c>
      <c r="AU56" s="13">
        <f t="shared" si="10"/>
        <v>656.5</v>
      </c>
      <c r="AV56" s="13">
        <f t="shared" si="11"/>
        <v>328.25</v>
      </c>
      <c r="AW56" s="13">
        <f t="shared" si="12"/>
        <v>3219.5</v>
      </c>
      <c r="AX56" s="13">
        <f t="shared" si="13"/>
        <v>119.60000000000001</v>
      </c>
      <c r="AY56" s="13">
        <f t="shared" si="14"/>
        <v>57.2</v>
      </c>
      <c r="AZ56" s="13">
        <f t="shared" si="15"/>
        <v>265.2</v>
      </c>
      <c r="BA56" s="13">
        <f t="shared" si="16"/>
        <v>628</v>
      </c>
      <c r="BB56" s="13">
        <f t="shared" si="17"/>
        <v>0</v>
      </c>
      <c r="BC56" s="13">
        <f t="shared" si="18"/>
        <v>628</v>
      </c>
      <c r="BD56" s="13">
        <f t="shared" si="19"/>
        <v>300</v>
      </c>
      <c r="BE56" s="13">
        <f t="shared" si="20"/>
        <v>149</v>
      </c>
      <c r="BF56" s="13">
        <f t="shared" si="21"/>
        <v>1349</v>
      </c>
      <c r="BG56" s="13">
        <f t="shared" si="22"/>
        <v>21342</v>
      </c>
      <c r="BH56" s="13">
        <f t="shared" si="23"/>
        <v>9784</v>
      </c>
      <c r="BI56" s="13">
        <f t="shared" si="24"/>
        <v>1435</v>
      </c>
      <c r="BJ56" s="13">
        <f t="shared" si="25"/>
        <v>3768</v>
      </c>
      <c r="BK56" s="13">
        <f t="shared" si="26"/>
        <v>4339</v>
      </c>
      <c r="BL56" s="13">
        <f t="shared" si="27"/>
        <v>40668</v>
      </c>
      <c r="BM56" s="31">
        <f t="shared" si="28"/>
        <v>0.52480000000000004</v>
      </c>
      <c r="BN56" s="31">
        <f t="shared" si="29"/>
        <v>0.24060000000000001</v>
      </c>
      <c r="BO56" s="31">
        <f t="shared" si="30"/>
        <v>3.5299999999999998E-2</v>
      </c>
      <c r="BP56" s="31">
        <f t="shared" si="31"/>
        <v>9.2700000000000005E-2</v>
      </c>
      <c r="BQ56" s="31">
        <f t="shared" si="32"/>
        <v>0.1067</v>
      </c>
    </row>
    <row r="57" spans="1:69" ht="16.5" x14ac:dyDescent="0.2">
      <c r="A57" s="37">
        <v>54</v>
      </c>
      <c r="B57" s="37">
        <v>6</v>
      </c>
      <c r="C57" s="37">
        <v>1</v>
      </c>
      <c r="D57" s="37">
        <v>3</v>
      </c>
      <c r="E57" s="37">
        <v>54</v>
      </c>
      <c r="F57" s="37">
        <f>INDEX(新属性投放!$L$6:$L$10,新属性汇总!D57)</f>
        <v>1.1499999999999999</v>
      </c>
      <c r="G57" s="37">
        <f>INDEX(新属性投放!J$42:J$62,新属性汇总!$B57)</f>
        <v>1191</v>
      </c>
      <c r="H57" s="37">
        <f>INDEX(新属性投放!K$42:K$62,新属性汇总!$B57)</f>
        <v>593</v>
      </c>
      <c r="I57" s="37">
        <f>INDEX(新属性投放!L$42:L$62,新属性汇总!$B57)</f>
        <v>5804</v>
      </c>
      <c r="J57" s="37">
        <f>($A57-INDEX(新属性投放!$B$42:$B$62,新属性汇总!$B57))*INDEX(新属性投放!D$42:D$62,新属性汇总!$B57)</f>
        <v>120</v>
      </c>
      <c r="K57" s="37">
        <f>($A57-INDEX(新属性投放!$B$42:$B$62,新属性汇总!$B57))*INDEX(新属性投放!E$42:E$62,新属性汇总!$B57)</f>
        <v>60</v>
      </c>
      <c r="L57" s="37">
        <f>($A57-INDEX(新属性投放!$B$42:$B$62,新属性汇总!$B57))*INDEX(新属性投放!F$42:F$62,新属性汇总!$B57)</f>
        <v>540</v>
      </c>
      <c r="M57" s="37">
        <f t="shared" si="1"/>
        <v>1507.6499999999999</v>
      </c>
      <c r="N57" s="37">
        <f t="shared" si="2"/>
        <v>750.94999999999993</v>
      </c>
      <c r="O57" s="37">
        <f t="shared" si="3"/>
        <v>7295.5999999999995</v>
      </c>
      <c r="P57" s="37">
        <v>1</v>
      </c>
      <c r="Q57" s="37">
        <v>4</v>
      </c>
      <c r="R57">
        <v>54</v>
      </c>
      <c r="S57" s="37">
        <f>IF($P57&gt;0,INDEX(装备!L$11:L$16,新属性汇总!$P57),0)</f>
        <v>136.5</v>
      </c>
      <c r="T57" s="37">
        <f>IF($P57&gt;0,INDEX(装备!M$11:M$16,新属性汇总!$P57),0)</f>
        <v>68.25</v>
      </c>
      <c r="U57" s="37">
        <f>IF($P57&gt;0,INDEX(装备!N$11:N$16,新属性汇总!$P57),0)</f>
        <v>619.5</v>
      </c>
      <c r="V57" s="37">
        <f>IF($P57&gt;0,INDEX(装备!H$11:H$16,新属性汇总!$P57),0)</f>
        <v>10</v>
      </c>
      <c r="W57" s="37">
        <f>IF($P57&gt;0,INDEX(装备!I$11:I$16,新属性汇总!$P57),0)</f>
        <v>5</v>
      </c>
      <c r="X57" s="37">
        <f>IF($P57&gt;0,INDEX(装备!J$11:J$16,新属性汇总!$P57),0)</f>
        <v>50</v>
      </c>
      <c r="Y57" s="37">
        <f t="shared" si="4"/>
        <v>676.5</v>
      </c>
      <c r="Z57" s="37">
        <f t="shared" si="5"/>
        <v>338.25</v>
      </c>
      <c r="AA57" s="37">
        <f t="shared" si="6"/>
        <v>3319.5</v>
      </c>
      <c r="AB57" s="37">
        <v>0.65</v>
      </c>
      <c r="AC57" s="37">
        <f>IF(P57&gt;0,INDEX(装备!$BP$5:$BP$16,新属性汇总!P57),0)</f>
        <v>2</v>
      </c>
      <c r="AD57" s="37">
        <f>IF($P57&gt;0,ROUND(INDEX(装备!AY$11:AY$16,新属性汇总!$P57)*$AC57/3,0)*8*AB57,0)</f>
        <v>119.60000000000001</v>
      </c>
      <c r="AE57" s="37">
        <f>IF($P57&gt;0,ROUND(INDEX(装备!AZ$11:AZ$16,新属性汇总!$P57)*$AC57/3,0)*8*AB57,0)</f>
        <v>57.2</v>
      </c>
      <c r="AF57" s="37">
        <f>IF($P57&gt;0,ROUND(INDEX(装备!BA$11:BA$16,新属性汇总!$P57)*$AC57/3,0)*8*AB57,0)</f>
        <v>265.2</v>
      </c>
      <c r="AG57" s="37">
        <f>IF(新属性汇总!P57&gt;0,INDEX(装备!$AP$11:$AP$16,新属性汇总!$P57)*2,0)</f>
        <v>628</v>
      </c>
      <c r="AH57" s="37">
        <v>0</v>
      </c>
      <c r="AI57" s="37">
        <f>IF(新属性汇总!P57&gt;0,INDEX(装备!$AP$11:$AP$16,新属性汇总!$P57)*2,0)</f>
        <v>628</v>
      </c>
      <c r="AJ57" s="37">
        <v>5</v>
      </c>
      <c r="AK57" s="37">
        <f>IF($AJ57&gt;0,INDEX(专属武器!H$4:H$53,新属性汇总!$AJ57),0)</f>
        <v>300</v>
      </c>
      <c r="AL57" s="37">
        <f>IF($AJ57&gt;0,INDEX(专属武器!I$4:I$53,新属性汇总!$AJ57),0)</f>
        <v>149</v>
      </c>
      <c r="AM57" s="37">
        <f>IF($AJ57&gt;0,INDEX(专属武器!J$4:J$53,新属性汇总!$AJ57),0)</f>
        <v>1349</v>
      </c>
      <c r="AQ57" s="13">
        <v>53</v>
      </c>
      <c r="AR57" s="13">
        <f t="shared" si="7"/>
        <v>1473.1499999999999</v>
      </c>
      <c r="AS57" s="13">
        <f t="shared" si="8"/>
        <v>733.69999999999993</v>
      </c>
      <c r="AT57" s="13">
        <f t="shared" si="9"/>
        <v>7140.3499999999995</v>
      </c>
      <c r="AU57" s="13">
        <f t="shared" si="10"/>
        <v>666.5</v>
      </c>
      <c r="AV57" s="13">
        <f t="shared" si="11"/>
        <v>333.25</v>
      </c>
      <c r="AW57" s="13">
        <f t="shared" si="12"/>
        <v>3269.5</v>
      </c>
      <c r="AX57" s="13">
        <f t="shared" si="13"/>
        <v>119.60000000000001</v>
      </c>
      <c r="AY57" s="13">
        <f t="shared" si="14"/>
        <v>57.2</v>
      </c>
      <c r="AZ57" s="13">
        <f t="shared" si="15"/>
        <v>265.2</v>
      </c>
      <c r="BA57" s="13">
        <f t="shared" si="16"/>
        <v>628</v>
      </c>
      <c r="BB57" s="13">
        <f t="shared" si="17"/>
        <v>0</v>
      </c>
      <c r="BC57" s="13">
        <f t="shared" si="18"/>
        <v>628</v>
      </c>
      <c r="BD57" s="13">
        <f t="shared" si="19"/>
        <v>300</v>
      </c>
      <c r="BE57" s="13">
        <f t="shared" si="20"/>
        <v>149</v>
      </c>
      <c r="BF57" s="13">
        <f t="shared" si="21"/>
        <v>1349</v>
      </c>
      <c r="BG57" s="13">
        <f t="shared" si="22"/>
        <v>21843</v>
      </c>
      <c r="BH57" s="13">
        <f t="shared" si="23"/>
        <v>9934</v>
      </c>
      <c r="BI57" s="13">
        <f t="shared" si="24"/>
        <v>1435</v>
      </c>
      <c r="BJ57" s="13">
        <f t="shared" si="25"/>
        <v>3768</v>
      </c>
      <c r="BK57" s="13">
        <f t="shared" si="26"/>
        <v>4339</v>
      </c>
      <c r="BL57" s="13">
        <f t="shared" si="27"/>
        <v>41319</v>
      </c>
      <c r="BM57" s="31">
        <f t="shared" si="28"/>
        <v>0.52859999999999996</v>
      </c>
      <c r="BN57" s="31">
        <f t="shared" si="29"/>
        <v>0.2404</v>
      </c>
      <c r="BO57" s="31">
        <f t="shared" si="30"/>
        <v>3.4700000000000002E-2</v>
      </c>
      <c r="BP57" s="31">
        <f t="shared" si="31"/>
        <v>9.1200000000000003E-2</v>
      </c>
      <c r="BQ57" s="31">
        <f t="shared" si="32"/>
        <v>0.105</v>
      </c>
    </row>
    <row r="58" spans="1:69" ht="16.5" x14ac:dyDescent="0.2">
      <c r="A58" s="37">
        <v>55</v>
      </c>
      <c r="B58" s="37">
        <v>6</v>
      </c>
      <c r="C58" s="37">
        <v>1</v>
      </c>
      <c r="D58" s="37">
        <v>3</v>
      </c>
      <c r="E58" s="37">
        <v>55</v>
      </c>
      <c r="F58" s="37">
        <f>INDEX(新属性投放!$L$6:$L$10,新属性汇总!D58)</f>
        <v>1.1499999999999999</v>
      </c>
      <c r="G58" s="37">
        <f>INDEX(新属性投放!J$42:J$62,新属性汇总!$B58)</f>
        <v>1191</v>
      </c>
      <c r="H58" s="37">
        <f>INDEX(新属性投放!K$42:K$62,新属性汇总!$B58)</f>
        <v>593</v>
      </c>
      <c r="I58" s="37">
        <f>INDEX(新属性投放!L$42:L$62,新属性汇总!$B58)</f>
        <v>5804</v>
      </c>
      <c r="J58" s="37">
        <f>($A58-INDEX(新属性投放!$B$42:$B$62,新属性汇总!$B58))*INDEX(新属性投放!D$42:D$62,新属性汇总!$B58)</f>
        <v>150</v>
      </c>
      <c r="K58" s="37">
        <f>($A58-INDEX(新属性投放!$B$42:$B$62,新属性汇总!$B58))*INDEX(新属性投放!E$42:E$62,新属性汇总!$B58)</f>
        <v>75</v>
      </c>
      <c r="L58" s="37">
        <f>($A58-INDEX(新属性投放!$B$42:$B$62,新属性汇总!$B58))*INDEX(新属性投放!F$42:F$62,新属性汇总!$B58)</f>
        <v>675</v>
      </c>
      <c r="M58" s="37">
        <f t="shared" si="1"/>
        <v>1542.1499999999999</v>
      </c>
      <c r="N58" s="37">
        <f t="shared" si="2"/>
        <v>768.19999999999993</v>
      </c>
      <c r="O58" s="37">
        <f t="shared" si="3"/>
        <v>7450.8499999999995</v>
      </c>
      <c r="P58" s="37">
        <v>1</v>
      </c>
      <c r="Q58" s="37">
        <v>4</v>
      </c>
      <c r="R58">
        <v>55</v>
      </c>
      <c r="S58" s="37">
        <f>IF($P58&gt;0,INDEX(装备!L$11:L$16,新属性汇总!$P58),0)</f>
        <v>136.5</v>
      </c>
      <c r="T58" s="37">
        <f>IF($P58&gt;0,INDEX(装备!M$11:M$16,新属性汇总!$P58),0)</f>
        <v>68.25</v>
      </c>
      <c r="U58" s="37">
        <f>IF($P58&gt;0,INDEX(装备!N$11:N$16,新属性汇总!$P58),0)</f>
        <v>619.5</v>
      </c>
      <c r="V58" s="37">
        <f>IF($P58&gt;0,INDEX(装备!H$11:H$16,新属性汇总!$P58),0)</f>
        <v>10</v>
      </c>
      <c r="W58" s="37">
        <f>IF($P58&gt;0,INDEX(装备!I$11:I$16,新属性汇总!$P58),0)</f>
        <v>5</v>
      </c>
      <c r="X58" s="37">
        <f>IF($P58&gt;0,INDEX(装备!J$11:J$16,新属性汇总!$P58),0)</f>
        <v>50</v>
      </c>
      <c r="Y58" s="37">
        <f t="shared" si="4"/>
        <v>686.5</v>
      </c>
      <c r="Z58" s="37">
        <f t="shared" si="5"/>
        <v>343.25</v>
      </c>
      <c r="AA58" s="37">
        <f t="shared" si="6"/>
        <v>3369.5</v>
      </c>
      <c r="AB58" s="37">
        <v>0.65</v>
      </c>
      <c r="AC58" s="37">
        <f>IF(P58&gt;0,INDEX(装备!$BP$5:$BP$16,新属性汇总!P58),0)</f>
        <v>2</v>
      </c>
      <c r="AD58" s="37">
        <f>IF($P58&gt;0,ROUND(INDEX(装备!AY$11:AY$16,新属性汇总!$P58)*$AC58/3,0)*8*AB58,0)</f>
        <v>119.60000000000001</v>
      </c>
      <c r="AE58" s="37">
        <f>IF($P58&gt;0,ROUND(INDEX(装备!AZ$11:AZ$16,新属性汇总!$P58)*$AC58/3,0)*8*AB58,0)</f>
        <v>57.2</v>
      </c>
      <c r="AF58" s="37">
        <f>IF($P58&gt;0,ROUND(INDEX(装备!BA$11:BA$16,新属性汇总!$P58)*$AC58/3,0)*8*AB58,0)</f>
        <v>265.2</v>
      </c>
      <c r="AG58" s="37">
        <f>IF(新属性汇总!P58&gt;0,INDEX(装备!$AP$11:$AP$16,新属性汇总!$P58)*2,0)</f>
        <v>628</v>
      </c>
      <c r="AH58" s="37">
        <v>0</v>
      </c>
      <c r="AI58" s="37">
        <f>IF(新属性汇总!P58&gt;0,INDEX(装备!$AP$11:$AP$16,新属性汇总!$P58)*2,0)</f>
        <v>628</v>
      </c>
      <c r="AJ58" s="37">
        <v>6</v>
      </c>
      <c r="AK58" s="37">
        <f>IF($AJ58&gt;0,INDEX(专属武器!H$4:H$53,新属性汇总!$AJ58),0)</f>
        <v>384</v>
      </c>
      <c r="AL58" s="37">
        <f>IF($AJ58&gt;0,INDEX(专属武器!I$4:I$53,新属性汇总!$AJ58),0)</f>
        <v>191</v>
      </c>
      <c r="AM58" s="37">
        <f>IF($AJ58&gt;0,INDEX(专属武器!J$4:J$53,新属性汇总!$AJ58),0)</f>
        <v>1727</v>
      </c>
      <c r="AQ58" s="13">
        <v>54</v>
      </c>
      <c r="AR58" s="13">
        <f t="shared" si="7"/>
        <v>1507.6499999999999</v>
      </c>
      <c r="AS58" s="13">
        <f t="shared" si="8"/>
        <v>750.94999999999993</v>
      </c>
      <c r="AT58" s="13">
        <f t="shared" si="9"/>
        <v>7295.5999999999995</v>
      </c>
      <c r="AU58" s="13">
        <f t="shared" si="10"/>
        <v>676.5</v>
      </c>
      <c r="AV58" s="13">
        <f t="shared" si="11"/>
        <v>338.25</v>
      </c>
      <c r="AW58" s="13">
        <f t="shared" si="12"/>
        <v>3319.5</v>
      </c>
      <c r="AX58" s="13">
        <f t="shared" si="13"/>
        <v>119.60000000000001</v>
      </c>
      <c r="AY58" s="13">
        <f t="shared" si="14"/>
        <v>57.2</v>
      </c>
      <c r="AZ58" s="13">
        <f t="shared" si="15"/>
        <v>265.2</v>
      </c>
      <c r="BA58" s="13">
        <f t="shared" si="16"/>
        <v>628</v>
      </c>
      <c r="BB58" s="13">
        <f t="shared" si="17"/>
        <v>0</v>
      </c>
      <c r="BC58" s="13">
        <f t="shared" si="18"/>
        <v>628</v>
      </c>
      <c r="BD58" s="13">
        <f t="shared" si="19"/>
        <v>300</v>
      </c>
      <c r="BE58" s="13">
        <f t="shared" si="20"/>
        <v>149</v>
      </c>
      <c r="BF58" s="13">
        <f t="shared" si="21"/>
        <v>1349</v>
      </c>
      <c r="BG58" s="13">
        <f t="shared" si="22"/>
        <v>22343</v>
      </c>
      <c r="BH58" s="13">
        <f t="shared" si="23"/>
        <v>10084</v>
      </c>
      <c r="BI58" s="13">
        <f t="shared" si="24"/>
        <v>1435</v>
      </c>
      <c r="BJ58" s="13">
        <f t="shared" si="25"/>
        <v>3768</v>
      </c>
      <c r="BK58" s="13">
        <f t="shared" si="26"/>
        <v>4339</v>
      </c>
      <c r="BL58" s="13">
        <f t="shared" si="27"/>
        <v>41969</v>
      </c>
      <c r="BM58" s="31">
        <f t="shared" si="28"/>
        <v>0.53239999999999998</v>
      </c>
      <c r="BN58" s="31">
        <f t="shared" si="29"/>
        <v>0.24030000000000001</v>
      </c>
      <c r="BO58" s="31">
        <f t="shared" si="30"/>
        <v>3.4200000000000001E-2</v>
      </c>
      <c r="BP58" s="31">
        <f t="shared" si="31"/>
        <v>8.9800000000000005E-2</v>
      </c>
      <c r="BQ58" s="31">
        <f t="shared" si="32"/>
        <v>0.10340000000000001</v>
      </c>
    </row>
    <row r="59" spans="1:69" ht="16.5" x14ac:dyDescent="0.2">
      <c r="A59" s="37">
        <v>56</v>
      </c>
      <c r="B59" s="37">
        <v>6</v>
      </c>
      <c r="C59" s="37">
        <v>1</v>
      </c>
      <c r="D59" s="37">
        <v>3</v>
      </c>
      <c r="E59" s="37">
        <v>56</v>
      </c>
      <c r="F59" s="37">
        <f>INDEX(新属性投放!$L$6:$L$10,新属性汇总!D59)</f>
        <v>1.1499999999999999</v>
      </c>
      <c r="G59" s="37">
        <f>INDEX(新属性投放!J$42:J$62,新属性汇总!$B59)</f>
        <v>1191</v>
      </c>
      <c r="H59" s="37">
        <f>INDEX(新属性投放!K$42:K$62,新属性汇总!$B59)</f>
        <v>593</v>
      </c>
      <c r="I59" s="37">
        <f>INDEX(新属性投放!L$42:L$62,新属性汇总!$B59)</f>
        <v>5804</v>
      </c>
      <c r="J59" s="37">
        <f>($A59-INDEX(新属性投放!$B$42:$B$62,新属性汇总!$B59))*INDEX(新属性投放!D$42:D$62,新属性汇总!$B59)</f>
        <v>180</v>
      </c>
      <c r="K59" s="37">
        <f>($A59-INDEX(新属性投放!$B$42:$B$62,新属性汇总!$B59))*INDEX(新属性投放!E$42:E$62,新属性汇总!$B59)</f>
        <v>90</v>
      </c>
      <c r="L59" s="37">
        <f>($A59-INDEX(新属性投放!$B$42:$B$62,新属性汇总!$B59))*INDEX(新属性投放!F$42:F$62,新属性汇总!$B59)</f>
        <v>810</v>
      </c>
      <c r="M59" s="37">
        <f t="shared" si="1"/>
        <v>1576.6499999999999</v>
      </c>
      <c r="N59" s="37">
        <f t="shared" si="2"/>
        <v>785.44999999999993</v>
      </c>
      <c r="O59" s="37">
        <f t="shared" si="3"/>
        <v>7606.0999999999995</v>
      </c>
      <c r="P59" s="37">
        <v>1</v>
      </c>
      <c r="Q59" s="37">
        <v>4</v>
      </c>
      <c r="R59">
        <v>56</v>
      </c>
      <c r="S59" s="37">
        <f>IF($P59&gt;0,INDEX(装备!L$11:L$16,新属性汇总!$P59),0)</f>
        <v>136.5</v>
      </c>
      <c r="T59" s="37">
        <f>IF($P59&gt;0,INDEX(装备!M$11:M$16,新属性汇总!$P59),0)</f>
        <v>68.25</v>
      </c>
      <c r="U59" s="37">
        <f>IF($P59&gt;0,INDEX(装备!N$11:N$16,新属性汇总!$P59),0)</f>
        <v>619.5</v>
      </c>
      <c r="V59" s="37">
        <f>IF($P59&gt;0,INDEX(装备!H$11:H$16,新属性汇总!$P59),0)</f>
        <v>10</v>
      </c>
      <c r="W59" s="37">
        <f>IF($P59&gt;0,INDEX(装备!I$11:I$16,新属性汇总!$P59),0)</f>
        <v>5</v>
      </c>
      <c r="X59" s="37">
        <f>IF($P59&gt;0,INDEX(装备!J$11:J$16,新属性汇总!$P59),0)</f>
        <v>50</v>
      </c>
      <c r="Y59" s="37">
        <f t="shared" si="4"/>
        <v>696.5</v>
      </c>
      <c r="Z59" s="37">
        <f t="shared" si="5"/>
        <v>348.25</v>
      </c>
      <c r="AA59" s="37">
        <f t="shared" si="6"/>
        <v>3419.5</v>
      </c>
      <c r="AB59" s="37">
        <v>0.65</v>
      </c>
      <c r="AC59" s="37">
        <f>IF(P59&gt;0,INDEX(装备!$BP$5:$BP$16,新属性汇总!P59),0)</f>
        <v>2</v>
      </c>
      <c r="AD59" s="37">
        <f>IF($P59&gt;0,ROUND(INDEX(装备!AY$11:AY$16,新属性汇总!$P59)*$AC59/3,0)*8*AB59,0)</f>
        <v>119.60000000000001</v>
      </c>
      <c r="AE59" s="37">
        <f>IF($P59&gt;0,ROUND(INDEX(装备!AZ$11:AZ$16,新属性汇总!$P59)*$AC59/3,0)*8*AB59,0)</f>
        <v>57.2</v>
      </c>
      <c r="AF59" s="37">
        <f>IF($P59&gt;0,ROUND(INDEX(装备!BA$11:BA$16,新属性汇总!$P59)*$AC59/3,0)*8*AB59,0)</f>
        <v>265.2</v>
      </c>
      <c r="AG59" s="37">
        <f>IF(新属性汇总!P59&gt;0,INDEX(装备!$AP$11:$AP$16,新属性汇总!$P59)*2,0)</f>
        <v>628</v>
      </c>
      <c r="AH59" s="37">
        <v>0</v>
      </c>
      <c r="AI59" s="37">
        <f>IF(新属性汇总!P59&gt;0,INDEX(装备!$AP$11:$AP$16,新属性汇总!$P59)*2,0)</f>
        <v>628</v>
      </c>
      <c r="AJ59" s="37">
        <v>6</v>
      </c>
      <c r="AK59" s="37">
        <f>IF($AJ59&gt;0,INDEX(专属武器!H$4:H$53,新属性汇总!$AJ59),0)</f>
        <v>384</v>
      </c>
      <c r="AL59" s="37">
        <f>IF($AJ59&gt;0,INDEX(专属武器!I$4:I$53,新属性汇总!$AJ59),0)</f>
        <v>191</v>
      </c>
      <c r="AM59" s="37">
        <f>IF($AJ59&gt;0,INDEX(专属武器!J$4:J$53,新属性汇总!$AJ59),0)</f>
        <v>1727</v>
      </c>
      <c r="AQ59" s="13">
        <v>55</v>
      </c>
      <c r="AR59" s="13">
        <f t="shared" si="7"/>
        <v>1542.1499999999999</v>
      </c>
      <c r="AS59" s="13">
        <f t="shared" si="8"/>
        <v>768.19999999999993</v>
      </c>
      <c r="AT59" s="13">
        <f t="shared" si="9"/>
        <v>7450.8499999999995</v>
      </c>
      <c r="AU59" s="13">
        <f t="shared" si="10"/>
        <v>686.5</v>
      </c>
      <c r="AV59" s="13">
        <f t="shared" si="11"/>
        <v>343.25</v>
      </c>
      <c r="AW59" s="13">
        <f t="shared" si="12"/>
        <v>3369.5</v>
      </c>
      <c r="AX59" s="13">
        <f t="shared" si="13"/>
        <v>119.60000000000001</v>
      </c>
      <c r="AY59" s="13">
        <f t="shared" si="14"/>
        <v>57.2</v>
      </c>
      <c r="AZ59" s="13">
        <f t="shared" si="15"/>
        <v>265.2</v>
      </c>
      <c r="BA59" s="13">
        <f t="shared" si="16"/>
        <v>628</v>
      </c>
      <c r="BB59" s="13">
        <f t="shared" si="17"/>
        <v>0</v>
      </c>
      <c r="BC59" s="13">
        <f t="shared" si="18"/>
        <v>628</v>
      </c>
      <c r="BD59" s="13">
        <f t="shared" si="19"/>
        <v>384</v>
      </c>
      <c r="BE59" s="13">
        <f t="shared" si="20"/>
        <v>191</v>
      </c>
      <c r="BF59" s="13">
        <f t="shared" si="21"/>
        <v>1727</v>
      </c>
      <c r="BG59" s="13">
        <f t="shared" si="22"/>
        <v>22843</v>
      </c>
      <c r="BH59" s="13">
        <f t="shared" si="23"/>
        <v>10234</v>
      </c>
      <c r="BI59" s="13">
        <f t="shared" si="24"/>
        <v>1435</v>
      </c>
      <c r="BJ59" s="13">
        <f t="shared" si="25"/>
        <v>3768</v>
      </c>
      <c r="BK59" s="13">
        <f t="shared" si="26"/>
        <v>5557</v>
      </c>
      <c r="BL59" s="13">
        <f t="shared" si="27"/>
        <v>43837</v>
      </c>
      <c r="BM59" s="31">
        <f t="shared" si="28"/>
        <v>0.52110000000000001</v>
      </c>
      <c r="BN59" s="31">
        <f t="shared" si="29"/>
        <v>0.23350000000000001</v>
      </c>
      <c r="BO59" s="31">
        <f t="shared" si="30"/>
        <v>3.27E-2</v>
      </c>
      <c r="BP59" s="31">
        <f t="shared" si="31"/>
        <v>8.5999999999999993E-2</v>
      </c>
      <c r="BQ59" s="31">
        <f t="shared" si="32"/>
        <v>0.1268</v>
      </c>
    </row>
    <row r="60" spans="1:69" ht="16.5" x14ac:dyDescent="0.2">
      <c r="A60" s="37">
        <v>57</v>
      </c>
      <c r="B60" s="37">
        <v>6</v>
      </c>
      <c r="C60" s="37">
        <v>1</v>
      </c>
      <c r="D60" s="37">
        <v>3</v>
      </c>
      <c r="E60" s="37">
        <v>57</v>
      </c>
      <c r="F60" s="37">
        <f>INDEX(新属性投放!$L$6:$L$10,新属性汇总!D60)</f>
        <v>1.1499999999999999</v>
      </c>
      <c r="G60" s="37">
        <f>INDEX(新属性投放!J$42:J$62,新属性汇总!$B60)</f>
        <v>1191</v>
      </c>
      <c r="H60" s="37">
        <f>INDEX(新属性投放!K$42:K$62,新属性汇总!$B60)</f>
        <v>593</v>
      </c>
      <c r="I60" s="37">
        <f>INDEX(新属性投放!L$42:L$62,新属性汇总!$B60)</f>
        <v>5804</v>
      </c>
      <c r="J60" s="37">
        <f>($A60-INDEX(新属性投放!$B$42:$B$62,新属性汇总!$B60))*INDEX(新属性投放!D$42:D$62,新属性汇总!$B60)</f>
        <v>210</v>
      </c>
      <c r="K60" s="37">
        <f>($A60-INDEX(新属性投放!$B$42:$B$62,新属性汇总!$B60))*INDEX(新属性投放!E$42:E$62,新属性汇总!$B60)</f>
        <v>105</v>
      </c>
      <c r="L60" s="37">
        <f>($A60-INDEX(新属性投放!$B$42:$B$62,新属性汇总!$B60))*INDEX(新属性投放!F$42:F$62,新属性汇总!$B60)</f>
        <v>945</v>
      </c>
      <c r="M60" s="37">
        <f t="shared" si="1"/>
        <v>1611.1499999999999</v>
      </c>
      <c r="N60" s="37">
        <f t="shared" si="2"/>
        <v>802.69999999999993</v>
      </c>
      <c r="O60" s="37">
        <f t="shared" si="3"/>
        <v>7761.3499999999995</v>
      </c>
      <c r="P60" s="37">
        <v>1</v>
      </c>
      <c r="Q60" s="37">
        <v>4</v>
      </c>
      <c r="R60">
        <v>57</v>
      </c>
      <c r="S60" s="37">
        <f>IF($P60&gt;0,INDEX(装备!L$11:L$16,新属性汇总!$P60),0)</f>
        <v>136.5</v>
      </c>
      <c r="T60" s="37">
        <f>IF($P60&gt;0,INDEX(装备!M$11:M$16,新属性汇总!$P60),0)</f>
        <v>68.25</v>
      </c>
      <c r="U60" s="37">
        <f>IF($P60&gt;0,INDEX(装备!N$11:N$16,新属性汇总!$P60),0)</f>
        <v>619.5</v>
      </c>
      <c r="V60" s="37">
        <f>IF($P60&gt;0,INDEX(装备!H$11:H$16,新属性汇总!$P60),0)</f>
        <v>10</v>
      </c>
      <c r="W60" s="37">
        <f>IF($P60&gt;0,INDEX(装备!I$11:I$16,新属性汇总!$P60),0)</f>
        <v>5</v>
      </c>
      <c r="X60" s="37">
        <f>IF($P60&gt;0,INDEX(装备!J$11:J$16,新属性汇总!$P60),0)</f>
        <v>50</v>
      </c>
      <c r="Y60" s="37">
        <f t="shared" si="4"/>
        <v>706.5</v>
      </c>
      <c r="Z60" s="37">
        <f t="shared" si="5"/>
        <v>353.25</v>
      </c>
      <c r="AA60" s="37">
        <f t="shared" si="6"/>
        <v>3469.5</v>
      </c>
      <c r="AB60" s="37">
        <v>0.65</v>
      </c>
      <c r="AC60" s="37">
        <f>IF(P60&gt;0,INDEX(装备!$BP$5:$BP$16,新属性汇总!P60),0)</f>
        <v>2</v>
      </c>
      <c r="AD60" s="37">
        <f>IF($P60&gt;0,ROUND(INDEX(装备!AY$11:AY$16,新属性汇总!$P60)*$AC60/3,0)*8*AB60,0)</f>
        <v>119.60000000000001</v>
      </c>
      <c r="AE60" s="37">
        <f>IF($P60&gt;0,ROUND(INDEX(装备!AZ$11:AZ$16,新属性汇总!$P60)*$AC60/3,0)*8*AB60,0)</f>
        <v>57.2</v>
      </c>
      <c r="AF60" s="37">
        <f>IF($P60&gt;0,ROUND(INDEX(装备!BA$11:BA$16,新属性汇总!$P60)*$AC60/3,0)*8*AB60,0)</f>
        <v>265.2</v>
      </c>
      <c r="AG60" s="37">
        <f>IF(新属性汇总!P60&gt;0,INDEX(装备!$AP$11:$AP$16,新属性汇总!$P60)*2,0)</f>
        <v>628</v>
      </c>
      <c r="AH60" s="37">
        <v>0</v>
      </c>
      <c r="AI60" s="37">
        <f>IF(新属性汇总!P60&gt;0,INDEX(装备!$AP$11:$AP$16,新属性汇总!$P60)*2,0)</f>
        <v>628</v>
      </c>
      <c r="AJ60" s="37">
        <v>6</v>
      </c>
      <c r="AK60" s="37">
        <f>IF($AJ60&gt;0,INDEX(专属武器!H$4:H$53,新属性汇总!$AJ60),0)</f>
        <v>384</v>
      </c>
      <c r="AL60" s="37">
        <f>IF($AJ60&gt;0,INDEX(专属武器!I$4:I$53,新属性汇总!$AJ60),0)</f>
        <v>191</v>
      </c>
      <c r="AM60" s="37">
        <f>IF($AJ60&gt;0,INDEX(专属武器!J$4:J$53,新属性汇总!$AJ60),0)</f>
        <v>1727</v>
      </c>
      <c r="AQ60" s="13">
        <v>56</v>
      </c>
      <c r="AR60" s="13">
        <f t="shared" si="7"/>
        <v>1576.6499999999999</v>
      </c>
      <c r="AS60" s="13">
        <f t="shared" si="8"/>
        <v>785.44999999999993</v>
      </c>
      <c r="AT60" s="13">
        <f t="shared" si="9"/>
        <v>7606.0999999999995</v>
      </c>
      <c r="AU60" s="13">
        <f t="shared" si="10"/>
        <v>696.5</v>
      </c>
      <c r="AV60" s="13">
        <f t="shared" si="11"/>
        <v>348.25</v>
      </c>
      <c r="AW60" s="13">
        <f t="shared" si="12"/>
        <v>3419.5</v>
      </c>
      <c r="AX60" s="13">
        <f t="shared" si="13"/>
        <v>119.60000000000001</v>
      </c>
      <c r="AY60" s="13">
        <f t="shared" si="14"/>
        <v>57.2</v>
      </c>
      <c r="AZ60" s="13">
        <f t="shared" si="15"/>
        <v>265.2</v>
      </c>
      <c r="BA60" s="13">
        <f t="shared" si="16"/>
        <v>628</v>
      </c>
      <c r="BB60" s="13">
        <f t="shared" si="17"/>
        <v>0</v>
      </c>
      <c r="BC60" s="13">
        <f t="shared" si="18"/>
        <v>628</v>
      </c>
      <c r="BD60" s="13">
        <f t="shared" si="19"/>
        <v>384</v>
      </c>
      <c r="BE60" s="13">
        <f t="shared" si="20"/>
        <v>191</v>
      </c>
      <c r="BF60" s="13">
        <f t="shared" si="21"/>
        <v>1727</v>
      </c>
      <c r="BG60" s="13">
        <f t="shared" si="22"/>
        <v>23343</v>
      </c>
      <c r="BH60" s="13">
        <f t="shared" si="23"/>
        <v>10384</v>
      </c>
      <c r="BI60" s="13">
        <f t="shared" si="24"/>
        <v>1435</v>
      </c>
      <c r="BJ60" s="13">
        <f t="shared" si="25"/>
        <v>3768</v>
      </c>
      <c r="BK60" s="13">
        <f t="shared" si="26"/>
        <v>5557</v>
      </c>
      <c r="BL60" s="13">
        <f t="shared" si="27"/>
        <v>44487</v>
      </c>
      <c r="BM60" s="31">
        <f t="shared" si="28"/>
        <v>0.52470000000000006</v>
      </c>
      <c r="BN60" s="31">
        <f t="shared" si="29"/>
        <v>0.2334</v>
      </c>
      <c r="BO60" s="31">
        <f t="shared" si="30"/>
        <v>3.2300000000000002E-2</v>
      </c>
      <c r="BP60" s="31">
        <f t="shared" si="31"/>
        <v>8.4699999999999998E-2</v>
      </c>
      <c r="BQ60" s="31">
        <f t="shared" si="32"/>
        <v>0.1249</v>
      </c>
    </row>
    <row r="61" spans="1:69" ht="16.5" x14ac:dyDescent="0.2">
      <c r="A61" s="37">
        <v>58</v>
      </c>
      <c r="B61" s="37">
        <v>6</v>
      </c>
      <c r="C61" s="37">
        <v>1</v>
      </c>
      <c r="D61" s="37">
        <v>3</v>
      </c>
      <c r="E61" s="37">
        <v>58</v>
      </c>
      <c r="F61" s="37">
        <f>INDEX(新属性投放!$L$6:$L$10,新属性汇总!D61)</f>
        <v>1.1499999999999999</v>
      </c>
      <c r="G61" s="37">
        <f>INDEX(新属性投放!J$42:J$62,新属性汇总!$B61)</f>
        <v>1191</v>
      </c>
      <c r="H61" s="37">
        <f>INDEX(新属性投放!K$42:K$62,新属性汇总!$B61)</f>
        <v>593</v>
      </c>
      <c r="I61" s="37">
        <f>INDEX(新属性投放!L$42:L$62,新属性汇总!$B61)</f>
        <v>5804</v>
      </c>
      <c r="J61" s="37">
        <f>($A61-INDEX(新属性投放!$B$42:$B$62,新属性汇总!$B61))*INDEX(新属性投放!D$42:D$62,新属性汇总!$B61)</f>
        <v>240</v>
      </c>
      <c r="K61" s="37">
        <f>($A61-INDEX(新属性投放!$B$42:$B$62,新属性汇总!$B61))*INDEX(新属性投放!E$42:E$62,新属性汇总!$B61)</f>
        <v>120</v>
      </c>
      <c r="L61" s="37">
        <f>($A61-INDEX(新属性投放!$B$42:$B$62,新属性汇总!$B61))*INDEX(新属性投放!F$42:F$62,新属性汇总!$B61)</f>
        <v>1080</v>
      </c>
      <c r="M61" s="37">
        <f t="shared" si="1"/>
        <v>1645.6499999999999</v>
      </c>
      <c r="N61" s="37">
        <f t="shared" si="2"/>
        <v>819.94999999999993</v>
      </c>
      <c r="O61" s="37">
        <f t="shared" si="3"/>
        <v>7916.5999999999995</v>
      </c>
      <c r="P61" s="37">
        <v>1</v>
      </c>
      <c r="Q61" s="37">
        <v>4</v>
      </c>
      <c r="R61">
        <v>58</v>
      </c>
      <c r="S61" s="37">
        <f>IF($P61&gt;0,INDEX(装备!L$11:L$16,新属性汇总!$P61),0)</f>
        <v>136.5</v>
      </c>
      <c r="T61" s="37">
        <f>IF($P61&gt;0,INDEX(装备!M$11:M$16,新属性汇总!$P61),0)</f>
        <v>68.25</v>
      </c>
      <c r="U61" s="37">
        <f>IF($P61&gt;0,INDEX(装备!N$11:N$16,新属性汇总!$P61),0)</f>
        <v>619.5</v>
      </c>
      <c r="V61" s="37">
        <f>IF($P61&gt;0,INDEX(装备!H$11:H$16,新属性汇总!$P61),0)</f>
        <v>10</v>
      </c>
      <c r="W61" s="37">
        <f>IF($P61&gt;0,INDEX(装备!I$11:I$16,新属性汇总!$P61),0)</f>
        <v>5</v>
      </c>
      <c r="X61" s="37">
        <f>IF($P61&gt;0,INDEX(装备!J$11:J$16,新属性汇总!$P61),0)</f>
        <v>50</v>
      </c>
      <c r="Y61" s="37">
        <f t="shared" si="4"/>
        <v>716.5</v>
      </c>
      <c r="Z61" s="37">
        <f t="shared" si="5"/>
        <v>358.25</v>
      </c>
      <c r="AA61" s="37">
        <f t="shared" si="6"/>
        <v>3519.5</v>
      </c>
      <c r="AB61" s="37">
        <v>0.65</v>
      </c>
      <c r="AC61" s="37">
        <f>IF(P61&gt;0,INDEX(装备!$BP$5:$BP$16,新属性汇总!P61),0)</f>
        <v>2</v>
      </c>
      <c r="AD61" s="37">
        <f>IF($P61&gt;0,ROUND(INDEX(装备!AY$11:AY$16,新属性汇总!$P61)*$AC61/3,0)*8*AB61,0)</f>
        <v>119.60000000000001</v>
      </c>
      <c r="AE61" s="37">
        <f>IF($P61&gt;0,ROUND(INDEX(装备!AZ$11:AZ$16,新属性汇总!$P61)*$AC61/3,0)*8*AB61,0)</f>
        <v>57.2</v>
      </c>
      <c r="AF61" s="37">
        <f>IF($P61&gt;0,ROUND(INDEX(装备!BA$11:BA$16,新属性汇总!$P61)*$AC61/3,0)*8*AB61,0)</f>
        <v>265.2</v>
      </c>
      <c r="AG61" s="37">
        <f>IF(新属性汇总!P61&gt;0,INDEX(装备!$AP$11:$AP$16,新属性汇总!$P61)*2,0)</f>
        <v>628</v>
      </c>
      <c r="AH61" s="37">
        <v>0</v>
      </c>
      <c r="AI61" s="37">
        <f>IF(新属性汇总!P61&gt;0,INDEX(装备!$AP$11:$AP$16,新属性汇总!$P61)*2,0)</f>
        <v>628</v>
      </c>
      <c r="AJ61" s="37">
        <v>6</v>
      </c>
      <c r="AK61" s="37">
        <f>IF($AJ61&gt;0,INDEX(专属武器!H$4:H$53,新属性汇总!$AJ61),0)</f>
        <v>384</v>
      </c>
      <c r="AL61" s="37">
        <f>IF($AJ61&gt;0,INDEX(专属武器!I$4:I$53,新属性汇总!$AJ61),0)</f>
        <v>191</v>
      </c>
      <c r="AM61" s="37">
        <f>IF($AJ61&gt;0,INDEX(专属武器!J$4:J$53,新属性汇总!$AJ61),0)</f>
        <v>1727</v>
      </c>
      <c r="AQ61" s="13">
        <v>57</v>
      </c>
      <c r="AR61" s="13">
        <f t="shared" si="7"/>
        <v>1611.1499999999999</v>
      </c>
      <c r="AS61" s="13">
        <f t="shared" si="8"/>
        <v>802.69999999999993</v>
      </c>
      <c r="AT61" s="13">
        <f t="shared" si="9"/>
        <v>7761.3499999999995</v>
      </c>
      <c r="AU61" s="13">
        <f t="shared" si="10"/>
        <v>706.5</v>
      </c>
      <c r="AV61" s="13">
        <f t="shared" si="11"/>
        <v>353.25</v>
      </c>
      <c r="AW61" s="13">
        <f t="shared" si="12"/>
        <v>3469.5</v>
      </c>
      <c r="AX61" s="13">
        <f t="shared" si="13"/>
        <v>119.60000000000001</v>
      </c>
      <c r="AY61" s="13">
        <f t="shared" si="14"/>
        <v>57.2</v>
      </c>
      <c r="AZ61" s="13">
        <f t="shared" si="15"/>
        <v>265.2</v>
      </c>
      <c r="BA61" s="13">
        <f t="shared" si="16"/>
        <v>628</v>
      </c>
      <c r="BB61" s="13">
        <f t="shared" si="17"/>
        <v>0</v>
      </c>
      <c r="BC61" s="13">
        <f t="shared" si="18"/>
        <v>628</v>
      </c>
      <c r="BD61" s="13">
        <f t="shared" si="19"/>
        <v>384</v>
      </c>
      <c r="BE61" s="13">
        <f t="shared" si="20"/>
        <v>191</v>
      </c>
      <c r="BF61" s="13">
        <f t="shared" si="21"/>
        <v>1727</v>
      </c>
      <c r="BG61" s="13">
        <f t="shared" si="22"/>
        <v>23844</v>
      </c>
      <c r="BH61" s="13">
        <f t="shared" si="23"/>
        <v>10534</v>
      </c>
      <c r="BI61" s="13">
        <f t="shared" si="24"/>
        <v>1435</v>
      </c>
      <c r="BJ61" s="13">
        <f t="shared" si="25"/>
        <v>3768</v>
      </c>
      <c r="BK61" s="13">
        <f t="shared" si="26"/>
        <v>5557</v>
      </c>
      <c r="BL61" s="13">
        <f t="shared" si="27"/>
        <v>45138</v>
      </c>
      <c r="BM61" s="31">
        <f t="shared" si="28"/>
        <v>0.5282</v>
      </c>
      <c r="BN61" s="31">
        <f t="shared" si="29"/>
        <v>0.2334</v>
      </c>
      <c r="BO61" s="31">
        <f t="shared" si="30"/>
        <v>3.1800000000000002E-2</v>
      </c>
      <c r="BP61" s="31">
        <f t="shared" si="31"/>
        <v>8.3500000000000005E-2</v>
      </c>
      <c r="BQ61" s="31">
        <f t="shared" si="32"/>
        <v>0.1231</v>
      </c>
    </row>
    <row r="62" spans="1:69" ht="16.5" x14ac:dyDescent="0.2">
      <c r="A62" s="37">
        <v>59</v>
      </c>
      <c r="B62" s="37">
        <v>6</v>
      </c>
      <c r="C62" s="37">
        <v>1</v>
      </c>
      <c r="D62" s="37">
        <v>3</v>
      </c>
      <c r="E62" s="37">
        <v>59</v>
      </c>
      <c r="F62" s="37">
        <f>INDEX(新属性投放!$L$6:$L$10,新属性汇总!D62)</f>
        <v>1.1499999999999999</v>
      </c>
      <c r="G62" s="37">
        <f>INDEX(新属性投放!J$42:J$62,新属性汇总!$B62)</f>
        <v>1191</v>
      </c>
      <c r="H62" s="37">
        <f>INDEX(新属性投放!K$42:K$62,新属性汇总!$B62)</f>
        <v>593</v>
      </c>
      <c r="I62" s="37">
        <f>INDEX(新属性投放!L$42:L$62,新属性汇总!$B62)</f>
        <v>5804</v>
      </c>
      <c r="J62" s="37">
        <f>($A62-INDEX(新属性投放!$B$42:$B$62,新属性汇总!$B62))*INDEX(新属性投放!D$42:D$62,新属性汇总!$B62)</f>
        <v>270</v>
      </c>
      <c r="K62" s="37">
        <f>($A62-INDEX(新属性投放!$B$42:$B$62,新属性汇总!$B62))*INDEX(新属性投放!E$42:E$62,新属性汇总!$B62)</f>
        <v>135</v>
      </c>
      <c r="L62" s="37">
        <f>($A62-INDEX(新属性投放!$B$42:$B$62,新属性汇总!$B62))*INDEX(新属性投放!F$42:F$62,新属性汇总!$B62)</f>
        <v>1215</v>
      </c>
      <c r="M62" s="37">
        <f t="shared" si="1"/>
        <v>1680.1499999999999</v>
      </c>
      <c r="N62" s="37">
        <f t="shared" si="2"/>
        <v>837.19999999999993</v>
      </c>
      <c r="O62" s="37">
        <f t="shared" si="3"/>
        <v>8071.8499999999995</v>
      </c>
      <c r="P62" s="37">
        <v>1</v>
      </c>
      <c r="Q62" s="37">
        <v>4</v>
      </c>
      <c r="R62">
        <v>59</v>
      </c>
      <c r="S62" s="37">
        <f>IF($P62&gt;0,INDEX(装备!L$11:L$16,新属性汇总!$P62),0)</f>
        <v>136.5</v>
      </c>
      <c r="T62" s="37">
        <f>IF($P62&gt;0,INDEX(装备!M$11:M$16,新属性汇总!$P62),0)</f>
        <v>68.25</v>
      </c>
      <c r="U62" s="37">
        <f>IF($P62&gt;0,INDEX(装备!N$11:N$16,新属性汇总!$P62),0)</f>
        <v>619.5</v>
      </c>
      <c r="V62" s="37">
        <f>IF($P62&gt;0,INDEX(装备!H$11:H$16,新属性汇总!$P62),0)</f>
        <v>10</v>
      </c>
      <c r="W62" s="37">
        <f>IF($P62&gt;0,INDEX(装备!I$11:I$16,新属性汇总!$P62),0)</f>
        <v>5</v>
      </c>
      <c r="X62" s="37">
        <f>IF($P62&gt;0,INDEX(装备!J$11:J$16,新属性汇总!$P62),0)</f>
        <v>50</v>
      </c>
      <c r="Y62" s="37">
        <f t="shared" si="4"/>
        <v>726.5</v>
      </c>
      <c r="Z62" s="37">
        <f t="shared" si="5"/>
        <v>363.25</v>
      </c>
      <c r="AA62" s="37">
        <f t="shared" si="6"/>
        <v>3569.5</v>
      </c>
      <c r="AB62" s="37">
        <v>0.65</v>
      </c>
      <c r="AC62" s="37">
        <f>IF(P62&gt;0,INDEX(装备!$BP$5:$BP$16,新属性汇总!P62),0)</f>
        <v>2</v>
      </c>
      <c r="AD62" s="37">
        <f>IF($P62&gt;0,ROUND(INDEX(装备!AY$11:AY$16,新属性汇总!$P62)*$AC62/3,0)*8*AB62,0)</f>
        <v>119.60000000000001</v>
      </c>
      <c r="AE62" s="37">
        <f>IF($P62&gt;0,ROUND(INDEX(装备!AZ$11:AZ$16,新属性汇总!$P62)*$AC62/3,0)*8*AB62,0)</f>
        <v>57.2</v>
      </c>
      <c r="AF62" s="37">
        <f>IF($P62&gt;0,ROUND(INDEX(装备!BA$11:BA$16,新属性汇总!$P62)*$AC62/3,0)*8*AB62,0)</f>
        <v>265.2</v>
      </c>
      <c r="AG62" s="37">
        <f>IF(新属性汇总!P62&gt;0,INDEX(装备!$AP$11:$AP$16,新属性汇总!$P62)*2,0)</f>
        <v>628</v>
      </c>
      <c r="AH62" s="37">
        <v>0</v>
      </c>
      <c r="AI62" s="37">
        <f>IF(新属性汇总!P62&gt;0,INDEX(装备!$AP$11:$AP$16,新属性汇总!$P62)*2,0)</f>
        <v>628</v>
      </c>
      <c r="AJ62" s="37">
        <v>6</v>
      </c>
      <c r="AK62" s="37">
        <f>IF($AJ62&gt;0,INDEX(专属武器!H$4:H$53,新属性汇总!$AJ62),0)</f>
        <v>384</v>
      </c>
      <c r="AL62" s="37">
        <f>IF($AJ62&gt;0,INDEX(专属武器!I$4:I$53,新属性汇总!$AJ62),0)</f>
        <v>191</v>
      </c>
      <c r="AM62" s="37">
        <f>IF($AJ62&gt;0,INDEX(专属武器!J$4:J$53,新属性汇总!$AJ62),0)</f>
        <v>1727</v>
      </c>
      <c r="AQ62" s="13">
        <v>58</v>
      </c>
      <c r="AR62" s="13">
        <f t="shared" si="7"/>
        <v>1645.6499999999999</v>
      </c>
      <c r="AS62" s="13">
        <f t="shared" si="8"/>
        <v>819.94999999999993</v>
      </c>
      <c r="AT62" s="13">
        <f t="shared" si="9"/>
        <v>7916.5999999999995</v>
      </c>
      <c r="AU62" s="13">
        <f t="shared" si="10"/>
        <v>716.5</v>
      </c>
      <c r="AV62" s="13">
        <f t="shared" si="11"/>
        <v>358.25</v>
      </c>
      <c r="AW62" s="13">
        <f t="shared" si="12"/>
        <v>3519.5</v>
      </c>
      <c r="AX62" s="13">
        <f t="shared" si="13"/>
        <v>119.60000000000001</v>
      </c>
      <c r="AY62" s="13">
        <f t="shared" si="14"/>
        <v>57.2</v>
      </c>
      <c r="AZ62" s="13">
        <f t="shared" si="15"/>
        <v>265.2</v>
      </c>
      <c r="BA62" s="13">
        <f t="shared" si="16"/>
        <v>628</v>
      </c>
      <c r="BB62" s="13">
        <f t="shared" si="17"/>
        <v>0</v>
      </c>
      <c r="BC62" s="13">
        <f t="shared" si="18"/>
        <v>628</v>
      </c>
      <c r="BD62" s="13">
        <f t="shared" si="19"/>
        <v>384</v>
      </c>
      <c r="BE62" s="13">
        <f t="shared" si="20"/>
        <v>191</v>
      </c>
      <c r="BF62" s="13">
        <f t="shared" si="21"/>
        <v>1727</v>
      </c>
      <c r="BG62" s="13">
        <f t="shared" si="22"/>
        <v>24344</v>
      </c>
      <c r="BH62" s="13">
        <f t="shared" si="23"/>
        <v>10684</v>
      </c>
      <c r="BI62" s="13">
        <f t="shared" si="24"/>
        <v>1435</v>
      </c>
      <c r="BJ62" s="13">
        <f t="shared" si="25"/>
        <v>3768</v>
      </c>
      <c r="BK62" s="13">
        <f t="shared" si="26"/>
        <v>5557</v>
      </c>
      <c r="BL62" s="13">
        <f t="shared" si="27"/>
        <v>45788</v>
      </c>
      <c r="BM62" s="31">
        <f t="shared" si="28"/>
        <v>0.53169999999999995</v>
      </c>
      <c r="BN62" s="31">
        <f t="shared" si="29"/>
        <v>0.23330000000000001</v>
      </c>
      <c r="BO62" s="31">
        <f t="shared" si="30"/>
        <v>3.1300000000000001E-2</v>
      </c>
      <c r="BP62" s="31">
        <f t="shared" si="31"/>
        <v>8.2299999999999998E-2</v>
      </c>
      <c r="BQ62" s="31">
        <f t="shared" si="32"/>
        <v>0.12139999999999999</v>
      </c>
    </row>
    <row r="63" spans="1:69" ht="16.5" x14ac:dyDescent="0.2">
      <c r="A63" s="37">
        <v>60</v>
      </c>
      <c r="B63" s="37">
        <v>7</v>
      </c>
      <c r="C63" s="37">
        <v>1</v>
      </c>
      <c r="D63" s="37">
        <v>3</v>
      </c>
      <c r="E63" s="37">
        <v>60</v>
      </c>
      <c r="F63" s="37">
        <f>INDEX(新属性投放!$L$6:$L$10,新属性汇总!D63)</f>
        <v>1.1499999999999999</v>
      </c>
      <c r="G63" s="37">
        <f>INDEX(新属性投放!J$42:J$62,新属性汇总!$B63)</f>
        <v>1566</v>
      </c>
      <c r="H63" s="37">
        <f>INDEX(新属性投放!K$42:K$62,新属性汇总!$B63)</f>
        <v>781</v>
      </c>
      <c r="I63" s="37">
        <f>INDEX(新属性投放!L$42:L$62,新属性汇总!$B63)</f>
        <v>7829</v>
      </c>
      <c r="J63" s="37">
        <f>($A63-INDEX(新属性投放!$B$42:$B$62,新属性汇总!$B63))*INDEX(新属性投放!D$42:D$62,新属性汇总!$B63)</f>
        <v>0</v>
      </c>
      <c r="K63" s="37">
        <f>($A63-INDEX(新属性投放!$B$42:$B$62,新属性汇总!$B63))*INDEX(新属性投放!E$42:E$62,新属性汇总!$B63)</f>
        <v>0</v>
      </c>
      <c r="L63" s="37">
        <f>($A63-INDEX(新属性投放!$B$42:$B$62,新属性汇总!$B63))*INDEX(新属性投放!F$42:F$62,新属性汇总!$B63)</f>
        <v>0</v>
      </c>
      <c r="M63" s="37">
        <f t="shared" si="1"/>
        <v>1800.8999999999999</v>
      </c>
      <c r="N63" s="37">
        <f t="shared" si="2"/>
        <v>898.15</v>
      </c>
      <c r="O63" s="37">
        <f t="shared" si="3"/>
        <v>9003.3499999999985</v>
      </c>
      <c r="P63" s="37">
        <v>2</v>
      </c>
      <c r="Q63" s="37">
        <v>4</v>
      </c>
      <c r="R63">
        <v>60</v>
      </c>
      <c r="S63" s="37">
        <f>IF($P63&gt;0,INDEX(装备!L$11:L$16,新属性汇总!$P63),0)</f>
        <v>342</v>
      </c>
      <c r="T63" s="37">
        <f>IF($P63&gt;0,INDEX(装备!M$11:M$16,新属性汇总!$P63),0)</f>
        <v>171</v>
      </c>
      <c r="U63" s="37">
        <f>IF($P63&gt;0,INDEX(装备!N$11:N$16,新属性汇总!$P63),0)</f>
        <v>1745.9999999999998</v>
      </c>
      <c r="V63" s="37">
        <f>IF($P63&gt;0,INDEX(装备!H$11:H$16,新属性汇总!$P63),0)</f>
        <v>12</v>
      </c>
      <c r="W63" s="37">
        <f>IF($P63&gt;0,INDEX(装备!I$11:I$16,新属性汇总!$P63),0)</f>
        <v>6</v>
      </c>
      <c r="X63" s="37">
        <f>IF($P63&gt;0,INDEX(装备!J$11:J$16,新属性汇总!$P63),0)</f>
        <v>85</v>
      </c>
      <c r="Y63" s="37">
        <f t="shared" si="4"/>
        <v>1062</v>
      </c>
      <c r="Z63" s="37">
        <f t="shared" si="5"/>
        <v>531</v>
      </c>
      <c r="AA63" s="37">
        <f t="shared" si="6"/>
        <v>6846</v>
      </c>
      <c r="AB63" s="37">
        <v>0.65</v>
      </c>
      <c r="AC63" s="37">
        <f>IF(P63&gt;0,INDEX(装备!$BP$5:$BP$16,新属性汇总!P63),0)</f>
        <v>3</v>
      </c>
      <c r="AD63" s="37">
        <f>IF($P63&gt;0,ROUND(INDEX(装备!AY$11:AY$16,新属性汇总!$P63)*$AC63/3,0)*8*AB63,0)</f>
        <v>260</v>
      </c>
      <c r="AE63" s="37">
        <f>IF($P63&gt;0,ROUND(INDEX(装备!AZ$11:AZ$16,新属性汇总!$P63)*$AC63/3,0)*8*AB63,0)</f>
        <v>192.4</v>
      </c>
      <c r="AF63" s="37">
        <f>IF($P63&gt;0,ROUND(INDEX(装备!BA$11:BA$16,新属性汇总!$P63)*$AC63/3,0)*8*AB63,0)</f>
        <v>1326</v>
      </c>
      <c r="AG63" s="37">
        <f>IF(新属性汇总!P63&gt;0,INDEX(装备!$AP$11:$AP$16,新属性汇总!$P63)*2,0)</f>
        <v>1566</v>
      </c>
      <c r="AH63" s="37">
        <v>0</v>
      </c>
      <c r="AI63" s="37">
        <f>IF(新属性汇总!P63&gt;0,INDEX(装备!$AP$11:$AP$16,新属性汇总!$P63)*2,0)</f>
        <v>1566</v>
      </c>
      <c r="AJ63" s="37">
        <v>8</v>
      </c>
      <c r="AK63" s="37">
        <f>IF($AJ63&gt;0,INDEX(专属武器!H$4:H$53,新属性汇总!$AJ63),0)</f>
        <v>530</v>
      </c>
      <c r="AL63" s="37">
        <f>IF($AJ63&gt;0,INDEX(专属武器!I$4:I$53,新属性汇总!$AJ63),0)</f>
        <v>263</v>
      </c>
      <c r="AM63" s="37">
        <f>IF($AJ63&gt;0,INDEX(专属武器!J$4:J$53,新属性汇总!$AJ63),0)</f>
        <v>2385</v>
      </c>
      <c r="AQ63" s="13">
        <v>59</v>
      </c>
      <c r="AR63" s="13">
        <f t="shared" si="7"/>
        <v>1680.1499999999999</v>
      </c>
      <c r="AS63" s="13">
        <f t="shared" si="8"/>
        <v>837.19999999999993</v>
      </c>
      <c r="AT63" s="13">
        <f t="shared" si="9"/>
        <v>8071.8499999999995</v>
      </c>
      <c r="AU63" s="13">
        <f t="shared" si="10"/>
        <v>726.5</v>
      </c>
      <c r="AV63" s="13">
        <f t="shared" si="11"/>
        <v>363.25</v>
      </c>
      <c r="AW63" s="13">
        <f t="shared" si="12"/>
        <v>3569.5</v>
      </c>
      <c r="AX63" s="13">
        <f t="shared" si="13"/>
        <v>119.60000000000001</v>
      </c>
      <c r="AY63" s="13">
        <f t="shared" si="14"/>
        <v>57.2</v>
      </c>
      <c r="AZ63" s="13">
        <f t="shared" si="15"/>
        <v>265.2</v>
      </c>
      <c r="BA63" s="13">
        <f t="shared" si="16"/>
        <v>628</v>
      </c>
      <c r="BB63" s="13">
        <f t="shared" si="17"/>
        <v>0</v>
      </c>
      <c r="BC63" s="13">
        <f t="shared" si="18"/>
        <v>628</v>
      </c>
      <c r="BD63" s="13">
        <f t="shared" si="19"/>
        <v>384</v>
      </c>
      <c r="BE63" s="13">
        <f t="shared" si="20"/>
        <v>191</v>
      </c>
      <c r="BF63" s="13">
        <f t="shared" si="21"/>
        <v>1727</v>
      </c>
      <c r="BG63" s="13">
        <f t="shared" si="22"/>
        <v>24844</v>
      </c>
      <c r="BH63" s="13">
        <f t="shared" si="23"/>
        <v>10834</v>
      </c>
      <c r="BI63" s="13">
        <f t="shared" si="24"/>
        <v>1435</v>
      </c>
      <c r="BJ63" s="13">
        <f t="shared" si="25"/>
        <v>3768</v>
      </c>
      <c r="BK63" s="13">
        <f t="shared" si="26"/>
        <v>5557</v>
      </c>
      <c r="BL63" s="13">
        <f t="shared" si="27"/>
        <v>46438</v>
      </c>
      <c r="BM63" s="31">
        <f t="shared" si="28"/>
        <v>0.53500000000000003</v>
      </c>
      <c r="BN63" s="31">
        <f t="shared" si="29"/>
        <v>0.23330000000000001</v>
      </c>
      <c r="BO63" s="31">
        <f t="shared" si="30"/>
        <v>3.09E-2</v>
      </c>
      <c r="BP63" s="31">
        <f t="shared" si="31"/>
        <v>8.1100000000000005E-2</v>
      </c>
      <c r="BQ63" s="31">
        <f t="shared" si="32"/>
        <v>0.1197</v>
      </c>
    </row>
    <row r="64" spans="1:69" ht="16.5" x14ac:dyDescent="0.2">
      <c r="A64" s="37">
        <v>61</v>
      </c>
      <c r="B64" s="37">
        <v>7</v>
      </c>
      <c r="C64" s="37">
        <v>1</v>
      </c>
      <c r="D64" s="37">
        <v>3</v>
      </c>
      <c r="E64" s="37">
        <v>61</v>
      </c>
      <c r="F64" s="37">
        <f>INDEX(新属性投放!$L$6:$L$10,新属性汇总!D64)</f>
        <v>1.1499999999999999</v>
      </c>
      <c r="G64" s="37">
        <f>INDEX(新属性投放!J$42:J$62,新属性汇总!$B64)</f>
        <v>1566</v>
      </c>
      <c r="H64" s="37">
        <f>INDEX(新属性投放!K$42:K$62,新属性汇总!$B64)</f>
        <v>781</v>
      </c>
      <c r="I64" s="37">
        <f>INDEX(新属性投放!L$42:L$62,新属性汇总!$B64)</f>
        <v>7829</v>
      </c>
      <c r="J64" s="37">
        <f>($A64-INDEX(新属性投放!$B$42:$B$62,新属性汇总!$B64))*INDEX(新属性投放!D$42:D$62,新属性汇总!$B64)</f>
        <v>35</v>
      </c>
      <c r="K64" s="37">
        <f>($A64-INDEX(新属性投放!$B$42:$B$62,新属性汇总!$B64))*INDEX(新属性投放!E$42:E$62,新属性汇总!$B64)</f>
        <v>17.5</v>
      </c>
      <c r="L64" s="37">
        <f>($A64-INDEX(新属性投放!$B$42:$B$62,新属性汇总!$B64))*INDEX(新属性投放!F$42:F$62,新属性汇总!$B64)</f>
        <v>157</v>
      </c>
      <c r="M64" s="37">
        <f t="shared" si="1"/>
        <v>1841.1499999999999</v>
      </c>
      <c r="N64" s="37">
        <f t="shared" si="2"/>
        <v>918.27499999999998</v>
      </c>
      <c r="O64" s="37">
        <f t="shared" si="3"/>
        <v>9183.9</v>
      </c>
      <c r="P64" s="37">
        <v>2</v>
      </c>
      <c r="Q64" s="37">
        <v>4</v>
      </c>
      <c r="R64">
        <v>61</v>
      </c>
      <c r="S64" s="37">
        <f>IF($P64&gt;0,INDEX(装备!L$11:L$16,新属性汇总!$P64),0)</f>
        <v>342</v>
      </c>
      <c r="T64" s="37">
        <f>IF($P64&gt;0,INDEX(装备!M$11:M$16,新属性汇总!$P64),0)</f>
        <v>171</v>
      </c>
      <c r="U64" s="37">
        <f>IF($P64&gt;0,INDEX(装备!N$11:N$16,新属性汇总!$P64),0)</f>
        <v>1745.9999999999998</v>
      </c>
      <c r="V64" s="37">
        <f>IF($P64&gt;0,INDEX(装备!H$11:H$16,新属性汇总!$P64),0)</f>
        <v>12</v>
      </c>
      <c r="W64" s="37">
        <f>IF($P64&gt;0,INDEX(装备!I$11:I$16,新属性汇总!$P64),0)</f>
        <v>6</v>
      </c>
      <c r="X64" s="37">
        <f>IF($P64&gt;0,INDEX(装备!J$11:J$16,新属性汇总!$P64),0)</f>
        <v>85</v>
      </c>
      <c r="Y64" s="37">
        <f t="shared" si="4"/>
        <v>1074</v>
      </c>
      <c r="Z64" s="37">
        <f t="shared" si="5"/>
        <v>537</v>
      </c>
      <c r="AA64" s="37">
        <f t="shared" si="6"/>
        <v>6931</v>
      </c>
      <c r="AB64" s="37">
        <v>0.65</v>
      </c>
      <c r="AC64" s="37">
        <f>IF(P64&gt;0,INDEX(装备!$BP$5:$BP$16,新属性汇总!P64),0)</f>
        <v>3</v>
      </c>
      <c r="AD64" s="37">
        <f>IF($P64&gt;0,ROUND(INDEX(装备!AY$11:AY$16,新属性汇总!$P64)*$AC64/3,0)*8*AB64,0)</f>
        <v>260</v>
      </c>
      <c r="AE64" s="37">
        <f>IF($P64&gt;0,ROUND(INDEX(装备!AZ$11:AZ$16,新属性汇总!$P64)*$AC64/3,0)*8*AB64,0)</f>
        <v>192.4</v>
      </c>
      <c r="AF64" s="37">
        <f>IF($P64&gt;0,ROUND(INDEX(装备!BA$11:BA$16,新属性汇总!$P64)*$AC64/3,0)*8*AB64,0)</f>
        <v>1326</v>
      </c>
      <c r="AG64" s="37">
        <f>IF(新属性汇总!P64&gt;0,INDEX(装备!$AP$11:$AP$16,新属性汇总!$P64)*2,0)</f>
        <v>1566</v>
      </c>
      <c r="AH64" s="37">
        <v>0</v>
      </c>
      <c r="AI64" s="37">
        <f>IF(新属性汇总!P64&gt;0,INDEX(装备!$AP$11:$AP$16,新属性汇总!$P64)*2,0)</f>
        <v>1566</v>
      </c>
      <c r="AJ64" s="37">
        <v>8</v>
      </c>
      <c r="AK64" s="37">
        <f>IF($AJ64&gt;0,INDEX(专属武器!H$4:H$53,新属性汇总!$AJ64),0)</f>
        <v>530</v>
      </c>
      <c r="AL64" s="37">
        <f>IF($AJ64&gt;0,INDEX(专属武器!I$4:I$53,新属性汇总!$AJ64),0)</f>
        <v>263</v>
      </c>
      <c r="AM64" s="37">
        <f>IF($AJ64&gt;0,INDEX(专属武器!J$4:J$53,新属性汇总!$AJ64),0)</f>
        <v>2385</v>
      </c>
      <c r="AQ64" s="13">
        <v>60</v>
      </c>
      <c r="AR64" s="13">
        <f t="shared" si="7"/>
        <v>1800.8999999999999</v>
      </c>
      <c r="AS64" s="13">
        <f t="shared" si="8"/>
        <v>898.15</v>
      </c>
      <c r="AT64" s="13">
        <f t="shared" si="9"/>
        <v>9003.3499999999985</v>
      </c>
      <c r="AU64" s="13">
        <f t="shared" si="10"/>
        <v>1062</v>
      </c>
      <c r="AV64" s="13">
        <f t="shared" si="11"/>
        <v>531</v>
      </c>
      <c r="AW64" s="13">
        <f t="shared" si="12"/>
        <v>6846</v>
      </c>
      <c r="AX64" s="13">
        <f t="shared" si="13"/>
        <v>260</v>
      </c>
      <c r="AY64" s="13">
        <f t="shared" si="14"/>
        <v>192.4</v>
      </c>
      <c r="AZ64" s="13">
        <f t="shared" si="15"/>
        <v>1326</v>
      </c>
      <c r="BA64" s="13">
        <f t="shared" si="16"/>
        <v>1566</v>
      </c>
      <c r="BB64" s="13">
        <f t="shared" si="17"/>
        <v>0</v>
      </c>
      <c r="BC64" s="13">
        <f t="shared" si="18"/>
        <v>1566</v>
      </c>
      <c r="BD64" s="13">
        <f t="shared" si="19"/>
        <v>530</v>
      </c>
      <c r="BE64" s="13">
        <f t="shared" si="20"/>
        <v>263</v>
      </c>
      <c r="BF64" s="13">
        <f t="shared" si="21"/>
        <v>2385</v>
      </c>
      <c r="BG64" s="13">
        <f t="shared" si="22"/>
        <v>26989</v>
      </c>
      <c r="BH64" s="13">
        <f t="shared" si="23"/>
        <v>17466</v>
      </c>
      <c r="BI64" s="13">
        <f t="shared" si="24"/>
        <v>4550</v>
      </c>
      <c r="BJ64" s="13">
        <f t="shared" si="25"/>
        <v>9396</v>
      </c>
      <c r="BK64" s="13">
        <f t="shared" si="26"/>
        <v>7665</v>
      </c>
      <c r="BL64" s="13">
        <f t="shared" si="27"/>
        <v>66066</v>
      </c>
      <c r="BM64" s="31">
        <f t="shared" si="28"/>
        <v>0.40849999999999997</v>
      </c>
      <c r="BN64" s="31">
        <f t="shared" si="29"/>
        <v>0.26440000000000002</v>
      </c>
      <c r="BO64" s="31">
        <f t="shared" si="30"/>
        <v>6.8900000000000003E-2</v>
      </c>
      <c r="BP64" s="31">
        <f t="shared" si="31"/>
        <v>0.14219999999999999</v>
      </c>
      <c r="BQ64" s="31">
        <f t="shared" si="32"/>
        <v>0.11600000000000001</v>
      </c>
    </row>
    <row r="65" spans="1:69" ht="16.5" x14ac:dyDescent="0.2">
      <c r="A65" s="37">
        <v>62</v>
      </c>
      <c r="B65" s="37">
        <v>7</v>
      </c>
      <c r="C65" s="37">
        <v>1</v>
      </c>
      <c r="D65" s="37">
        <v>3</v>
      </c>
      <c r="E65" s="37">
        <v>62</v>
      </c>
      <c r="F65" s="37">
        <f>INDEX(新属性投放!$L$6:$L$10,新属性汇总!D65)</f>
        <v>1.1499999999999999</v>
      </c>
      <c r="G65" s="37">
        <f>INDEX(新属性投放!J$42:J$62,新属性汇总!$B65)</f>
        <v>1566</v>
      </c>
      <c r="H65" s="37">
        <f>INDEX(新属性投放!K$42:K$62,新属性汇总!$B65)</f>
        <v>781</v>
      </c>
      <c r="I65" s="37">
        <f>INDEX(新属性投放!L$42:L$62,新属性汇总!$B65)</f>
        <v>7829</v>
      </c>
      <c r="J65" s="37">
        <f>($A65-INDEX(新属性投放!$B$42:$B$62,新属性汇总!$B65))*INDEX(新属性投放!D$42:D$62,新属性汇总!$B65)</f>
        <v>70</v>
      </c>
      <c r="K65" s="37">
        <f>($A65-INDEX(新属性投放!$B$42:$B$62,新属性汇总!$B65))*INDEX(新属性投放!E$42:E$62,新属性汇总!$B65)</f>
        <v>35</v>
      </c>
      <c r="L65" s="37">
        <f>($A65-INDEX(新属性投放!$B$42:$B$62,新属性汇总!$B65))*INDEX(新属性投放!F$42:F$62,新属性汇总!$B65)</f>
        <v>314</v>
      </c>
      <c r="M65" s="37">
        <f t="shared" si="1"/>
        <v>1881.3999999999999</v>
      </c>
      <c r="N65" s="37">
        <f t="shared" si="2"/>
        <v>938.4</v>
      </c>
      <c r="O65" s="37">
        <f t="shared" si="3"/>
        <v>9364.4499999999989</v>
      </c>
      <c r="P65" s="37">
        <v>2</v>
      </c>
      <c r="Q65" s="37">
        <v>4</v>
      </c>
      <c r="R65">
        <v>62</v>
      </c>
      <c r="S65" s="37">
        <f>IF($P65&gt;0,INDEX(装备!L$11:L$16,新属性汇总!$P65),0)</f>
        <v>342</v>
      </c>
      <c r="T65" s="37">
        <f>IF($P65&gt;0,INDEX(装备!M$11:M$16,新属性汇总!$P65),0)</f>
        <v>171</v>
      </c>
      <c r="U65" s="37">
        <f>IF($P65&gt;0,INDEX(装备!N$11:N$16,新属性汇总!$P65),0)</f>
        <v>1745.9999999999998</v>
      </c>
      <c r="V65" s="37">
        <f>IF($P65&gt;0,INDEX(装备!H$11:H$16,新属性汇总!$P65),0)</f>
        <v>12</v>
      </c>
      <c r="W65" s="37">
        <f>IF($P65&gt;0,INDEX(装备!I$11:I$16,新属性汇总!$P65),0)</f>
        <v>6</v>
      </c>
      <c r="X65" s="37">
        <f>IF($P65&gt;0,INDEX(装备!J$11:J$16,新属性汇总!$P65),0)</f>
        <v>85</v>
      </c>
      <c r="Y65" s="37">
        <f t="shared" si="4"/>
        <v>1086</v>
      </c>
      <c r="Z65" s="37">
        <f t="shared" si="5"/>
        <v>543</v>
      </c>
      <c r="AA65" s="37">
        <f t="shared" si="6"/>
        <v>7016</v>
      </c>
      <c r="AB65" s="37">
        <v>0.65</v>
      </c>
      <c r="AC65" s="37">
        <f>IF(P65&gt;0,INDEX(装备!$BP$5:$BP$16,新属性汇总!P65),0)</f>
        <v>3</v>
      </c>
      <c r="AD65" s="37">
        <f>IF($P65&gt;0,ROUND(INDEX(装备!AY$11:AY$16,新属性汇总!$P65)*$AC65/3,0)*8*AB65,0)</f>
        <v>260</v>
      </c>
      <c r="AE65" s="37">
        <f>IF($P65&gt;0,ROUND(INDEX(装备!AZ$11:AZ$16,新属性汇总!$P65)*$AC65/3,0)*8*AB65,0)</f>
        <v>192.4</v>
      </c>
      <c r="AF65" s="37">
        <f>IF($P65&gt;0,ROUND(INDEX(装备!BA$11:BA$16,新属性汇总!$P65)*$AC65/3,0)*8*AB65,0)</f>
        <v>1326</v>
      </c>
      <c r="AG65" s="37">
        <f>IF(新属性汇总!P65&gt;0,INDEX(装备!$AP$11:$AP$16,新属性汇总!$P65)*2,0)</f>
        <v>1566</v>
      </c>
      <c r="AH65" s="37">
        <v>0</v>
      </c>
      <c r="AI65" s="37">
        <f>IF(新属性汇总!P65&gt;0,INDEX(装备!$AP$11:$AP$16,新属性汇总!$P65)*2,0)</f>
        <v>1566</v>
      </c>
      <c r="AJ65" s="37">
        <v>8</v>
      </c>
      <c r="AK65" s="37">
        <f>IF($AJ65&gt;0,INDEX(专属武器!H$4:H$53,新属性汇总!$AJ65),0)</f>
        <v>530</v>
      </c>
      <c r="AL65" s="37">
        <f>IF($AJ65&gt;0,INDEX(专属武器!I$4:I$53,新属性汇总!$AJ65),0)</f>
        <v>263</v>
      </c>
      <c r="AM65" s="37">
        <f>IF($AJ65&gt;0,INDEX(专属武器!J$4:J$53,新属性汇总!$AJ65),0)</f>
        <v>2385</v>
      </c>
      <c r="AQ65" s="13">
        <v>61</v>
      </c>
      <c r="AR65" s="13">
        <f t="shared" si="7"/>
        <v>1841.1499999999999</v>
      </c>
      <c r="AS65" s="13">
        <f t="shared" si="8"/>
        <v>918.27499999999998</v>
      </c>
      <c r="AT65" s="13">
        <f t="shared" si="9"/>
        <v>9183.9</v>
      </c>
      <c r="AU65" s="13">
        <f t="shared" si="10"/>
        <v>1074</v>
      </c>
      <c r="AV65" s="13">
        <f t="shared" si="11"/>
        <v>537</v>
      </c>
      <c r="AW65" s="13">
        <f t="shared" si="12"/>
        <v>6931</v>
      </c>
      <c r="AX65" s="13">
        <f t="shared" si="13"/>
        <v>260</v>
      </c>
      <c r="AY65" s="13">
        <f t="shared" si="14"/>
        <v>192.4</v>
      </c>
      <c r="AZ65" s="13">
        <f t="shared" si="15"/>
        <v>1326</v>
      </c>
      <c r="BA65" s="13">
        <f t="shared" si="16"/>
        <v>1566</v>
      </c>
      <c r="BB65" s="13">
        <f t="shared" si="17"/>
        <v>0</v>
      </c>
      <c r="BC65" s="13">
        <f t="shared" si="18"/>
        <v>1566</v>
      </c>
      <c r="BD65" s="13">
        <f t="shared" si="19"/>
        <v>530</v>
      </c>
      <c r="BE65" s="13">
        <f t="shared" si="20"/>
        <v>263</v>
      </c>
      <c r="BF65" s="13">
        <f t="shared" si="21"/>
        <v>2385</v>
      </c>
      <c r="BG65" s="13">
        <f t="shared" si="22"/>
        <v>27572</v>
      </c>
      <c r="BH65" s="13">
        <f t="shared" si="23"/>
        <v>17671</v>
      </c>
      <c r="BI65" s="13">
        <f t="shared" si="24"/>
        <v>4550</v>
      </c>
      <c r="BJ65" s="13">
        <f t="shared" si="25"/>
        <v>9396</v>
      </c>
      <c r="BK65" s="13">
        <f t="shared" si="26"/>
        <v>7665</v>
      </c>
      <c r="BL65" s="13">
        <f t="shared" si="27"/>
        <v>66854</v>
      </c>
      <c r="BM65" s="31">
        <f t="shared" si="28"/>
        <v>0.41239999999999999</v>
      </c>
      <c r="BN65" s="31">
        <f t="shared" si="29"/>
        <v>0.26429999999999998</v>
      </c>
      <c r="BO65" s="31">
        <f t="shared" si="30"/>
        <v>6.8099999999999994E-2</v>
      </c>
      <c r="BP65" s="31">
        <f t="shared" si="31"/>
        <v>0.14050000000000001</v>
      </c>
      <c r="BQ65" s="31">
        <f t="shared" si="32"/>
        <v>0.1147</v>
      </c>
    </row>
    <row r="66" spans="1:69" ht="16.5" x14ac:dyDescent="0.2">
      <c r="A66" s="37">
        <v>63</v>
      </c>
      <c r="B66" s="37">
        <v>7</v>
      </c>
      <c r="C66" s="37">
        <v>1</v>
      </c>
      <c r="D66" s="37">
        <v>3</v>
      </c>
      <c r="E66" s="37">
        <v>63</v>
      </c>
      <c r="F66" s="37">
        <f>INDEX(新属性投放!$L$6:$L$10,新属性汇总!D66)</f>
        <v>1.1499999999999999</v>
      </c>
      <c r="G66" s="37">
        <f>INDEX(新属性投放!J$42:J$62,新属性汇总!$B66)</f>
        <v>1566</v>
      </c>
      <c r="H66" s="37">
        <f>INDEX(新属性投放!K$42:K$62,新属性汇总!$B66)</f>
        <v>781</v>
      </c>
      <c r="I66" s="37">
        <f>INDEX(新属性投放!L$42:L$62,新属性汇总!$B66)</f>
        <v>7829</v>
      </c>
      <c r="J66" s="37">
        <f>($A66-INDEX(新属性投放!$B$42:$B$62,新属性汇总!$B66))*INDEX(新属性投放!D$42:D$62,新属性汇总!$B66)</f>
        <v>105</v>
      </c>
      <c r="K66" s="37">
        <f>($A66-INDEX(新属性投放!$B$42:$B$62,新属性汇总!$B66))*INDEX(新属性投放!E$42:E$62,新属性汇总!$B66)</f>
        <v>52.5</v>
      </c>
      <c r="L66" s="37">
        <f>($A66-INDEX(新属性投放!$B$42:$B$62,新属性汇总!$B66))*INDEX(新属性投放!F$42:F$62,新属性汇总!$B66)</f>
        <v>471</v>
      </c>
      <c r="M66" s="37">
        <f t="shared" si="1"/>
        <v>1921.6499999999999</v>
      </c>
      <c r="N66" s="37">
        <f t="shared" si="2"/>
        <v>958.52499999999998</v>
      </c>
      <c r="O66" s="37">
        <f t="shared" si="3"/>
        <v>9545</v>
      </c>
      <c r="P66" s="37">
        <v>2</v>
      </c>
      <c r="Q66" s="37">
        <v>4</v>
      </c>
      <c r="R66">
        <v>63</v>
      </c>
      <c r="S66" s="37">
        <f>IF($P66&gt;0,INDEX(装备!L$11:L$16,新属性汇总!$P66),0)</f>
        <v>342</v>
      </c>
      <c r="T66" s="37">
        <f>IF($P66&gt;0,INDEX(装备!M$11:M$16,新属性汇总!$P66),0)</f>
        <v>171</v>
      </c>
      <c r="U66" s="37">
        <f>IF($P66&gt;0,INDEX(装备!N$11:N$16,新属性汇总!$P66),0)</f>
        <v>1745.9999999999998</v>
      </c>
      <c r="V66" s="37">
        <f>IF($P66&gt;0,INDEX(装备!H$11:H$16,新属性汇总!$P66),0)</f>
        <v>12</v>
      </c>
      <c r="W66" s="37">
        <f>IF($P66&gt;0,INDEX(装备!I$11:I$16,新属性汇总!$P66),0)</f>
        <v>6</v>
      </c>
      <c r="X66" s="37">
        <f>IF($P66&gt;0,INDEX(装备!J$11:J$16,新属性汇总!$P66),0)</f>
        <v>85</v>
      </c>
      <c r="Y66" s="37">
        <f t="shared" si="4"/>
        <v>1098</v>
      </c>
      <c r="Z66" s="37">
        <f t="shared" si="5"/>
        <v>549</v>
      </c>
      <c r="AA66" s="37">
        <f t="shared" si="6"/>
        <v>7101</v>
      </c>
      <c r="AB66" s="37">
        <v>0.65</v>
      </c>
      <c r="AC66" s="37">
        <f>IF(P66&gt;0,INDEX(装备!$BP$5:$BP$16,新属性汇总!P66),0)</f>
        <v>3</v>
      </c>
      <c r="AD66" s="37">
        <f>IF($P66&gt;0,ROUND(INDEX(装备!AY$11:AY$16,新属性汇总!$P66)*$AC66/3,0)*8*AB66,0)</f>
        <v>260</v>
      </c>
      <c r="AE66" s="37">
        <f>IF($P66&gt;0,ROUND(INDEX(装备!AZ$11:AZ$16,新属性汇总!$P66)*$AC66/3,0)*8*AB66,0)</f>
        <v>192.4</v>
      </c>
      <c r="AF66" s="37">
        <f>IF($P66&gt;0,ROUND(INDEX(装备!BA$11:BA$16,新属性汇总!$P66)*$AC66/3,0)*8*AB66,0)</f>
        <v>1326</v>
      </c>
      <c r="AG66" s="37">
        <f>IF(新属性汇总!P66&gt;0,INDEX(装备!$AP$11:$AP$16,新属性汇总!$P66)*2,0)</f>
        <v>1566</v>
      </c>
      <c r="AH66" s="37">
        <v>0</v>
      </c>
      <c r="AI66" s="37">
        <f>IF(新属性汇总!P66&gt;0,INDEX(装备!$AP$11:$AP$16,新属性汇总!$P66)*2,0)</f>
        <v>1566</v>
      </c>
      <c r="AJ66" s="37">
        <v>8</v>
      </c>
      <c r="AK66" s="37">
        <f>IF($AJ66&gt;0,INDEX(专属武器!H$4:H$53,新属性汇总!$AJ66),0)</f>
        <v>530</v>
      </c>
      <c r="AL66" s="37">
        <f>IF($AJ66&gt;0,INDEX(专属武器!I$4:I$53,新属性汇总!$AJ66),0)</f>
        <v>263</v>
      </c>
      <c r="AM66" s="37">
        <f>IF($AJ66&gt;0,INDEX(专属武器!J$4:J$53,新属性汇总!$AJ66),0)</f>
        <v>2385</v>
      </c>
      <c r="AQ66" s="13">
        <v>62</v>
      </c>
      <c r="AR66" s="13">
        <f t="shared" si="7"/>
        <v>1881.3999999999999</v>
      </c>
      <c r="AS66" s="13">
        <f t="shared" si="8"/>
        <v>938.4</v>
      </c>
      <c r="AT66" s="13">
        <f t="shared" si="9"/>
        <v>9364.4499999999989</v>
      </c>
      <c r="AU66" s="13">
        <f t="shared" si="10"/>
        <v>1086</v>
      </c>
      <c r="AV66" s="13">
        <f t="shared" si="11"/>
        <v>543</v>
      </c>
      <c r="AW66" s="13">
        <f t="shared" si="12"/>
        <v>7016</v>
      </c>
      <c r="AX66" s="13">
        <f t="shared" si="13"/>
        <v>260</v>
      </c>
      <c r="AY66" s="13">
        <f t="shared" si="14"/>
        <v>192.4</v>
      </c>
      <c r="AZ66" s="13">
        <f t="shared" si="15"/>
        <v>1326</v>
      </c>
      <c r="BA66" s="13">
        <f t="shared" si="16"/>
        <v>1566</v>
      </c>
      <c r="BB66" s="13">
        <f t="shared" si="17"/>
        <v>0</v>
      </c>
      <c r="BC66" s="13">
        <f t="shared" si="18"/>
        <v>1566</v>
      </c>
      <c r="BD66" s="13">
        <f t="shared" si="19"/>
        <v>530</v>
      </c>
      <c r="BE66" s="13">
        <f t="shared" si="20"/>
        <v>263</v>
      </c>
      <c r="BF66" s="13">
        <f t="shared" si="21"/>
        <v>2385</v>
      </c>
      <c r="BG66" s="13">
        <f t="shared" si="22"/>
        <v>28155</v>
      </c>
      <c r="BH66" s="13">
        <f t="shared" si="23"/>
        <v>17876</v>
      </c>
      <c r="BI66" s="13">
        <f t="shared" si="24"/>
        <v>4550</v>
      </c>
      <c r="BJ66" s="13">
        <f t="shared" si="25"/>
        <v>9396</v>
      </c>
      <c r="BK66" s="13">
        <f t="shared" si="26"/>
        <v>7665</v>
      </c>
      <c r="BL66" s="13">
        <f t="shared" si="27"/>
        <v>67642</v>
      </c>
      <c r="BM66" s="31">
        <f t="shared" si="28"/>
        <v>0.41620000000000001</v>
      </c>
      <c r="BN66" s="31">
        <f t="shared" si="29"/>
        <v>0.26429999999999998</v>
      </c>
      <c r="BO66" s="31">
        <f t="shared" si="30"/>
        <v>6.7299999999999999E-2</v>
      </c>
      <c r="BP66" s="31">
        <f t="shared" si="31"/>
        <v>0.1389</v>
      </c>
      <c r="BQ66" s="31">
        <f t="shared" si="32"/>
        <v>0.1133</v>
      </c>
    </row>
    <row r="67" spans="1:69" ht="16.5" x14ac:dyDescent="0.2">
      <c r="A67" s="37">
        <v>64</v>
      </c>
      <c r="B67" s="37">
        <v>7</v>
      </c>
      <c r="C67" s="37">
        <v>1</v>
      </c>
      <c r="D67" s="37">
        <v>3</v>
      </c>
      <c r="E67" s="37">
        <v>64</v>
      </c>
      <c r="F67" s="37">
        <f>INDEX(新属性投放!$L$6:$L$10,新属性汇总!D67)</f>
        <v>1.1499999999999999</v>
      </c>
      <c r="G67" s="37">
        <f>INDEX(新属性投放!J$42:J$62,新属性汇总!$B67)</f>
        <v>1566</v>
      </c>
      <c r="H67" s="37">
        <f>INDEX(新属性投放!K$42:K$62,新属性汇总!$B67)</f>
        <v>781</v>
      </c>
      <c r="I67" s="37">
        <f>INDEX(新属性投放!L$42:L$62,新属性汇总!$B67)</f>
        <v>7829</v>
      </c>
      <c r="J67" s="37">
        <f>($A67-INDEX(新属性投放!$B$42:$B$62,新属性汇总!$B67))*INDEX(新属性投放!D$42:D$62,新属性汇总!$B67)</f>
        <v>140</v>
      </c>
      <c r="K67" s="37">
        <f>($A67-INDEX(新属性投放!$B$42:$B$62,新属性汇总!$B67))*INDEX(新属性投放!E$42:E$62,新属性汇总!$B67)</f>
        <v>70</v>
      </c>
      <c r="L67" s="37">
        <f>($A67-INDEX(新属性投放!$B$42:$B$62,新属性汇总!$B67))*INDEX(新属性投放!F$42:F$62,新属性汇总!$B67)</f>
        <v>628</v>
      </c>
      <c r="M67" s="37">
        <f t="shared" si="1"/>
        <v>1961.8999999999999</v>
      </c>
      <c r="N67" s="37">
        <f t="shared" si="2"/>
        <v>978.65</v>
      </c>
      <c r="O67" s="37">
        <f t="shared" si="3"/>
        <v>9725.5499999999993</v>
      </c>
      <c r="P67" s="37">
        <v>2</v>
      </c>
      <c r="Q67" s="37">
        <v>4</v>
      </c>
      <c r="R67">
        <v>64</v>
      </c>
      <c r="S67" s="37">
        <f>IF($P67&gt;0,INDEX(装备!L$11:L$16,新属性汇总!$P67),0)</f>
        <v>342</v>
      </c>
      <c r="T67" s="37">
        <f>IF($P67&gt;0,INDEX(装备!M$11:M$16,新属性汇总!$P67),0)</f>
        <v>171</v>
      </c>
      <c r="U67" s="37">
        <f>IF($P67&gt;0,INDEX(装备!N$11:N$16,新属性汇总!$P67),0)</f>
        <v>1745.9999999999998</v>
      </c>
      <c r="V67" s="37">
        <f>IF($P67&gt;0,INDEX(装备!H$11:H$16,新属性汇总!$P67),0)</f>
        <v>12</v>
      </c>
      <c r="W67" s="37">
        <f>IF($P67&gt;0,INDEX(装备!I$11:I$16,新属性汇总!$P67),0)</f>
        <v>6</v>
      </c>
      <c r="X67" s="37">
        <f>IF($P67&gt;0,INDEX(装备!J$11:J$16,新属性汇总!$P67),0)</f>
        <v>85</v>
      </c>
      <c r="Y67" s="37">
        <f t="shared" si="4"/>
        <v>1110</v>
      </c>
      <c r="Z67" s="37">
        <f t="shared" si="5"/>
        <v>555</v>
      </c>
      <c r="AA67" s="37">
        <f t="shared" si="6"/>
        <v>7186</v>
      </c>
      <c r="AB67" s="37">
        <v>0.65</v>
      </c>
      <c r="AC67" s="37">
        <f>IF(P67&gt;0,INDEX(装备!$BP$5:$BP$16,新属性汇总!P67),0)</f>
        <v>3</v>
      </c>
      <c r="AD67" s="37">
        <f>IF($P67&gt;0,ROUND(INDEX(装备!AY$11:AY$16,新属性汇总!$P67)*$AC67/3,0)*8*AB67,0)</f>
        <v>260</v>
      </c>
      <c r="AE67" s="37">
        <f>IF($P67&gt;0,ROUND(INDEX(装备!AZ$11:AZ$16,新属性汇总!$P67)*$AC67/3,0)*8*AB67,0)</f>
        <v>192.4</v>
      </c>
      <c r="AF67" s="37">
        <f>IF($P67&gt;0,ROUND(INDEX(装备!BA$11:BA$16,新属性汇总!$P67)*$AC67/3,0)*8*AB67,0)</f>
        <v>1326</v>
      </c>
      <c r="AG67" s="37">
        <f>IF(新属性汇总!P67&gt;0,INDEX(装备!$AP$11:$AP$16,新属性汇总!$P67)*2,0)</f>
        <v>1566</v>
      </c>
      <c r="AH67" s="37">
        <v>0</v>
      </c>
      <c r="AI67" s="37">
        <f>IF(新属性汇总!P67&gt;0,INDEX(装备!$AP$11:$AP$16,新属性汇总!$P67)*2,0)</f>
        <v>1566</v>
      </c>
      <c r="AJ67" s="37">
        <v>8</v>
      </c>
      <c r="AK67" s="37">
        <f>IF($AJ67&gt;0,INDEX(专属武器!H$4:H$53,新属性汇总!$AJ67),0)</f>
        <v>530</v>
      </c>
      <c r="AL67" s="37">
        <f>IF($AJ67&gt;0,INDEX(专属武器!I$4:I$53,新属性汇总!$AJ67),0)</f>
        <v>263</v>
      </c>
      <c r="AM67" s="37">
        <f>IF($AJ67&gt;0,INDEX(专属武器!J$4:J$53,新属性汇总!$AJ67),0)</f>
        <v>2385</v>
      </c>
      <c r="AQ67" s="13">
        <v>63</v>
      </c>
      <c r="AR67" s="13">
        <f t="shared" si="7"/>
        <v>1921.6499999999999</v>
      </c>
      <c r="AS67" s="13">
        <f t="shared" si="8"/>
        <v>958.52499999999998</v>
      </c>
      <c r="AT67" s="13">
        <f t="shared" si="9"/>
        <v>9545</v>
      </c>
      <c r="AU67" s="13">
        <f t="shared" si="10"/>
        <v>1098</v>
      </c>
      <c r="AV67" s="13">
        <f t="shared" si="11"/>
        <v>549</v>
      </c>
      <c r="AW67" s="13">
        <f t="shared" si="12"/>
        <v>7101</v>
      </c>
      <c r="AX67" s="13">
        <f t="shared" si="13"/>
        <v>260</v>
      </c>
      <c r="AY67" s="13">
        <f t="shared" si="14"/>
        <v>192.4</v>
      </c>
      <c r="AZ67" s="13">
        <f t="shared" si="15"/>
        <v>1326</v>
      </c>
      <c r="BA67" s="13">
        <f t="shared" si="16"/>
        <v>1566</v>
      </c>
      <c r="BB67" s="13">
        <f t="shared" si="17"/>
        <v>0</v>
      </c>
      <c r="BC67" s="13">
        <f t="shared" si="18"/>
        <v>1566</v>
      </c>
      <c r="BD67" s="13">
        <f t="shared" si="19"/>
        <v>530</v>
      </c>
      <c r="BE67" s="13">
        <f t="shared" si="20"/>
        <v>263</v>
      </c>
      <c r="BF67" s="13">
        <f t="shared" si="21"/>
        <v>2385</v>
      </c>
      <c r="BG67" s="13">
        <f t="shared" si="22"/>
        <v>28738</v>
      </c>
      <c r="BH67" s="13">
        <f t="shared" si="23"/>
        <v>18081</v>
      </c>
      <c r="BI67" s="13">
        <f t="shared" si="24"/>
        <v>4550</v>
      </c>
      <c r="BJ67" s="13">
        <f t="shared" si="25"/>
        <v>9396</v>
      </c>
      <c r="BK67" s="13">
        <f t="shared" si="26"/>
        <v>7665</v>
      </c>
      <c r="BL67" s="13">
        <f t="shared" si="27"/>
        <v>68430</v>
      </c>
      <c r="BM67" s="31">
        <f t="shared" si="28"/>
        <v>0.42</v>
      </c>
      <c r="BN67" s="31">
        <f t="shared" si="29"/>
        <v>0.26419999999999999</v>
      </c>
      <c r="BO67" s="31">
        <f t="shared" si="30"/>
        <v>6.6500000000000004E-2</v>
      </c>
      <c r="BP67" s="31">
        <f t="shared" si="31"/>
        <v>0.13730000000000001</v>
      </c>
      <c r="BQ67" s="31">
        <f t="shared" si="32"/>
        <v>0.112</v>
      </c>
    </row>
    <row r="68" spans="1:69" ht="16.5" x14ac:dyDescent="0.2">
      <c r="A68" s="37">
        <v>65</v>
      </c>
      <c r="B68" s="37">
        <v>7</v>
      </c>
      <c r="C68" s="37">
        <v>1</v>
      </c>
      <c r="D68" s="37">
        <v>3</v>
      </c>
      <c r="E68" s="37">
        <v>65</v>
      </c>
      <c r="F68" s="37">
        <f>INDEX(新属性投放!$L$6:$L$10,新属性汇总!D68)</f>
        <v>1.1499999999999999</v>
      </c>
      <c r="G68" s="37">
        <f>INDEX(新属性投放!J$42:J$62,新属性汇总!$B68)</f>
        <v>1566</v>
      </c>
      <c r="H68" s="37">
        <f>INDEX(新属性投放!K$42:K$62,新属性汇总!$B68)</f>
        <v>781</v>
      </c>
      <c r="I68" s="37">
        <f>INDEX(新属性投放!L$42:L$62,新属性汇总!$B68)</f>
        <v>7829</v>
      </c>
      <c r="J68" s="37">
        <f>($A68-INDEX(新属性投放!$B$42:$B$62,新属性汇总!$B68))*INDEX(新属性投放!D$42:D$62,新属性汇总!$B68)</f>
        <v>175</v>
      </c>
      <c r="K68" s="37">
        <f>($A68-INDEX(新属性投放!$B$42:$B$62,新属性汇总!$B68))*INDEX(新属性投放!E$42:E$62,新属性汇总!$B68)</f>
        <v>87.5</v>
      </c>
      <c r="L68" s="37">
        <f>($A68-INDEX(新属性投放!$B$42:$B$62,新属性汇总!$B68))*INDEX(新属性投放!F$42:F$62,新属性汇总!$B68)</f>
        <v>785</v>
      </c>
      <c r="M68" s="37">
        <f t="shared" si="1"/>
        <v>2002.1499999999999</v>
      </c>
      <c r="N68" s="37">
        <f t="shared" si="2"/>
        <v>998.77499999999998</v>
      </c>
      <c r="O68" s="37">
        <f t="shared" si="3"/>
        <v>9906.0999999999985</v>
      </c>
      <c r="P68" s="37">
        <v>2</v>
      </c>
      <c r="Q68" s="37">
        <v>4</v>
      </c>
      <c r="R68">
        <v>65</v>
      </c>
      <c r="S68" s="37">
        <f>IF($P68&gt;0,INDEX(装备!L$11:L$16,新属性汇总!$P68),0)</f>
        <v>342</v>
      </c>
      <c r="T68" s="37">
        <f>IF($P68&gt;0,INDEX(装备!M$11:M$16,新属性汇总!$P68),0)</f>
        <v>171</v>
      </c>
      <c r="U68" s="37">
        <f>IF($P68&gt;0,INDEX(装备!N$11:N$16,新属性汇总!$P68),0)</f>
        <v>1745.9999999999998</v>
      </c>
      <c r="V68" s="37">
        <f>IF($P68&gt;0,INDEX(装备!H$11:H$16,新属性汇总!$P68),0)</f>
        <v>12</v>
      </c>
      <c r="W68" s="37">
        <f>IF($P68&gt;0,INDEX(装备!I$11:I$16,新属性汇总!$P68),0)</f>
        <v>6</v>
      </c>
      <c r="X68" s="37">
        <f>IF($P68&gt;0,INDEX(装备!J$11:J$16,新属性汇总!$P68),0)</f>
        <v>85</v>
      </c>
      <c r="Y68" s="37">
        <f t="shared" si="4"/>
        <v>1122</v>
      </c>
      <c r="Z68" s="37">
        <f t="shared" si="5"/>
        <v>561</v>
      </c>
      <c r="AA68" s="37">
        <f t="shared" si="6"/>
        <v>7271</v>
      </c>
      <c r="AB68" s="37">
        <v>0.65</v>
      </c>
      <c r="AC68" s="37">
        <f>IF(P68&gt;0,INDEX(装备!$BP$5:$BP$16,新属性汇总!P68),0)</f>
        <v>3</v>
      </c>
      <c r="AD68" s="37">
        <f>IF($P68&gt;0,ROUND(INDEX(装备!AY$11:AY$16,新属性汇总!$P68)*$AC68/3,0)*8*AB68,0)</f>
        <v>260</v>
      </c>
      <c r="AE68" s="37">
        <f>IF($P68&gt;0,ROUND(INDEX(装备!AZ$11:AZ$16,新属性汇总!$P68)*$AC68/3,0)*8*AB68,0)</f>
        <v>192.4</v>
      </c>
      <c r="AF68" s="37">
        <f>IF($P68&gt;0,ROUND(INDEX(装备!BA$11:BA$16,新属性汇总!$P68)*$AC68/3,0)*8*AB68,0)</f>
        <v>1326</v>
      </c>
      <c r="AG68" s="37">
        <f>IF(新属性汇总!P68&gt;0,INDEX(装备!$AP$11:$AP$16,新属性汇总!$P68)*2,0)</f>
        <v>1566</v>
      </c>
      <c r="AH68" s="37">
        <v>0</v>
      </c>
      <c r="AI68" s="37">
        <f>IF(新属性汇总!P68&gt;0,INDEX(装备!$AP$11:$AP$16,新属性汇总!$P68)*2,0)</f>
        <v>1566</v>
      </c>
      <c r="AJ68" s="37">
        <v>9</v>
      </c>
      <c r="AK68" s="37">
        <f>IF($AJ68&gt;0,INDEX(专属武器!H$4:H$53,新属性汇总!$AJ68),0)</f>
        <v>628</v>
      </c>
      <c r="AL68" s="37">
        <f>IF($AJ68&gt;0,INDEX(专属武器!I$4:I$53,新属性汇总!$AJ68),0)</f>
        <v>312</v>
      </c>
      <c r="AM68" s="37">
        <f>IF($AJ68&gt;0,INDEX(专属武器!J$4:J$53,新属性汇总!$AJ68),0)</f>
        <v>2824</v>
      </c>
      <c r="AQ68" s="13">
        <v>64</v>
      </c>
      <c r="AR68" s="13">
        <f t="shared" si="7"/>
        <v>1961.8999999999999</v>
      </c>
      <c r="AS68" s="13">
        <f t="shared" si="8"/>
        <v>978.65</v>
      </c>
      <c r="AT68" s="13">
        <f t="shared" si="9"/>
        <v>9725.5499999999993</v>
      </c>
      <c r="AU68" s="13">
        <f t="shared" si="10"/>
        <v>1110</v>
      </c>
      <c r="AV68" s="13">
        <f t="shared" si="11"/>
        <v>555</v>
      </c>
      <c r="AW68" s="13">
        <f t="shared" si="12"/>
        <v>7186</v>
      </c>
      <c r="AX68" s="13">
        <f t="shared" si="13"/>
        <v>260</v>
      </c>
      <c r="AY68" s="13">
        <f t="shared" si="14"/>
        <v>192.4</v>
      </c>
      <c r="AZ68" s="13">
        <f t="shared" si="15"/>
        <v>1326</v>
      </c>
      <c r="BA68" s="13">
        <f t="shared" si="16"/>
        <v>1566</v>
      </c>
      <c r="BB68" s="13">
        <f t="shared" si="17"/>
        <v>0</v>
      </c>
      <c r="BC68" s="13">
        <f t="shared" si="18"/>
        <v>1566</v>
      </c>
      <c r="BD68" s="13">
        <f t="shared" si="19"/>
        <v>530</v>
      </c>
      <c r="BE68" s="13">
        <f t="shared" si="20"/>
        <v>263</v>
      </c>
      <c r="BF68" s="13">
        <f t="shared" si="21"/>
        <v>2385</v>
      </c>
      <c r="BG68" s="13">
        <f t="shared" si="22"/>
        <v>29321</v>
      </c>
      <c r="BH68" s="13">
        <f t="shared" si="23"/>
        <v>18286</v>
      </c>
      <c r="BI68" s="13">
        <f t="shared" si="24"/>
        <v>4550</v>
      </c>
      <c r="BJ68" s="13">
        <f t="shared" si="25"/>
        <v>9396</v>
      </c>
      <c r="BK68" s="13">
        <f t="shared" si="26"/>
        <v>7665</v>
      </c>
      <c r="BL68" s="13">
        <f t="shared" si="27"/>
        <v>69218</v>
      </c>
      <c r="BM68" s="31">
        <f t="shared" si="28"/>
        <v>0.42359999999999998</v>
      </c>
      <c r="BN68" s="31">
        <f t="shared" si="29"/>
        <v>0.26419999999999999</v>
      </c>
      <c r="BO68" s="31">
        <f t="shared" si="30"/>
        <v>6.5699999999999995E-2</v>
      </c>
      <c r="BP68" s="31">
        <f t="shared" si="31"/>
        <v>0.13569999999999999</v>
      </c>
      <c r="BQ68" s="31">
        <f t="shared" si="32"/>
        <v>0.11070000000000001</v>
      </c>
    </row>
    <row r="69" spans="1:69" ht="16.5" x14ac:dyDescent="0.2">
      <c r="A69" s="37">
        <v>66</v>
      </c>
      <c r="B69" s="37">
        <v>7</v>
      </c>
      <c r="C69" s="37">
        <v>1</v>
      </c>
      <c r="D69" s="37">
        <v>3</v>
      </c>
      <c r="E69" s="37">
        <v>66</v>
      </c>
      <c r="F69" s="37">
        <f>INDEX(新属性投放!$L$6:$L$10,新属性汇总!D69)</f>
        <v>1.1499999999999999</v>
      </c>
      <c r="G69" s="37">
        <f>INDEX(新属性投放!J$42:J$62,新属性汇总!$B69)</f>
        <v>1566</v>
      </c>
      <c r="H69" s="37">
        <f>INDEX(新属性投放!K$42:K$62,新属性汇总!$B69)</f>
        <v>781</v>
      </c>
      <c r="I69" s="37">
        <f>INDEX(新属性投放!L$42:L$62,新属性汇总!$B69)</f>
        <v>7829</v>
      </c>
      <c r="J69" s="37">
        <f>($A69-INDEX(新属性投放!$B$42:$B$62,新属性汇总!$B69))*INDEX(新属性投放!D$42:D$62,新属性汇总!$B69)</f>
        <v>210</v>
      </c>
      <c r="K69" s="37">
        <f>($A69-INDEX(新属性投放!$B$42:$B$62,新属性汇总!$B69))*INDEX(新属性投放!E$42:E$62,新属性汇总!$B69)</f>
        <v>105</v>
      </c>
      <c r="L69" s="37">
        <f>($A69-INDEX(新属性投放!$B$42:$B$62,新属性汇总!$B69))*INDEX(新属性投放!F$42:F$62,新属性汇总!$B69)</f>
        <v>942</v>
      </c>
      <c r="M69" s="37">
        <f t="shared" ref="M69:M132" si="33">(G69+J69)*$F69</f>
        <v>2042.3999999999999</v>
      </c>
      <c r="N69" s="37">
        <f t="shared" ref="N69:N132" si="34">(H69+K69)*$F69</f>
        <v>1018.9</v>
      </c>
      <c r="O69" s="37">
        <f t="shared" ref="O69:O132" si="35">(I69+L69)*$F69</f>
        <v>10086.65</v>
      </c>
      <c r="P69" s="37">
        <v>2</v>
      </c>
      <c r="Q69" s="37">
        <v>4</v>
      </c>
      <c r="R69">
        <v>66</v>
      </c>
      <c r="S69" s="37">
        <f>IF($P69&gt;0,INDEX(装备!L$11:L$16,新属性汇总!$P69),0)</f>
        <v>342</v>
      </c>
      <c r="T69" s="37">
        <f>IF($P69&gt;0,INDEX(装备!M$11:M$16,新属性汇总!$P69),0)</f>
        <v>171</v>
      </c>
      <c r="U69" s="37">
        <f>IF($P69&gt;0,INDEX(装备!N$11:N$16,新属性汇总!$P69),0)</f>
        <v>1745.9999999999998</v>
      </c>
      <c r="V69" s="37">
        <f>IF($P69&gt;0,INDEX(装备!H$11:H$16,新属性汇总!$P69),0)</f>
        <v>12</v>
      </c>
      <c r="W69" s="37">
        <f>IF($P69&gt;0,INDEX(装备!I$11:I$16,新属性汇总!$P69),0)</f>
        <v>6</v>
      </c>
      <c r="X69" s="37">
        <f>IF($P69&gt;0,INDEX(装备!J$11:J$16,新属性汇总!$P69),0)</f>
        <v>85</v>
      </c>
      <c r="Y69" s="37">
        <f t="shared" ref="Y69:Y132" si="36">S69+V69*$R69</f>
        <v>1134</v>
      </c>
      <c r="Z69" s="37">
        <f t="shared" ref="Z69:Z132" si="37">T69+W69*$R69</f>
        <v>567</v>
      </c>
      <c r="AA69" s="37">
        <f t="shared" ref="AA69:AA132" si="38">U69+X69*$R69</f>
        <v>7356</v>
      </c>
      <c r="AB69" s="37">
        <v>0.65</v>
      </c>
      <c r="AC69" s="37">
        <f>IF(P69&gt;0,INDEX(装备!$BP$5:$BP$16,新属性汇总!P69),0)</f>
        <v>3</v>
      </c>
      <c r="AD69" s="37">
        <f>IF($P69&gt;0,ROUND(INDEX(装备!AY$11:AY$16,新属性汇总!$P69)*$AC69/3,0)*8*AB69,0)</f>
        <v>260</v>
      </c>
      <c r="AE69" s="37">
        <f>IF($P69&gt;0,ROUND(INDEX(装备!AZ$11:AZ$16,新属性汇总!$P69)*$AC69/3,0)*8*AB69,0)</f>
        <v>192.4</v>
      </c>
      <c r="AF69" s="37">
        <f>IF($P69&gt;0,ROUND(INDEX(装备!BA$11:BA$16,新属性汇总!$P69)*$AC69/3,0)*8*AB69,0)</f>
        <v>1326</v>
      </c>
      <c r="AG69" s="37">
        <f>IF(新属性汇总!P69&gt;0,INDEX(装备!$AP$11:$AP$16,新属性汇总!$P69)*2,0)</f>
        <v>1566</v>
      </c>
      <c r="AH69" s="37">
        <v>0</v>
      </c>
      <c r="AI69" s="37">
        <f>IF(新属性汇总!P69&gt;0,INDEX(装备!$AP$11:$AP$16,新属性汇总!$P69)*2,0)</f>
        <v>1566</v>
      </c>
      <c r="AJ69" s="37">
        <v>9</v>
      </c>
      <c r="AK69" s="37">
        <f>IF($AJ69&gt;0,INDEX(专属武器!H$4:H$53,新属性汇总!$AJ69),0)</f>
        <v>628</v>
      </c>
      <c r="AL69" s="37">
        <f>IF($AJ69&gt;0,INDEX(专属武器!I$4:I$53,新属性汇总!$AJ69),0)</f>
        <v>312</v>
      </c>
      <c r="AM69" s="37">
        <f>IF($AJ69&gt;0,INDEX(专属武器!J$4:J$53,新属性汇总!$AJ69),0)</f>
        <v>2824</v>
      </c>
      <c r="AQ69" s="13">
        <v>65</v>
      </c>
      <c r="AR69" s="13">
        <f t="shared" ref="AR69:AR132" si="39">INDEX(M$4:M$203,$AQ69)</f>
        <v>2002.1499999999999</v>
      </c>
      <c r="AS69" s="13">
        <f t="shared" ref="AS69:AS132" si="40">INDEX(N$4:N$203,$AQ69)</f>
        <v>998.77499999999998</v>
      </c>
      <c r="AT69" s="13">
        <f t="shared" ref="AT69:AT132" si="41">INDEX(O$4:O$203,$AQ69)</f>
        <v>9906.0999999999985</v>
      </c>
      <c r="AU69" s="13">
        <f t="shared" ref="AU69:AU132" si="42">INDEX(Y$4:Y$203,$AQ69)</f>
        <v>1122</v>
      </c>
      <c r="AV69" s="13">
        <f t="shared" ref="AV69:AV132" si="43">INDEX(Z$4:Z$203,$AQ69)</f>
        <v>561</v>
      </c>
      <c r="AW69" s="13">
        <f t="shared" ref="AW69:AW132" si="44">INDEX(AA$4:AA$203,$AQ69)</f>
        <v>7271</v>
      </c>
      <c r="AX69" s="13">
        <f t="shared" ref="AX69:AX132" si="45">INDEX(AD$4:AD$203,$AQ69)</f>
        <v>260</v>
      </c>
      <c r="AY69" s="13">
        <f t="shared" ref="AY69:AY132" si="46">INDEX(AE$4:AE$203,$AQ69)</f>
        <v>192.4</v>
      </c>
      <c r="AZ69" s="13">
        <f t="shared" ref="AZ69:AZ132" si="47">INDEX(AF$4:AF$203,$AQ69)</f>
        <v>1326</v>
      </c>
      <c r="BA69" s="13">
        <f t="shared" ref="BA69:BA132" si="48">INDEX(AG$4:AG$203,$AQ69)</f>
        <v>1566</v>
      </c>
      <c r="BB69" s="13">
        <f t="shared" ref="BB69:BB132" si="49">INDEX(AH$4:AH$203,$AQ69)</f>
        <v>0</v>
      </c>
      <c r="BC69" s="13">
        <f t="shared" ref="BC69:BC132" si="50">INDEX(AI$4:AI$203,$AQ69)</f>
        <v>1566</v>
      </c>
      <c r="BD69" s="13">
        <f t="shared" ref="BD69:BD132" si="51">INDEX(AK$4:AK$203,$AQ69)</f>
        <v>628</v>
      </c>
      <c r="BE69" s="13">
        <f t="shared" ref="BE69:BE132" si="52">INDEX(AL$4:AL$203,$AQ69)</f>
        <v>312</v>
      </c>
      <c r="BF69" s="13">
        <f t="shared" ref="BF69:BF132" si="53">INDEX(AM$4:AM$203,$AQ69)</f>
        <v>2824</v>
      </c>
      <c r="BG69" s="13">
        <f t="shared" ref="BG69:BG132" si="54">INT(SUMPRODUCT(AR69:AT69,AR$2:AT$2))</f>
        <v>29904</v>
      </c>
      <c r="BH69" s="13">
        <f t="shared" ref="BH69:BH132" si="55">INT(SUMPRODUCT(AU69:AW69,AU$2:AW$2))</f>
        <v>18491</v>
      </c>
      <c r="BI69" s="13">
        <f t="shared" ref="BI69:BI132" si="56">INT(SUMPRODUCT(AX69:AZ69,AX$2:AZ$2))</f>
        <v>4550</v>
      </c>
      <c r="BJ69" s="13">
        <f t="shared" ref="BJ69:BJ132" si="57">INT(SUMPRODUCT(BA69:BC69,BA$2:BC$2))</f>
        <v>9396</v>
      </c>
      <c r="BK69" s="13">
        <f t="shared" ref="BK69:BK132" si="58">INT(SUMPRODUCT(BD69:BF69,BD$2:BF$2))</f>
        <v>9084</v>
      </c>
      <c r="BL69" s="13">
        <f t="shared" ref="BL69:BL132" si="59">SUM(BG69:BK69)</f>
        <v>71425</v>
      </c>
      <c r="BM69" s="31">
        <f t="shared" ref="BM69:BM132" si="60">ROUND(BG69/$BL69,4)</f>
        <v>0.41870000000000002</v>
      </c>
      <c r="BN69" s="31">
        <f t="shared" ref="BN69:BN132" si="61">ROUND(BH69/$BL69,4)</f>
        <v>0.25890000000000002</v>
      </c>
      <c r="BO69" s="31">
        <f t="shared" ref="BO69:BO132" si="62">ROUND(BI69/$BL69,4)</f>
        <v>6.3700000000000007E-2</v>
      </c>
      <c r="BP69" s="31">
        <f t="shared" ref="BP69:BP132" si="63">ROUND(BJ69/$BL69,4)</f>
        <v>0.13159999999999999</v>
      </c>
      <c r="BQ69" s="31">
        <f t="shared" ref="BQ69:BQ132" si="64">ROUND(BK69/$BL69,4)</f>
        <v>0.12720000000000001</v>
      </c>
    </row>
    <row r="70" spans="1:69" ht="16.5" x14ac:dyDescent="0.2">
      <c r="A70" s="37">
        <v>67</v>
      </c>
      <c r="B70" s="37">
        <v>7</v>
      </c>
      <c r="C70" s="37">
        <v>1</v>
      </c>
      <c r="D70" s="37">
        <v>3</v>
      </c>
      <c r="E70" s="37">
        <v>67</v>
      </c>
      <c r="F70" s="37">
        <f>INDEX(新属性投放!$L$6:$L$10,新属性汇总!D70)</f>
        <v>1.1499999999999999</v>
      </c>
      <c r="G70" s="37">
        <f>INDEX(新属性投放!J$42:J$62,新属性汇总!$B70)</f>
        <v>1566</v>
      </c>
      <c r="H70" s="37">
        <f>INDEX(新属性投放!K$42:K$62,新属性汇总!$B70)</f>
        <v>781</v>
      </c>
      <c r="I70" s="37">
        <f>INDEX(新属性投放!L$42:L$62,新属性汇总!$B70)</f>
        <v>7829</v>
      </c>
      <c r="J70" s="37">
        <f>($A70-INDEX(新属性投放!$B$42:$B$62,新属性汇总!$B70))*INDEX(新属性投放!D$42:D$62,新属性汇总!$B70)</f>
        <v>245</v>
      </c>
      <c r="K70" s="37">
        <f>($A70-INDEX(新属性投放!$B$42:$B$62,新属性汇总!$B70))*INDEX(新属性投放!E$42:E$62,新属性汇总!$B70)</f>
        <v>122.5</v>
      </c>
      <c r="L70" s="37">
        <f>($A70-INDEX(新属性投放!$B$42:$B$62,新属性汇总!$B70))*INDEX(新属性投放!F$42:F$62,新属性汇总!$B70)</f>
        <v>1099</v>
      </c>
      <c r="M70" s="37">
        <f t="shared" si="33"/>
        <v>2082.6499999999996</v>
      </c>
      <c r="N70" s="37">
        <f t="shared" si="34"/>
        <v>1039.0249999999999</v>
      </c>
      <c r="O70" s="37">
        <f t="shared" si="35"/>
        <v>10267.199999999999</v>
      </c>
      <c r="P70" s="37">
        <v>2</v>
      </c>
      <c r="Q70" s="37">
        <v>4</v>
      </c>
      <c r="R70">
        <v>67</v>
      </c>
      <c r="S70" s="37">
        <f>IF($P70&gt;0,INDEX(装备!L$11:L$16,新属性汇总!$P70),0)</f>
        <v>342</v>
      </c>
      <c r="T70" s="37">
        <f>IF($P70&gt;0,INDEX(装备!M$11:M$16,新属性汇总!$P70),0)</f>
        <v>171</v>
      </c>
      <c r="U70" s="37">
        <f>IF($P70&gt;0,INDEX(装备!N$11:N$16,新属性汇总!$P70),0)</f>
        <v>1745.9999999999998</v>
      </c>
      <c r="V70" s="37">
        <f>IF($P70&gt;0,INDEX(装备!H$11:H$16,新属性汇总!$P70),0)</f>
        <v>12</v>
      </c>
      <c r="W70" s="37">
        <f>IF($P70&gt;0,INDEX(装备!I$11:I$16,新属性汇总!$P70),0)</f>
        <v>6</v>
      </c>
      <c r="X70" s="37">
        <f>IF($P70&gt;0,INDEX(装备!J$11:J$16,新属性汇总!$P70),0)</f>
        <v>85</v>
      </c>
      <c r="Y70" s="37">
        <f t="shared" si="36"/>
        <v>1146</v>
      </c>
      <c r="Z70" s="37">
        <f t="shared" si="37"/>
        <v>573</v>
      </c>
      <c r="AA70" s="37">
        <f t="shared" si="38"/>
        <v>7441</v>
      </c>
      <c r="AB70" s="37">
        <v>0.65</v>
      </c>
      <c r="AC70" s="37">
        <f>IF(P70&gt;0,INDEX(装备!$BP$5:$BP$16,新属性汇总!P70),0)</f>
        <v>3</v>
      </c>
      <c r="AD70" s="37">
        <f>IF($P70&gt;0,ROUND(INDEX(装备!AY$11:AY$16,新属性汇总!$P70)*$AC70/3,0)*8*AB70,0)</f>
        <v>260</v>
      </c>
      <c r="AE70" s="37">
        <f>IF($P70&gt;0,ROUND(INDEX(装备!AZ$11:AZ$16,新属性汇总!$P70)*$AC70/3,0)*8*AB70,0)</f>
        <v>192.4</v>
      </c>
      <c r="AF70" s="37">
        <f>IF($P70&gt;0,ROUND(INDEX(装备!BA$11:BA$16,新属性汇总!$P70)*$AC70/3,0)*8*AB70,0)</f>
        <v>1326</v>
      </c>
      <c r="AG70" s="37">
        <f>IF(新属性汇总!P70&gt;0,INDEX(装备!$AP$11:$AP$16,新属性汇总!$P70)*2,0)</f>
        <v>1566</v>
      </c>
      <c r="AH70" s="37">
        <v>0</v>
      </c>
      <c r="AI70" s="37">
        <f>IF(新属性汇总!P70&gt;0,INDEX(装备!$AP$11:$AP$16,新属性汇总!$P70)*2,0)</f>
        <v>1566</v>
      </c>
      <c r="AJ70" s="37">
        <v>9</v>
      </c>
      <c r="AK70" s="37">
        <f>IF($AJ70&gt;0,INDEX(专属武器!H$4:H$53,新属性汇总!$AJ70),0)</f>
        <v>628</v>
      </c>
      <c r="AL70" s="37">
        <f>IF($AJ70&gt;0,INDEX(专属武器!I$4:I$53,新属性汇总!$AJ70),0)</f>
        <v>312</v>
      </c>
      <c r="AM70" s="37">
        <f>IF($AJ70&gt;0,INDEX(专属武器!J$4:J$53,新属性汇总!$AJ70),0)</f>
        <v>2824</v>
      </c>
      <c r="AQ70" s="13">
        <v>66</v>
      </c>
      <c r="AR70" s="13">
        <f t="shared" si="39"/>
        <v>2042.3999999999999</v>
      </c>
      <c r="AS70" s="13">
        <f t="shared" si="40"/>
        <v>1018.9</v>
      </c>
      <c r="AT70" s="13">
        <f t="shared" si="41"/>
        <v>10086.65</v>
      </c>
      <c r="AU70" s="13">
        <f t="shared" si="42"/>
        <v>1134</v>
      </c>
      <c r="AV70" s="13">
        <f t="shared" si="43"/>
        <v>567</v>
      </c>
      <c r="AW70" s="13">
        <f t="shared" si="44"/>
        <v>7356</v>
      </c>
      <c r="AX70" s="13">
        <f t="shared" si="45"/>
        <v>260</v>
      </c>
      <c r="AY70" s="13">
        <f t="shared" si="46"/>
        <v>192.4</v>
      </c>
      <c r="AZ70" s="13">
        <f t="shared" si="47"/>
        <v>1326</v>
      </c>
      <c r="BA70" s="13">
        <f t="shared" si="48"/>
        <v>1566</v>
      </c>
      <c r="BB70" s="13">
        <f t="shared" si="49"/>
        <v>0</v>
      </c>
      <c r="BC70" s="13">
        <f t="shared" si="50"/>
        <v>1566</v>
      </c>
      <c r="BD70" s="13">
        <f t="shared" si="51"/>
        <v>628</v>
      </c>
      <c r="BE70" s="13">
        <f t="shared" si="52"/>
        <v>312</v>
      </c>
      <c r="BF70" s="13">
        <f t="shared" si="53"/>
        <v>2824</v>
      </c>
      <c r="BG70" s="13">
        <f t="shared" si="54"/>
        <v>30487</v>
      </c>
      <c r="BH70" s="13">
        <f t="shared" si="55"/>
        <v>18696</v>
      </c>
      <c r="BI70" s="13">
        <f t="shared" si="56"/>
        <v>4550</v>
      </c>
      <c r="BJ70" s="13">
        <f t="shared" si="57"/>
        <v>9396</v>
      </c>
      <c r="BK70" s="13">
        <f t="shared" si="58"/>
        <v>9084</v>
      </c>
      <c r="BL70" s="13">
        <f t="shared" si="59"/>
        <v>72213</v>
      </c>
      <c r="BM70" s="31">
        <f t="shared" si="60"/>
        <v>0.42220000000000002</v>
      </c>
      <c r="BN70" s="31">
        <f t="shared" si="61"/>
        <v>0.25890000000000002</v>
      </c>
      <c r="BO70" s="31">
        <f t="shared" si="62"/>
        <v>6.3E-2</v>
      </c>
      <c r="BP70" s="31">
        <f t="shared" si="63"/>
        <v>0.13009999999999999</v>
      </c>
      <c r="BQ70" s="31">
        <f t="shared" si="64"/>
        <v>0.1258</v>
      </c>
    </row>
    <row r="71" spans="1:69" ht="16.5" x14ac:dyDescent="0.2">
      <c r="A71" s="37">
        <v>68</v>
      </c>
      <c r="B71" s="37">
        <v>7</v>
      </c>
      <c r="C71" s="37">
        <v>1</v>
      </c>
      <c r="D71" s="37">
        <v>3</v>
      </c>
      <c r="E71" s="37">
        <v>68</v>
      </c>
      <c r="F71" s="37">
        <f>INDEX(新属性投放!$L$6:$L$10,新属性汇总!D71)</f>
        <v>1.1499999999999999</v>
      </c>
      <c r="G71" s="37">
        <f>INDEX(新属性投放!J$42:J$62,新属性汇总!$B71)</f>
        <v>1566</v>
      </c>
      <c r="H71" s="37">
        <f>INDEX(新属性投放!K$42:K$62,新属性汇总!$B71)</f>
        <v>781</v>
      </c>
      <c r="I71" s="37">
        <f>INDEX(新属性投放!L$42:L$62,新属性汇总!$B71)</f>
        <v>7829</v>
      </c>
      <c r="J71" s="37">
        <f>($A71-INDEX(新属性投放!$B$42:$B$62,新属性汇总!$B71))*INDEX(新属性投放!D$42:D$62,新属性汇总!$B71)</f>
        <v>280</v>
      </c>
      <c r="K71" s="37">
        <f>($A71-INDEX(新属性投放!$B$42:$B$62,新属性汇总!$B71))*INDEX(新属性投放!E$42:E$62,新属性汇总!$B71)</f>
        <v>140</v>
      </c>
      <c r="L71" s="37">
        <f>($A71-INDEX(新属性投放!$B$42:$B$62,新属性汇总!$B71))*INDEX(新属性投放!F$42:F$62,新属性汇总!$B71)</f>
        <v>1256</v>
      </c>
      <c r="M71" s="37">
        <f t="shared" si="33"/>
        <v>2122.8999999999996</v>
      </c>
      <c r="N71" s="37">
        <f t="shared" si="34"/>
        <v>1059.1499999999999</v>
      </c>
      <c r="O71" s="37">
        <f t="shared" si="35"/>
        <v>10447.75</v>
      </c>
      <c r="P71" s="37">
        <v>2</v>
      </c>
      <c r="Q71" s="37">
        <v>4</v>
      </c>
      <c r="R71">
        <v>68</v>
      </c>
      <c r="S71" s="37">
        <f>IF($P71&gt;0,INDEX(装备!L$11:L$16,新属性汇总!$P71),0)</f>
        <v>342</v>
      </c>
      <c r="T71" s="37">
        <f>IF($P71&gt;0,INDEX(装备!M$11:M$16,新属性汇总!$P71),0)</f>
        <v>171</v>
      </c>
      <c r="U71" s="37">
        <f>IF($P71&gt;0,INDEX(装备!N$11:N$16,新属性汇总!$P71),0)</f>
        <v>1745.9999999999998</v>
      </c>
      <c r="V71" s="37">
        <f>IF($P71&gt;0,INDEX(装备!H$11:H$16,新属性汇总!$P71),0)</f>
        <v>12</v>
      </c>
      <c r="W71" s="37">
        <f>IF($P71&gt;0,INDEX(装备!I$11:I$16,新属性汇总!$P71),0)</f>
        <v>6</v>
      </c>
      <c r="X71" s="37">
        <f>IF($P71&gt;0,INDEX(装备!J$11:J$16,新属性汇总!$P71),0)</f>
        <v>85</v>
      </c>
      <c r="Y71" s="37">
        <f t="shared" si="36"/>
        <v>1158</v>
      </c>
      <c r="Z71" s="37">
        <f t="shared" si="37"/>
        <v>579</v>
      </c>
      <c r="AA71" s="37">
        <f t="shared" si="38"/>
        <v>7526</v>
      </c>
      <c r="AB71" s="37">
        <v>0.65</v>
      </c>
      <c r="AC71" s="37">
        <f>IF(P71&gt;0,INDEX(装备!$BP$5:$BP$16,新属性汇总!P71),0)</f>
        <v>3</v>
      </c>
      <c r="AD71" s="37">
        <f>IF($P71&gt;0,ROUND(INDEX(装备!AY$11:AY$16,新属性汇总!$P71)*$AC71/3,0)*8*AB71,0)</f>
        <v>260</v>
      </c>
      <c r="AE71" s="37">
        <f>IF($P71&gt;0,ROUND(INDEX(装备!AZ$11:AZ$16,新属性汇总!$P71)*$AC71/3,0)*8*AB71,0)</f>
        <v>192.4</v>
      </c>
      <c r="AF71" s="37">
        <f>IF($P71&gt;0,ROUND(INDEX(装备!BA$11:BA$16,新属性汇总!$P71)*$AC71/3,0)*8*AB71,0)</f>
        <v>1326</v>
      </c>
      <c r="AG71" s="37">
        <f>IF(新属性汇总!P71&gt;0,INDEX(装备!$AP$11:$AP$16,新属性汇总!$P71)*2,0)</f>
        <v>1566</v>
      </c>
      <c r="AH71" s="37">
        <v>0</v>
      </c>
      <c r="AI71" s="37">
        <f>IF(新属性汇总!P71&gt;0,INDEX(装备!$AP$11:$AP$16,新属性汇总!$P71)*2,0)</f>
        <v>1566</v>
      </c>
      <c r="AJ71" s="37">
        <v>9</v>
      </c>
      <c r="AK71" s="37">
        <f>IF($AJ71&gt;0,INDEX(专属武器!H$4:H$53,新属性汇总!$AJ71),0)</f>
        <v>628</v>
      </c>
      <c r="AL71" s="37">
        <f>IF($AJ71&gt;0,INDEX(专属武器!I$4:I$53,新属性汇总!$AJ71),0)</f>
        <v>312</v>
      </c>
      <c r="AM71" s="37">
        <f>IF($AJ71&gt;0,INDEX(专属武器!J$4:J$53,新属性汇总!$AJ71),0)</f>
        <v>2824</v>
      </c>
      <c r="AQ71" s="13">
        <v>67</v>
      </c>
      <c r="AR71" s="13">
        <f t="shared" si="39"/>
        <v>2082.6499999999996</v>
      </c>
      <c r="AS71" s="13">
        <f t="shared" si="40"/>
        <v>1039.0249999999999</v>
      </c>
      <c r="AT71" s="13">
        <f t="shared" si="41"/>
        <v>10267.199999999999</v>
      </c>
      <c r="AU71" s="13">
        <f t="shared" si="42"/>
        <v>1146</v>
      </c>
      <c r="AV71" s="13">
        <f t="shared" si="43"/>
        <v>573</v>
      </c>
      <c r="AW71" s="13">
        <f t="shared" si="44"/>
        <v>7441</v>
      </c>
      <c r="AX71" s="13">
        <f t="shared" si="45"/>
        <v>260</v>
      </c>
      <c r="AY71" s="13">
        <f t="shared" si="46"/>
        <v>192.4</v>
      </c>
      <c r="AZ71" s="13">
        <f t="shared" si="47"/>
        <v>1326</v>
      </c>
      <c r="BA71" s="13">
        <f t="shared" si="48"/>
        <v>1566</v>
      </c>
      <c r="BB71" s="13">
        <f t="shared" si="49"/>
        <v>0</v>
      </c>
      <c r="BC71" s="13">
        <f t="shared" si="50"/>
        <v>1566</v>
      </c>
      <c r="BD71" s="13">
        <f t="shared" si="51"/>
        <v>628</v>
      </c>
      <c r="BE71" s="13">
        <f t="shared" si="52"/>
        <v>312</v>
      </c>
      <c r="BF71" s="13">
        <f t="shared" si="53"/>
        <v>2824</v>
      </c>
      <c r="BG71" s="13">
        <f t="shared" si="54"/>
        <v>31070</v>
      </c>
      <c r="BH71" s="13">
        <f t="shared" si="55"/>
        <v>18901</v>
      </c>
      <c r="BI71" s="13">
        <f t="shared" si="56"/>
        <v>4550</v>
      </c>
      <c r="BJ71" s="13">
        <f t="shared" si="57"/>
        <v>9396</v>
      </c>
      <c r="BK71" s="13">
        <f t="shared" si="58"/>
        <v>9084</v>
      </c>
      <c r="BL71" s="13">
        <f t="shared" si="59"/>
        <v>73001</v>
      </c>
      <c r="BM71" s="31">
        <f t="shared" si="60"/>
        <v>0.42559999999999998</v>
      </c>
      <c r="BN71" s="31">
        <f t="shared" si="61"/>
        <v>0.25890000000000002</v>
      </c>
      <c r="BO71" s="31">
        <f t="shared" si="62"/>
        <v>6.2300000000000001E-2</v>
      </c>
      <c r="BP71" s="31">
        <f t="shared" si="63"/>
        <v>0.12870000000000001</v>
      </c>
      <c r="BQ71" s="31">
        <f t="shared" si="64"/>
        <v>0.1244</v>
      </c>
    </row>
    <row r="72" spans="1:69" ht="16.5" x14ac:dyDescent="0.2">
      <c r="A72" s="37">
        <v>69</v>
      </c>
      <c r="B72" s="37">
        <v>7</v>
      </c>
      <c r="C72" s="37">
        <v>1</v>
      </c>
      <c r="D72" s="37">
        <v>3</v>
      </c>
      <c r="E72" s="37">
        <v>69</v>
      </c>
      <c r="F72" s="37">
        <f>INDEX(新属性投放!$L$6:$L$10,新属性汇总!D72)</f>
        <v>1.1499999999999999</v>
      </c>
      <c r="G72" s="37">
        <f>INDEX(新属性投放!J$42:J$62,新属性汇总!$B72)</f>
        <v>1566</v>
      </c>
      <c r="H72" s="37">
        <f>INDEX(新属性投放!K$42:K$62,新属性汇总!$B72)</f>
        <v>781</v>
      </c>
      <c r="I72" s="37">
        <f>INDEX(新属性投放!L$42:L$62,新属性汇总!$B72)</f>
        <v>7829</v>
      </c>
      <c r="J72" s="37">
        <f>($A72-INDEX(新属性投放!$B$42:$B$62,新属性汇总!$B72))*INDEX(新属性投放!D$42:D$62,新属性汇总!$B72)</f>
        <v>315</v>
      </c>
      <c r="K72" s="37">
        <f>($A72-INDEX(新属性投放!$B$42:$B$62,新属性汇总!$B72))*INDEX(新属性投放!E$42:E$62,新属性汇总!$B72)</f>
        <v>157.5</v>
      </c>
      <c r="L72" s="37">
        <f>($A72-INDEX(新属性投放!$B$42:$B$62,新属性汇总!$B72))*INDEX(新属性投放!F$42:F$62,新属性汇总!$B72)</f>
        <v>1413</v>
      </c>
      <c r="M72" s="37">
        <f t="shared" si="33"/>
        <v>2163.1499999999996</v>
      </c>
      <c r="N72" s="37">
        <f t="shared" si="34"/>
        <v>1079.2749999999999</v>
      </c>
      <c r="O72" s="37">
        <f t="shared" si="35"/>
        <v>10628.3</v>
      </c>
      <c r="P72" s="37">
        <v>2</v>
      </c>
      <c r="Q72" s="37">
        <v>4</v>
      </c>
      <c r="R72">
        <v>69</v>
      </c>
      <c r="S72" s="37">
        <f>IF($P72&gt;0,INDEX(装备!L$11:L$16,新属性汇总!$P72),0)</f>
        <v>342</v>
      </c>
      <c r="T72" s="37">
        <f>IF($P72&gt;0,INDEX(装备!M$11:M$16,新属性汇总!$P72),0)</f>
        <v>171</v>
      </c>
      <c r="U72" s="37">
        <f>IF($P72&gt;0,INDEX(装备!N$11:N$16,新属性汇总!$P72),0)</f>
        <v>1745.9999999999998</v>
      </c>
      <c r="V72" s="37">
        <f>IF($P72&gt;0,INDEX(装备!H$11:H$16,新属性汇总!$P72),0)</f>
        <v>12</v>
      </c>
      <c r="W72" s="37">
        <f>IF($P72&gt;0,INDEX(装备!I$11:I$16,新属性汇总!$P72),0)</f>
        <v>6</v>
      </c>
      <c r="X72" s="37">
        <f>IF($P72&gt;0,INDEX(装备!J$11:J$16,新属性汇总!$P72),0)</f>
        <v>85</v>
      </c>
      <c r="Y72" s="37">
        <f t="shared" si="36"/>
        <v>1170</v>
      </c>
      <c r="Z72" s="37">
        <f t="shared" si="37"/>
        <v>585</v>
      </c>
      <c r="AA72" s="37">
        <f t="shared" si="38"/>
        <v>7611</v>
      </c>
      <c r="AB72" s="37">
        <v>0.65</v>
      </c>
      <c r="AC72" s="37">
        <f>IF(P72&gt;0,INDEX(装备!$BP$5:$BP$16,新属性汇总!P72),0)</f>
        <v>3</v>
      </c>
      <c r="AD72" s="37">
        <f>IF($P72&gt;0,ROUND(INDEX(装备!AY$11:AY$16,新属性汇总!$P72)*$AC72/3,0)*8*AB72,0)</f>
        <v>260</v>
      </c>
      <c r="AE72" s="37">
        <f>IF($P72&gt;0,ROUND(INDEX(装备!AZ$11:AZ$16,新属性汇总!$P72)*$AC72/3,0)*8*AB72,0)</f>
        <v>192.4</v>
      </c>
      <c r="AF72" s="37">
        <f>IF($P72&gt;0,ROUND(INDEX(装备!BA$11:BA$16,新属性汇总!$P72)*$AC72/3,0)*8*AB72,0)</f>
        <v>1326</v>
      </c>
      <c r="AG72" s="37">
        <f>IF(新属性汇总!P72&gt;0,INDEX(装备!$AP$11:$AP$16,新属性汇总!$P72)*2,0)</f>
        <v>1566</v>
      </c>
      <c r="AH72" s="37">
        <v>0</v>
      </c>
      <c r="AI72" s="37">
        <f>IF(新属性汇总!P72&gt;0,INDEX(装备!$AP$11:$AP$16,新属性汇总!$P72)*2,0)</f>
        <v>1566</v>
      </c>
      <c r="AJ72" s="37">
        <v>9</v>
      </c>
      <c r="AK72" s="37">
        <f>IF($AJ72&gt;0,INDEX(专属武器!H$4:H$53,新属性汇总!$AJ72),0)</f>
        <v>628</v>
      </c>
      <c r="AL72" s="37">
        <f>IF($AJ72&gt;0,INDEX(专属武器!I$4:I$53,新属性汇总!$AJ72),0)</f>
        <v>312</v>
      </c>
      <c r="AM72" s="37">
        <f>IF($AJ72&gt;0,INDEX(专属武器!J$4:J$53,新属性汇总!$AJ72),0)</f>
        <v>2824</v>
      </c>
      <c r="AQ72" s="13">
        <v>68</v>
      </c>
      <c r="AR72" s="13">
        <f t="shared" si="39"/>
        <v>2122.8999999999996</v>
      </c>
      <c r="AS72" s="13">
        <f t="shared" si="40"/>
        <v>1059.1499999999999</v>
      </c>
      <c r="AT72" s="13">
        <f t="shared" si="41"/>
        <v>10447.75</v>
      </c>
      <c r="AU72" s="13">
        <f t="shared" si="42"/>
        <v>1158</v>
      </c>
      <c r="AV72" s="13">
        <f t="shared" si="43"/>
        <v>579</v>
      </c>
      <c r="AW72" s="13">
        <f t="shared" si="44"/>
        <v>7526</v>
      </c>
      <c r="AX72" s="13">
        <f t="shared" si="45"/>
        <v>260</v>
      </c>
      <c r="AY72" s="13">
        <f t="shared" si="46"/>
        <v>192.4</v>
      </c>
      <c r="AZ72" s="13">
        <f t="shared" si="47"/>
        <v>1326</v>
      </c>
      <c r="BA72" s="13">
        <f t="shared" si="48"/>
        <v>1566</v>
      </c>
      <c r="BB72" s="13">
        <f t="shared" si="49"/>
        <v>0</v>
      </c>
      <c r="BC72" s="13">
        <f t="shared" si="50"/>
        <v>1566</v>
      </c>
      <c r="BD72" s="13">
        <f t="shared" si="51"/>
        <v>628</v>
      </c>
      <c r="BE72" s="13">
        <f t="shared" si="52"/>
        <v>312</v>
      </c>
      <c r="BF72" s="13">
        <f t="shared" si="53"/>
        <v>2824</v>
      </c>
      <c r="BG72" s="13">
        <f t="shared" si="54"/>
        <v>31653</v>
      </c>
      <c r="BH72" s="13">
        <f t="shared" si="55"/>
        <v>19106</v>
      </c>
      <c r="BI72" s="13">
        <f t="shared" si="56"/>
        <v>4550</v>
      </c>
      <c r="BJ72" s="13">
        <f t="shared" si="57"/>
        <v>9396</v>
      </c>
      <c r="BK72" s="13">
        <f t="shared" si="58"/>
        <v>9084</v>
      </c>
      <c r="BL72" s="13">
        <f t="shared" si="59"/>
        <v>73789</v>
      </c>
      <c r="BM72" s="31">
        <f t="shared" si="60"/>
        <v>0.42899999999999999</v>
      </c>
      <c r="BN72" s="31">
        <f t="shared" si="61"/>
        <v>0.25890000000000002</v>
      </c>
      <c r="BO72" s="31">
        <f t="shared" si="62"/>
        <v>6.1699999999999998E-2</v>
      </c>
      <c r="BP72" s="31">
        <f t="shared" si="63"/>
        <v>0.1273</v>
      </c>
      <c r="BQ72" s="31">
        <f t="shared" si="64"/>
        <v>0.1231</v>
      </c>
    </row>
    <row r="73" spans="1:69" ht="16.5" x14ac:dyDescent="0.2">
      <c r="A73" s="37">
        <v>70</v>
      </c>
      <c r="B73" s="37">
        <v>8</v>
      </c>
      <c r="C73" s="37">
        <v>1</v>
      </c>
      <c r="D73" s="37">
        <v>3</v>
      </c>
      <c r="E73" s="37">
        <v>70</v>
      </c>
      <c r="F73" s="37">
        <f>INDEX(新属性投放!$L$6:$L$10,新属性汇总!D73)</f>
        <v>1.1499999999999999</v>
      </c>
      <c r="G73" s="37">
        <f>INDEX(新属性投放!J$42:J$62,新属性汇总!$B73)</f>
        <v>2004</v>
      </c>
      <c r="H73" s="37">
        <f>INDEX(新属性投放!K$42:K$62,新属性汇总!$B73)</f>
        <v>1000</v>
      </c>
      <c r="I73" s="37">
        <f>INDEX(新属性投放!L$42:L$62,新属性汇总!$B73)</f>
        <v>10191</v>
      </c>
      <c r="J73" s="37">
        <f>($A73-INDEX(新属性投放!$B$42:$B$62,新属性汇总!$B73))*INDEX(新属性投放!D$42:D$62,新属性汇总!$B73)</f>
        <v>0</v>
      </c>
      <c r="K73" s="37">
        <f>($A73-INDEX(新属性投放!$B$42:$B$62,新属性汇总!$B73))*INDEX(新属性投放!E$42:E$62,新属性汇总!$B73)</f>
        <v>0</v>
      </c>
      <c r="L73" s="37">
        <f>($A73-INDEX(新属性投放!$B$42:$B$62,新属性汇总!$B73))*INDEX(新属性投放!F$42:F$62,新属性汇总!$B73)</f>
        <v>0</v>
      </c>
      <c r="M73" s="37">
        <f t="shared" si="33"/>
        <v>2304.6</v>
      </c>
      <c r="N73" s="37">
        <f t="shared" si="34"/>
        <v>1150</v>
      </c>
      <c r="O73" s="37">
        <f t="shared" si="35"/>
        <v>11719.65</v>
      </c>
      <c r="P73" s="37">
        <v>2</v>
      </c>
      <c r="Q73" s="37">
        <v>4</v>
      </c>
      <c r="R73">
        <v>70</v>
      </c>
      <c r="S73" s="37">
        <f>IF($P73&gt;0,INDEX(装备!L$11:L$16,新属性汇总!$P73),0)</f>
        <v>342</v>
      </c>
      <c r="T73" s="37">
        <f>IF($P73&gt;0,INDEX(装备!M$11:M$16,新属性汇总!$P73),0)</f>
        <v>171</v>
      </c>
      <c r="U73" s="37">
        <f>IF($P73&gt;0,INDEX(装备!N$11:N$16,新属性汇总!$P73),0)</f>
        <v>1745.9999999999998</v>
      </c>
      <c r="V73" s="37">
        <f>IF($P73&gt;0,INDEX(装备!H$11:H$16,新属性汇总!$P73),0)</f>
        <v>12</v>
      </c>
      <c r="W73" s="37">
        <f>IF($P73&gt;0,INDEX(装备!I$11:I$16,新属性汇总!$P73),0)</f>
        <v>6</v>
      </c>
      <c r="X73" s="37">
        <f>IF($P73&gt;0,INDEX(装备!J$11:J$16,新属性汇总!$P73),0)</f>
        <v>85</v>
      </c>
      <c r="Y73" s="37">
        <f t="shared" si="36"/>
        <v>1182</v>
      </c>
      <c r="Z73" s="37">
        <f t="shared" si="37"/>
        <v>591</v>
      </c>
      <c r="AA73" s="37">
        <f t="shared" si="38"/>
        <v>7696</v>
      </c>
      <c r="AB73" s="37">
        <v>0.65</v>
      </c>
      <c r="AC73" s="37">
        <f>IF(P73&gt;0,INDEX(装备!$BP$5:$BP$16,新属性汇总!P73),0)</f>
        <v>3</v>
      </c>
      <c r="AD73" s="37">
        <f>IF($P73&gt;0,ROUND(INDEX(装备!AY$11:AY$16,新属性汇总!$P73)*$AC73/3,0)*8*AB73,0)</f>
        <v>260</v>
      </c>
      <c r="AE73" s="37">
        <f>IF($P73&gt;0,ROUND(INDEX(装备!AZ$11:AZ$16,新属性汇总!$P73)*$AC73/3,0)*8*AB73,0)</f>
        <v>192.4</v>
      </c>
      <c r="AF73" s="37">
        <f>IF($P73&gt;0,ROUND(INDEX(装备!BA$11:BA$16,新属性汇总!$P73)*$AC73/3,0)*8*AB73,0)</f>
        <v>1326</v>
      </c>
      <c r="AG73" s="37">
        <f>IF(新属性汇总!P73&gt;0,INDEX(装备!$AP$11:$AP$16,新属性汇总!$P73)*2,0)</f>
        <v>1566</v>
      </c>
      <c r="AH73" s="37">
        <v>0</v>
      </c>
      <c r="AI73" s="37">
        <f>IF(新属性汇总!P73&gt;0,INDEX(装备!$AP$11:$AP$16,新属性汇总!$P73)*2,0)</f>
        <v>1566</v>
      </c>
      <c r="AJ73" s="37">
        <v>10</v>
      </c>
      <c r="AK73" s="37">
        <f>IF($AJ73&gt;0,INDEX(专属武器!H$4:H$53,新属性汇总!$AJ73),0)</f>
        <v>722</v>
      </c>
      <c r="AL73" s="37">
        <f>IF($AJ73&gt;0,INDEX(专属武器!I$4:I$53,新属性汇总!$AJ73),0)</f>
        <v>359</v>
      </c>
      <c r="AM73" s="37">
        <f>IF($AJ73&gt;0,INDEX(专属武器!J$4:J$53,新属性汇总!$AJ73),0)</f>
        <v>3248</v>
      </c>
      <c r="AQ73" s="13">
        <v>69</v>
      </c>
      <c r="AR73" s="13">
        <f t="shared" si="39"/>
        <v>2163.1499999999996</v>
      </c>
      <c r="AS73" s="13">
        <f t="shared" si="40"/>
        <v>1079.2749999999999</v>
      </c>
      <c r="AT73" s="13">
        <f t="shared" si="41"/>
        <v>10628.3</v>
      </c>
      <c r="AU73" s="13">
        <f t="shared" si="42"/>
        <v>1170</v>
      </c>
      <c r="AV73" s="13">
        <f t="shared" si="43"/>
        <v>585</v>
      </c>
      <c r="AW73" s="13">
        <f t="shared" si="44"/>
        <v>7611</v>
      </c>
      <c r="AX73" s="13">
        <f t="shared" si="45"/>
        <v>260</v>
      </c>
      <c r="AY73" s="13">
        <f t="shared" si="46"/>
        <v>192.4</v>
      </c>
      <c r="AZ73" s="13">
        <f t="shared" si="47"/>
        <v>1326</v>
      </c>
      <c r="BA73" s="13">
        <f t="shared" si="48"/>
        <v>1566</v>
      </c>
      <c r="BB73" s="13">
        <f t="shared" si="49"/>
        <v>0</v>
      </c>
      <c r="BC73" s="13">
        <f t="shared" si="50"/>
        <v>1566</v>
      </c>
      <c r="BD73" s="13">
        <f t="shared" si="51"/>
        <v>628</v>
      </c>
      <c r="BE73" s="13">
        <f t="shared" si="52"/>
        <v>312</v>
      </c>
      <c r="BF73" s="13">
        <f t="shared" si="53"/>
        <v>2824</v>
      </c>
      <c r="BG73" s="13">
        <f t="shared" si="54"/>
        <v>32236</v>
      </c>
      <c r="BH73" s="13">
        <f t="shared" si="55"/>
        <v>19311</v>
      </c>
      <c r="BI73" s="13">
        <f t="shared" si="56"/>
        <v>4550</v>
      </c>
      <c r="BJ73" s="13">
        <f t="shared" si="57"/>
        <v>9396</v>
      </c>
      <c r="BK73" s="13">
        <f t="shared" si="58"/>
        <v>9084</v>
      </c>
      <c r="BL73" s="13">
        <f t="shared" si="59"/>
        <v>74577</v>
      </c>
      <c r="BM73" s="31">
        <f t="shared" si="60"/>
        <v>0.43230000000000002</v>
      </c>
      <c r="BN73" s="31">
        <f t="shared" si="61"/>
        <v>0.25890000000000002</v>
      </c>
      <c r="BO73" s="31">
        <f t="shared" si="62"/>
        <v>6.0999999999999999E-2</v>
      </c>
      <c r="BP73" s="31">
        <f t="shared" si="63"/>
        <v>0.126</v>
      </c>
      <c r="BQ73" s="31">
        <f t="shared" si="64"/>
        <v>0.12180000000000001</v>
      </c>
    </row>
    <row r="74" spans="1:69" ht="16.5" x14ac:dyDescent="0.2">
      <c r="A74" s="37">
        <v>71</v>
      </c>
      <c r="B74" s="37">
        <v>8</v>
      </c>
      <c r="C74" s="37">
        <v>1</v>
      </c>
      <c r="D74" s="37">
        <v>3</v>
      </c>
      <c r="E74" s="37">
        <v>71</v>
      </c>
      <c r="F74" s="37">
        <f>INDEX(新属性投放!$L$6:$L$10,新属性汇总!D74)</f>
        <v>1.1499999999999999</v>
      </c>
      <c r="G74" s="37">
        <f>INDEX(新属性投放!J$42:J$62,新属性汇总!$B74)</f>
        <v>2004</v>
      </c>
      <c r="H74" s="37">
        <f>INDEX(新属性投放!K$42:K$62,新属性汇总!$B74)</f>
        <v>1000</v>
      </c>
      <c r="I74" s="37">
        <f>INDEX(新属性投放!L$42:L$62,新属性汇总!$B74)</f>
        <v>10191</v>
      </c>
      <c r="J74" s="37">
        <f>($A74-INDEX(新属性投放!$B$42:$B$62,新属性汇总!$B74))*INDEX(新属性投放!D$42:D$62,新属性汇总!$B74)</f>
        <v>45</v>
      </c>
      <c r="K74" s="37">
        <f>($A74-INDEX(新属性投放!$B$42:$B$62,新属性汇总!$B74))*INDEX(新属性投放!E$42:E$62,新属性汇总!$B74)</f>
        <v>22.5</v>
      </c>
      <c r="L74" s="37">
        <f>($A74-INDEX(新属性投放!$B$42:$B$62,新属性汇总!$B74))*INDEX(新属性投放!F$42:F$62,新属性汇总!$B74)</f>
        <v>202</v>
      </c>
      <c r="M74" s="37">
        <f t="shared" si="33"/>
        <v>2356.35</v>
      </c>
      <c r="N74" s="37">
        <f t="shared" si="34"/>
        <v>1175.875</v>
      </c>
      <c r="O74" s="37">
        <f t="shared" si="35"/>
        <v>11951.949999999999</v>
      </c>
      <c r="P74" s="37">
        <v>2</v>
      </c>
      <c r="Q74" s="37">
        <v>4</v>
      </c>
      <c r="R74">
        <v>71</v>
      </c>
      <c r="S74" s="37">
        <f>IF($P74&gt;0,INDEX(装备!L$11:L$16,新属性汇总!$P74),0)</f>
        <v>342</v>
      </c>
      <c r="T74" s="37">
        <f>IF($P74&gt;0,INDEX(装备!M$11:M$16,新属性汇总!$P74),0)</f>
        <v>171</v>
      </c>
      <c r="U74" s="37">
        <f>IF($P74&gt;0,INDEX(装备!N$11:N$16,新属性汇总!$P74),0)</f>
        <v>1745.9999999999998</v>
      </c>
      <c r="V74" s="37">
        <f>IF($P74&gt;0,INDEX(装备!H$11:H$16,新属性汇总!$P74),0)</f>
        <v>12</v>
      </c>
      <c r="W74" s="37">
        <f>IF($P74&gt;0,INDEX(装备!I$11:I$16,新属性汇总!$P74),0)</f>
        <v>6</v>
      </c>
      <c r="X74" s="37">
        <f>IF($P74&gt;0,INDEX(装备!J$11:J$16,新属性汇总!$P74),0)</f>
        <v>85</v>
      </c>
      <c r="Y74" s="37">
        <f t="shared" si="36"/>
        <v>1194</v>
      </c>
      <c r="Z74" s="37">
        <f t="shared" si="37"/>
        <v>597</v>
      </c>
      <c r="AA74" s="37">
        <f t="shared" si="38"/>
        <v>7781</v>
      </c>
      <c r="AB74" s="37">
        <v>0.65</v>
      </c>
      <c r="AC74" s="37">
        <f>IF(P74&gt;0,INDEX(装备!$BP$5:$BP$16,新属性汇总!P74),0)</f>
        <v>3</v>
      </c>
      <c r="AD74" s="37">
        <f>IF($P74&gt;0,ROUND(INDEX(装备!AY$11:AY$16,新属性汇总!$P74)*$AC74/3,0)*8*AB74,0)</f>
        <v>260</v>
      </c>
      <c r="AE74" s="37">
        <f>IF($P74&gt;0,ROUND(INDEX(装备!AZ$11:AZ$16,新属性汇总!$P74)*$AC74/3,0)*8*AB74,0)</f>
        <v>192.4</v>
      </c>
      <c r="AF74" s="37">
        <f>IF($P74&gt;0,ROUND(INDEX(装备!BA$11:BA$16,新属性汇总!$P74)*$AC74/3,0)*8*AB74,0)</f>
        <v>1326</v>
      </c>
      <c r="AG74" s="37">
        <f>IF(新属性汇总!P74&gt;0,INDEX(装备!$AP$11:$AP$16,新属性汇总!$P74)*2,0)</f>
        <v>1566</v>
      </c>
      <c r="AH74" s="37">
        <v>0</v>
      </c>
      <c r="AI74" s="37">
        <f>IF(新属性汇总!P74&gt;0,INDEX(装备!$AP$11:$AP$16,新属性汇总!$P74)*2,0)</f>
        <v>1566</v>
      </c>
      <c r="AJ74" s="37">
        <v>10</v>
      </c>
      <c r="AK74" s="37">
        <f>IF($AJ74&gt;0,INDEX(专属武器!H$4:H$53,新属性汇总!$AJ74),0)</f>
        <v>722</v>
      </c>
      <c r="AL74" s="37">
        <f>IF($AJ74&gt;0,INDEX(专属武器!I$4:I$53,新属性汇总!$AJ74),0)</f>
        <v>359</v>
      </c>
      <c r="AM74" s="37">
        <f>IF($AJ74&gt;0,INDEX(专属武器!J$4:J$53,新属性汇总!$AJ74),0)</f>
        <v>3248</v>
      </c>
      <c r="AQ74" s="13">
        <v>70</v>
      </c>
      <c r="AR74" s="13">
        <f t="shared" si="39"/>
        <v>2304.6</v>
      </c>
      <c r="AS74" s="13">
        <f t="shared" si="40"/>
        <v>1150</v>
      </c>
      <c r="AT74" s="13">
        <f t="shared" si="41"/>
        <v>11719.65</v>
      </c>
      <c r="AU74" s="13">
        <f t="shared" si="42"/>
        <v>1182</v>
      </c>
      <c r="AV74" s="13">
        <f t="shared" si="43"/>
        <v>591</v>
      </c>
      <c r="AW74" s="13">
        <f t="shared" si="44"/>
        <v>7696</v>
      </c>
      <c r="AX74" s="13">
        <f t="shared" si="45"/>
        <v>260</v>
      </c>
      <c r="AY74" s="13">
        <f t="shared" si="46"/>
        <v>192.4</v>
      </c>
      <c r="AZ74" s="13">
        <f t="shared" si="47"/>
        <v>1326</v>
      </c>
      <c r="BA74" s="13">
        <f t="shared" si="48"/>
        <v>1566</v>
      </c>
      <c r="BB74" s="13">
        <f t="shared" si="49"/>
        <v>0</v>
      </c>
      <c r="BC74" s="13">
        <f t="shared" si="50"/>
        <v>1566</v>
      </c>
      <c r="BD74" s="13">
        <f t="shared" si="51"/>
        <v>722</v>
      </c>
      <c r="BE74" s="13">
        <f t="shared" si="52"/>
        <v>359</v>
      </c>
      <c r="BF74" s="13">
        <f t="shared" si="53"/>
        <v>3248</v>
      </c>
      <c r="BG74" s="13">
        <f t="shared" si="54"/>
        <v>34742</v>
      </c>
      <c r="BH74" s="13">
        <f t="shared" si="55"/>
        <v>19516</v>
      </c>
      <c r="BI74" s="13">
        <f t="shared" si="56"/>
        <v>4550</v>
      </c>
      <c r="BJ74" s="13">
        <f t="shared" si="57"/>
        <v>9396</v>
      </c>
      <c r="BK74" s="13">
        <f t="shared" si="58"/>
        <v>10448</v>
      </c>
      <c r="BL74" s="13">
        <f t="shared" si="59"/>
        <v>78652</v>
      </c>
      <c r="BM74" s="31">
        <f t="shared" si="60"/>
        <v>0.44169999999999998</v>
      </c>
      <c r="BN74" s="31">
        <f t="shared" si="61"/>
        <v>0.24809999999999999</v>
      </c>
      <c r="BO74" s="31">
        <f t="shared" si="62"/>
        <v>5.7799999999999997E-2</v>
      </c>
      <c r="BP74" s="31">
        <f t="shared" si="63"/>
        <v>0.1195</v>
      </c>
      <c r="BQ74" s="31">
        <f t="shared" si="64"/>
        <v>0.1328</v>
      </c>
    </row>
    <row r="75" spans="1:69" ht="16.5" x14ac:dyDescent="0.2">
      <c r="A75" s="37">
        <v>72</v>
      </c>
      <c r="B75" s="37">
        <v>8</v>
      </c>
      <c r="C75" s="37">
        <v>1</v>
      </c>
      <c r="D75" s="37">
        <v>3</v>
      </c>
      <c r="E75" s="37">
        <v>72</v>
      </c>
      <c r="F75" s="37">
        <f>INDEX(新属性投放!$L$6:$L$10,新属性汇总!D75)</f>
        <v>1.1499999999999999</v>
      </c>
      <c r="G75" s="37">
        <f>INDEX(新属性投放!J$42:J$62,新属性汇总!$B75)</f>
        <v>2004</v>
      </c>
      <c r="H75" s="37">
        <f>INDEX(新属性投放!K$42:K$62,新属性汇总!$B75)</f>
        <v>1000</v>
      </c>
      <c r="I75" s="37">
        <f>INDEX(新属性投放!L$42:L$62,新属性汇总!$B75)</f>
        <v>10191</v>
      </c>
      <c r="J75" s="37">
        <f>($A75-INDEX(新属性投放!$B$42:$B$62,新属性汇总!$B75))*INDEX(新属性投放!D$42:D$62,新属性汇总!$B75)</f>
        <v>90</v>
      </c>
      <c r="K75" s="37">
        <f>($A75-INDEX(新属性投放!$B$42:$B$62,新属性汇总!$B75))*INDEX(新属性投放!E$42:E$62,新属性汇总!$B75)</f>
        <v>45</v>
      </c>
      <c r="L75" s="37">
        <f>($A75-INDEX(新属性投放!$B$42:$B$62,新属性汇总!$B75))*INDEX(新属性投放!F$42:F$62,新属性汇总!$B75)</f>
        <v>404</v>
      </c>
      <c r="M75" s="37">
        <f t="shared" si="33"/>
        <v>2408.1</v>
      </c>
      <c r="N75" s="37">
        <f t="shared" si="34"/>
        <v>1201.75</v>
      </c>
      <c r="O75" s="37">
        <f t="shared" si="35"/>
        <v>12184.249999999998</v>
      </c>
      <c r="P75" s="37">
        <v>2</v>
      </c>
      <c r="Q75" s="37">
        <v>4</v>
      </c>
      <c r="R75">
        <v>72</v>
      </c>
      <c r="S75" s="37">
        <f>IF($P75&gt;0,INDEX(装备!L$11:L$16,新属性汇总!$P75),0)</f>
        <v>342</v>
      </c>
      <c r="T75" s="37">
        <f>IF($P75&gt;0,INDEX(装备!M$11:M$16,新属性汇总!$P75),0)</f>
        <v>171</v>
      </c>
      <c r="U75" s="37">
        <f>IF($P75&gt;0,INDEX(装备!N$11:N$16,新属性汇总!$P75),0)</f>
        <v>1745.9999999999998</v>
      </c>
      <c r="V75" s="37">
        <f>IF($P75&gt;0,INDEX(装备!H$11:H$16,新属性汇总!$P75),0)</f>
        <v>12</v>
      </c>
      <c r="W75" s="37">
        <f>IF($P75&gt;0,INDEX(装备!I$11:I$16,新属性汇总!$P75),0)</f>
        <v>6</v>
      </c>
      <c r="X75" s="37">
        <f>IF($P75&gt;0,INDEX(装备!J$11:J$16,新属性汇总!$P75),0)</f>
        <v>85</v>
      </c>
      <c r="Y75" s="37">
        <f t="shared" si="36"/>
        <v>1206</v>
      </c>
      <c r="Z75" s="37">
        <f t="shared" si="37"/>
        <v>603</v>
      </c>
      <c r="AA75" s="37">
        <f t="shared" si="38"/>
        <v>7866</v>
      </c>
      <c r="AB75" s="37">
        <v>0.65</v>
      </c>
      <c r="AC75" s="37">
        <f>IF(P75&gt;0,INDEX(装备!$BP$5:$BP$16,新属性汇总!P75),0)</f>
        <v>3</v>
      </c>
      <c r="AD75" s="37">
        <f>IF($P75&gt;0,ROUND(INDEX(装备!AY$11:AY$16,新属性汇总!$P75)*$AC75/3,0)*8*AB75,0)</f>
        <v>260</v>
      </c>
      <c r="AE75" s="37">
        <f>IF($P75&gt;0,ROUND(INDEX(装备!AZ$11:AZ$16,新属性汇总!$P75)*$AC75/3,0)*8*AB75,0)</f>
        <v>192.4</v>
      </c>
      <c r="AF75" s="37">
        <f>IF($P75&gt;0,ROUND(INDEX(装备!BA$11:BA$16,新属性汇总!$P75)*$AC75/3,0)*8*AB75,0)</f>
        <v>1326</v>
      </c>
      <c r="AG75" s="37">
        <f>IF(新属性汇总!P75&gt;0,INDEX(装备!$AP$11:$AP$16,新属性汇总!$P75)*2,0)</f>
        <v>1566</v>
      </c>
      <c r="AH75" s="37">
        <v>0</v>
      </c>
      <c r="AI75" s="37">
        <f>IF(新属性汇总!P75&gt;0,INDEX(装备!$AP$11:$AP$16,新属性汇总!$P75)*2,0)</f>
        <v>1566</v>
      </c>
      <c r="AJ75" s="37">
        <v>10</v>
      </c>
      <c r="AK75" s="37">
        <f>IF($AJ75&gt;0,INDEX(专属武器!H$4:H$53,新属性汇总!$AJ75),0)</f>
        <v>722</v>
      </c>
      <c r="AL75" s="37">
        <f>IF($AJ75&gt;0,INDEX(专属武器!I$4:I$53,新属性汇总!$AJ75),0)</f>
        <v>359</v>
      </c>
      <c r="AM75" s="37">
        <f>IF($AJ75&gt;0,INDEX(专属武器!J$4:J$53,新属性汇总!$AJ75),0)</f>
        <v>3248</v>
      </c>
      <c r="AQ75" s="13">
        <v>71</v>
      </c>
      <c r="AR75" s="13">
        <f t="shared" si="39"/>
        <v>2356.35</v>
      </c>
      <c r="AS75" s="13">
        <f t="shared" si="40"/>
        <v>1175.875</v>
      </c>
      <c r="AT75" s="13">
        <f t="shared" si="41"/>
        <v>11951.949999999999</v>
      </c>
      <c r="AU75" s="13">
        <f t="shared" si="42"/>
        <v>1194</v>
      </c>
      <c r="AV75" s="13">
        <f t="shared" si="43"/>
        <v>597</v>
      </c>
      <c r="AW75" s="13">
        <f t="shared" si="44"/>
        <v>7781</v>
      </c>
      <c r="AX75" s="13">
        <f t="shared" si="45"/>
        <v>260</v>
      </c>
      <c r="AY75" s="13">
        <f t="shared" si="46"/>
        <v>192.4</v>
      </c>
      <c r="AZ75" s="13">
        <f t="shared" si="47"/>
        <v>1326</v>
      </c>
      <c r="BA75" s="13">
        <f t="shared" si="48"/>
        <v>1566</v>
      </c>
      <c r="BB75" s="13">
        <f t="shared" si="49"/>
        <v>0</v>
      </c>
      <c r="BC75" s="13">
        <f t="shared" si="50"/>
        <v>1566</v>
      </c>
      <c r="BD75" s="13">
        <f t="shared" si="51"/>
        <v>722</v>
      </c>
      <c r="BE75" s="13">
        <f t="shared" si="52"/>
        <v>359</v>
      </c>
      <c r="BF75" s="13">
        <f t="shared" si="53"/>
        <v>3248</v>
      </c>
      <c r="BG75" s="13">
        <f t="shared" si="54"/>
        <v>35492</v>
      </c>
      <c r="BH75" s="13">
        <f t="shared" si="55"/>
        <v>19721</v>
      </c>
      <c r="BI75" s="13">
        <f t="shared" si="56"/>
        <v>4550</v>
      </c>
      <c r="BJ75" s="13">
        <f t="shared" si="57"/>
        <v>9396</v>
      </c>
      <c r="BK75" s="13">
        <f t="shared" si="58"/>
        <v>10448</v>
      </c>
      <c r="BL75" s="13">
        <f t="shared" si="59"/>
        <v>79607</v>
      </c>
      <c r="BM75" s="31">
        <f t="shared" si="60"/>
        <v>0.44579999999999997</v>
      </c>
      <c r="BN75" s="31">
        <f t="shared" si="61"/>
        <v>0.2477</v>
      </c>
      <c r="BO75" s="31">
        <f t="shared" si="62"/>
        <v>5.7200000000000001E-2</v>
      </c>
      <c r="BP75" s="31">
        <f t="shared" si="63"/>
        <v>0.11799999999999999</v>
      </c>
      <c r="BQ75" s="31">
        <f t="shared" si="64"/>
        <v>0.13120000000000001</v>
      </c>
    </row>
    <row r="76" spans="1:69" ht="16.5" x14ac:dyDescent="0.2">
      <c r="A76" s="37">
        <v>73</v>
      </c>
      <c r="B76" s="37">
        <v>8</v>
      </c>
      <c r="C76" s="37">
        <v>1</v>
      </c>
      <c r="D76" s="37">
        <v>3</v>
      </c>
      <c r="E76" s="37">
        <v>73</v>
      </c>
      <c r="F76" s="37">
        <f>INDEX(新属性投放!$L$6:$L$10,新属性汇总!D76)</f>
        <v>1.1499999999999999</v>
      </c>
      <c r="G76" s="37">
        <f>INDEX(新属性投放!J$42:J$62,新属性汇总!$B76)</f>
        <v>2004</v>
      </c>
      <c r="H76" s="37">
        <f>INDEX(新属性投放!K$42:K$62,新属性汇总!$B76)</f>
        <v>1000</v>
      </c>
      <c r="I76" s="37">
        <f>INDEX(新属性投放!L$42:L$62,新属性汇总!$B76)</f>
        <v>10191</v>
      </c>
      <c r="J76" s="37">
        <f>($A76-INDEX(新属性投放!$B$42:$B$62,新属性汇总!$B76))*INDEX(新属性投放!D$42:D$62,新属性汇总!$B76)</f>
        <v>135</v>
      </c>
      <c r="K76" s="37">
        <f>($A76-INDEX(新属性投放!$B$42:$B$62,新属性汇总!$B76))*INDEX(新属性投放!E$42:E$62,新属性汇总!$B76)</f>
        <v>67.5</v>
      </c>
      <c r="L76" s="37">
        <f>($A76-INDEX(新属性投放!$B$42:$B$62,新属性汇总!$B76))*INDEX(新属性投放!F$42:F$62,新属性汇总!$B76)</f>
        <v>606</v>
      </c>
      <c r="M76" s="37">
        <f t="shared" si="33"/>
        <v>2459.85</v>
      </c>
      <c r="N76" s="37">
        <f t="shared" si="34"/>
        <v>1227.625</v>
      </c>
      <c r="O76" s="37">
        <f t="shared" si="35"/>
        <v>12416.55</v>
      </c>
      <c r="P76" s="37">
        <v>2</v>
      </c>
      <c r="Q76" s="37">
        <v>4</v>
      </c>
      <c r="R76">
        <v>73</v>
      </c>
      <c r="S76" s="37">
        <f>IF($P76&gt;0,INDEX(装备!L$11:L$16,新属性汇总!$P76),0)</f>
        <v>342</v>
      </c>
      <c r="T76" s="37">
        <f>IF($P76&gt;0,INDEX(装备!M$11:M$16,新属性汇总!$P76),0)</f>
        <v>171</v>
      </c>
      <c r="U76" s="37">
        <f>IF($P76&gt;0,INDEX(装备!N$11:N$16,新属性汇总!$P76),0)</f>
        <v>1745.9999999999998</v>
      </c>
      <c r="V76" s="37">
        <f>IF($P76&gt;0,INDEX(装备!H$11:H$16,新属性汇总!$P76),0)</f>
        <v>12</v>
      </c>
      <c r="W76" s="37">
        <f>IF($P76&gt;0,INDEX(装备!I$11:I$16,新属性汇总!$P76),0)</f>
        <v>6</v>
      </c>
      <c r="X76" s="37">
        <f>IF($P76&gt;0,INDEX(装备!J$11:J$16,新属性汇总!$P76),0)</f>
        <v>85</v>
      </c>
      <c r="Y76" s="37">
        <f t="shared" si="36"/>
        <v>1218</v>
      </c>
      <c r="Z76" s="37">
        <f t="shared" si="37"/>
        <v>609</v>
      </c>
      <c r="AA76" s="37">
        <f t="shared" si="38"/>
        <v>7951</v>
      </c>
      <c r="AB76" s="37">
        <v>0.65</v>
      </c>
      <c r="AC76" s="37">
        <f>IF(P76&gt;0,INDEX(装备!$BP$5:$BP$16,新属性汇总!P76),0)</f>
        <v>3</v>
      </c>
      <c r="AD76" s="37">
        <f>IF($P76&gt;0,ROUND(INDEX(装备!AY$11:AY$16,新属性汇总!$P76)*$AC76/3,0)*8*AB76,0)</f>
        <v>260</v>
      </c>
      <c r="AE76" s="37">
        <f>IF($P76&gt;0,ROUND(INDEX(装备!AZ$11:AZ$16,新属性汇总!$P76)*$AC76/3,0)*8*AB76,0)</f>
        <v>192.4</v>
      </c>
      <c r="AF76" s="37">
        <f>IF($P76&gt;0,ROUND(INDEX(装备!BA$11:BA$16,新属性汇总!$P76)*$AC76/3,0)*8*AB76,0)</f>
        <v>1326</v>
      </c>
      <c r="AG76" s="37">
        <f>IF(新属性汇总!P76&gt;0,INDEX(装备!$AP$11:$AP$16,新属性汇总!$P76)*2,0)</f>
        <v>1566</v>
      </c>
      <c r="AH76" s="37">
        <v>0</v>
      </c>
      <c r="AI76" s="37">
        <f>IF(新属性汇总!P76&gt;0,INDEX(装备!$AP$11:$AP$16,新属性汇总!$P76)*2,0)</f>
        <v>1566</v>
      </c>
      <c r="AJ76" s="37">
        <v>10</v>
      </c>
      <c r="AK76" s="37">
        <f>IF($AJ76&gt;0,INDEX(专属武器!H$4:H$53,新属性汇总!$AJ76),0)</f>
        <v>722</v>
      </c>
      <c r="AL76" s="37">
        <f>IF($AJ76&gt;0,INDEX(专属武器!I$4:I$53,新属性汇总!$AJ76),0)</f>
        <v>359</v>
      </c>
      <c r="AM76" s="37">
        <f>IF($AJ76&gt;0,INDEX(专属武器!J$4:J$53,新属性汇总!$AJ76),0)</f>
        <v>3248</v>
      </c>
      <c r="AQ76" s="13">
        <v>72</v>
      </c>
      <c r="AR76" s="13">
        <f t="shared" si="39"/>
        <v>2408.1</v>
      </c>
      <c r="AS76" s="13">
        <f t="shared" si="40"/>
        <v>1201.75</v>
      </c>
      <c r="AT76" s="13">
        <f t="shared" si="41"/>
        <v>12184.249999999998</v>
      </c>
      <c r="AU76" s="13">
        <f t="shared" si="42"/>
        <v>1206</v>
      </c>
      <c r="AV76" s="13">
        <f t="shared" si="43"/>
        <v>603</v>
      </c>
      <c r="AW76" s="13">
        <f t="shared" si="44"/>
        <v>7866</v>
      </c>
      <c r="AX76" s="13">
        <f t="shared" si="45"/>
        <v>260</v>
      </c>
      <c r="AY76" s="13">
        <f t="shared" si="46"/>
        <v>192.4</v>
      </c>
      <c r="AZ76" s="13">
        <f t="shared" si="47"/>
        <v>1326</v>
      </c>
      <c r="BA76" s="13">
        <f t="shared" si="48"/>
        <v>1566</v>
      </c>
      <c r="BB76" s="13">
        <f t="shared" si="49"/>
        <v>0</v>
      </c>
      <c r="BC76" s="13">
        <f t="shared" si="50"/>
        <v>1566</v>
      </c>
      <c r="BD76" s="13">
        <f t="shared" si="51"/>
        <v>722</v>
      </c>
      <c r="BE76" s="13">
        <f t="shared" si="52"/>
        <v>359</v>
      </c>
      <c r="BF76" s="13">
        <f t="shared" si="53"/>
        <v>3248</v>
      </c>
      <c r="BG76" s="13">
        <f t="shared" si="54"/>
        <v>36242</v>
      </c>
      <c r="BH76" s="13">
        <f t="shared" si="55"/>
        <v>19926</v>
      </c>
      <c r="BI76" s="13">
        <f t="shared" si="56"/>
        <v>4550</v>
      </c>
      <c r="BJ76" s="13">
        <f t="shared" si="57"/>
        <v>9396</v>
      </c>
      <c r="BK76" s="13">
        <f t="shared" si="58"/>
        <v>10448</v>
      </c>
      <c r="BL76" s="13">
        <f t="shared" si="59"/>
        <v>80562</v>
      </c>
      <c r="BM76" s="31">
        <f t="shared" si="60"/>
        <v>0.44990000000000002</v>
      </c>
      <c r="BN76" s="31">
        <f t="shared" si="61"/>
        <v>0.24729999999999999</v>
      </c>
      <c r="BO76" s="31">
        <f t="shared" si="62"/>
        <v>5.6500000000000002E-2</v>
      </c>
      <c r="BP76" s="31">
        <f t="shared" si="63"/>
        <v>0.1166</v>
      </c>
      <c r="BQ76" s="31">
        <f t="shared" si="64"/>
        <v>0.12970000000000001</v>
      </c>
    </row>
    <row r="77" spans="1:69" ht="16.5" x14ac:dyDescent="0.2">
      <c r="A77" s="37">
        <v>74</v>
      </c>
      <c r="B77" s="37">
        <v>8</v>
      </c>
      <c r="C77" s="37">
        <v>1</v>
      </c>
      <c r="D77" s="37">
        <v>3</v>
      </c>
      <c r="E77" s="37">
        <v>74</v>
      </c>
      <c r="F77" s="37">
        <f>INDEX(新属性投放!$L$6:$L$10,新属性汇总!D77)</f>
        <v>1.1499999999999999</v>
      </c>
      <c r="G77" s="37">
        <f>INDEX(新属性投放!J$42:J$62,新属性汇总!$B77)</f>
        <v>2004</v>
      </c>
      <c r="H77" s="37">
        <f>INDEX(新属性投放!K$42:K$62,新属性汇总!$B77)</f>
        <v>1000</v>
      </c>
      <c r="I77" s="37">
        <f>INDEX(新属性投放!L$42:L$62,新属性汇总!$B77)</f>
        <v>10191</v>
      </c>
      <c r="J77" s="37">
        <f>($A77-INDEX(新属性投放!$B$42:$B$62,新属性汇总!$B77))*INDEX(新属性投放!D$42:D$62,新属性汇总!$B77)</f>
        <v>180</v>
      </c>
      <c r="K77" s="37">
        <f>($A77-INDEX(新属性投放!$B$42:$B$62,新属性汇总!$B77))*INDEX(新属性投放!E$42:E$62,新属性汇总!$B77)</f>
        <v>90</v>
      </c>
      <c r="L77" s="37">
        <f>($A77-INDEX(新属性投放!$B$42:$B$62,新属性汇总!$B77))*INDEX(新属性投放!F$42:F$62,新属性汇总!$B77)</f>
        <v>808</v>
      </c>
      <c r="M77" s="37">
        <f t="shared" si="33"/>
        <v>2511.6</v>
      </c>
      <c r="N77" s="37">
        <f t="shared" si="34"/>
        <v>1253.5</v>
      </c>
      <c r="O77" s="37">
        <f t="shared" si="35"/>
        <v>12648.849999999999</v>
      </c>
      <c r="P77" s="37">
        <v>2</v>
      </c>
      <c r="Q77" s="37">
        <v>4</v>
      </c>
      <c r="R77">
        <v>74</v>
      </c>
      <c r="S77" s="37">
        <f>IF($P77&gt;0,INDEX(装备!L$11:L$16,新属性汇总!$P77),0)</f>
        <v>342</v>
      </c>
      <c r="T77" s="37">
        <f>IF($P77&gt;0,INDEX(装备!M$11:M$16,新属性汇总!$P77),0)</f>
        <v>171</v>
      </c>
      <c r="U77" s="37">
        <f>IF($P77&gt;0,INDEX(装备!N$11:N$16,新属性汇总!$P77),0)</f>
        <v>1745.9999999999998</v>
      </c>
      <c r="V77" s="37">
        <f>IF($P77&gt;0,INDEX(装备!H$11:H$16,新属性汇总!$P77),0)</f>
        <v>12</v>
      </c>
      <c r="W77" s="37">
        <f>IF($P77&gt;0,INDEX(装备!I$11:I$16,新属性汇总!$P77),0)</f>
        <v>6</v>
      </c>
      <c r="X77" s="37">
        <f>IF($P77&gt;0,INDEX(装备!J$11:J$16,新属性汇总!$P77),0)</f>
        <v>85</v>
      </c>
      <c r="Y77" s="37">
        <f t="shared" si="36"/>
        <v>1230</v>
      </c>
      <c r="Z77" s="37">
        <f t="shared" si="37"/>
        <v>615</v>
      </c>
      <c r="AA77" s="37">
        <f t="shared" si="38"/>
        <v>8036</v>
      </c>
      <c r="AB77" s="37">
        <v>0.65</v>
      </c>
      <c r="AC77" s="37">
        <f>IF(P77&gt;0,INDEX(装备!$BP$5:$BP$16,新属性汇总!P77),0)</f>
        <v>3</v>
      </c>
      <c r="AD77" s="37">
        <f>IF($P77&gt;0,ROUND(INDEX(装备!AY$11:AY$16,新属性汇总!$P77)*$AC77/3,0)*8*AB77,0)</f>
        <v>260</v>
      </c>
      <c r="AE77" s="37">
        <f>IF($P77&gt;0,ROUND(INDEX(装备!AZ$11:AZ$16,新属性汇总!$P77)*$AC77/3,0)*8*AB77,0)</f>
        <v>192.4</v>
      </c>
      <c r="AF77" s="37">
        <f>IF($P77&gt;0,ROUND(INDEX(装备!BA$11:BA$16,新属性汇总!$P77)*$AC77/3,0)*8*AB77,0)</f>
        <v>1326</v>
      </c>
      <c r="AG77" s="37">
        <f>IF(新属性汇总!P77&gt;0,INDEX(装备!$AP$11:$AP$16,新属性汇总!$P77)*2,0)</f>
        <v>1566</v>
      </c>
      <c r="AH77" s="37">
        <v>0</v>
      </c>
      <c r="AI77" s="37">
        <f>IF(新属性汇总!P77&gt;0,INDEX(装备!$AP$11:$AP$16,新属性汇总!$P77)*2,0)</f>
        <v>1566</v>
      </c>
      <c r="AJ77" s="37">
        <v>10</v>
      </c>
      <c r="AK77" s="37">
        <f>IF($AJ77&gt;0,INDEX(专属武器!H$4:H$53,新属性汇总!$AJ77),0)</f>
        <v>722</v>
      </c>
      <c r="AL77" s="37">
        <f>IF($AJ77&gt;0,INDEX(专属武器!I$4:I$53,新属性汇总!$AJ77),0)</f>
        <v>359</v>
      </c>
      <c r="AM77" s="37">
        <f>IF($AJ77&gt;0,INDEX(专属武器!J$4:J$53,新属性汇总!$AJ77),0)</f>
        <v>3248</v>
      </c>
      <c r="AQ77" s="13">
        <v>73</v>
      </c>
      <c r="AR77" s="13">
        <f t="shared" si="39"/>
        <v>2459.85</v>
      </c>
      <c r="AS77" s="13">
        <f t="shared" si="40"/>
        <v>1227.625</v>
      </c>
      <c r="AT77" s="13">
        <f t="shared" si="41"/>
        <v>12416.55</v>
      </c>
      <c r="AU77" s="13">
        <f t="shared" si="42"/>
        <v>1218</v>
      </c>
      <c r="AV77" s="13">
        <f t="shared" si="43"/>
        <v>609</v>
      </c>
      <c r="AW77" s="13">
        <f t="shared" si="44"/>
        <v>7951</v>
      </c>
      <c r="AX77" s="13">
        <f t="shared" si="45"/>
        <v>260</v>
      </c>
      <c r="AY77" s="13">
        <f t="shared" si="46"/>
        <v>192.4</v>
      </c>
      <c r="AZ77" s="13">
        <f t="shared" si="47"/>
        <v>1326</v>
      </c>
      <c r="BA77" s="13">
        <f t="shared" si="48"/>
        <v>1566</v>
      </c>
      <c r="BB77" s="13">
        <f t="shared" si="49"/>
        <v>0</v>
      </c>
      <c r="BC77" s="13">
        <f t="shared" si="50"/>
        <v>1566</v>
      </c>
      <c r="BD77" s="13">
        <f t="shared" si="51"/>
        <v>722</v>
      </c>
      <c r="BE77" s="13">
        <f t="shared" si="52"/>
        <v>359</v>
      </c>
      <c r="BF77" s="13">
        <f t="shared" si="53"/>
        <v>3248</v>
      </c>
      <c r="BG77" s="13">
        <f t="shared" si="54"/>
        <v>36992</v>
      </c>
      <c r="BH77" s="13">
        <f t="shared" si="55"/>
        <v>20131</v>
      </c>
      <c r="BI77" s="13">
        <f t="shared" si="56"/>
        <v>4550</v>
      </c>
      <c r="BJ77" s="13">
        <f t="shared" si="57"/>
        <v>9396</v>
      </c>
      <c r="BK77" s="13">
        <f t="shared" si="58"/>
        <v>10448</v>
      </c>
      <c r="BL77" s="13">
        <f t="shared" si="59"/>
        <v>81517</v>
      </c>
      <c r="BM77" s="31">
        <f t="shared" si="60"/>
        <v>0.45379999999999998</v>
      </c>
      <c r="BN77" s="31">
        <f t="shared" si="61"/>
        <v>0.247</v>
      </c>
      <c r="BO77" s="31">
        <f t="shared" si="62"/>
        <v>5.5800000000000002E-2</v>
      </c>
      <c r="BP77" s="31">
        <f t="shared" si="63"/>
        <v>0.1153</v>
      </c>
      <c r="BQ77" s="31">
        <f t="shared" si="64"/>
        <v>0.12820000000000001</v>
      </c>
    </row>
    <row r="78" spans="1:69" ht="16.5" x14ac:dyDescent="0.2">
      <c r="A78" s="37">
        <v>75</v>
      </c>
      <c r="B78" s="37">
        <v>8</v>
      </c>
      <c r="C78" s="37">
        <v>1</v>
      </c>
      <c r="D78" s="37">
        <v>3</v>
      </c>
      <c r="E78" s="37">
        <v>75</v>
      </c>
      <c r="F78" s="37">
        <f>INDEX(新属性投放!$L$6:$L$10,新属性汇总!D78)</f>
        <v>1.1499999999999999</v>
      </c>
      <c r="G78" s="37">
        <f>INDEX(新属性投放!J$42:J$62,新属性汇总!$B78)</f>
        <v>2004</v>
      </c>
      <c r="H78" s="37">
        <f>INDEX(新属性投放!K$42:K$62,新属性汇总!$B78)</f>
        <v>1000</v>
      </c>
      <c r="I78" s="37">
        <f>INDEX(新属性投放!L$42:L$62,新属性汇总!$B78)</f>
        <v>10191</v>
      </c>
      <c r="J78" s="37">
        <f>($A78-INDEX(新属性投放!$B$42:$B$62,新属性汇总!$B78))*INDEX(新属性投放!D$42:D$62,新属性汇总!$B78)</f>
        <v>225</v>
      </c>
      <c r="K78" s="37">
        <f>($A78-INDEX(新属性投放!$B$42:$B$62,新属性汇总!$B78))*INDEX(新属性投放!E$42:E$62,新属性汇总!$B78)</f>
        <v>112.5</v>
      </c>
      <c r="L78" s="37">
        <f>($A78-INDEX(新属性投放!$B$42:$B$62,新属性汇总!$B78))*INDEX(新属性投放!F$42:F$62,新属性汇总!$B78)</f>
        <v>1010</v>
      </c>
      <c r="M78" s="37">
        <f t="shared" si="33"/>
        <v>2563.35</v>
      </c>
      <c r="N78" s="37">
        <f t="shared" si="34"/>
        <v>1279.375</v>
      </c>
      <c r="O78" s="37">
        <f t="shared" si="35"/>
        <v>12881.15</v>
      </c>
      <c r="P78" s="37">
        <v>2</v>
      </c>
      <c r="Q78" s="37">
        <v>4</v>
      </c>
      <c r="R78">
        <v>75</v>
      </c>
      <c r="S78" s="37">
        <f>IF($P78&gt;0,INDEX(装备!L$11:L$16,新属性汇总!$P78),0)</f>
        <v>342</v>
      </c>
      <c r="T78" s="37">
        <f>IF($P78&gt;0,INDEX(装备!M$11:M$16,新属性汇总!$P78),0)</f>
        <v>171</v>
      </c>
      <c r="U78" s="37">
        <f>IF($P78&gt;0,INDEX(装备!N$11:N$16,新属性汇总!$P78),0)</f>
        <v>1745.9999999999998</v>
      </c>
      <c r="V78" s="37">
        <f>IF($P78&gt;0,INDEX(装备!H$11:H$16,新属性汇总!$P78),0)</f>
        <v>12</v>
      </c>
      <c r="W78" s="37">
        <f>IF($P78&gt;0,INDEX(装备!I$11:I$16,新属性汇总!$P78),0)</f>
        <v>6</v>
      </c>
      <c r="X78" s="37">
        <f>IF($P78&gt;0,INDEX(装备!J$11:J$16,新属性汇总!$P78),0)</f>
        <v>85</v>
      </c>
      <c r="Y78" s="37">
        <f t="shared" si="36"/>
        <v>1242</v>
      </c>
      <c r="Z78" s="37">
        <f t="shared" si="37"/>
        <v>621</v>
      </c>
      <c r="AA78" s="37">
        <f t="shared" si="38"/>
        <v>8121</v>
      </c>
      <c r="AB78" s="37">
        <v>0.65</v>
      </c>
      <c r="AC78" s="37">
        <f>IF(P78&gt;0,INDEX(装备!$BP$5:$BP$16,新属性汇总!P78),0)</f>
        <v>3</v>
      </c>
      <c r="AD78" s="37">
        <f>IF($P78&gt;0,ROUND(INDEX(装备!AY$11:AY$16,新属性汇总!$P78)*$AC78/3,0)*8*AB78,0)</f>
        <v>260</v>
      </c>
      <c r="AE78" s="37">
        <f>IF($P78&gt;0,ROUND(INDEX(装备!AZ$11:AZ$16,新属性汇总!$P78)*$AC78/3,0)*8*AB78,0)</f>
        <v>192.4</v>
      </c>
      <c r="AF78" s="37">
        <f>IF($P78&gt;0,ROUND(INDEX(装备!BA$11:BA$16,新属性汇总!$P78)*$AC78/3,0)*8*AB78,0)</f>
        <v>1326</v>
      </c>
      <c r="AG78" s="37">
        <f>IF(新属性汇总!P78&gt;0,INDEX(装备!$AP$11:$AP$16,新属性汇总!$P78)*2,0)</f>
        <v>1566</v>
      </c>
      <c r="AH78" s="37">
        <v>0</v>
      </c>
      <c r="AI78" s="37">
        <f>IF(新属性汇总!P78&gt;0,INDEX(装备!$AP$11:$AP$16,新属性汇总!$P78)*2,0)</f>
        <v>1566</v>
      </c>
      <c r="AJ78" s="37">
        <v>11</v>
      </c>
      <c r="AK78" s="37">
        <f>IF($AJ78&gt;0,INDEX(专属武器!H$4:H$53,新属性汇总!$AJ78),0)</f>
        <v>816</v>
      </c>
      <c r="AL78" s="37">
        <f>IF($AJ78&gt;0,INDEX(专属武器!I$4:I$53,新属性汇总!$AJ78),0)</f>
        <v>406</v>
      </c>
      <c r="AM78" s="37">
        <f>IF($AJ78&gt;0,INDEX(专属武器!J$4:J$53,新属性汇总!$AJ78),0)</f>
        <v>3672</v>
      </c>
      <c r="AQ78" s="13">
        <v>74</v>
      </c>
      <c r="AR78" s="13">
        <f t="shared" si="39"/>
        <v>2511.6</v>
      </c>
      <c r="AS78" s="13">
        <f t="shared" si="40"/>
        <v>1253.5</v>
      </c>
      <c r="AT78" s="13">
        <f t="shared" si="41"/>
        <v>12648.849999999999</v>
      </c>
      <c r="AU78" s="13">
        <f t="shared" si="42"/>
        <v>1230</v>
      </c>
      <c r="AV78" s="13">
        <f t="shared" si="43"/>
        <v>615</v>
      </c>
      <c r="AW78" s="13">
        <f t="shared" si="44"/>
        <v>8036</v>
      </c>
      <c r="AX78" s="13">
        <f t="shared" si="45"/>
        <v>260</v>
      </c>
      <c r="AY78" s="13">
        <f t="shared" si="46"/>
        <v>192.4</v>
      </c>
      <c r="AZ78" s="13">
        <f t="shared" si="47"/>
        <v>1326</v>
      </c>
      <c r="BA78" s="13">
        <f t="shared" si="48"/>
        <v>1566</v>
      </c>
      <c r="BB78" s="13">
        <f t="shared" si="49"/>
        <v>0</v>
      </c>
      <c r="BC78" s="13">
        <f t="shared" si="50"/>
        <v>1566</v>
      </c>
      <c r="BD78" s="13">
        <f t="shared" si="51"/>
        <v>722</v>
      </c>
      <c r="BE78" s="13">
        <f t="shared" si="52"/>
        <v>359</v>
      </c>
      <c r="BF78" s="13">
        <f t="shared" si="53"/>
        <v>3248</v>
      </c>
      <c r="BG78" s="13">
        <f t="shared" si="54"/>
        <v>37741</v>
      </c>
      <c r="BH78" s="13">
        <f t="shared" si="55"/>
        <v>20336</v>
      </c>
      <c r="BI78" s="13">
        <f t="shared" si="56"/>
        <v>4550</v>
      </c>
      <c r="BJ78" s="13">
        <f t="shared" si="57"/>
        <v>9396</v>
      </c>
      <c r="BK78" s="13">
        <f t="shared" si="58"/>
        <v>10448</v>
      </c>
      <c r="BL78" s="13">
        <f t="shared" si="59"/>
        <v>82471</v>
      </c>
      <c r="BM78" s="31">
        <f t="shared" si="60"/>
        <v>0.45760000000000001</v>
      </c>
      <c r="BN78" s="31">
        <f t="shared" si="61"/>
        <v>0.24660000000000001</v>
      </c>
      <c r="BO78" s="31">
        <f t="shared" si="62"/>
        <v>5.5199999999999999E-2</v>
      </c>
      <c r="BP78" s="31">
        <f t="shared" si="63"/>
        <v>0.1139</v>
      </c>
      <c r="BQ78" s="31">
        <f t="shared" si="64"/>
        <v>0.12670000000000001</v>
      </c>
    </row>
    <row r="79" spans="1:69" ht="16.5" x14ac:dyDescent="0.2">
      <c r="A79" s="37">
        <v>76</v>
      </c>
      <c r="B79" s="37">
        <v>8</v>
      </c>
      <c r="C79" s="37">
        <v>1</v>
      </c>
      <c r="D79" s="37">
        <v>3</v>
      </c>
      <c r="E79" s="37">
        <v>76</v>
      </c>
      <c r="F79" s="37">
        <f>INDEX(新属性投放!$L$6:$L$10,新属性汇总!D79)</f>
        <v>1.1499999999999999</v>
      </c>
      <c r="G79" s="37">
        <f>INDEX(新属性投放!J$42:J$62,新属性汇总!$B79)</f>
        <v>2004</v>
      </c>
      <c r="H79" s="37">
        <f>INDEX(新属性投放!K$42:K$62,新属性汇总!$B79)</f>
        <v>1000</v>
      </c>
      <c r="I79" s="37">
        <f>INDEX(新属性投放!L$42:L$62,新属性汇总!$B79)</f>
        <v>10191</v>
      </c>
      <c r="J79" s="37">
        <f>($A79-INDEX(新属性投放!$B$42:$B$62,新属性汇总!$B79))*INDEX(新属性投放!D$42:D$62,新属性汇总!$B79)</f>
        <v>270</v>
      </c>
      <c r="K79" s="37">
        <f>($A79-INDEX(新属性投放!$B$42:$B$62,新属性汇总!$B79))*INDEX(新属性投放!E$42:E$62,新属性汇总!$B79)</f>
        <v>135</v>
      </c>
      <c r="L79" s="37">
        <f>($A79-INDEX(新属性投放!$B$42:$B$62,新属性汇总!$B79))*INDEX(新属性投放!F$42:F$62,新属性汇总!$B79)</f>
        <v>1212</v>
      </c>
      <c r="M79" s="37">
        <f t="shared" si="33"/>
        <v>2615.1</v>
      </c>
      <c r="N79" s="37">
        <f t="shared" si="34"/>
        <v>1305.25</v>
      </c>
      <c r="O79" s="37">
        <f t="shared" si="35"/>
        <v>13113.449999999999</v>
      </c>
      <c r="P79" s="37">
        <v>2</v>
      </c>
      <c r="Q79" s="37">
        <v>4</v>
      </c>
      <c r="R79">
        <v>76</v>
      </c>
      <c r="S79" s="37">
        <f>IF($P79&gt;0,INDEX(装备!L$11:L$16,新属性汇总!$P79),0)</f>
        <v>342</v>
      </c>
      <c r="T79" s="37">
        <f>IF($P79&gt;0,INDEX(装备!M$11:M$16,新属性汇总!$P79),0)</f>
        <v>171</v>
      </c>
      <c r="U79" s="37">
        <f>IF($P79&gt;0,INDEX(装备!N$11:N$16,新属性汇总!$P79),0)</f>
        <v>1745.9999999999998</v>
      </c>
      <c r="V79" s="37">
        <f>IF($P79&gt;0,INDEX(装备!H$11:H$16,新属性汇总!$P79),0)</f>
        <v>12</v>
      </c>
      <c r="W79" s="37">
        <f>IF($P79&gt;0,INDEX(装备!I$11:I$16,新属性汇总!$P79),0)</f>
        <v>6</v>
      </c>
      <c r="X79" s="37">
        <f>IF($P79&gt;0,INDEX(装备!J$11:J$16,新属性汇总!$P79),0)</f>
        <v>85</v>
      </c>
      <c r="Y79" s="37">
        <f t="shared" si="36"/>
        <v>1254</v>
      </c>
      <c r="Z79" s="37">
        <f t="shared" si="37"/>
        <v>627</v>
      </c>
      <c r="AA79" s="37">
        <f t="shared" si="38"/>
        <v>8206</v>
      </c>
      <c r="AB79" s="37">
        <v>0.65</v>
      </c>
      <c r="AC79" s="37">
        <f>IF(P79&gt;0,INDEX(装备!$BP$5:$BP$16,新属性汇总!P79),0)</f>
        <v>3</v>
      </c>
      <c r="AD79" s="37">
        <f>IF($P79&gt;0,ROUND(INDEX(装备!AY$11:AY$16,新属性汇总!$P79)*$AC79/3,0)*8*AB79,0)</f>
        <v>260</v>
      </c>
      <c r="AE79" s="37">
        <f>IF($P79&gt;0,ROUND(INDEX(装备!AZ$11:AZ$16,新属性汇总!$P79)*$AC79/3,0)*8*AB79,0)</f>
        <v>192.4</v>
      </c>
      <c r="AF79" s="37">
        <f>IF($P79&gt;0,ROUND(INDEX(装备!BA$11:BA$16,新属性汇总!$P79)*$AC79/3,0)*8*AB79,0)</f>
        <v>1326</v>
      </c>
      <c r="AG79" s="37">
        <f>IF(新属性汇总!P79&gt;0,INDEX(装备!$AP$11:$AP$16,新属性汇总!$P79)*2,0)</f>
        <v>1566</v>
      </c>
      <c r="AH79" s="37">
        <v>0</v>
      </c>
      <c r="AI79" s="37">
        <f>IF(新属性汇总!P79&gt;0,INDEX(装备!$AP$11:$AP$16,新属性汇总!$P79)*2,0)</f>
        <v>1566</v>
      </c>
      <c r="AJ79" s="37">
        <v>11</v>
      </c>
      <c r="AK79" s="37">
        <f>IF($AJ79&gt;0,INDEX(专属武器!H$4:H$53,新属性汇总!$AJ79),0)</f>
        <v>816</v>
      </c>
      <c r="AL79" s="37">
        <f>IF($AJ79&gt;0,INDEX(专属武器!I$4:I$53,新属性汇总!$AJ79),0)</f>
        <v>406</v>
      </c>
      <c r="AM79" s="37">
        <f>IF($AJ79&gt;0,INDEX(专属武器!J$4:J$53,新属性汇总!$AJ79),0)</f>
        <v>3672</v>
      </c>
      <c r="AQ79" s="13">
        <v>75</v>
      </c>
      <c r="AR79" s="13">
        <f t="shared" si="39"/>
        <v>2563.35</v>
      </c>
      <c r="AS79" s="13">
        <f t="shared" si="40"/>
        <v>1279.375</v>
      </c>
      <c r="AT79" s="13">
        <f t="shared" si="41"/>
        <v>12881.15</v>
      </c>
      <c r="AU79" s="13">
        <f t="shared" si="42"/>
        <v>1242</v>
      </c>
      <c r="AV79" s="13">
        <f t="shared" si="43"/>
        <v>621</v>
      </c>
      <c r="AW79" s="13">
        <f t="shared" si="44"/>
        <v>8121</v>
      </c>
      <c r="AX79" s="13">
        <f t="shared" si="45"/>
        <v>260</v>
      </c>
      <c r="AY79" s="13">
        <f t="shared" si="46"/>
        <v>192.4</v>
      </c>
      <c r="AZ79" s="13">
        <f t="shared" si="47"/>
        <v>1326</v>
      </c>
      <c r="BA79" s="13">
        <f t="shared" si="48"/>
        <v>1566</v>
      </c>
      <c r="BB79" s="13">
        <f t="shared" si="49"/>
        <v>0</v>
      </c>
      <c r="BC79" s="13">
        <f t="shared" si="50"/>
        <v>1566</v>
      </c>
      <c r="BD79" s="13">
        <f t="shared" si="51"/>
        <v>816</v>
      </c>
      <c r="BE79" s="13">
        <f t="shared" si="52"/>
        <v>406</v>
      </c>
      <c r="BF79" s="13">
        <f t="shared" si="53"/>
        <v>3672</v>
      </c>
      <c r="BG79" s="13">
        <f t="shared" si="54"/>
        <v>38491</v>
      </c>
      <c r="BH79" s="13">
        <f t="shared" si="55"/>
        <v>20541</v>
      </c>
      <c r="BI79" s="13">
        <f t="shared" si="56"/>
        <v>4550</v>
      </c>
      <c r="BJ79" s="13">
        <f t="shared" si="57"/>
        <v>9396</v>
      </c>
      <c r="BK79" s="13">
        <f t="shared" si="58"/>
        <v>11812</v>
      </c>
      <c r="BL79" s="13">
        <f t="shared" si="59"/>
        <v>84790</v>
      </c>
      <c r="BM79" s="31">
        <f t="shared" si="60"/>
        <v>0.45400000000000001</v>
      </c>
      <c r="BN79" s="31">
        <f t="shared" si="61"/>
        <v>0.24229999999999999</v>
      </c>
      <c r="BO79" s="31">
        <f t="shared" si="62"/>
        <v>5.3699999999999998E-2</v>
      </c>
      <c r="BP79" s="31">
        <f t="shared" si="63"/>
        <v>0.1108</v>
      </c>
      <c r="BQ79" s="31">
        <f t="shared" si="64"/>
        <v>0.13930000000000001</v>
      </c>
    </row>
    <row r="80" spans="1:69" ht="16.5" x14ac:dyDescent="0.2">
      <c r="A80" s="37">
        <v>77</v>
      </c>
      <c r="B80" s="37">
        <v>8</v>
      </c>
      <c r="C80" s="37">
        <v>1</v>
      </c>
      <c r="D80" s="37">
        <v>3</v>
      </c>
      <c r="E80" s="37">
        <v>77</v>
      </c>
      <c r="F80" s="37">
        <f>INDEX(新属性投放!$L$6:$L$10,新属性汇总!D80)</f>
        <v>1.1499999999999999</v>
      </c>
      <c r="G80" s="37">
        <f>INDEX(新属性投放!J$42:J$62,新属性汇总!$B80)</f>
        <v>2004</v>
      </c>
      <c r="H80" s="37">
        <f>INDEX(新属性投放!K$42:K$62,新属性汇总!$B80)</f>
        <v>1000</v>
      </c>
      <c r="I80" s="37">
        <f>INDEX(新属性投放!L$42:L$62,新属性汇总!$B80)</f>
        <v>10191</v>
      </c>
      <c r="J80" s="37">
        <f>($A80-INDEX(新属性投放!$B$42:$B$62,新属性汇总!$B80))*INDEX(新属性投放!D$42:D$62,新属性汇总!$B80)</f>
        <v>315</v>
      </c>
      <c r="K80" s="37">
        <f>($A80-INDEX(新属性投放!$B$42:$B$62,新属性汇总!$B80))*INDEX(新属性投放!E$42:E$62,新属性汇总!$B80)</f>
        <v>157.5</v>
      </c>
      <c r="L80" s="37">
        <f>($A80-INDEX(新属性投放!$B$42:$B$62,新属性汇总!$B80))*INDEX(新属性投放!F$42:F$62,新属性汇总!$B80)</f>
        <v>1414</v>
      </c>
      <c r="M80" s="37">
        <f t="shared" si="33"/>
        <v>2666.85</v>
      </c>
      <c r="N80" s="37">
        <f t="shared" si="34"/>
        <v>1331.125</v>
      </c>
      <c r="O80" s="37">
        <f t="shared" si="35"/>
        <v>13345.749999999998</v>
      </c>
      <c r="P80" s="37">
        <v>2</v>
      </c>
      <c r="Q80" s="37">
        <v>4</v>
      </c>
      <c r="R80">
        <v>77</v>
      </c>
      <c r="S80" s="37">
        <f>IF($P80&gt;0,INDEX(装备!L$11:L$16,新属性汇总!$P80),0)</f>
        <v>342</v>
      </c>
      <c r="T80" s="37">
        <f>IF($P80&gt;0,INDEX(装备!M$11:M$16,新属性汇总!$P80),0)</f>
        <v>171</v>
      </c>
      <c r="U80" s="37">
        <f>IF($P80&gt;0,INDEX(装备!N$11:N$16,新属性汇总!$P80),0)</f>
        <v>1745.9999999999998</v>
      </c>
      <c r="V80" s="37">
        <f>IF($P80&gt;0,INDEX(装备!H$11:H$16,新属性汇总!$P80),0)</f>
        <v>12</v>
      </c>
      <c r="W80" s="37">
        <f>IF($P80&gt;0,INDEX(装备!I$11:I$16,新属性汇总!$P80),0)</f>
        <v>6</v>
      </c>
      <c r="X80" s="37">
        <f>IF($P80&gt;0,INDEX(装备!J$11:J$16,新属性汇总!$P80),0)</f>
        <v>85</v>
      </c>
      <c r="Y80" s="37">
        <f t="shared" si="36"/>
        <v>1266</v>
      </c>
      <c r="Z80" s="37">
        <f t="shared" si="37"/>
        <v>633</v>
      </c>
      <c r="AA80" s="37">
        <f t="shared" si="38"/>
        <v>8291</v>
      </c>
      <c r="AB80" s="37">
        <v>0.65</v>
      </c>
      <c r="AC80" s="37">
        <f>IF(P80&gt;0,INDEX(装备!$BP$5:$BP$16,新属性汇总!P80),0)</f>
        <v>3</v>
      </c>
      <c r="AD80" s="37">
        <f>IF($P80&gt;0,ROUND(INDEX(装备!AY$11:AY$16,新属性汇总!$P80)*$AC80/3,0)*8*AB80,0)</f>
        <v>260</v>
      </c>
      <c r="AE80" s="37">
        <f>IF($P80&gt;0,ROUND(INDEX(装备!AZ$11:AZ$16,新属性汇总!$P80)*$AC80/3,0)*8*AB80,0)</f>
        <v>192.4</v>
      </c>
      <c r="AF80" s="37">
        <f>IF($P80&gt;0,ROUND(INDEX(装备!BA$11:BA$16,新属性汇总!$P80)*$AC80/3,0)*8*AB80,0)</f>
        <v>1326</v>
      </c>
      <c r="AG80" s="37">
        <f>IF(新属性汇总!P80&gt;0,INDEX(装备!$AP$11:$AP$16,新属性汇总!$P80)*2,0)</f>
        <v>1566</v>
      </c>
      <c r="AH80" s="37">
        <v>0</v>
      </c>
      <c r="AI80" s="37">
        <f>IF(新属性汇总!P80&gt;0,INDEX(装备!$AP$11:$AP$16,新属性汇总!$P80)*2,0)</f>
        <v>1566</v>
      </c>
      <c r="AJ80" s="37">
        <v>11</v>
      </c>
      <c r="AK80" s="37">
        <f>IF($AJ80&gt;0,INDEX(专属武器!H$4:H$53,新属性汇总!$AJ80),0)</f>
        <v>816</v>
      </c>
      <c r="AL80" s="37">
        <f>IF($AJ80&gt;0,INDEX(专属武器!I$4:I$53,新属性汇总!$AJ80),0)</f>
        <v>406</v>
      </c>
      <c r="AM80" s="37">
        <f>IF($AJ80&gt;0,INDEX(专属武器!J$4:J$53,新属性汇总!$AJ80),0)</f>
        <v>3672</v>
      </c>
      <c r="AQ80" s="13">
        <v>76</v>
      </c>
      <c r="AR80" s="13">
        <f t="shared" si="39"/>
        <v>2615.1</v>
      </c>
      <c r="AS80" s="13">
        <f t="shared" si="40"/>
        <v>1305.25</v>
      </c>
      <c r="AT80" s="13">
        <f t="shared" si="41"/>
        <v>13113.449999999999</v>
      </c>
      <c r="AU80" s="13">
        <f t="shared" si="42"/>
        <v>1254</v>
      </c>
      <c r="AV80" s="13">
        <f t="shared" si="43"/>
        <v>627</v>
      </c>
      <c r="AW80" s="13">
        <f t="shared" si="44"/>
        <v>8206</v>
      </c>
      <c r="AX80" s="13">
        <f t="shared" si="45"/>
        <v>260</v>
      </c>
      <c r="AY80" s="13">
        <f t="shared" si="46"/>
        <v>192.4</v>
      </c>
      <c r="AZ80" s="13">
        <f t="shared" si="47"/>
        <v>1326</v>
      </c>
      <c r="BA80" s="13">
        <f t="shared" si="48"/>
        <v>1566</v>
      </c>
      <c r="BB80" s="13">
        <f t="shared" si="49"/>
        <v>0</v>
      </c>
      <c r="BC80" s="13">
        <f t="shared" si="50"/>
        <v>1566</v>
      </c>
      <c r="BD80" s="13">
        <f t="shared" si="51"/>
        <v>816</v>
      </c>
      <c r="BE80" s="13">
        <f t="shared" si="52"/>
        <v>406</v>
      </c>
      <c r="BF80" s="13">
        <f t="shared" si="53"/>
        <v>3672</v>
      </c>
      <c r="BG80" s="13">
        <f t="shared" si="54"/>
        <v>39241</v>
      </c>
      <c r="BH80" s="13">
        <f t="shared" si="55"/>
        <v>20746</v>
      </c>
      <c r="BI80" s="13">
        <f t="shared" si="56"/>
        <v>4550</v>
      </c>
      <c r="BJ80" s="13">
        <f t="shared" si="57"/>
        <v>9396</v>
      </c>
      <c r="BK80" s="13">
        <f t="shared" si="58"/>
        <v>11812</v>
      </c>
      <c r="BL80" s="13">
        <f t="shared" si="59"/>
        <v>85745</v>
      </c>
      <c r="BM80" s="31">
        <f t="shared" si="60"/>
        <v>0.45760000000000001</v>
      </c>
      <c r="BN80" s="31">
        <f t="shared" si="61"/>
        <v>0.2419</v>
      </c>
      <c r="BO80" s="31">
        <f t="shared" si="62"/>
        <v>5.3100000000000001E-2</v>
      </c>
      <c r="BP80" s="31">
        <f t="shared" si="63"/>
        <v>0.1096</v>
      </c>
      <c r="BQ80" s="31">
        <f t="shared" si="64"/>
        <v>0.13780000000000001</v>
      </c>
    </row>
    <row r="81" spans="1:69" ht="16.5" x14ac:dyDescent="0.2">
      <c r="A81" s="37">
        <v>78</v>
      </c>
      <c r="B81" s="37">
        <v>8</v>
      </c>
      <c r="C81" s="37">
        <v>1</v>
      </c>
      <c r="D81" s="37">
        <v>3</v>
      </c>
      <c r="E81" s="37">
        <v>78</v>
      </c>
      <c r="F81" s="37">
        <f>INDEX(新属性投放!$L$6:$L$10,新属性汇总!D81)</f>
        <v>1.1499999999999999</v>
      </c>
      <c r="G81" s="37">
        <f>INDEX(新属性投放!J$42:J$62,新属性汇总!$B81)</f>
        <v>2004</v>
      </c>
      <c r="H81" s="37">
        <f>INDEX(新属性投放!K$42:K$62,新属性汇总!$B81)</f>
        <v>1000</v>
      </c>
      <c r="I81" s="37">
        <f>INDEX(新属性投放!L$42:L$62,新属性汇总!$B81)</f>
        <v>10191</v>
      </c>
      <c r="J81" s="37">
        <f>($A81-INDEX(新属性投放!$B$42:$B$62,新属性汇总!$B81))*INDEX(新属性投放!D$42:D$62,新属性汇总!$B81)</f>
        <v>360</v>
      </c>
      <c r="K81" s="37">
        <f>($A81-INDEX(新属性投放!$B$42:$B$62,新属性汇总!$B81))*INDEX(新属性投放!E$42:E$62,新属性汇总!$B81)</f>
        <v>180</v>
      </c>
      <c r="L81" s="37">
        <f>($A81-INDEX(新属性投放!$B$42:$B$62,新属性汇总!$B81))*INDEX(新属性投放!F$42:F$62,新属性汇总!$B81)</f>
        <v>1616</v>
      </c>
      <c r="M81" s="37">
        <f t="shared" si="33"/>
        <v>2718.6</v>
      </c>
      <c r="N81" s="37">
        <f t="shared" si="34"/>
        <v>1357</v>
      </c>
      <c r="O81" s="37">
        <f t="shared" si="35"/>
        <v>13578.05</v>
      </c>
      <c r="P81" s="37">
        <v>2</v>
      </c>
      <c r="Q81" s="37">
        <v>4</v>
      </c>
      <c r="R81">
        <v>78</v>
      </c>
      <c r="S81" s="37">
        <f>IF($P81&gt;0,INDEX(装备!L$11:L$16,新属性汇总!$P81),0)</f>
        <v>342</v>
      </c>
      <c r="T81" s="37">
        <f>IF($P81&gt;0,INDEX(装备!M$11:M$16,新属性汇总!$P81),0)</f>
        <v>171</v>
      </c>
      <c r="U81" s="37">
        <f>IF($P81&gt;0,INDEX(装备!N$11:N$16,新属性汇总!$P81),0)</f>
        <v>1745.9999999999998</v>
      </c>
      <c r="V81" s="37">
        <f>IF($P81&gt;0,INDEX(装备!H$11:H$16,新属性汇总!$P81),0)</f>
        <v>12</v>
      </c>
      <c r="W81" s="37">
        <f>IF($P81&gt;0,INDEX(装备!I$11:I$16,新属性汇总!$P81),0)</f>
        <v>6</v>
      </c>
      <c r="X81" s="37">
        <f>IF($P81&gt;0,INDEX(装备!J$11:J$16,新属性汇总!$P81),0)</f>
        <v>85</v>
      </c>
      <c r="Y81" s="37">
        <f t="shared" si="36"/>
        <v>1278</v>
      </c>
      <c r="Z81" s="37">
        <f t="shared" si="37"/>
        <v>639</v>
      </c>
      <c r="AA81" s="37">
        <f t="shared" si="38"/>
        <v>8376</v>
      </c>
      <c r="AB81" s="37">
        <v>0.65</v>
      </c>
      <c r="AC81" s="37">
        <f>IF(P81&gt;0,INDEX(装备!$BP$5:$BP$16,新属性汇总!P81),0)</f>
        <v>3</v>
      </c>
      <c r="AD81" s="37">
        <f>IF($P81&gt;0,ROUND(INDEX(装备!AY$11:AY$16,新属性汇总!$P81)*$AC81/3,0)*8*AB81,0)</f>
        <v>260</v>
      </c>
      <c r="AE81" s="37">
        <f>IF($P81&gt;0,ROUND(INDEX(装备!AZ$11:AZ$16,新属性汇总!$P81)*$AC81/3,0)*8*AB81,0)</f>
        <v>192.4</v>
      </c>
      <c r="AF81" s="37">
        <f>IF($P81&gt;0,ROUND(INDEX(装备!BA$11:BA$16,新属性汇总!$P81)*$AC81/3,0)*8*AB81,0)</f>
        <v>1326</v>
      </c>
      <c r="AG81" s="37">
        <f>IF(新属性汇总!P81&gt;0,INDEX(装备!$AP$11:$AP$16,新属性汇总!$P81)*2,0)</f>
        <v>1566</v>
      </c>
      <c r="AH81" s="37">
        <v>0</v>
      </c>
      <c r="AI81" s="37">
        <f>IF(新属性汇总!P81&gt;0,INDEX(装备!$AP$11:$AP$16,新属性汇总!$P81)*2,0)</f>
        <v>1566</v>
      </c>
      <c r="AJ81" s="37">
        <v>11</v>
      </c>
      <c r="AK81" s="37">
        <f>IF($AJ81&gt;0,INDEX(专属武器!H$4:H$53,新属性汇总!$AJ81),0)</f>
        <v>816</v>
      </c>
      <c r="AL81" s="37">
        <f>IF($AJ81&gt;0,INDEX(专属武器!I$4:I$53,新属性汇总!$AJ81),0)</f>
        <v>406</v>
      </c>
      <c r="AM81" s="37">
        <f>IF($AJ81&gt;0,INDEX(专属武器!J$4:J$53,新属性汇总!$AJ81),0)</f>
        <v>3672</v>
      </c>
      <c r="AQ81" s="13">
        <v>77</v>
      </c>
      <c r="AR81" s="13">
        <f t="shared" si="39"/>
        <v>2666.85</v>
      </c>
      <c r="AS81" s="13">
        <f t="shared" si="40"/>
        <v>1331.125</v>
      </c>
      <c r="AT81" s="13">
        <f t="shared" si="41"/>
        <v>13345.749999999998</v>
      </c>
      <c r="AU81" s="13">
        <f t="shared" si="42"/>
        <v>1266</v>
      </c>
      <c r="AV81" s="13">
        <f t="shared" si="43"/>
        <v>633</v>
      </c>
      <c r="AW81" s="13">
        <f t="shared" si="44"/>
        <v>8291</v>
      </c>
      <c r="AX81" s="13">
        <f t="shared" si="45"/>
        <v>260</v>
      </c>
      <c r="AY81" s="13">
        <f t="shared" si="46"/>
        <v>192.4</v>
      </c>
      <c r="AZ81" s="13">
        <f t="shared" si="47"/>
        <v>1326</v>
      </c>
      <c r="BA81" s="13">
        <f t="shared" si="48"/>
        <v>1566</v>
      </c>
      <c r="BB81" s="13">
        <f t="shared" si="49"/>
        <v>0</v>
      </c>
      <c r="BC81" s="13">
        <f t="shared" si="50"/>
        <v>1566</v>
      </c>
      <c r="BD81" s="13">
        <f t="shared" si="51"/>
        <v>816</v>
      </c>
      <c r="BE81" s="13">
        <f t="shared" si="52"/>
        <v>406</v>
      </c>
      <c r="BF81" s="13">
        <f t="shared" si="53"/>
        <v>3672</v>
      </c>
      <c r="BG81" s="13">
        <f t="shared" si="54"/>
        <v>39991</v>
      </c>
      <c r="BH81" s="13">
        <f t="shared" si="55"/>
        <v>20951</v>
      </c>
      <c r="BI81" s="13">
        <f t="shared" si="56"/>
        <v>4550</v>
      </c>
      <c r="BJ81" s="13">
        <f t="shared" si="57"/>
        <v>9396</v>
      </c>
      <c r="BK81" s="13">
        <f t="shared" si="58"/>
        <v>11812</v>
      </c>
      <c r="BL81" s="13">
        <f t="shared" si="59"/>
        <v>86700</v>
      </c>
      <c r="BM81" s="31">
        <f t="shared" si="60"/>
        <v>0.46129999999999999</v>
      </c>
      <c r="BN81" s="31">
        <f t="shared" si="61"/>
        <v>0.24160000000000001</v>
      </c>
      <c r="BO81" s="31">
        <f t="shared" si="62"/>
        <v>5.2499999999999998E-2</v>
      </c>
      <c r="BP81" s="31">
        <f t="shared" si="63"/>
        <v>0.1084</v>
      </c>
      <c r="BQ81" s="31">
        <f t="shared" si="64"/>
        <v>0.13619999999999999</v>
      </c>
    </row>
    <row r="82" spans="1:69" ht="16.5" x14ac:dyDescent="0.2">
      <c r="A82" s="37">
        <v>79</v>
      </c>
      <c r="B82" s="37">
        <v>8</v>
      </c>
      <c r="C82" s="37">
        <v>1</v>
      </c>
      <c r="D82" s="37">
        <v>3</v>
      </c>
      <c r="E82" s="37">
        <v>79</v>
      </c>
      <c r="F82" s="37">
        <f>INDEX(新属性投放!$L$6:$L$10,新属性汇总!D82)</f>
        <v>1.1499999999999999</v>
      </c>
      <c r="G82" s="37">
        <f>INDEX(新属性投放!J$42:J$62,新属性汇总!$B82)</f>
        <v>2004</v>
      </c>
      <c r="H82" s="37">
        <f>INDEX(新属性投放!K$42:K$62,新属性汇总!$B82)</f>
        <v>1000</v>
      </c>
      <c r="I82" s="37">
        <f>INDEX(新属性投放!L$42:L$62,新属性汇总!$B82)</f>
        <v>10191</v>
      </c>
      <c r="J82" s="37">
        <f>($A82-INDEX(新属性投放!$B$42:$B$62,新属性汇总!$B82))*INDEX(新属性投放!D$42:D$62,新属性汇总!$B82)</f>
        <v>405</v>
      </c>
      <c r="K82" s="37">
        <f>($A82-INDEX(新属性投放!$B$42:$B$62,新属性汇总!$B82))*INDEX(新属性投放!E$42:E$62,新属性汇总!$B82)</f>
        <v>202.5</v>
      </c>
      <c r="L82" s="37">
        <f>($A82-INDEX(新属性投放!$B$42:$B$62,新属性汇总!$B82))*INDEX(新属性投放!F$42:F$62,新属性汇总!$B82)</f>
        <v>1818</v>
      </c>
      <c r="M82" s="37">
        <f t="shared" si="33"/>
        <v>2770.35</v>
      </c>
      <c r="N82" s="37">
        <f t="shared" si="34"/>
        <v>1382.875</v>
      </c>
      <c r="O82" s="37">
        <f t="shared" si="35"/>
        <v>13810.349999999999</v>
      </c>
      <c r="P82" s="37">
        <v>2</v>
      </c>
      <c r="Q82" s="37">
        <v>4</v>
      </c>
      <c r="R82">
        <v>79</v>
      </c>
      <c r="S82" s="37">
        <f>IF($P82&gt;0,INDEX(装备!L$11:L$16,新属性汇总!$P82),0)</f>
        <v>342</v>
      </c>
      <c r="T82" s="37">
        <f>IF($P82&gt;0,INDEX(装备!M$11:M$16,新属性汇总!$P82),0)</f>
        <v>171</v>
      </c>
      <c r="U82" s="37">
        <f>IF($P82&gt;0,INDEX(装备!N$11:N$16,新属性汇总!$P82),0)</f>
        <v>1745.9999999999998</v>
      </c>
      <c r="V82" s="37">
        <f>IF($P82&gt;0,INDEX(装备!H$11:H$16,新属性汇总!$P82),0)</f>
        <v>12</v>
      </c>
      <c r="W82" s="37">
        <f>IF($P82&gt;0,INDEX(装备!I$11:I$16,新属性汇总!$P82),0)</f>
        <v>6</v>
      </c>
      <c r="X82" s="37">
        <f>IF($P82&gt;0,INDEX(装备!J$11:J$16,新属性汇总!$P82),0)</f>
        <v>85</v>
      </c>
      <c r="Y82" s="37">
        <f t="shared" si="36"/>
        <v>1290</v>
      </c>
      <c r="Z82" s="37">
        <f t="shared" si="37"/>
        <v>645</v>
      </c>
      <c r="AA82" s="37">
        <f t="shared" si="38"/>
        <v>8461</v>
      </c>
      <c r="AB82" s="37">
        <v>0.65</v>
      </c>
      <c r="AC82" s="37">
        <f>IF(P82&gt;0,INDEX(装备!$BP$5:$BP$16,新属性汇总!P82),0)</f>
        <v>3</v>
      </c>
      <c r="AD82" s="37">
        <f>IF($P82&gt;0,ROUND(INDEX(装备!AY$11:AY$16,新属性汇总!$P82)*$AC82/3,0)*8*AB82,0)</f>
        <v>260</v>
      </c>
      <c r="AE82" s="37">
        <f>IF($P82&gt;0,ROUND(INDEX(装备!AZ$11:AZ$16,新属性汇总!$P82)*$AC82/3,0)*8*AB82,0)</f>
        <v>192.4</v>
      </c>
      <c r="AF82" s="37">
        <f>IF($P82&gt;0,ROUND(INDEX(装备!BA$11:BA$16,新属性汇总!$P82)*$AC82/3,0)*8*AB82,0)</f>
        <v>1326</v>
      </c>
      <c r="AG82" s="37">
        <f>IF(新属性汇总!P82&gt;0,INDEX(装备!$AP$11:$AP$16,新属性汇总!$P82)*2,0)</f>
        <v>1566</v>
      </c>
      <c r="AH82" s="37">
        <v>0</v>
      </c>
      <c r="AI82" s="37">
        <f>IF(新属性汇总!P82&gt;0,INDEX(装备!$AP$11:$AP$16,新属性汇总!$P82)*2,0)</f>
        <v>1566</v>
      </c>
      <c r="AJ82" s="37">
        <v>11</v>
      </c>
      <c r="AK82" s="37">
        <f>IF($AJ82&gt;0,INDEX(专属武器!H$4:H$53,新属性汇总!$AJ82),0)</f>
        <v>816</v>
      </c>
      <c r="AL82" s="37">
        <f>IF($AJ82&gt;0,INDEX(专属武器!I$4:I$53,新属性汇总!$AJ82),0)</f>
        <v>406</v>
      </c>
      <c r="AM82" s="37">
        <f>IF($AJ82&gt;0,INDEX(专属武器!J$4:J$53,新属性汇总!$AJ82),0)</f>
        <v>3672</v>
      </c>
      <c r="AQ82" s="13">
        <v>78</v>
      </c>
      <c r="AR82" s="13">
        <f t="shared" si="39"/>
        <v>2718.6</v>
      </c>
      <c r="AS82" s="13">
        <f t="shared" si="40"/>
        <v>1357</v>
      </c>
      <c r="AT82" s="13">
        <f t="shared" si="41"/>
        <v>13578.05</v>
      </c>
      <c r="AU82" s="13">
        <f t="shared" si="42"/>
        <v>1278</v>
      </c>
      <c r="AV82" s="13">
        <f t="shared" si="43"/>
        <v>639</v>
      </c>
      <c r="AW82" s="13">
        <f t="shared" si="44"/>
        <v>8376</v>
      </c>
      <c r="AX82" s="13">
        <f t="shared" si="45"/>
        <v>260</v>
      </c>
      <c r="AY82" s="13">
        <f t="shared" si="46"/>
        <v>192.4</v>
      </c>
      <c r="AZ82" s="13">
        <f t="shared" si="47"/>
        <v>1326</v>
      </c>
      <c r="BA82" s="13">
        <f t="shared" si="48"/>
        <v>1566</v>
      </c>
      <c r="BB82" s="13">
        <f t="shared" si="49"/>
        <v>0</v>
      </c>
      <c r="BC82" s="13">
        <f t="shared" si="50"/>
        <v>1566</v>
      </c>
      <c r="BD82" s="13">
        <f t="shared" si="51"/>
        <v>816</v>
      </c>
      <c r="BE82" s="13">
        <f t="shared" si="52"/>
        <v>406</v>
      </c>
      <c r="BF82" s="13">
        <f t="shared" si="53"/>
        <v>3672</v>
      </c>
      <c r="BG82" s="13">
        <f t="shared" si="54"/>
        <v>40741</v>
      </c>
      <c r="BH82" s="13">
        <f t="shared" si="55"/>
        <v>21156</v>
      </c>
      <c r="BI82" s="13">
        <f t="shared" si="56"/>
        <v>4550</v>
      </c>
      <c r="BJ82" s="13">
        <f t="shared" si="57"/>
        <v>9396</v>
      </c>
      <c r="BK82" s="13">
        <f t="shared" si="58"/>
        <v>11812</v>
      </c>
      <c r="BL82" s="13">
        <f t="shared" si="59"/>
        <v>87655</v>
      </c>
      <c r="BM82" s="31">
        <f t="shared" si="60"/>
        <v>0.46479999999999999</v>
      </c>
      <c r="BN82" s="31">
        <f t="shared" si="61"/>
        <v>0.2414</v>
      </c>
      <c r="BO82" s="31">
        <f t="shared" si="62"/>
        <v>5.1900000000000002E-2</v>
      </c>
      <c r="BP82" s="31">
        <f t="shared" si="63"/>
        <v>0.1072</v>
      </c>
      <c r="BQ82" s="31">
        <f t="shared" si="64"/>
        <v>0.1348</v>
      </c>
    </row>
    <row r="83" spans="1:69" ht="16.5" x14ac:dyDescent="0.2">
      <c r="A83" s="37">
        <v>80</v>
      </c>
      <c r="B83" s="37">
        <v>9</v>
      </c>
      <c r="C83" s="37">
        <v>1</v>
      </c>
      <c r="D83" s="37">
        <v>3</v>
      </c>
      <c r="E83" s="37">
        <v>80</v>
      </c>
      <c r="F83" s="37">
        <f>INDEX(新属性投放!$L$6:$L$10,新属性汇总!D83)</f>
        <v>1.1499999999999999</v>
      </c>
      <c r="G83" s="37">
        <f>INDEX(新属性投放!J$42:J$62,新属性汇总!$B83)</f>
        <v>2567</v>
      </c>
      <c r="H83" s="37">
        <f>INDEX(新属性投放!K$42:K$62,新属性汇总!$B83)</f>
        <v>1281</v>
      </c>
      <c r="I83" s="37">
        <f>INDEX(新属性投放!L$42:L$62,新属性汇总!$B83)</f>
        <v>13228</v>
      </c>
      <c r="J83" s="37">
        <f>($A83-INDEX(新属性投放!$B$42:$B$62,新属性汇总!$B83))*INDEX(新属性投放!D$42:D$62,新属性汇总!$B83)</f>
        <v>0</v>
      </c>
      <c r="K83" s="37">
        <f>($A83-INDEX(新属性投放!$B$42:$B$62,新属性汇总!$B83))*INDEX(新属性投放!E$42:E$62,新属性汇总!$B83)</f>
        <v>0</v>
      </c>
      <c r="L83" s="37">
        <f>($A83-INDEX(新属性投放!$B$42:$B$62,新属性汇总!$B83))*INDEX(新属性投放!F$42:F$62,新属性汇总!$B83)</f>
        <v>0</v>
      </c>
      <c r="M83" s="37">
        <f t="shared" si="33"/>
        <v>2952.0499999999997</v>
      </c>
      <c r="N83" s="37">
        <f t="shared" si="34"/>
        <v>1473.1499999999999</v>
      </c>
      <c r="O83" s="37">
        <f t="shared" si="35"/>
        <v>15212.199999999999</v>
      </c>
      <c r="P83" s="37">
        <v>2</v>
      </c>
      <c r="Q83" s="37">
        <v>4</v>
      </c>
      <c r="R83">
        <v>80</v>
      </c>
      <c r="S83" s="37">
        <f>IF($P83&gt;0,INDEX(装备!L$11:L$16,新属性汇总!$P83),0)</f>
        <v>342</v>
      </c>
      <c r="T83" s="37">
        <f>IF($P83&gt;0,INDEX(装备!M$11:M$16,新属性汇总!$P83),0)</f>
        <v>171</v>
      </c>
      <c r="U83" s="37">
        <f>IF($P83&gt;0,INDEX(装备!N$11:N$16,新属性汇总!$P83),0)</f>
        <v>1745.9999999999998</v>
      </c>
      <c r="V83" s="37">
        <f>IF($P83&gt;0,INDEX(装备!H$11:H$16,新属性汇总!$P83),0)</f>
        <v>12</v>
      </c>
      <c r="W83" s="37">
        <f>IF($P83&gt;0,INDEX(装备!I$11:I$16,新属性汇总!$P83),0)</f>
        <v>6</v>
      </c>
      <c r="X83" s="37">
        <f>IF($P83&gt;0,INDEX(装备!J$11:J$16,新属性汇总!$P83),0)</f>
        <v>85</v>
      </c>
      <c r="Y83" s="37">
        <f t="shared" si="36"/>
        <v>1302</v>
      </c>
      <c r="Z83" s="37">
        <f t="shared" si="37"/>
        <v>651</v>
      </c>
      <c r="AA83" s="37">
        <f t="shared" si="38"/>
        <v>8546</v>
      </c>
      <c r="AB83" s="37">
        <v>0.65</v>
      </c>
      <c r="AC83" s="37">
        <f>IF(P83&gt;0,INDEX(装备!$BP$5:$BP$16,新属性汇总!P83),0)</f>
        <v>3</v>
      </c>
      <c r="AD83" s="37">
        <f>IF($P83&gt;0,ROUND(INDEX(装备!AY$11:AY$16,新属性汇总!$P83)*$AC83/3,0)*8*AB83,0)</f>
        <v>260</v>
      </c>
      <c r="AE83" s="37">
        <f>IF($P83&gt;0,ROUND(INDEX(装备!AZ$11:AZ$16,新属性汇总!$P83)*$AC83/3,0)*8*AB83,0)</f>
        <v>192.4</v>
      </c>
      <c r="AF83" s="37">
        <f>IF($P83&gt;0,ROUND(INDEX(装备!BA$11:BA$16,新属性汇总!$P83)*$AC83/3,0)*8*AB83,0)</f>
        <v>1326</v>
      </c>
      <c r="AG83" s="37">
        <f>IF(新属性汇总!P83&gt;0,INDEX(装备!$AP$11:$AP$16,新属性汇总!$P83)*2,0)</f>
        <v>1566</v>
      </c>
      <c r="AH83" s="37">
        <v>0</v>
      </c>
      <c r="AI83" s="37">
        <f>IF(新属性汇总!P83&gt;0,INDEX(装备!$AP$11:$AP$16,新属性汇总!$P83)*2,0)</f>
        <v>1566</v>
      </c>
      <c r="AJ83" s="37">
        <v>13</v>
      </c>
      <c r="AK83" s="37">
        <f>IF($AJ83&gt;0,INDEX(专属武器!H$4:H$53,新属性汇总!$AJ83),0)</f>
        <v>1068</v>
      </c>
      <c r="AL83" s="37">
        <f>IF($AJ83&gt;0,INDEX(专属武器!I$4:I$53,新属性汇总!$AJ83),0)</f>
        <v>532</v>
      </c>
      <c r="AM83" s="37">
        <f>IF($AJ83&gt;0,INDEX(专属武器!J$4:J$53,新属性汇总!$AJ83),0)</f>
        <v>4804</v>
      </c>
      <c r="AQ83" s="13">
        <v>79</v>
      </c>
      <c r="AR83" s="13">
        <f t="shared" si="39"/>
        <v>2770.35</v>
      </c>
      <c r="AS83" s="13">
        <f t="shared" si="40"/>
        <v>1382.875</v>
      </c>
      <c r="AT83" s="13">
        <f t="shared" si="41"/>
        <v>13810.349999999999</v>
      </c>
      <c r="AU83" s="13">
        <f t="shared" si="42"/>
        <v>1290</v>
      </c>
      <c r="AV83" s="13">
        <f t="shared" si="43"/>
        <v>645</v>
      </c>
      <c r="AW83" s="13">
        <f t="shared" si="44"/>
        <v>8461</v>
      </c>
      <c r="AX83" s="13">
        <f t="shared" si="45"/>
        <v>260</v>
      </c>
      <c r="AY83" s="13">
        <f t="shared" si="46"/>
        <v>192.4</v>
      </c>
      <c r="AZ83" s="13">
        <f t="shared" si="47"/>
        <v>1326</v>
      </c>
      <c r="BA83" s="13">
        <f t="shared" si="48"/>
        <v>1566</v>
      </c>
      <c r="BB83" s="13">
        <f t="shared" si="49"/>
        <v>0</v>
      </c>
      <c r="BC83" s="13">
        <f t="shared" si="50"/>
        <v>1566</v>
      </c>
      <c r="BD83" s="13">
        <f t="shared" si="51"/>
        <v>816</v>
      </c>
      <c r="BE83" s="13">
        <f t="shared" si="52"/>
        <v>406</v>
      </c>
      <c r="BF83" s="13">
        <f t="shared" si="53"/>
        <v>3672</v>
      </c>
      <c r="BG83" s="13">
        <f t="shared" si="54"/>
        <v>41490</v>
      </c>
      <c r="BH83" s="13">
        <f t="shared" si="55"/>
        <v>21361</v>
      </c>
      <c r="BI83" s="13">
        <f t="shared" si="56"/>
        <v>4550</v>
      </c>
      <c r="BJ83" s="13">
        <f t="shared" si="57"/>
        <v>9396</v>
      </c>
      <c r="BK83" s="13">
        <f t="shared" si="58"/>
        <v>11812</v>
      </c>
      <c r="BL83" s="13">
        <f t="shared" si="59"/>
        <v>88609</v>
      </c>
      <c r="BM83" s="31">
        <f t="shared" si="60"/>
        <v>0.46820000000000001</v>
      </c>
      <c r="BN83" s="31">
        <f t="shared" si="61"/>
        <v>0.24110000000000001</v>
      </c>
      <c r="BO83" s="31">
        <f t="shared" si="62"/>
        <v>5.1299999999999998E-2</v>
      </c>
      <c r="BP83" s="31">
        <f t="shared" si="63"/>
        <v>0.106</v>
      </c>
      <c r="BQ83" s="31">
        <f t="shared" si="64"/>
        <v>0.1333</v>
      </c>
    </row>
    <row r="84" spans="1:69" ht="16.5" x14ac:dyDescent="0.2">
      <c r="A84" s="37">
        <v>81</v>
      </c>
      <c r="B84" s="37">
        <v>9</v>
      </c>
      <c r="C84" s="37">
        <v>1</v>
      </c>
      <c r="D84" s="37">
        <v>3</v>
      </c>
      <c r="E84" s="37">
        <v>81</v>
      </c>
      <c r="F84" s="37">
        <f>INDEX(新属性投放!$L$6:$L$10,新属性汇总!D84)</f>
        <v>1.1499999999999999</v>
      </c>
      <c r="G84" s="37">
        <f>INDEX(新属性投放!J$42:J$62,新属性汇总!$B84)</f>
        <v>2567</v>
      </c>
      <c r="H84" s="37">
        <f>INDEX(新属性投放!K$42:K$62,新属性汇总!$B84)</f>
        <v>1281</v>
      </c>
      <c r="I84" s="37">
        <f>INDEX(新属性投放!L$42:L$62,新属性汇总!$B84)</f>
        <v>13228</v>
      </c>
      <c r="J84" s="37">
        <f>($A84-INDEX(新属性投放!$B$42:$B$62,新属性汇总!$B84))*INDEX(新属性投放!D$42:D$62,新属性汇总!$B84)</f>
        <v>60.05</v>
      </c>
      <c r="K84" s="37">
        <f>($A84-INDEX(新属性投放!$B$42:$B$62,新属性汇总!$B84))*INDEX(新属性投放!E$42:E$62,新属性汇总!$B84)</f>
        <v>30.024999999999999</v>
      </c>
      <c r="L84" s="37">
        <f>($A84-INDEX(新属性投放!$B$42:$B$62,新属性汇总!$B84))*INDEX(新属性投放!F$42:F$62,新属性汇总!$B84)</f>
        <v>270</v>
      </c>
      <c r="M84" s="37">
        <f t="shared" si="33"/>
        <v>3021.1075000000001</v>
      </c>
      <c r="N84" s="37">
        <f t="shared" si="34"/>
        <v>1507.67875</v>
      </c>
      <c r="O84" s="37">
        <f t="shared" si="35"/>
        <v>15522.699999999999</v>
      </c>
      <c r="P84" s="37">
        <v>2</v>
      </c>
      <c r="Q84" s="37">
        <v>4</v>
      </c>
      <c r="R84">
        <v>81</v>
      </c>
      <c r="S84" s="37">
        <f>IF($P84&gt;0,INDEX(装备!L$11:L$16,新属性汇总!$P84),0)</f>
        <v>342</v>
      </c>
      <c r="T84" s="37">
        <f>IF($P84&gt;0,INDEX(装备!M$11:M$16,新属性汇总!$P84),0)</f>
        <v>171</v>
      </c>
      <c r="U84" s="37">
        <f>IF($P84&gt;0,INDEX(装备!N$11:N$16,新属性汇总!$P84),0)</f>
        <v>1745.9999999999998</v>
      </c>
      <c r="V84" s="37">
        <f>IF($P84&gt;0,INDEX(装备!H$11:H$16,新属性汇总!$P84),0)</f>
        <v>12</v>
      </c>
      <c r="W84" s="37">
        <f>IF($P84&gt;0,INDEX(装备!I$11:I$16,新属性汇总!$P84),0)</f>
        <v>6</v>
      </c>
      <c r="X84" s="37">
        <f>IF($P84&gt;0,INDEX(装备!J$11:J$16,新属性汇总!$P84),0)</f>
        <v>85</v>
      </c>
      <c r="Y84" s="37">
        <f t="shared" si="36"/>
        <v>1314</v>
      </c>
      <c r="Z84" s="37">
        <f t="shared" si="37"/>
        <v>657</v>
      </c>
      <c r="AA84" s="37">
        <f t="shared" si="38"/>
        <v>8631</v>
      </c>
      <c r="AB84" s="37">
        <v>0.65</v>
      </c>
      <c r="AC84" s="37">
        <f>IF(P84&gt;0,INDEX(装备!$BP$5:$BP$16,新属性汇总!P84),0)</f>
        <v>3</v>
      </c>
      <c r="AD84" s="37">
        <f>IF($P84&gt;0,ROUND(INDEX(装备!AY$11:AY$16,新属性汇总!$P84)*$AC84/3,0)*8*AB84,0)</f>
        <v>260</v>
      </c>
      <c r="AE84" s="37">
        <f>IF($P84&gt;0,ROUND(INDEX(装备!AZ$11:AZ$16,新属性汇总!$P84)*$AC84/3,0)*8*AB84,0)</f>
        <v>192.4</v>
      </c>
      <c r="AF84" s="37">
        <f>IF($P84&gt;0,ROUND(INDEX(装备!BA$11:BA$16,新属性汇总!$P84)*$AC84/3,0)*8*AB84,0)</f>
        <v>1326</v>
      </c>
      <c r="AG84" s="37">
        <f>IF(新属性汇总!P84&gt;0,INDEX(装备!$AP$11:$AP$16,新属性汇总!$P84)*2,0)</f>
        <v>1566</v>
      </c>
      <c r="AH84" s="37">
        <v>0</v>
      </c>
      <c r="AI84" s="37">
        <f>IF(新属性汇总!P84&gt;0,INDEX(装备!$AP$11:$AP$16,新属性汇总!$P84)*2,0)</f>
        <v>1566</v>
      </c>
      <c r="AJ84" s="37">
        <v>13</v>
      </c>
      <c r="AK84" s="37">
        <f>IF($AJ84&gt;0,INDEX(专属武器!H$4:H$53,新属性汇总!$AJ84),0)</f>
        <v>1068</v>
      </c>
      <c r="AL84" s="37">
        <f>IF($AJ84&gt;0,INDEX(专属武器!I$4:I$53,新属性汇总!$AJ84),0)</f>
        <v>532</v>
      </c>
      <c r="AM84" s="37">
        <f>IF($AJ84&gt;0,INDEX(专属武器!J$4:J$53,新属性汇总!$AJ84),0)</f>
        <v>4804</v>
      </c>
      <c r="AQ84" s="13">
        <v>80</v>
      </c>
      <c r="AR84" s="13">
        <f t="shared" si="39"/>
        <v>2952.0499999999997</v>
      </c>
      <c r="AS84" s="13">
        <f t="shared" si="40"/>
        <v>1473.1499999999999</v>
      </c>
      <c r="AT84" s="13">
        <f t="shared" si="41"/>
        <v>15212.199999999999</v>
      </c>
      <c r="AU84" s="13">
        <f t="shared" si="42"/>
        <v>1302</v>
      </c>
      <c r="AV84" s="13">
        <f t="shared" si="43"/>
        <v>651</v>
      </c>
      <c r="AW84" s="13">
        <f t="shared" si="44"/>
        <v>8546</v>
      </c>
      <c r="AX84" s="13">
        <f t="shared" si="45"/>
        <v>260</v>
      </c>
      <c r="AY84" s="13">
        <f t="shared" si="46"/>
        <v>192.4</v>
      </c>
      <c r="AZ84" s="13">
        <f t="shared" si="47"/>
        <v>1326</v>
      </c>
      <c r="BA84" s="13">
        <f t="shared" si="48"/>
        <v>1566</v>
      </c>
      <c r="BB84" s="13">
        <f t="shared" si="49"/>
        <v>0</v>
      </c>
      <c r="BC84" s="13">
        <f t="shared" si="50"/>
        <v>1566</v>
      </c>
      <c r="BD84" s="13">
        <f t="shared" si="51"/>
        <v>1068</v>
      </c>
      <c r="BE84" s="13">
        <f t="shared" si="52"/>
        <v>532</v>
      </c>
      <c r="BF84" s="13">
        <f t="shared" si="53"/>
        <v>4804</v>
      </c>
      <c r="BG84" s="13">
        <f t="shared" si="54"/>
        <v>44703</v>
      </c>
      <c r="BH84" s="13">
        <f t="shared" si="55"/>
        <v>21566</v>
      </c>
      <c r="BI84" s="13">
        <f t="shared" si="56"/>
        <v>4550</v>
      </c>
      <c r="BJ84" s="13">
        <f t="shared" si="57"/>
        <v>9396</v>
      </c>
      <c r="BK84" s="13">
        <f t="shared" si="58"/>
        <v>15464</v>
      </c>
      <c r="BL84" s="13">
        <f t="shared" si="59"/>
        <v>95679</v>
      </c>
      <c r="BM84" s="31">
        <f t="shared" si="60"/>
        <v>0.4672</v>
      </c>
      <c r="BN84" s="31">
        <f t="shared" si="61"/>
        <v>0.22539999999999999</v>
      </c>
      <c r="BO84" s="31">
        <f t="shared" si="62"/>
        <v>4.7600000000000003E-2</v>
      </c>
      <c r="BP84" s="31">
        <f t="shared" si="63"/>
        <v>9.8199999999999996E-2</v>
      </c>
      <c r="BQ84" s="31">
        <f t="shared" si="64"/>
        <v>0.16159999999999999</v>
      </c>
    </row>
    <row r="85" spans="1:69" ht="16.5" x14ac:dyDescent="0.2">
      <c r="A85" s="37">
        <v>82</v>
      </c>
      <c r="B85" s="37">
        <v>9</v>
      </c>
      <c r="C85" s="37">
        <v>1</v>
      </c>
      <c r="D85" s="37">
        <v>3</v>
      </c>
      <c r="E85" s="37">
        <v>82</v>
      </c>
      <c r="F85" s="37">
        <f>INDEX(新属性投放!$L$6:$L$10,新属性汇总!D85)</f>
        <v>1.1499999999999999</v>
      </c>
      <c r="G85" s="37">
        <f>INDEX(新属性投放!J$42:J$62,新属性汇总!$B85)</f>
        <v>2567</v>
      </c>
      <c r="H85" s="37">
        <f>INDEX(新属性投放!K$42:K$62,新属性汇总!$B85)</f>
        <v>1281</v>
      </c>
      <c r="I85" s="37">
        <f>INDEX(新属性投放!L$42:L$62,新属性汇总!$B85)</f>
        <v>13228</v>
      </c>
      <c r="J85" s="37">
        <f>($A85-INDEX(新属性投放!$B$42:$B$62,新属性汇总!$B85))*INDEX(新属性投放!D$42:D$62,新属性汇总!$B85)</f>
        <v>120.1</v>
      </c>
      <c r="K85" s="37">
        <f>($A85-INDEX(新属性投放!$B$42:$B$62,新属性汇总!$B85))*INDEX(新属性投放!E$42:E$62,新属性汇总!$B85)</f>
        <v>60.05</v>
      </c>
      <c r="L85" s="37">
        <f>($A85-INDEX(新属性投放!$B$42:$B$62,新属性汇总!$B85))*INDEX(新属性投放!F$42:F$62,新属性汇总!$B85)</f>
        <v>540</v>
      </c>
      <c r="M85" s="37">
        <f t="shared" si="33"/>
        <v>3090.1649999999995</v>
      </c>
      <c r="N85" s="37">
        <f t="shared" si="34"/>
        <v>1542.2074999999998</v>
      </c>
      <c r="O85" s="37">
        <f t="shared" si="35"/>
        <v>15833.199999999999</v>
      </c>
      <c r="P85" s="37">
        <v>2</v>
      </c>
      <c r="Q85" s="37">
        <v>4</v>
      </c>
      <c r="R85">
        <v>82</v>
      </c>
      <c r="S85" s="37">
        <f>IF($P85&gt;0,INDEX(装备!L$11:L$16,新属性汇总!$P85),0)</f>
        <v>342</v>
      </c>
      <c r="T85" s="37">
        <f>IF($P85&gt;0,INDEX(装备!M$11:M$16,新属性汇总!$P85),0)</f>
        <v>171</v>
      </c>
      <c r="U85" s="37">
        <f>IF($P85&gt;0,INDEX(装备!N$11:N$16,新属性汇总!$P85),0)</f>
        <v>1745.9999999999998</v>
      </c>
      <c r="V85" s="37">
        <f>IF($P85&gt;0,INDEX(装备!H$11:H$16,新属性汇总!$P85),0)</f>
        <v>12</v>
      </c>
      <c r="W85" s="37">
        <f>IF($P85&gt;0,INDEX(装备!I$11:I$16,新属性汇总!$P85),0)</f>
        <v>6</v>
      </c>
      <c r="X85" s="37">
        <f>IF($P85&gt;0,INDEX(装备!J$11:J$16,新属性汇总!$P85),0)</f>
        <v>85</v>
      </c>
      <c r="Y85" s="37">
        <f t="shared" si="36"/>
        <v>1326</v>
      </c>
      <c r="Z85" s="37">
        <f t="shared" si="37"/>
        <v>663</v>
      </c>
      <c r="AA85" s="37">
        <f t="shared" si="38"/>
        <v>8716</v>
      </c>
      <c r="AB85" s="37">
        <v>0.65</v>
      </c>
      <c r="AC85" s="37">
        <f>IF(P85&gt;0,INDEX(装备!$BP$5:$BP$16,新属性汇总!P85),0)</f>
        <v>3</v>
      </c>
      <c r="AD85" s="37">
        <f>IF($P85&gt;0,ROUND(INDEX(装备!AY$11:AY$16,新属性汇总!$P85)*$AC85/3,0)*8*AB85,0)</f>
        <v>260</v>
      </c>
      <c r="AE85" s="37">
        <f>IF($P85&gt;0,ROUND(INDEX(装备!AZ$11:AZ$16,新属性汇总!$P85)*$AC85/3,0)*8*AB85,0)</f>
        <v>192.4</v>
      </c>
      <c r="AF85" s="37">
        <f>IF($P85&gt;0,ROUND(INDEX(装备!BA$11:BA$16,新属性汇总!$P85)*$AC85/3,0)*8*AB85,0)</f>
        <v>1326</v>
      </c>
      <c r="AG85" s="37">
        <f>IF(新属性汇总!P85&gt;0,INDEX(装备!$AP$11:$AP$16,新属性汇总!$P85)*2,0)</f>
        <v>1566</v>
      </c>
      <c r="AH85" s="37">
        <v>0</v>
      </c>
      <c r="AI85" s="37">
        <f>IF(新属性汇总!P85&gt;0,INDEX(装备!$AP$11:$AP$16,新属性汇总!$P85)*2,0)</f>
        <v>1566</v>
      </c>
      <c r="AJ85" s="37">
        <v>13</v>
      </c>
      <c r="AK85" s="37">
        <f>IF($AJ85&gt;0,INDEX(专属武器!H$4:H$53,新属性汇总!$AJ85),0)</f>
        <v>1068</v>
      </c>
      <c r="AL85" s="37">
        <f>IF($AJ85&gt;0,INDEX(专属武器!I$4:I$53,新属性汇总!$AJ85),0)</f>
        <v>532</v>
      </c>
      <c r="AM85" s="37">
        <f>IF($AJ85&gt;0,INDEX(专属武器!J$4:J$53,新属性汇总!$AJ85),0)</f>
        <v>4804</v>
      </c>
      <c r="AQ85" s="13">
        <v>81</v>
      </c>
      <c r="AR85" s="13">
        <f t="shared" si="39"/>
        <v>3021.1075000000001</v>
      </c>
      <c r="AS85" s="13">
        <f t="shared" si="40"/>
        <v>1507.67875</v>
      </c>
      <c r="AT85" s="13">
        <f t="shared" si="41"/>
        <v>15522.699999999999</v>
      </c>
      <c r="AU85" s="13">
        <f t="shared" si="42"/>
        <v>1314</v>
      </c>
      <c r="AV85" s="13">
        <f t="shared" si="43"/>
        <v>657</v>
      </c>
      <c r="AW85" s="13">
        <f t="shared" si="44"/>
        <v>8631</v>
      </c>
      <c r="AX85" s="13">
        <f t="shared" si="45"/>
        <v>260</v>
      </c>
      <c r="AY85" s="13">
        <f t="shared" si="46"/>
        <v>192.4</v>
      </c>
      <c r="AZ85" s="13">
        <f t="shared" si="47"/>
        <v>1326</v>
      </c>
      <c r="BA85" s="13">
        <f t="shared" si="48"/>
        <v>1566</v>
      </c>
      <c r="BB85" s="13">
        <f t="shared" si="49"/>
        <v>0</v>
      </c>
      <c r="BC85" s="13">
        <f t="shared" si="50"/>
        <v>1566</v>
      </c>
      <c r="BD85" s="13">
        <f t="shared" si="51"/>
        <v>1068</v>
      </c>
      <c r="BE85" s="13">
        <f t="shared" si="52"/>
        <v>532</v>
      </c>
      <c r="BF85" s="13">
        <f t="shared" si="53"/>
        <v>4804</v>
      </c>
      <c r="BG85" s="13">
        <f t="shared" si="54"/>
        <v>45705</v>
      </c>
      <c r="BH85" s="13">
        <f t="shared" si="55"/>
        <v>21771</v>
      </c>
      <c r="BI85" s="13">
        <f t="shared" si="56"/>
        <v>4550</v>
      </c>
      <c r="BJ85" s="13">
        <f t="shared" si="57"/>
        <v>9396</v>
      </c>
      <c r="BK85" s="13">
        <f t="shared" si="58"/>
        <v>15464</v>
      </c>
      <c r="BL85" s="13">
        <f t="shared" si="59"/>
        <v>96886</v>
      </c>
      <c r="BM85" s="31">
        <f t="shared" si="60"/>
        <v>0.47170000000000001</v>
      </c>
      <c r="BN85" s="31">
        <f t="shared" si="61"/>
        <v>0.22470000000000001</v>
      </c>
      <c r="BO85" s="31">
        <f t="shared" si="62"/>
        <v>4.7E-2</v>
      </c>
      <c r="BP85" s="31">
        <f t="shared" si="63"/>
        <v>9.7000000000000003E-2</v>
      </c>
      <c r="BQ85" s="31">
        <f t="shared" si="64"/>
        <v>0.15959999999999999</v>
      </c>
    </row>
    <row r="86" spans="1:69" ht="16.5" x14ac:dyDescent="0.2">
      <c r="A86" s="37">
        <v>83</v>
      </c>
      <c r="B86" s="37">
        <v>9</v>
      </c>
      <c r="C86" s="37">
        <v>1</v>
      </c>
      <c r="D86" s="37">
        <v>3</v>
      </c>
      <c r="E86" s="37">
        <v>83</v>
      </c>
      <c r="F86" s="37">
        <f>INDEX(新属性投放!$L$6:$L$10,新属性汇总!D86)</f>
        <v>1.1499999999999999</v>
      </c>
      <c r="G86" s="37">
        <f>INDEX(新属性投放!J$42:J$62,新属性汇总!$B86)</f>
        <v>2567</v>
      </c>
      <c r="H86" s="37">
        <f>INDEX(新属性投放!K$42:K$62,新属性汇总!$B86)</f>
        <v>1281</v>
      </c>
      <c r="I86" s="37">
        <f>INDEX(新属性投放!L$42:L$62,新属性汇总!$B86)</f>
        <v>13228</v>
      </c>
      <c r="J86" s="37">
        <f>($A86-INDEX(新属性投放!$B$42:$B$62,新属性汇总!$B86))*INDEX(新属性投放!D$42:D$62,新属性汇总!$B86)</f>
        <v>180.14999999999998</v>
      </c>
      <c r="K86" s="37">
        <f>($A86-INDEX(新属性投放!$B$42:$B$62,新属性汇总!$B86))*INDEX(新属性投放!E$42:E$62,新属性汇总!$B86)</f>
        <v>90.074999999999989</v>
      </c>
      <c r="L86" s="37">
        <f>($A86-INDEX(新属性投放!$B$42:$B$62,新属性汇总!$B86))*INDEX(新属性投放!F$42:F$62,新属性汇总!$B86)</f>
        <v>810</v>
      </c>
      <c r="M86" s="37">
        <f t="shared" si="33"/>
        <v>3159.2224999999999</v>
      </c>
      <c r="N86" s="37">
        <f t="shared" si="34"/>
        <v>1576.7362499999999</v>
      </c>
      <c r="O86" s="37">
        <f t="shared" si="35"/>
        <v>16143.699999999999</v>
      </c>
      <c r="P86" s="37">
        <v>2</v>
      </c>
      <c r="Q86" s="37">
        <v>4</v>
      </c>
      <c r="R86">
        <v>83</v>
      </c>
      <c r="S86" s="37">
        <f>IF($P86&gt;0,INDEX(装备!L$11:L$16,新属性汇总!$P86),0)</f>
        <v>342</v>
      </c>
      <c r="T86" s="37">
        <f>IF($P86&gt;0,INDEX(装备!M$11:M$16,新属性汇总!$P86),0)</f>
        <v>171</v>
      </c>
      <c r="U86" s="37">
        <f>IF($P86&gt;0,INDEX(装备!N$11:N$16,新属性汇总!$P86),0)</f>
        <v>1745.9999999999998</v>
      </c>
      <c r="V86" s="37">
        <f>IF($P86&gt;0,INDEX(装备!H$11:H$16,新属性汇总!$P86),0)</f>
        <v>12</v>
      </c>
      <c r="W86" s="37">
        <f>IF($P86&gt;0,INDEX(装备!I$11:I$16,新属性汇总!$P86),0)</f>
        <v>6</v>
      </c>
      <c r="X86" s="37">
        <f>IF($P86&gt;0,INDEX(装备!J$11:J$16,新属性汇总!$P86),0)</f>
        <v>85</v>
      </c>
      <c r="Y86" s="37">
        <f t="shared" si="36"/>
        <v>1338</v>
      </c>
      <c r="Z86" s="37">
        <f t="shared" si="37"/>
        <v>669</v>
      </c>
      <c r="AA86" s="37">
        <f t="shared" si="38"/>
        <v>8801</v>
      </c>
      <c r="AB86" s="37">
        <v>0.65</v>
      </c>
      <c r="AC86" s="37">
        <f>IF(P86&gt;0,INDEX(装备!$BP$5:$BP$16,新属性汇总!P86),0)</f>
        <v>3</v>
      </c>
      <c r="AD86" s="37">
        <f>IF($P86&gt;0,ROUND(INDEX(装备!AY$11:AY$16,新属性汇总!$P86)*$AC86/3,0)*8*AB86,0)</f>
        <v>260</v>
      </c>
      <c r="AE86" s="37">
        <f>IF($P86&gt;0,ROUND(INDEX(装备!AZ$11:AZ$16,新属性汇总!$P86)*$AC86/3,0)*8*AB86,0)</f>
        <v>192.4</v>
      </c>
      <c r="AF86" s="37">
        <f>IF($P86&gt;0,ROUND(INDEX(装备!BA$11:BA$16,新属性汇总!$P86)*$AC86/3,0)*8*AB86,0)</f>
        <v>1326</v>
      </c>
      <c r="AG86" s="37">
        <f>IF(新属性汇总!P86&gt;0,INDEX(装备!$AP$11:$AP$16,新属性汇总!$P86)*2,0)</f>
        <v>1566</v>
      </c>
      <c r="AH86" s="37">
        <v>0</v>
      </c>
      <c r="AI86" s="37">
        <f>IF(新属性汇总!P86&gt;0,INDEX(装备!$AP$11:$AP$16,新属性汇总!$P86)*2,0)</f>
        <v>1566</v>
      </c>
      <c r="AJ86" s="37">
        <v>13</v>
      </c>
      <c r="AK86" s="37">
        <f>IF($AJ86&gt;0,INDEX(专属武器!H$4:H$53,新属性汇总!$AJ86),0)</f>
        <v>1068</v>
      </c>
      <c r="AL86" s="37">
        <f>IF($AJ86&gt;0,INDEX(专属武器!I$4:I$53,新属性汇总!$AJ86),0)</f>
        <v>532</v>
      </c>
      <c r="AM86" s="37">
        <f>IF($AJ86&gt;0,INDEX(专属武器!J$4:J$53,新属性汇总!$AJ86),0)</f>
        <v>4804</v>
      </c>
      <c r="AQ86" s="13">
        <v>82</v>
      </c>
      <c r="AR86" s="13">
        <f t="shared" si="39"/>
        <v>3090.1649999999995</v>
      </c>
      <c r="AS86" s="13">
        <f t="shared" si="40"/>
        <v>1542.2074999999998</v>
      </c>
      <c r="AT86" s="13">
        <f t="shared" si="41"/>
        <v>15833.199999999999</v>
      </c>
      <c r="AU86" s="13">
        <f t="shared" si="42"/>
        <v>1326</v>
      </c>
      <c r="AV86" s="13">
        <f t="shared" si="43"/>
        <v>663</v>
      </c>
      <c r="AW86" s="13">
        <f t="shared" si="44"/>
        <v>8716</v>
      </c>
      <c r="AX86" s="13">
        <f t="shared" si="45"/>
        <v>260</v>
      </c>
      <c r="AY86" s="13">
        <f t="shared" si="46"/>
        <v>192.4</v>
      </c>
      <c r="AZ86" s="13">
        <f t="shared" si="47"/>
        <v>1326</v>
      </c>
      <c r="BA86" s="13">
        <f t="shared" si="48"/>
        <v>1566</v>
      </c>
      <c r="BB86" s="13">
        <f t="shared" si="49"/>
        <v>0</v>
      </c>
      <c r="BC86" s="13">
        <f t="shared" si="50"/>
        <v>1566</v>
      </c>
      <c r="BD86" s="13">
        <f t="shared" si="51"/>
        <v>1068</v>
      </c>
      <c r="BE86" s="13">
        <f t="shared" si="52"/>
        <v>532</v>
      </c>
      <c r="BF86" s="13">
        <f t="shared" si="53"/>
        <v>4804</v>
      </c>
      <c r="BG86" s="13">
        <f t="shared" si="54"/>
        <v>46706</v>
      </c>
      <c r="BH86" s="13">
        <f t="shared" si="55"/>
        <v>21976</v>
      </c>
      <c r="BI86" s="13">
        <f t="shared" si="56"/>
        <v>4550</v>
      </c>
      <c r="BJ86" s="13">
        <f t="shared" si="57"/>
        <v>9396</v>
      </c>
      <c r="BK86" s="13">
        <f t="shared" si="58"/>
        <v>15464</v>
      </c>
      <c r="BL86" s="13">
        <f t="shared" si="59"/>
        <v>98092</v>
      </c>
      <c r="BM86" s="31">
        <f t="shared" si="60"/>
        <v>0.47610000000000002</v>
      </c>
      <c r="BN86" s="31">
        <f t="shared" si="61"/>
        <v>0.224</v>
      </c>
      <c r="BO86" s="31">
        <f t="shared" si="62"/>
        <v>4.6399999999999997E-2</v>
      </c>
      <c r="BP86" s="31">
        <f t="shared" si="63"/>
        <v>9.5799999999999996E-2</v>
      </c>
      <c r="BQ86" s="31">
        <f t="shared" si="64"/>
        <v>0.15759999999999999</v>
      </c>
    </row>
    <row r="87" spans="1:69" ht="16.5" x14ac:dyDescent="0.2">
      <c r="A87" s="37">
        <v>84</v>
      </c>
      <c r="B87" s="37">
        <v>9</v>
      </c>
      <c r="C87" s="37">
        <v>1</v>
      </c>
      <c r="D87" s="37">
        <v>3</v>
      </c>
      <c r="E87" s="37">
        <v>84</v>
      </c>
      <c r="F87" s="37">
        <f>INDEX(新属性投放!$L$6:$L$10,新属性汇总!D87)</f>
        <v>1.1499999999999999</v>
      </c>
      <c r="G87" s="37">
        <f>INDEX(新属性投放!J$42:J$62,新属性汇总!$B87)</f>
        <v>2567</v>
      </c>
      <c r="H87" s="37">
        <f>INDEX(新属性投放!K$42:K$62,新属性汇总!$B87)</f>
        <v>1281</v>
      </c>
      <c r="I87" s="37">
        <f>INDEX(新属性投放!L$42:L$62,新属性汇总!$B87)</f>
        <v>13228</v>
      </c>
      <c r="J87" s="37">
        <f>($A87-INDEX(新属性投放!$B$42:$B$62,新属性汇总!$B87))*INDEX(新属性投放!D$42:D$62,新属性汇总!$B87)</f>
        <v>240.2</v>
      </c>
      <c r="K87" s="37">
        <f>($A87-INDEX(新属性投放!$B$42:$B$62,新属性汇总!$B87))*INDEX(新属性投放!E$42:E$62,新属性汇总!$B87)</f>
        <v>120.1</v>
      </c>
      <c r="L87" s="37">
        <f>($A87-INDEX(新属性投放!$B$42:$B$62,新属性汇总!$B87))*INDEX(新属性投放!F$42:F$62,新属性汇总!$B87)</f>
        <v>1080</v>
      </c>
      <c r="M87" s="37">
        <f t="shared" si="33"/>
        <v>3228.2799999999997</v>
      </c>
      <c r="N87" s="37">
        <f t="shared" si="34"/>
        <v>1611.2649999999999</v>
      </c>
      <c r="O87" s="37">
        <f t="shared" si="35"/>
        <v>16454.199999999997</v>
      </c>
      <c r="P87" s="37">
        <v>2</v>
      </c>
      <c r="Q87" s="37">
        <v>4</v>
      </c>
      <c r="R87">
        <v>84</v>
      </c>
      <c r="S87" s="37">
        <f>IF($P87&gt;0,INDEX(装备!L$11:L$16,新属性汇总!$P87),0)</f>
        <v>342</v>
      </c>
      <c r="T87" s="37">
        <f>IF($P87&gt;0,INDEX(装备!M$11:M$16,新属性汇总!$P87),0)</f>
        <v>171</v>
      </c>
      <c r="U87" s="37">
        <f>IF($P87&gt;0,INDEX(装备!N$11:N$16,新属性汇总!$P87),0)</f>
        <v>1745.9999999999998</v>
      </c>
      <c r="V87" s="37">
        <f>IF($P87&gt;0,INDEX(装备!H$11:H$16,新属性汇总!$P87),0)</f>
        <v>12</v>
      </c>
      <c r="W87" s="37">
        <f>IF($P87&gt;0,INDEX(装备!I$11:I$16,新属性汇总!$P87),0)</f>
        <v>6</v>
      </c>
      <c r="X87" s="37">
        <f>IF($P87&gt;0,INDEX(装备!J$11:J$16,新属性汇总!$P87),0)</f>
        <v>85</v>
      </c>
      <c r="Y87" s="37">
        <f t="shared" si="36"/>
        <v>1350</v>
      </c>
      <c r="Z87" s="37">
        <f t="shared" si="37"/>
        <v>675</v>
      </c>
      <c r="AA87" s="37">
        <f t="shared" si="38"/>
        <v>8886</v>
      </c>
      <c r="AB87" s="37">
        <v>0.65</v>
      </c>
      <c r="AC87" s="37">
        <f>IF(P87&gt;0,INDEX(装备!$BP$5:$BP$16,新属性汇总!P87),0)</f>
        <v>3</v>
      </c>
      <c r="AD87" s="37">
        <f>IF($P87&gt;0,ROUND(INDEX(装备!AY$11:AY$16,新属性汇总!$P87)*$AC87/3,0)*8*AB87,0)</f>
        <v>260</v>
      </c>
      <c r="AE87" s="37">
        <f>IF($P87&gt;0,ROUND(INDEX(装备!AZ$11:AZ$16,新属性汇总!$P87)*$AC87/3,0)*8*AB87,0)</f>
        <v>192.4</v>
      </c>
      <c r="AF87" s="37">
        <f>IF($P87&gt;0,ROUND(INDEX(装备!BA$11:BA$16,新属性汇总!$P87)*$AC87/3,0)*8*AB87,0)</f>
        <v>1326</v>
      </c>
      <c r="AG87" s="37">
        <f>IF(新属性汇总!P87&gt;0,INDEX(装备!$AP$11:$AP$16,新属性汇总!$P87)*2,0)</f>
        <v>1566</v>
      </c>
      <c r="AH87" s="37">
        <v>0</v>
      </c>
      <c r="AI87" s="37">
        <f>IF(新属性汇总!P87&gt;0,INDEX(装备!$AP$11:$AP$16,新属性汇总!$P87)*2,0)</f>
        <v>1566</v>
      </c>
      <c r="AJ87" s="37">
        <v>13</v>
      </c>
      <c r="AK87" s="37">
        <f>IF($AJ87&gt;0,INDEX(专属武器!H$4:H$53,新属性汇总!$AJ87),0)</f>
        <v>1068</v>
      </c>
      <c r="AL87" s="37">
        <f>IF($AJ87&gt;0,INDEX(专属武器!I$4:I$53,新属性汇总!$AJ87),0)</f>
        <v>532</v>
      </c>
      <c r="AM87" s="37">
        <f>IF($AJ87&gt;0,INDEX(专属武器!J$4:J$53,新属性汇总!$AJ87),0)</f>
        <v>4804</v>
      </c>
      <c r="AQ87" s="13">
        <v>83</v>
      </c>
      <c r="AR87" s="13">
        <f t="shared" si="39"/>
        <v>3159.2224999999999</v>
      </c>
      <c r="AS87" s="13">
        <f t="shared" si="40"/>
        <v>1576.7362499999999</v>
      </c>
      <c r="AT87" s="13">
        <f t="shared" si="41"/>
        <v>16143.699999999999</v>
      </c>
      <c r="AU87" s="13">
        <f t="shared" si="42"/>
        <v>1338</v>
      </c>
      <c r="AV87" s="13">
        <f t="shared" si="43"/>
        <v>669</v>
      </c>
      <c r="AW87" s="13">
        <f t="shared" si="44"/>
        <v>8801</v>
      </c>
      <c r="AX87" s="13">
        <f t="shared" si="45"/>
        <v>260</v>
      </c>
      <c r="AY87" s="13">
        <f t="shared" si="46"/>
        <v>192.4</v>
      </c>
      <c r="AZ87" s="13">
        <f t="shared" si="47"/>
        <v>1326</v>
      </c>
      <c r="BA87" s="13">
        <f t="shared" si="48"/>
        <v>1566</v>
      </c>
      <c r="BB87" s="13">
        <f t="shared" si="49"/>
        <v>0</v>
      </c>
      <c r="BC87" s="13">
        <f t="shared" si="50"/>
        <v>1566</v>
      </c>
      <c r="BD87" s="13">
        <f t="shared" si="51"/>
        <v>1068</v>
      </c>
      <c r="BE87" s="13">
        <f t="shared" si="52"/>
        <v>532</v>
      </c>
      <c r="BF87" s="13">
        <f t="shared" si="53"/>
        <v>4804</v>
      </c>
      <c r="BG87" s="13">
        <f t="shared" si="54"/>
        <v>47707</v>
      </c>
      <c r="BH87" s="13">
        <f t="shared" si="55"/>
        <v>22181</v>
      </c>
      <c r="BI87" s="13">
        <f t="shared" si="56"/>
        <v>4550</v>
      </c>
      <c r="BJ87" s="13">
        <f t="shared" si="57"/>
        <v>9396</v>
      </c>
      <c r="BK87" s="13">
        <f t="shared" si="58"/>
        <v>15464</v>
      </c>
      <c r="BL87" s="13">
        <f t="shared" si="59"/>
        <v>99298</v>
      </c>
      <c r="BM87" s="31">
        <f t="shared" si="60"/>
        <v>0.48039999999999999</v>
      </c>
      <c r="BN87" s="31">
        <f t="shared" si="61"/>
        <v>0.22339999999999999</v>
      </c>
      <c r="BO87" s="31">
        <f t="shared" si="62"/>
        <v>4.58E-2</v>
      </c>
      <c r="BP87" s="31">
        <f t="shared" si="63"/>
        <v>9.4600000000000004E-2</v>
      </c>
      <c r="BQ87" s="31">
        <f t="shared" si="64"/>
        <v>0.15570000000000001</v>
      </c>
    </row>
    <row r="88" spans="1:69" ht="16.5" x14ac:dyDescent="0.2">
      <c r="A88" s="37">
        <v>85</v>
      </c>
      <c r="B88" s="37">
        <v>9</v>
      </c>
      <c r="C88" s="37">
        <v>1</v>
      </c>
      <c r="D88" s="37">
        <v>3</v>
      </c>
      <c r="E88" s="37">
        <v>85</v>
      </c>
      <c r="F88" s="37">
        <f>INDEX(新属性投放!$L$6:$L$10,新属性汇总!D88)</f>
        <v>1.1499999999999999</v>
      </c>
      <c r="G88" s="37">
        <f>INDEX(新属性投放!J$42:J$62,新属性汇总!$B88)</f>
        <v>2567</v>
      </c>
      <c r="H88" s="37">
        <f>INDEX(新属性投放!K$42:K$62,新属性汇总!$B88)</f>
        <v>1281</v>
      </c>
      <c r="I88" s="37">
        <f>INDEX(新属性投放!L$42:L$62,新属性汇总!$B88)</f>
        <v>13228</v>
      </c>
      <c r="J88" s="37">
        <f>($A88-INDEX(新属性投放!$B$42:$B$62,新属性汇总!$B88))*INDEX(新属性投放!D$42:D$62,新属性汇总!$B88)</f>
        <v>300.25</v>
      </c>
      <c r="K88" s="37">
        <f>($A88-INDEX(新属性投放!$B$42:$B$62,新属性汇总!$B88))*INDEX(新属性投放!E$42:E$62,新属性汇总!$B88)</f>
        <v>150.125</v>
      </c>
      <c r="L88" s="37">
        <f>($A88-INDEX(新属性投放!$B$42:$B$62,新属性汇总!$B88))*INDEX(新属性投放!F$42:F$62,新属性汇总!$B88)</f>
        <v>1350</v>
      </c>
      <c r="M88" s="37">
        <f t="shared" si="33"/>
        <v>3297.3374999999996</v>
      </c>
      <c r="N88" s="37">
        <f t="shared" si="34"/>
        <v>1645.7937499999998</v>
      </c>
      <c r="O88" s="37">
        <f t="shared" si="35"/>
        <v>16764.699999999997</v>
      </c>
      <c r="P88" s="37">
        <v>2</v>
      </c>
      <c r="Q88" s="37">
        <v>4</v>
      </c>
      <c r="R88">
        <v>85</v>
      </c>
      <c r="S88" s="37">
        <f>IF($P88&gt;0,INDEX(装备!L$11:L$16,新属性汇总!$P88),0)</f>
        <v>342</v>
      </c>
      <c r="T88" s="37">
        <f>IF($P88&gt;0,INDEX(装备!M$11:M$16,新属性汇总!$P88),0)</f>
        <v>171</v>
      </c>
      <c r="U88" s="37">
        <f>IF($P88&gt;0,INDEX(装备!N$11:N$16,新属性汇总!$P88),0)</f>
        <v>1745.9999999999998</v>
      </c>
      <c r="V88" s="37">
        <f>IF($P88&gt;0,INDEX(装备!H$11:H$16,新属性汇总!$P88),0)</f>
        <v>12</v>
      </c>
      <c r="W88" s="37">
        <f>IF($P88&gt;0,INDEX(装备!I$11:I$16,新属性汇总!$P88),0)</f>
        <v>6</v>
      </c>
      <c r="X88" s="37">
        <f>IF($P88&gt;0,INDEX(装备!J$11:J$16,新属性汇总!$P88),0)</f>
        <v>85</v>
      </c>
      <c r="Y88" s="37">
        <f t="shared" si="36"/>
        <v>1362</v>
      </c>
      <c r="Z88" s="37">
        <f t="shared" si="37"/>
        <v>681</v>
      </c>
      <c r="AA88" s="37">
        <f t="shared" si="38"/>
        <v>8971</v>
      </c>
      <c r="AB88" s="37">
        <v>0.65</v>
      </c>
      <c r="AC88" s="37">
        <f>IF(P88&gt;0,INDEX(装备!$BP$5:$BP$16,新属性汇总!P88),0)</f>
        <v>3</v>
      </c>
      <c r="AD88" s="37">
        <f>IF($P88&gt;0,ROUND(INDEX(装备!AY$11:AY$16,新属性汇总!$P88)*$AC88/3,0)*8*AB88,0)</f>
        <v>260</v>
      </c>
      <c r="AE88" s="37">
        <f>IF($P88&gt;0,ROUND(INDEX(装备!AZ$11:AZ$16,新属性汇总!$P88)*$AC88/3,0)*8*AB88,0)</f>
        <v>192.4</v>
      </c>
      <c r="AF88" s="37">
        <f>IF($P88&gt;0,ROUND(INDEX(装备!BA$11:BA$16,新属性汇总!$P88)*$AC88/3,0)*8*AB88,0)</f>
        <v>1326</v>
      </c>
      <c r="AG88" s="37">
        <f>IF(新属性汇总!P88&gt;0,INDEX(装备!$AP$11:$AP$16,新属性汇总!$P88)*2,0)</f>
        <v>1566</v>
      </c>
      <c r="AH88" s="37">
        <v>0</v>
      </c>
      <c r="AI88" s="37">
        <f>IF(新属性汇总!P88&gt;0,INDEX(装备!$AP$11:$AP$16,新属性汇总!$P88)*2,0)</f>
        <v>1566</v>
      </c>
      <c r="AJ88" s="37">
        <v>14</v>
      </c>
      <c r="AK88" s="37">
        <f>IF($AJ88&gt;0,INDEX(专属武器!H$4:H$53,新属性汇总!$AJ88),0)</f>
        <v>1194</v>
      </c>
      <c r="AL88" s="37">
        <f>IF($AJ88&gt;0,INDEX(专属武器!I$4:I$53,新属性汇总!$AJ88),0)</f>
        <v>595</v>
      </c>
      <c r="AM88" s="37">
        <f>IF($AJ88&gt;0,INDEX(专属武器!J$4:J$53,新属性汇总!$AJ88),0)</f>
        <v>5371</v>
      </c>
      <c r="AQ88" s="13">
        <v>84</v>
      </c>
      <c r="AR88" s="13">
        <f t="shared" si="39"/>
        <v>3228.2799999999997</v>
      </c>
      <c r="AS88" s="13">
        <f t="shared" si="40"/>
        <v>1611.2649999999999</v>
      </c>
      <c r="AT88" s="13">
        <f t="shared" si="41"/>
        <v>16454.199999999997</v>
      </c>
      <c r="AU88" s="13">
        <f t="shared" si="42"/>
        <v>1350</v>
      </c>
      <c r="AV88" s="13">
        <f t="shared" si="43"/>
        <v>675</v>
      </c>
      <c r="AW88" s="13">
        <f t="shared" si="44"/>
        <v>8886</v>
      </c>
      <c r="AX88" s="13">
        <f t="shared" si="45"/>
        <v>260</v>
      </c>
      <c r="AY88" s="13">
        <f t="shared" si="46"/>
        <v>192.4</v>
      </c>
      <c r="AZ88" s="13">
        <f t="shared" si="47"/>
        <v>1326</v>
      </c>
      <c r="BA88" s="13">
        <f t="shared" si="48"/>
        <v>1566</v>
      </c>
      <c r="BB88" s="13">
        <f t="shared" si="49"/>
        <v>0</v>
      </c>
      <c r="BC88" s="13">
        <f t="shared" si="50"/>
        <v>1566</v>
      </c>
      <c r="BD88" s="13">
        <f t="shared" si="51"/>
        <v>1068</v>
      </c>
      <c r="BE88" s="13">
        <f t="shared" si="52"/>
        <v>532</v>
      </c>
      <c r="BF88" s="13">
        <f t="shared" si="53"/>
        <v>4804</v>
      </c>
      <c r="BG88" s="13">
        <f t="shared" si="54"/>
        <v>48708</v>
      </c>
      <c r="BH88" s="13">
        <f t="shared" si="55"/>
        <v>22386</v>
      </c>
      <c r="BI88" s="13">
        <f t="shared" si="56"/>
        <v>4550</v>
      </c>
      <c r="BJ88" s="13">
        <f t="shared" si="57"/>
        <v>9396</v>
      </c>
      <c r="BK88" s="13">
        <f t="shared" si="58"/>
        <v>15464</v>
      </c>
      <c r="BL88" s="13">
        <f t="shared" si="59"/>
        <v>100504</v>
      </c>
      <c r="BM88" s="31">
        <f t="shared" si="60"/>
        <v>0.48459999999999998</v>
      </c>
      <c r="BN88" s="31">
        <f t="shared" si="61"/>
        <v>0.22270000000000001</v>
      </c>
      <c r="BO88" s="31">
        <f t="shared" si="62"/>
        <v>4.53E-2</v>
      </c>
      <c r="BP88" s="31">
        <f t="shared" si="63"/>
        <v>9.35E-2</v>
      </c>
      <c r="BQ88" s="31">
        <f t="shared" si="64"/>
        <v>0.15390000000000001</v>
      </c>
    </row>
    <row r="89" spans="1:69" ht="16.5" x14ac:dyDescent="0.2">
      <c r="A89" s="37">
        <v>86</v>
      </c>
      <c r="B89" s="37">
        <v>9</v>
      </c>
      <c r="C89" s="37">
        <v>1</v>
      </c>
      <c r="D89" s="37">
        <v>3</v>
      </c>
      <c r="E89" s="37">
        <v>86</v>
      </c>
      <c r="F89" s="37">
        <f>INDEX(新属性投放!$L$6:$L$10,新属性汇总!D89)</f>
        <v>1.1499999999999999</v>
      </c>
      <c r="G89" s="37">
        <f>INDEX(新属性投放!J$42:J$62,新属性汇总!$B89)</f>
        <v>2567</v>
      </c>
      <c r="H89" s="37">
        <f>INDEX(新属性投放!K$42:K$62,新属性汇总!$B89)</f>
        <v>1281</v>
      </c>
      <c r="I89" s="37">
        <f>INDEX(新属性投放!L$42:L$62,新属性汇总!$B89)</f>
        <v>13228</v>
      </c>
      <c r="J89" s="37">
        <f>($A89-INDEX(新属性投放!$B$42:$B$62,新属性汇总!$B89))*INDEX(新属性投放!D$42:D$62,新属性汇总!$B89)</f>
        <v>360.29999999999995</v>
      </c>
      <c r="K89" s="37">
        <f>($A89-INDEX(新属性投放!$B$42:$B$62,新属性汇总!$B89))*INDEX(新属性投放!E$42:E$62,新属性汇总!$B89)</f>
        <v>180.14999999999998</v>
      </c>
      <c r="L89" s="37">
        <f>($A89-INDEX(新属性投放!$B$42:$B$62,新属性汇总!$B89))*INDEX(新属性投放!F$42:F$62,新属性汇总!$B89)</f>
        <v>1620</v>
      </c>
      <c r="M89" s="37">
        <f t="shared" si="33"/>
        <v>3366.395</v>
      </c>
      <c r="N89" s="37">
        <f t="shared" si="34"/>
        <v>1680.3225</v>
      </c>
      <c r="O89" s="37">
        <f t="shared" si="35"/>
        <v>17075.199999999997</v>
      </c>
      <c r="P89" s="37">
        <v>2</v>
      </c>
      <c r="Q89" s="37">
        <v>4</v>
      </c>
      <c r="R89">
        <v>86</v>
      </c>
      <c r="S89" s="37">
        <f>IF($P89&gt;0,INDEX(装备!L$11:L$16,新属性汇总!$P89),0)</f>
        <v>342</v>
      </c>
      <c r="T89" s="37">
        <f>IF($P89&gt;0,INDEX(装备!M$11:M$16,新属性汇总!$P89),0)</f>
        <v>171</v>
      </c>
      <c r="U89" s="37">
        <f>IF($P89&gt;0,INDEX(装备!N$11:N$16,新属性汇总!$P89),0)</f>
        <v>1745.9999999999998</v>
      </c>
      <c r="V89" s="37">
        <f>IF($P89&gt;0,INDEX(装备!H$11:H$16,新属性汇总!$P89),0)</f>
        <v>12</v>
      </c>
      <c r="W89" s="37">
        <f>IF($P89&gt;0,INDEX(装备!I$11:I$16,新属性汇总!$P89),0)</f>
        <v>6</v>
      </c>
      <c r="X89" s="37">
        <f>IF($P89&gt;0,INDEX(装备!J$11:J$16,新属性汇总!$P89),0)</f>
        <v>85</v>
      </c>
      <c r="Y89" s="37">
        <f t="shared" si="36"/>
        <v>1374</v>
      </c>
      <c r="Z89" s="37">
        <f t="shared" si="37"/>
        <v>687</v>
      </c>
      <c r="AA89" s="37">
        <f t="shared" si="38"/>
        <v>9056</v>
      </c>
      <c r="AB89" s="37">
        <v>0.65</v>
      </c>
      <c r="AC89" s="37">
        <f>IF(P89&gt;0,INDEX(装备!$BP$5:$BP$16,新属性汇总!P89),0)</f>
        <v>3</v>
      </c>
      <c r="AD89" s="37">
        <f>IF($P89&gt;0,ROUND(INDEX(装备!AY$11:AY$16,新属性汇总!$P89)*$AC89/3,0)*8*AB89,0)</f>
        <v>260</v>
      </c>
      <c r="AE89" s="37">
        <f>IF($P89&gt;0,ROUND(INDEX(装备!AZ$11:AZ$16,新属性汇总!$P89)*$AC89/3,0)*8*AB89,0)</f>
        <v>192.4</v>
      </c>
      <c r="AF89" s="37">
        <f>IF($P89&gt;0,ROUND(INDEX(装备!BA$11:BA$16,新属性汇总!$P89)*$AC89/3,0)*8*AB89,0)</f>
        <v>1326</v>
      </c>
      <c r="AG89" s="37">
        <f>IF(新属性汇总!P89&gt;0,INDEX(装备!$AP$11:$AP$16,新属性汇总!$P89)*2,0)</f>
        <v>1566</v>
      </c>
      <c r="AH89" s="37">
        <v>0</v>
      </c>
      <c r="AI89" s="37">
        <f>IF(新属性汇总!P89&gt;0,INDEX(装备!$AP$11:$AP$16,新属性汇总!$P89)*2,0)</f>
        <v>1566</v>
      </c>
      <c r="AJ89" s="37">
        <v>14</v>
      </c>
      <c r="AK89" s="37">
        <f>IF($AJ89&gt;0,INDEX(专属武器!H$4:H$53,新属性汇总!$AJ89),0)</f>
        <v>1194</v>
      </c>
      <c r="AL89" s="37">
        <f>IF($AJ89&gt;0,INDEX(专属武器!I$4:I$53,新属性汇总!$AJ89),0)</f>
        <v>595</v>
      </c>
      <c r="AM89" s="37">
        <f>IF($AJ89&gt;0,INDEX(专属武器!J$4:J$53,新属性汇总!$AJ89),0)</f>
        <v>5371</v>
      </c>
      <c r="AQ89" s="13">
        <v>85</v>
      </c>
      <c r="AR89" s="13">
        <f t="shared" si="39"/>
        <v>3297.3374999999996</v>
      </c>
      <c r="AS89" s="13">
        <f t="shared" si="40"/>
        <v>1645.7937499999998</v>
      </c>
      <c r="AT89" s="13">
        <f t="shared" si="41"/>
        <v>16764.699999999997</v>
      </c>
      <c r="AU89" s="13">
        <f t="shared" si="42"/>
        <v>1362</v>
      </c>
      <c r="AV89" s="13">
        <f t="shared" si="43"/>
        <v>681</v>
      </c>
      <c r="AW89" s="13">
        <f t="shared" si="44"/>
        <v>8971</v>
      </c>
      <c r="AX89" s="13">
        <f t="shared" si="45"/>
        <v>260</v>
      </c>
      <c r="AY89" s="13">
        <f t="shared" si="46"/>
        <v>192.4</v>
      </c>
      <c r="AZ89" s="13">
        <f t="shared" si="47"/>
        <v>1326</v>
      </c>
      <c r="BA89" s="13">
        <f t="shared" si="48"/>
        <v>1566</v>
      </c>
      <c r="BB89" s="13">
        <f t="shared" si="49"/>
        <v>0</v>
      </c>
      <c r="BC89" s="13">
        <f t="shared" si="50"/>
        <v>1566</v>
      </c>
      <c r="BD89" s="13">
        <f t="shared" si="51"/>
        <v>1194</v>
      </c>
      <c r="BE89" s="13">
        <f t="shared" si="52"/>
        <v>595</v>
      </c>
      <c r="BF89" s="13">
        <f t="shared" si="53"/>
        <v>5371</v>
      </c>
      <c r="BG89" s="13">
        <f t="shared" si="54"/>
        <v>49709</v>
      </c>
      <c r="BH89" s="13">
        <f t="shared" si="55"/>
        <v>22591</v>
      </c>
      <c r="BI89" s="13">
        <f t="shared" si="56"/>
        <v>4550</v>
      </c>
      <c r="BJ89" s="13">
        <f t="shared" si="57"/>
        <v>9396</v>
      </c>
      <c r="BK89" s="13">
        <f t="shared" si="58"/>
        <v>17291</v>
      </c>
      <c r="BL89" s="13">
        <f t="shared" si="59"/>
        <v>103537</v>
      </c>
      <c r="BM89" s="31">
        <f t="shared" si="60"/>
        <v>0.48010000000000003</v>
      </c>
      <c r="BN89" s="31">
        <f t="shared" si="61"/>
        <v>0.21820000000000001</v>
      </c>
      <c r="BO89" s="31">
        <f t="shared" si="62"/>
        <v>4.3900000000000002E-2</v>
      </c>
      <c r="BP89" s="31">
        <f t="shared" si="63"/>
        <v>9.0800000000000006E-2</v>
      </c>
      <c r="BQ89" s="31">
        <f t="shared" si="64"/>
        <v>0.16700000000000001</v>
      </c>
    </row>
    <row r="90" spans="1:69" ht="16.5" x14ac:dyDescent="0.2">
      <c r="A90" s="37">
        <v>87</v>
      </c>
      <c r="B90" s="37">
        <v>9</v>
      </c>
      <c r="C90" s="37">
        <v>1</v>
      </c>
      <c r="D90" s="37">
        <v>3</v>
      </c>
      <c r="E90" s="37">
        <v>87</v>
      </c>
      <c r="F90" s="37">
        <f>INDEX(新属性投放!$L$6:$L$10,新属性汇总!D90)</f>
        <v>1.1499999999999999</v>
      </c>
      <c r="G90" s="37">
        <f>INDEX(新属性投放!J$42:J$62,新属性汇总!$B90)</f>
        <v>2567</v>
      </c>
      <c r="H90" s="37">
        <f>INDEX(新属性投放!K$42:K$62,新属性汇总!$B90)</f>
        <v>1281</v>
      </c>
      <c r="I90" s="37">
        <f>INDEX(新属性投放!L$42:L$62,新属性汇总!$B90)</f>
        <v>13228</v>
      </c>
      <c r="J90" s="37">
        <f>($A90-INDEX(新属性投放!$B$42:$B$62,新属性汇总!$B90))*INDEX(新属性投放!D$42:D$62,新属性汇总!$B90)</f>
        <v>420.34999999999997</v>
      </c>
      <c r="K90" s="37">
        <f>($A90-INDEX(新属性投放!$B$42:$B$62,新属性汇总!$B90))*INDEX(新属性投放!E$42:E$62,新属性汇总!$B90)</f>
        <v>210.17499999999998</v>
      </c>
      <c r="L90" s="37">
        <f>($A90-INDEX(新属性投放!$B$42:$B$62,新属性汇总!$B90))*INDEX(新属性投放!F$42:F$62,新属性汇总!$B90)</f>
        <v>1890</v>
      </c>
      <c r="M90" s="37">
        <f t="shared" si="33"/>
        <v>3435.4524999999994</v>
      </c>
      <c r="N90" s="37">
        <f t="shared" si="34"/>
        <v>1714.8512499999997</v>
      </c>
      <c r="O90" s="37">
        <f t="shared" si="35"/>
        <v>17385.699999999997</v>
      </c>
      <c r="P90" s="37">
        <v>2</v>
      </c>
      <c r="Q90" s="37">
        <v>4</v>
      </c>
      <c r="R90">
        <v>87</v>
      </c>
      <c r="S90" s="37">
        <f>IF($P90&gt;0,INDEX(装备!L$11:L$16,新属性汇总!$P90),0)</f>
        <v>342</v>
      </c>
      <c r="T90" s="37">
        <f>IF($P90&gt;0,INDEX(装备!M$11:M$16,新属性汇总!$P90),0)</f>
        <v>171</v>
      </c>
      <c r="U90" s="37">
        <f>IF($P90&gt;0,INDEX(装备!N$11:N$16,新属性汇总!$P90),0)</f>
        <v>1745.9999999999998</v>
      </c>
      <c r="V90" s="37">
        <f>IF($P90&gt;0,INDEX(装备!H$11:H$16,新属性汇总!$P90),0)</f>
        <v>12</v>
      </c>
      <c r="W90" s="37">
        <f>IF($P90&gt;0,INDEX(装备!I$11:I$16,新属性汇总!$P90),0)</f>
        <v>6</v>
      </c>
      <c r="X90" s="37">
        <f>IF($P90&gt;0,INDEX(装备!J$11:J$16,新属性汇总!$P90),0)</f>
        <v>85</v>
      </c>
      <c r="Y90" s="37">
        <f t="shared" si="36"/>
        <v>1386</v>
      </c>
      <c r="Z90" s="37">
        <f t="shared" si="37"/>
        <v>693</v>
      </c>
      <c r="AA90" s="37">
        <f t="shared" si="38"/>
        <v>9141</v>
      </c>
      <c r="AB90" s="37">
        <v>0.65</v>
      </c>
      <c r="AC90" s="37">
        <f>IF(P90&gt;0,INDEX(装备!$BP$5:$BP$16,新属性汇总!P90),0)</f>
        <v>3</v>
      </c>
      <c r="AD90" s="37">
        <f>IF($P90&gt;0,ROUND(INDEX(装备!AY$11:AY$16,新属性汇总!$P90)*$AC90/3,0)*8*AB90,0)</f>
        <v>260</v>
      </c>
      <c r="AE90" s="37">
        <f>IF($P90&gt;0,ROUND(INDEX(装备!AZ$11:AZ$16,新属性汇总!$P90)*$AC90/3,0)*8*AB90,0)</f>
        <v>192.4</v>
      </c>
      <c r="AF90" s="37">
        <f>IF($P90&gt;0,ROUND(INDEX(装备!BA$11:BA$16,新属性汇总!$P90)*$AC90/3,0)*8*AB90,0)</f>
        <v>1326</v>
      </c>
      <c r="AG90" s="37">
        <f>IF(新属性汇总!P90&gt;0,INDEX(装备!$AP$11:$AP$16,新属性汇总!$P90)*2,0)</f>
        <v>1566</v>
      </c>
      <c r="AH90" s="37">
        <v>0</v>
      </c>
      <c r="AI90" s="37">
        <f>IF(新属性汇总!P90&gt;0,INDEX(装备!$AP$11:$AP$16,新属性汇总!$P90)*2,0)</f>
        <v>1566</v>
      </c>
      <c r="AJ90" s="37">
        <v>14</v>
      </c>
      <c r="AK90" s="37">
        <f>IF($AJ90&gt;0,INDEX(专属武器!H$4:H$53,新属性汇总!$AJ90),0)</f>
        <v>1194</v>
      </c>
      <c r="AL90" s="37">
        <f>IF($AJ90&gt;0,INDEX(专属武器!I$4:I$53,新属性汇总!$AJ90),0)</f>
        <v>595</v>
      </c>
      <c r="AM90" s="37">
        <f>IF($AJ90&gt;0,INDEX(专属武器!J$4:J$53,新属性汇总!$AJ90),0)</f>
        <v>5371</v>
      </c>
      <c r="AQ90" s="13">
        <v>86</v>
      </c>
      <c r="AR90" s="13">
        <f t="shared" si="39"/>
        <v>3366.395</v>
      </c>
      <c r="AS90" s="13">
        <f t="shared" si="40"/>
        <v>1680.3225</v>
      </c>
      <c r="AT90" s="13">
        <f t="shared" si="41"/>
        <v>17075.199999999997</v>
      </c>
      <c r="AU90" s="13">
        <f t="shared" si="42"/>
        <v>1374</v>
      </c>
      <c r="AV90" s="13">
        <f t="shared" si="43"/>
        <v>687</v>
      </c>
      <c r="AW90" s="13">
        <f t="shared" si="44"/>
        <v>9056</v>
      </c>
      <c r="AX90" s="13">
        <f t="shared" si="45"/>
        <v>260</v>
      </c>
      <c r="AY90" s="13">
        <f t="shared" si="46"/>
        <v>192.4</v>
      </c>
      <c r="AZ90" s="13">
        <f t="shared" si="47"/>
        <v>1326</v>
      </c>
      <c r="BA90" s="13">
        <f t="shared" si="48"/>
        <v>1566</v>
      </c>
      <c r="BB90" s="13">
        <f t="shared" si="49"/>
        <v>0</v>
      </c>
      <c r="BC90" s="13">
        <f t="shared" si="50"/>
        <v>1566</v>
      </c>
      <c r="BD90" s="13">
        <f t="shared" si="51"/>
        <v>1194</v>
      </c>
      <c r="BE90" s="13">
        <f t="shared" si="52"/>
        <v>595</v>
      </c>
      <c r="BF90" s="13">
        <f t="shared" si="53"/>
        <v>5371</v>
      </c>
      <c r="BG90" s="13">
        <f t="shared" si="54"/>
        <v>50710</v>
      </c>
      <c r="BH90" s="13">
        <f t="shared" si="55"/>
        <v>22796</v>
      </c>
      <c r="BI90" s="13">
        <f t="shared" si="56"/>
        <v>4550</v>
      </c>
      <c r="BJ90" s="13">
        <f t="shared" si="57"/>
        <v>9396</v>
      </c>
      <c r="BK90" s="13">
        <f t="shared" si="58"/>
        <v>17291</v>
      </c>
      <c r="BL90" s="13">
        <f t="shared" si="59"/>
        <v>104743</v>
      </c>
      <c r="BM90" s="31">
        <f t="shared" si="60"/>
        <v>0.48409999999999997</v>
      </c>
      <c r="BN90" s="31">
        <f t="shared" si="61"/>
        <v>0.21759999999999999</v>
      </c>
      <c r="BO90" s="31">
        <f t="shared" si="62"/>
        <v>4.3400000000000001E-2</v>
      </c>
      <c r="BP90" s="31">
        <f t="shared" si="63"/>
        <v>8.9700000000000002E-2</v>
      </c>
      <c r="BQ90" s="31">
        <f t="shared" si="64"/>
        <v>0.1651</v>
      </c>
    </row>
    <row r="91" spans="1:69" ht="16.5" x14ac:dyDescent="0.2">
      <c r="A91" s="37">
        <v>88</v>
      </c>
      <c r="B91" s="37">
        <v>9</v>
      </c>
      <c r="C91" s="37">
        <v>1</v>
      </c>
      <c r="D91" s="37">
        <v>3</v>
      </c>
      <c r="E91" s="37">
        <v>88</v>
      </c>
      <c r="F91" s="37">
        <f>INDEX(新属性投放!$L$6:$L$10,新属性汇总!D91)</f>
        <v>1.1499999999999999</v>
      </c>
      <c r="G91" s="37">
        <f>INDEX(新属性投放!J$42:J$62,新属性汇总!$B91)</f>
        <v>2567</v>
      </c>
      <c r="H91" s="37">
        <f>INDEX(新属性投放!K$42:K$62,新属性汇总!$B91)</f>
        <v>1281</v>
      </c>
      <c r="I91" s="37">
        <f>INDEX(新属性投放!L$42:L$62,新属性汇总!$B91)</f>
        <v>13228</v>
      </c>
      <c r="J91" s="37">
        <f>($A91-INDEX(新属性投放!$B$42:$B$62,新属性汇总!$B91))*INDEX(新属性投放!D$42:D$62,新属性汇总!$B91)</f>
        <v>480.4</v>
      </c>
      <c r="K91" s="37">
        <f>($A91-INDEX(新属性投放!$B$42:$B$62,新属性汇总!$B91))*INDEX(新属性投放!E$42:E$62,新属性汇总!$B91)</f>
        <v>240.2</v>
      </c>
      <c r="L91" s="37">
        <f>($A91-INDEX(新属性投放!$B$42:$B$62,新属性汇总!$B91))*INDEX(新属性投放!F$42:F$62,新属性汇总!$B91)</f>
        <v>2160</v>
      </c>
      <c r="M91" s="37">
        <f t="shared" si="33"/>
        <v>3504.5099999999998</v>
      </c>
      <c r="N91" s="37">
        <f t="shared" si="34"/>
        <v>1749.3799999999999</v>
      </c>
      <c r="O91" s="37">
        <f t="shared" si="35"/>
        <v>17696.199999999997</v>
      </c>
      <c r="P91" s="37">
        <v>2</v>
      </c>
      <c r="Q91" s="37">
        <v>4</v>
      </c>
      <c r="R91">
        <v>88</v>
      </c>
      <c r="S91" s="37">
        <f>IF($P91&gt;0,INDEX(装备!L$11:L$16,新属性汇总!$P91),0)</f>
        <v>342</v>
      </c>
      <c r="T91" s="37">
        <f>IF($P91&gt;0,INDEX(装备!M$11:M$16,新属性汇总!$P91),0)</f>
        <v>171</v>
      </c>
      <c r="U91" s="37">
        <f>IF($P91&gt;0,INDEX(装备!N$11:N$16,新属性汇总!$P91),0)</f>
        <v>1745.9999999999998</v>
      </c>
      <c r="V91" s="37">
        <f>IF($P91&gt;0,INDEX(装备!H$11:H$16,新属性汇总!$P91),0)</f>
        <v>12</v>
      </c>
      <c r="W91" s="37">
        <f>IF($P91&gt;0,INDEX(装备!I$11:I$16,新属性汇总!$P91),0)</f>
        <v>6</v>
      </c>
      <c r="X91" s="37">
        <f>IF($P91&gt;0,INDEX(装备!J$11:J$16,新属性汇总!$P91),0)</f>
        <v>85</v>
      </c>
      <c r="Y91" s="37">
        <f t="shared" si="36"/>
        <v>1398</v>
      </c>
      <c r="Z91" s="37">
        <f t="shared" si="37"/>
        <v>699</v>
      </c>
      <c r="AA91" s="37">
        <f t="shared" si="38"/>
        <v>9226</v>
      </c>
      <c r="AB91" s="37">
        <v>0.65</v>
      </c>
      <c r="AC91" s="37">
        <f>IF(P91&gt;0,INDEX(装备!$BP$5:$BP$16,新属性汇总!P91),0)</f>
        <v>3</v>
      </c>
      <c r="AD91" s="37">
        <f>IF($P91&gt;0,ROUND(INDEX(装备!AY$11:AY$16,新属性汇总!$P91)*$AC91/3,0)*8*AB91,0)</f>
        <v>260</v>
      </c>
      <c r="AE91" s="37">
        <f>IF($P91&gt;0,ROUND(INDEX(装备!AZ$11:AZ$16,新属性汇总!$P91)*$AC91/3,0)*8*AB91,0)</f>
        <v>192.4</v>
      </c>
      <c r="AF91" s="37">
        <f>IF($P91&gt;0,ROUND(INDEX(装备!BA$11:BA$16,新属性汇总!$P91)*$AC91/3,0)*8*AB91,0)</f>
        <v>1326</v>
      </c>
      <c r="AG91" s="37">
        <f>IF(新属性汇总!P91&gt;0,INDEX(装备!$AP$11:$AP$16,新属性汇总!$P91)*2,0)</f>
        <v>1566</v>
      </c>
      <c r="AH91" s="37">
        <v>0</v>
      </c>
      <c r="AI91" s="37">
        <f>IF(新属性汇总!P91&gt;0,INDEX(装备!$AP$11:$AP$16,新属性汇总!$P91)*2,0)</f>
        <v>1566</v>
      </c>
      <c r="AJ91" s="37">
        <v>14</v>
      </c>
      <c r="AK91" s="37">
        <f>IF($AJ91&gt;0,INDEX(专属武器!H$4:H$53,新属性汇总!$AJ91),0)</f>
        <v>1194</v>
      </c>
      <c r="AL91" s="37">
        <f>IF($AJ91&gt;0,INDEX(专属武器!I$4:I$53,新属性汇总!$AJ91),0)</f>
        <v>595</v>
      </c>
      <c r="AM91" s="37">
        <f>IF($AJ91&gt;0,INDEX(专属武器!J$4:J$53,新属性汇总!$AJ91),0)</f>
        <v>5371</v>
      </c>
      <c r="AQ91" s="13">
        <v>87</v>
      </c>
      <c r="AR91" s="13">
        <f t="shared" si="39"/>
        <v>3435.4524999999994</v>
      </c>
      <c r="AS91" s="13">
        <f t="shared" si="40"/>
        <v>1714.8512499999997</v>
      </c>
      <c r="AT91" s="13">
        <f t="shared" si="41"/>
        <v>17385.699999999997</v>
      </c>
      <c r="AU91" s="13">
        <f t="shared" si="42"/>
        <v>1386</v>
      </c>
      <c r="AV91" s="13">
        <f t="shared" si="43"/>
        <v>693</v>
      </c>
      <c r="AW91" s="13">
        <f t="shared" si="44"/>
        <v>9141</v>
      </c>
      <c r="AX91" s="13">
        <f t="shared" si="45"/>
        <v>260</v>
      </c>
      <c r="AY91" s="13">
        <f t="shared" si="46"/>
        <v>192.4</v>
      </c>
      <c r="AZ91" s="13">
        <f t="shared" si="47"/>
        <v>1326</v>
      </c>
      <c r="BA91" s="13">
        <f t="shared" si="48"/>
        <v>1566</v>
      </c>
      <c r="BB91" s="13">
        <f t="shared" si="49"/>
        <v>0</v>
      </c>
      <c r="BC91" s="13">
        <f t="shared" si="50"/>
        <v>1566</v>
      </c>
      <c r="BD91" s="13">
        <f t="shared" si="51"/>
        <v>1194</v>
      </c>
      <c r="BE91" s="13">
        <f t="shared" si="52"/>
        <v>595</v>
      </c>
      <c r="BF91" s="13">
        <f t="shared" si="53"/>
        <v>5371</v>
      </c>
      <c r="BG91" s="13">
        <f t="shared" si="54"/>
        <v>51711</v>
      </c>
      <c r="BH91" s="13">
        <f t="shared" si="55"/>
        <v>23001</v>
      </c>
      <c r="BI91" s="13">
        <f t="shared" si="56"/>
        <v>4550</v>
      </c>
      <c r="BJ91" s="13">
        <f t="shared" si="57"/>
        <v>9396</v>
      </c>
      <c r="BK91" s="13">
        <f t="shared" si="58"/>
        <v>17291</v>
      </c>
      <c r="BL91" s="13">
        <f t="shared" si="59"/>
        <v>105949</v>
      </c>
      <c r="BM91" s="31">
        <f t="shared" si="60"/>
        <v>0.48809999999999998</v>
      </c>
      <c r="BN91" s="31">
        <f t="shared" si="61"/>
        <v>0.21709999999999999</v>
      </c>
      <c r="BO91" s="31">
        <f t="shared" si="62"/>
        <v>4.2900000000000001E-2</v>
      </c>
      <c r="BP91" s="31">
        <f t="shared" si="63"/>
        <v>8.8700000000000001E-2</v>
      </c>
      <c r="BQ91" s="31">
        <f t="shared" si="64"/>
        <v>0.16320000000000001</v>
      </c>
    </row>
    <row r="92" spans="1:69" ht="16.5" x14ac:dyDescent="0.2">
      <c r="A92" s="37">
        <v>89</v>
      </c>
      <c r="B92" s="37">
        <v>9</v>
      </c>
      <c r="C92" s="37">
        <v>1</v>
      </c>
      <c r="D92" s="37">
        <v>3</v>
      </c>
      <c r="E92" s="37">
        <v>89</v>
      </c>
      <c r="F92" s="37">
        <f>INDEX(新属性投放!$L$6:$L$10,新属性汇总!D92)</f>
        <v>1.1499999999999999</v>
      </c>
      <c r="G92" s="37">
        <f>INDEX(新属性投放!J$42:J$62,新属性汇总!$B92)</f>
        <v>2567</v>
      </c>
      <c r="H92" s="37">
        <f>INDEX(新属性投放!K$42:K$62,新属性汇总!$B92)</f>
        <v>1281</v>
      </c>
      <c r="I92" s="37">
        <f>INDEX(新属性投放!L$42:L$62,新属性汇总!$B92)</f>
        <v>13228</v>
      </c>
      <c r="J92" s="37">
        <f>($A92-INDEX(新属性投放!$B$42:$B$62,新属性汇总!$B92))*INDEX(新属性投放!D$42:D$62,新属性汇总!$B92)</f>
        <v>540.44999999999993</v>
      </c>
      <c r="K92" s="37">
        <f>($A92-INDEX(新属性投放!$B$42:$B$62,新属性汇总!$B92))*INDEX(新属性投放!E$42:E$62,新属性汇总!$B92)</f>
        <v>270.22499999999997</v>
      </c>
      <c r="L92" s="37">
        <f>($A92-INDEX(新属性投放!$B$42:$B$62,新属性汇总!$B92))*INDEX(新属性投放!F$42:F$62,新属性汇总!$B92)</f>
        <v>2430</v>
      </c>
      <c r="M92" s="37">
        <f t="shared" si="33"/>
        <v>3573.5674999999997</v>
      </c>
      <c r="N92" s="37">
        <f t="shared" si="34"/>
        <v>1783.9087499999998</v>
      </c>
      <c r="O92" s="37">
        <f t="shared" si="35"/>
        <v>18006.699999999997</v>
      </c>
      <c r="P92" s="37">
        <v>2</v>
      </c>
      <c r="Q92" s="37">
        <v>4</v>
      </c>
      <c r="R92">
        <v>89</v>
      </c>
      <c r="S92" s="37">
        <f>IF($P92&gt;0,INDEX(装备!L$11:L$16,新属性汇总!$P92),0)</f>
        <v>342</v>
      </c>
      <c r="T92" s="37">
        <f>IF($P92&gt;0,INDEX(装备!M$11:M$16,新属性汇总!$P92),0)</f>
        <v>171</v>
      </c>
      <c r="U92" s="37">
        <f>IF($P92&gt;0,INDEX(装备!N$11:N$16,新属性汇总!$P92),0)</f>
        <v>1745.9999999999998</v>
      </c>
      <c r="V92" s="37">
        <f>IF($P92&gt;0,INDEX(装备!H$11:H$16,新属性汇总!$P92),0)</f>
        <v>12</v>
      </c>
      <c r="W92" s="37">
        <f>IF($P92&gt;0,INDEX(装备!I$11:I$16,新属性汇总!$P92),0)</f>
        <v>6</v>
      </c>
      <c r="X92" s="37">
        <f>IF($P92&gt;0,INDEX(装备!J$11:J$16,新属性汇总!$P92),0)</f>
        <v>85</v>
      </c>
      <c r="Y92" s="37">
        <f t="shared" si="36"/>
        <v>1410</v>
      </c>
      <c r="Z92" s="37">
        <f t="shared" si="37"/>
        <v>705</v>
      </c>
      <c r="AA92" s="37">
        <f t="shared" si="38"/>
        <v>9311</v>
      </c>
      <c r="AB92" s="37">
        <v>0.65</v>
      </c>
      <c r="AC92" s="37">
        <f>IF(P92&gt;0,INDEX(装备!$BP$5:$BP$16,新属性汇总!P92),0)</f>
        <v>3</v>
      </c>
      <c r="AD92" s="37">
        <f>IF($P92&gt;0,ROUND(INDEX(装备!AY$11:AY$16,新属性汇总!$P92)*$AC92/3,0)*8*AB92,0)</f>
        <v>260</v>
      </c>
      <c r="AE92" s="37">
        <f>IF($P92&gt;0,ROUND(INDEX(装备!AZ$11:AZ$16,新属性汇总!$P92)*$AC92/3,0)*8*AB92,0)</f>
        <v>192.4</v>
      </c>
      <c r="AF92" s="37">
        <f>IF($P92&gt;0,ROUND(INDEX(装备!BA$11:BA$16,新属性汇总!$P92)*$AC92/3,0)*8*AB92,0)</f>
        <v>1326</v>
      </c>
      <c r="AG92" s="37">
        <f>IF(新属性汇总!P92&gt;0,INDEX(装备!$AP$11:$AP$16,新属性汇总!$P92)*2,0)</f>
        <v>1566</v>
      </c>
      <c r="AH92" s="37">
        <v>0</v>
      </c>
      <c r="AI92" s="37">
        <f>IF(新属性汇总!P92&gt;0,INDEX(装备!$AP$11:$AP$16,新属性汇总!$P92)*2,0)</f>
        <v>1566</v>
      </c>
      <c r="AJ92" s="37">
        <v>14</v>
      </c>
      <c r="AK92" s="37">
        <f>IF($AJ92&gt;0,INDEX(专属武器!H$4:H$53,新属性汇总!$AJ92),0)</f>
        <v>1194</v>
      </c>
      <c r="AL92" s="37">
        <f>IF($AJ92&gt;0,INDEX(专属武器!I$4:I$53,新属性汇总!$AJ92),0)</f>
        <v>595</v>
      </c>
      <c r="AM92" s="37">
        <f>IF($AJ92&gt;0,INDEX(专属武器!J$4:J$53,新属性汇总!$AJ92),0)</f>
        <v>5371</v>
      </c>
      <c r="AQ92" s="13">
        <v>88</v>
      </c>
      <c r="AR92" s="13">
        <f t="shared" si="39"/>
        <v>3504.5099999999998</v>
      </c>
      <c r="AS92" s="13">
        <f t="shared" si="40"/>
        <v>1749.3799999999999</v>
      </c>
      <c r="AT92" s="13">
        <f t="shared" si="41"/>
        <v>17696.199999999997</v>
      </c>
      <c r="AU92" s="13">
        <f t="shared" si="42"/>
        <v>1398</v>
      </c>
      <c r="AV92" s="13">
        <f t="shared" si="43"/>
        <v>699</v>
      </c>
      <c r="AW92" s="13">
        <f t="shared" si="44"/>
        <v>9226</v>
      </c>
      <c r="AX92" s="13">
        <f t="shared" si="45"/>
        <v>260</v>
      </c>
      <c r="AY92" s="13">
        <f t="shared" si="46"/>
        <v>192.4</v>
      </c>
      <c r="AZ92" s="13">
        <f t="shared" si="47"/>
        <v>1326</v>
      </c>
      <c r="BA92" s="13">
        <f t="shared" si="48"/>
        <v>1566</v>
      </c>
      <c r="BB92" s="13">
        <f t="shared" si="49"/>
        <v>0</v>
      </c>
      <c r="BC92" s="13">
        <f t="shared" si="50"/>
        <v>1566</v>
      </c>
      <c r="BD92" s="13">
        <f t="shared" si="51"/>
        <v>1194</v>
      </c>
      <c r="BE92" s="13">
        <f t="shared" si="52"/>
        <v>595</v>
      </c>
      <c r="BF92" s="13">
        <f t="shared" si="53"/>
        <v>5371</v>
      </c>
      <c r="BG92" s="13">
        <f t="shared" si="54"/>
        <v>52712</v>
      </c>
      <c r="BH92" s="13">
        <f t="shared" si="55"/>
        <v>23206</v>
      </c>
      <c r="BI92" s="13">
        <f t="shared" si="56"/>
        <v>4550</v>
      </c>
      <c r="BJ92" s="13">
        <f t="shared" si="57"/>
        <v>9396</v>
      </c>
      <c r="BK92" s="13">
        <f t="shared" si="58"/>
        <v>17291</v>
      </c>
      <c r="BL92" s="13">
        <f t="shared" si="59"/>
        <v>107155</v>
      </c>
      <c r="BM92" s="31">
        <f t="shared" si="60"/>
        <v>0.4919</v>
      </c>
      <c r="BN92" s="31">
        <f t="shared" si="61"/>
        <v>0.21659999999999999</v>
      </c>
      <c r="BO92" s="31">
        <f t="shared" si="62"/>
        <v>4.2500000000000003E-2</v>
      </c>
      <c r="BP92" s="31">
        <f t="shared" si="63"/>
        <v>8.77E-2</v>
      </c>
      <c r="BQ92" s="31">
        <f t="shared" si="64"/>
        <v>0.16139999999999999</v>
      </c>
    </row>
    <row r="93" spans="1:69" ht="16.5" x14ac:dyDescent="0.2">
      <c r="A93" s="37">
        <v>90</v>
      </c>
      <c r="B93" s="37">
        <v>10</v>
      </c>
      <c r="C93" s="37">
        <v>1</v>
      </c>
      <c r="D93" s="37">
        <v>3</v>
      </c>
      <c r="E93" s="37">
        <v>90</v>
      </c>
      <c r="F93" s="37">
        <f>INDEX(新属性投放!$L$6:$L$10,新属性汇总!D93)</f>
        <v>1.1499999999999999</v>
      </c>
      <c r="G93" s="37">
        <f>INDEX(新属性投放!J$42:J$62,新属性汇总!$B93)</f>
        <v>3317.5</v>
      </c>
      <c r="H93" s="37">
        <f>INDEX(新属性投放!K$42:K$62,新属性汇总!$B93)</f>
        <v>1656.25</v>
      </c>
      <c r="I93" s="37">
        <f>INDEX(新属性投放!L$42:L$62,新属性汇总!$B93)</f>
        <v>17278</v>
      </c>
      <c r="J93" s="37">
        <f>($A93-INDEX(新属性投放!$B$42:$B$62,新属性汇总!$B93))*INDEX(新属性投放!D$42:D$62,新属性汇总!$B93)</f>
        <v>0</v>
      </c>
      <c r="K93" s="37">
        <f>($A93-INDEX(新属性投放!$B$42:$B$62,新属性汇总!$B93))*INDEX(新属性投放!E$42:E$62,新属性汇总!$B93)</f>
        <v>0</v>
      </c>
      <c r="L93" s="37">
        <f>($A93-INDEX(新属性投放!$B$42:$B$62,新属性汇总!$B93))*INDEX(新属性投放!F$42:F$62,新属性汇总!$B93)</f>
        <v>0</v>
      </c>
      <c r="M93" s="37">
        <f t="shared" si="33"/>
        <v>3815.1249999999995</v>
      </c>
      <c r="N93" s="37">
        <f t="shared" si="34"/>
        <v>1904.6874999999998</v>
      </c>
      <c r="O93" s="37">
        <f t="shared" si="35"/>
        <v>19869.699999999997</v>
      </c>
      <c r="P93" s="37">
        <v>3</v>
      </c>
      <c r="Q93" s="37">
        <v>4</v>
      </c>
      <c r="R93">
        <v>90</v>
      </c>
      <c r="S93" s="37">
        <f>IF($P93&gt;0,INDEX(装备!L$11:L$16,新属性汇总!$P93),0)</f>
        <v>630</v>
      </c>
      <c r="T93" s="37">
        <f>IF($P93&gt;0,INDEX(装备!M$11:M$16,新属性汇总!$P93),0)</f>
        <v>315</v>
      </c>
      <c r="U93" s="37">
        <f>IF($P93&gt;0,INDEX(装备!N$11:N$16,新属性汇总!$P93),0)</f>
        <v>3307.5</v>
      </c>
      <c r="V93" s="37">
        <f>IF($P93&gt;0,INDEX(装备!H$11:H$16,新属性汇总!$P93),0)</f>
        <v>20</v>
      </c>
      <c r="W93" s="37">
        <f>IF($P93&gt;0,INDEX(装备!I$11:I$16,新属性汇总!$P93),0)</f>
        <v>10</v>
      </c>
      <c r="X93" s="37">
        <f>IF($P93&gt;0,INDEX(装备!J$11:J$16,新属性汇总!$P93),0)</f>
        <v>125</v>
      </c>
      <c r="Y93" s="37">
        <f t="shared" si="36"/>
        <v>2430</v>
      </c>
      <c r="Z93" s="37">
        <f t="shared" si="37"/>
        <v>1215</v>
      </c>
      <c r="AA93" s="37">
        <f t="shared" si="38"/>
        <v>14557.5</v>
      </c>
      <c r="AB93" s="37">
        <v>0.65</v>
      </c>
      <c r="AC93" s="37">
        <f>IF(P93&gt;0,INDEX(装备!$BP$5:$BP$16,新属性汇总!P93),0)</f>
        <v>3</v>
      </c>
      <c r="AD93" s="37">
        <f>IF($P93&gt;0,ROUND(INDEX(装备!AY$11:AY$16,新属性汇总!$P93)*$AC93/3,0)*8*AB93,0)</f>
        <v>764.4</v>
      </c>
      <c r="AE93" s="37">
        <f>IF($P93&gt;0,ROUND(INDEX(装备!AZ$11:AZ$16,新属性汇总!$P93)*$AC93/3,0)*8*AB93,0)</f>
        <v>286</v>
      </c>
      <c r="AF93" s="37">
        <f>IF($P93&gt;0,ROUND(INDEX(装备!BA$11:BA$16,新属性汇总!$P93)*$AC93/3,0)*8*AB93,0)</f>
        <v>3010.8</v>
      </c>
      <c r="AG93" s="37">
        <f>IF(新属性汇总!P93&gt;0,INDEX(装备!$AP$11:$AP$16,新属性汇总!$P93)*2,0)</f>
        <v>3316</v>
      </c>
      <c r="AH93" s="37">
        <v>0</v>
      </c>
      <c r="AI93" s="37">
        <f>IF(新属性汇总!P93&gt;0,INDEX(装备!$AP$11:$AP$16,新属性汇总!$P93)*2,0)</f>
        <v>3316</v>
      </c>
      <c r="AJ93" s="37">
        <v>15</v>
      </c>
      <c r="AK93" s="37">
        <f>IF($AJ93&gt;0,INDEX(专属武器!H$4:H$53,新属性汇总!$AJ93),0)</f>
        <v>1362</v>
      </c>
      <c r="AL93" s="37">
        <f>IF($AJ93&gt;0,INDEX(专属武器!I$4:I$53,新属性汇总!$AJ93),0)</f>
        <v>679</v>
      </c>
      <c r="AM93" s="37">
        <f>IF($AJ93&gt;0,INDEX(专属武器!J$4:J$53,新属性汇总!$AJ93),0)</f>
        <v>6127</v>
      </c>
      <c r="AQ93" s="13">
        <v>89</v>
      </c>
      <c r="AR93" s="13">
        <f t="shared" si="39"/>
        <v>3573.5674999999997</v>
      </c>
      <c r="AS93" s="13">
        <f t="shared" si="40"/>
        <v>1783.9087499999998</v>
      </c>
      <c r="AT93" s="13">
        <f t="shared" si="41"/>
        <v>18006.699999999997</v>
      </c>
      <c r="AU93" s="13">
        <f t="shared" si="42"/>
        <v>1410</v>
      </c>
      <c r="AV93" s="13">
        <f t="shared" si="43"/>
        <v>705</v>
      </c>
      <c r="AW93" s="13">
        <f t="shared" si="44"/>
        <v>9311</v>
      </c>
      <c r="AX93" s="13">
        <f t="shared" si="45"/>
        <v>260</v>
      </c>
      <c r="AY93" s="13">
        <f t="shared" si="46"/>
        <v>192.4</v>
      </c>
      <c r="AZ93" s="13">
        <f t="shared" si="47"/>
        <v>1326</v>
      </c>
      <c r="BA93" s="13">
        <f t="shared" si="48"/>
        <v>1566</v>
      </c>
      <c r="BB93" s="13">
        <f t="shared" si="49"/>
        <v>0</v>
      </c>
      <c r="BC93" s="13">
        <f t="shared" si="50"/>
        <v>1566</v>
      </c>
      <c r="BD93" s="13">
        <f t="shared" si="51"/>
        <v>1194</v>
      </c>
      <c r="BE93" s="13">
        <f t="shared" si="52"/>
        <v>595</v>
      </c>
      <c r="BF93" s="13">
        <f t="shared" si="53"/>
        <v>5371</v>
      </c>
      <c r="BG93" s="13">
        <f t="shared" si="54"/>
        <v>53713</v>
      </c>
      <c r="BH93" s="13">
        <f t="shared" si="55"/>
        <v>23411</v>
      </c>
      <c r="BI93" s="13">
        <f t="shared" si="56"/>
        <v>4550</v>
      </c>
      <c r="BJ93" s="13">
        <f t="shared" si="57"/>
        <v>9396</v>
      </c>
      <c r="BK93" s="13">
        <f t="shared" si="58"/>
        <v>17291</v>
      </c>
      <c r="BL93" s="13">
        <f t="shared" si="59"/>
        <v>108361</v>
      </c>
      <c r="BM93" s="31">
        <f t="shared" si="60"/>
        <v>0.49569999999999997</v>
      </c>
      <c r="BN93" s="31">
        <f t="shared" si="61"/>
        <v>0.216</v>
      </c>
      <c r="BO93" s="31">
        <f t="shared" si="62"/>
        <v>4.2000000000000003E-2</v>
      </c>
      <c r="BP93" s="31">
        <f t="shared" si="63"/>
        <v>8.6699999999999999E-2</v>
      </c>
      <c r="BQ93" s="31">
        <f t="shared" si="64"/>
        <v>0.15959999999999999</v>
      </c>
    </row>
    <row r="94" spans="1:69" ht="16.5" x14ac:dyDescent="0.2">
      <c r="A94" s="37">
        <v>91</v>
      </c>
      <c r="B94" s="37">
        <v>10</v>
      </c>
      <c r="C94" s="37">
        <v>1</v>
      </c>
      <c r="D94" s="37">
        <v>3</v>
      </c>
      <c r="E94" s="37">
        <v>91</v>
      </c>
      <c r="F94" s="37">
        <f>INDEX(新属性投放!$L$6:$L$10,新属性汇总!D94)</f>
        <v>1.1499999999999999</v>
      </c>
      <c r="G94" s="37">
        <f>INDEX(新属性投放!J$42:J$62,新属性汇总!$B94)</f>
        <v>3317.5</v>
      </c>
      <c r="H94" s="37">
        <f>INDEX(新属性投放!K$42:K$62,新属性汇总!$B94)</f>
        <v>1656.25</v>
      </c>
      <c r="I94" s="37">
        <f>INDEX(新属性投放!L$42:L$62,新属性汇总!$B94)</f>
        <v>17278</v>
      </c>
      <c r="J94" s="37">
        <f>($A94-INDEX(新属性投放!$B$42:$B$62,新属性汇总!$B94))*INDEX(新属性投放!D$42:D$62,新属性汇总!$B94)</f>
        <v>78.5</v>
      </c>
      <c r="K94" s="37">
        <f>($A94-INDEX(新属性投放!$B$42:$B$62,新属性汇总!$B94))*INDEX(新属性投放!E$42:E$62,新属性汇总!$B94)</f>
        <v>39.25</v>
      </c>
      <c r="L94" s="37">
        <f>($A94-INDEX(新属性投放!$B$42:$B$62,新属性汇总!$B94))*INDEX(新属性投放!F$42:F$62,新属性汇总!$B94)</f>
        <v>353</v>
      </c>
      <c r="M94" s="37">
        <f t="shared" si="33"/>
        <v>3905.3999999999996</v>
      </c>
      <c r="N94" s="37">
        <f t="shared" si="34"/>
        <v>1949.8249999999998</v>
      </c>
      <c r="O94" s="37">
        <f t="shared" si="35"/>
        <v>20275.649999999998</v>
      </c>
      <c r="P94" s="37">
        <v>3</v>
      </c>
      <c r="Q94" s="37">
        <v>4</v>
      </c>
      <c r="R94">
        <v>91</v>
      </c>
      <c r="S94" s="37">
        <f>IF($P94&gt;0,INDEX(装备!L$11:L$16,新属性汇总!$P94),0)</f>
        <v>630</v>
      </c>
      <c r="T94" s="37">
        <f>IF($P94&gt;0,INDEX(装备!M$11:M$16,新属性汇总!$P94),0)</f>
        <v>315</v>
      </c>
      <c r="U94" s="37">
        <f>IF($P94&gt;0,INDEX(装备!N$11:N$16,新属性汇总!$P94),0)</f>
        <v>3307.5</v>
      </c>
      <c r="V94" s="37">
        <f>IF($P94&gt;0,INDEX(装备!H$11:H$16,新属性汇总!$P94),0)</f>
        <v>20</v>
      </c>
      <c r="W94" s="37">
        <f>IF($P94&gt;0,INDEX(装备!I$11:I$16,新属性汇总!$P94),0)</f>
        <v>10</v>
      </c>
      <c r="X94" s="37">
        <f>IF($P94&gt;0,INDEX(装备!J$11:J$16,新属性汇总!$P94),0)</f>
        <v>125</v>
      </c>
      <c r="Y94" s="37">
        <f t="shared" si="36"/>
        <v>2450</v>
      </c>
      <c r="Z94" s="37">
        <f t="shared" si="37"/>
        <v>1225</v>
      </c>
      <c r="AA94" s="37">
        <f t="shared" si="38"/>
        <v>14682.5</v>
      </c>
      <c r="AB94" s="37">
        <v>0.65</v>
      </c>
      <c r="AC94" s="37">
        <f>IF(P94&gt;0,INDEX(装备!$BP$5:$BP$16,新属性汇总!P94),0)</f>
        <v>3</v>
      </c>
      <c r="AD94" s="37">
        <f>IF($P94&gt;0,ROUND(INDEX(装备!AY$11:AY$16,新属性汇总!$P94)*$AC94/3,0)*8*AB94,0)</f>
        <v>764.4</v>
      </c>
      <c r="AE94" s="37">
        <f>IF($P94&gt;0,ROUND(INDEX(装备!AZ$11:AZ$16,新属性汇总!$P94)*$AC94/3,0)*8*AB94,0)</f>
        <v>286</v>
      </c>
      <c r="AF94" s="37">
        <f>IF($P94&gt;0,ROUND(INDEX(装备!BA$11:BA$16,新属性汇总!$P94)*$AC94/3,0)*8*AB94,0)</f>
        <v>3010.8</v>
      </c>
      <c r="AG94" s="37">
        <f>IF(新属性汇总!P94&gt;0,INDEX(装备!$AP$11:$AP$16,新属性汇总!$P94)*2,0)</f>
        <v>3316</v>
      </c>
      <c r="AH94" s="37">
        <v>0</v>
      </c>
      <c r="AI94" s="37">
        <f>IF(新属性汇总!P94&gt;0,INDEX(装备!$AP$11:$AP$16,新属性汇总!$P94)*2,0)</f>
        <v>3316</v>
      </c>
      <c r="AJ94" s="37">
        <v>15</v>
      </c>
      <c r="AK94" s="37">
        <f>IF($AJ94&gt;0,INDEX(专属武器!H$4:H$53,新属性汇总!$AJ94),0)</f>
        <v>1362</v>
      </c>
      <c r="AL94" s="37">
        <f>IF($AJ94&gt;0,INDEX(专属武器!I$4:I$53,新属性汇总!$AJ94),0)</f>
        <v>679</v>
      </c>
      <c r="AM94" s="37">
        <f>IF($AJ94&gt;0,INDEX(专属武器!J$4:J$53,新属性汇总!$AJ94),0)</f>
        <v>6127</v>
      </c>
      <c r="AQ94" s="13">
        <v>90</v>
      </c>
      <c r="AR94" s="13">
        <f t="shared" si="39"/>
        <v>3815.1249999999995</v>
      </c>
      <c r="AS94" s="13">
        <f t="shared" si="40"/>
        <v>1904.6874999999998</v>
      </c>
      <c r="AT94" s="13">
        <f t="shared" si="41"/>
        <v>19869.699999999997</v>
      </c>
      <c r="AU94" s="13">
        <f t="shared" si="42"/>
        <v>2430</v>
      </c>
      <c r="AV94" s="13">
        <f t="shared" si="43"/>
        <v>1215</v>
      </c>
      <c r="AW94" s="13">
        <f t="shared" si="44"/>
        <v>14557.5</v>
      </c>
      <c r="AX94" s="13">
        <f t="shared" si="45"/>
        <v>764.4</v>
      </c>
      <c r="AY94" s="13">
        <f t="shared" si="46"/>
        <v>286</v>
      </c>
      <c r="AZ94" s="13">
        <f t="shared" si="47"/>
        <v>3010.8</v>
      </c>
      <c r="BA94" s="13">
        <f t="shared" si="48"/>
        <v>3316</v>
      </c>
      <c r="BB94" s="13">
        <f t="shared" si="49"/>
        <v>0</v>
      </c>
      <c r="BC94" s="13">
        <f t="shared" si="50"/>
        <v>3316</v>
      </c>
      <c r="BD94" s="13">
        <f t="shared" si="51"/>
        <v>1362</v>
      </c>
      <c r="BE94" s="13">
        <f t="shared" si="52"/>
        <v>679</v>
      </c>
      <c r="BF94" s="13">
        <f t="shared" si="53"/>
        <v>6127</v>
      </c>
      <c r="BG94" s="13">
        <f t="shared" si="54"/>
        <v>57992</v>
      </c>
      <c r="BH94" s="13">
        <f t="shared" si="55"/>
        <v>38857</v>
      </c>
      <c r="BI94" s="13">
        <f t="shared" si="56"/>
        <v>9692</v>
      </c>
      <c r="BJ94" s="13">
        <f t="shared" si="57"/>
        <v>19896</v>
      </c>
      <c r="BK94" s="13">
        <f t="shared" si="58"/>
        <v>19727</v>
      </c>
      <c r="BL94" s="13">
        <f t="shared" si="59"/>
        <v>146164</v>
      </c>
      <c r="BM94" s="31">
        <f t="shared" si="60"/>
        <v>0.39679999999999999</v>
      </c>
      <c r="BN94" s="31">
        <f t="shared" si="61"/>
        <v>0.26579999999999998</v>
      </c>
      <c r="BO94" s="31">
        <f t="shared" si="62"/>
        <v>6.6299999999999998E-2</v>
      </c>
      <c r="BP94" s="31">
        <f t="shared" si="63"/>
        <v>0.1361</v>
      </c>
      <c r="BQ94" s="31">
        <f t="shared" si="64"/>
        <v>0.13500000000000001</v>
      </c>
    </row>
    <row r="95" spans="1:69" ht="16.5" x14ac:dyDescent="0.2">
      <c r="A95" s="37">
        <v>92</v>
      </c>
      <c r="B95" s="37">
        <v>10</v>
      </c>
      <c r="C95" s="37">
        <v>1</v>
      </c>
      <c r="D95" s="37">
        <v>3</v>
      </c>
      <c r="E95" s="37">
        <v>92</v>
      </c>
      <c r="F95" s="37">
        <f>INDEX(新属性投放!$L$6:$L$10,新属性汇总!D95)</f>
        <v>1.1499999999999999</v>
      </c>
      <c r="G95" s="37">
        <f>INDEX(新属性投放!J$42:J$62,新属性汇总!$B95)</f>
        <v>3317.5</v>
      </c>
      <c r="H95" s="37">
        <f>INDEX(新属性投放!K$42:K$62,新属性汇总!$B95)</f>
        <v>1656.25</v>
      </c>
      <c r="I95" s="37">
        <f>INDEX(新属性投放!L$42:L$62,新属性汇总!$B95)</f>
        <v>17278</v>
      </c>
      <c r="J95" s="37">
        <f>($A95-INDEX(新属性投放!$B$42:$B$62,新属性汇总!$B95))*INDEX(新属性投放!D$42:D$62,新属性汇总!$B95)</f>
        <v>157</v>
      </c>
      <c r="K95" s="37">
        <f>($A95-INDEX(新属性投放!$B$42:$B$62,新属性汇总!$B95))*INDEX(新属性投放!E$42:E$62,新属性汇总!$B95)</f>
        <v>78.5</v>
      </c>
      <c r="L95" s="37">
        <f>($A95-INDEX(新属性投放!$B$42:$B$62,新属性汇总!$B95))*INDEX(新属性投放!F$42:F$62,新属性汇总!$B95)</f>
        <v>706</v>
      </c>
      <c r="M95" s="37">
        <f t="shared" si="33"/>
        <v>3995.6749999999997</v>
      </c>
      <c r="N95" s="37">
        <f t="shared" si="34"/>
        <v>1994.9624999999999</v>
      </c>
      <c r="O95" s="37">
        <f t="shared" si="35"/>
        <v>20681.599999999999</v>
      </c>
      <c r="P95" s="37">
        <v>3</v>
      </c>
      <c r="Q95" s="37">
        <v>4</v>
      </c>
      <c r="R95">
        <v>92</v>
      </c>
      <c r="S95" s="37">
        <f>IF($P95&gt;0,INDEX(装备!L$11:L$16,新属性汇总!$P95),0)</f>
        <v>630</v>
      </c>
      <c r="T95" s="37">
        <f>IF($P95&gt;0,INDEX(装备!M$11:M$16,新属性汇总!$P95),0)</f>
        <v>315</v>
      </c>
      <c r="U95" s="37">
        <f>IF($P95&gt;0,INDEX(装备!N$11:N$16,新属性汇总!$P95),0)</f>
        <v>3307.5</v>
      </c>
      <c r="V95" s="37">
        <f>IF($P95&gt;0,INDEX(装备!H$11:H$16,新属性汇总!$P95),0)</f>
        <v>20</v>
      </c>
      <c r="W95" s="37">
        <f>IF($P95&gt;0,INDEX(装备!I$11:I$16,新属性汇总!$P95),0)</f>
        <v>10</v>
      </c>
      <c r="X95" s="37">
        <f>IF($P95&gt;0,INDEX(装备!J$11:J$16,新属性汇总!$P95),0)</f>
        <v>125</v>
      </c>
      <c r="Y95" s="37">
        <f t="shared" si="36"/>
        <v>2470</v>
      </c>
      <c r="Z95" s="37">
        <f t="shared" si="37"/>
        <v>1235</v>
      </c>
      <c r="AA95" s="37">
        <f t="shared" si="38"/>
        <v>14807.5</v>
      </c>
      <c r="AB95" s="37">
        <v>0.65</v>
      </c>
      <c r="AC95" s="37">
        <f>IF(P95&gt;0,INDEX(装备!$BP$5:$BP$16,新属性汇总!P95),0)</f>
        <v>3</v>
      </c>
      <c r="AD95" s="37">
        <f>IF($P95&gt;0,ROUND(INDEX(装备!AY$11:AY$16,新属性汇总!$P95)*$AC95/3,0)*8*AB95,0)</f>
        <v>764.4</v>
      </c>
      <c r="AE95" s="37">
        <f>IF($P95&gt;0,ROUND(INDEX(装备!AZ$11:AZ$16,新属性汇总!$P95)*$AC95/3,0)*8*AB95,0)</f>
        <v>286</v>
      </c>
      <c r="AF95" s="37">
        <f>IF($P95&gt;0,ROUND(INDEX(装备!BA$11:BA$16,新属性汇总!$P95)*$AC95/3,0)*8*AB95,0)</f>
        <v>3010.8</v>
      </c>
      <c r="AG95" s="37">
        <f>IF(新属性汇总!P95&gt;0,INDEX(装备!$AP$11:$AP$16,新属性汇总!$P95)*2,0)</f>
        <v>3316</v>
      </c>
      <c r="AH95" s="37">
        <v>0</v>
      </c>
      <c r="AI95" s="37">
        <f>IF(新属性汇总!P95&gt;0,INDEX(装备!$AP$11:$AP$16,新属性汇总!$P95)*2,0)</f>
        <v>3316</v>
      </c>
      <c r="AJ95" s="37">
        <v>15</v>
      </c>
      <c r="AK95" s="37">
        <f>IF($AJ95&gt;0,INDEX(专属武器!H$4:H$53,新属性汇总!$AJ95),0)</f>
        <v>1362</v>
      </c>
      <c r="AL95" s="37">
        <f>IF($AJ95&gt;0,INDEX(专属武器!I$4:I$53,新属性汇总!$AJ95),0)</f>
        <v>679</v>
      </c>
      <c r="AM95" s="37">
        <f>IF($AJ95&gt;0,INDEX(专属武器!J$4:J$53,新属性汇总!$AJ95),0)</f>
        <v>6127</v>
      </c>
      <c r="AQ95" s="13">
        <v>91</v>
      </c>
      <c r="AR95" s="13">
        <f t="shared" si="39"/>
        <v>3905.3999999999996</v>
      </c>
      <c r="AS95" s="13">
        <f t="shared" si="40"/>
        <v>1949.8249999999998</v>
      </c>
      <c r="AT95" s="13">
        <f t="shared" si="41"/>
        <v>20275.649999999998</v>
      </c>
      <c r="AU95" s="13">
        <f t="shared" si="42"/>
        <v>2450</v>
      </c>
      <c r="AV95" s="13">
        <f t="shared" si="43"/>
        <v>1225</v>
      </c>
      <c r="AW95" s="13">
        <f t="shared" si="44"/>
        <v>14682.5</v>
      </c>
      <c r="AX95" s="13">
        <f t="shared" si="45"/>
        <v>764.4</v>
      </c>
      <c r="AY95" s="13">
        <f t="shared" si="46"/>
        <v>286</v>
      </c>
      <c r="AZ95" s="13">
        <f t="shared" si="47"/>
        <v>3010.8</v>
      </c>
      <c r="BA95" s="13">
        <f t="shared" si="48"/>
        <v>3316</v>
      </c>
      <c r="BB95" s="13">
        <f t="shared" si="49"/>
        <v>0</v>
      </c>
      <c r="BC95" s="13">
        <f t="shared" si="50"/>
        <v>3316</v>
      </c>
      <c r="BD95" s="13">
        <f t="shared" si="51"/>
        <v>1362</v>
      </c>
      <c r="BE95" s="13">
        <f t="shared" si="52"/>
        <v>679</v>
      </c>
      <c r="BF95" s="13">
        <f t="shared" si="53"/>
        <v>6127</v>
      </c>
      <c r="BG95" s="13">
        <f t="shared" si="54"/>
        <v>59300</v>
      </c>
      <c r="BH95" s="13">
        <f t="shared" si="55"/>
        <v>39182</v>
      </c>
      <c r="BI95" s="13">
        <f t="shared" si="56"/>
        <v>9692</v>
      </c>
      <c r="BJ95" s="13">
        <f t="shared" si="57"/>
        <v>19896</v>
      </c>
      <c r="BK95" s="13">
        <f t="shared" si="58"/>
        <v>19727</v>
      </c>
      <c r="BL95" s="13">
        <f t="shared" si="59"/>
        <v>147797</v>
      </c>
      <c r="BM95" s="31">
        <f t="shared" si="60"/>
        <v>0.4012</v>
      </c>
      <c r="BN95" s="31">
        <f t="shared" si="61"/>
        <v>0.2651</v>
      </c>
      <c r="BO95" s="31">
        <f t="shared" si="62"/>
        <v>6.5600000000000006E-2</v>
      </c>
      <c r="BP95" s="31">
        <f t="shared" si="63"/>
        <v>0.1346</v>
      </c>
      <c r="BQ95" s="31">
        <f t="shared" si="64"/>
        <v>0.13350000000000001</v>
      </c>
    </row>
    <row r="96" spans="1:69" ht="16.5" x14ac:dyDescent="0.2">
      <c r="A96" s="37">
        <v>93</v>
      </c>
      <c r="B96" s="37">
        <v>10</v>
      </c>
      <c r="C96" s="37">
        <v>1</v>
      </c>
      <c r="D96" s="37">
        <v>3</v>
      </c>
      <c r="E96" s="37">
        <v>93</v>
      </c>
      <c r="F96" s="37">
        <f>INDEX(新属性投放!$L$6:$L$10,新属性汇总!D96)</f>
        <v>1.1499999999999999</v>
      </c>
      <c r="G96" s="37">
        <f>INDEX(新属性投放!J$42:J$62,新属性汇总!$B96)</f>
        <v>3317.5</v>
      </c>
      <c r="H96" s="37">
        <f>INDEX(新属性投放!K$42:K$62,新属性汇总!$B96)</f>
        <v>1656.25</v>
      </c>
      <c r="I96" s="37">
        <f>INDEX(新属性投放!L$42:L$62,新属性汇总!$B96)</f>
        <v>17278</v>
      </c>
      <c r="J96" s="37">
        <f>($A96-INDEX(新属性投放!$B$42:$B$62,新属性汇总!$B96))*INDEX(新属性投放!D$42:D$62,新属性汇总!$B96)</f>
        <v>235.5</v>
      </c>
      <c r="K96" s="37">
        <f>($A96-INDEX(新属性投放!$B$42:$B$62,新属性汇总!$B96))*INDEX(新属性投放!E$42:E$62,新属性汇总!$B96)</f>
        <v>117.75</v>
      </c>
      <c r="L96" s="37">
        <f>($A96-INDEX(新属性投放!$B$42:$B$62,新属性汇总!$B96))*INDEX(新属性投放!F$42:F$62,新属性汇总!$B96)</f>
        <v>1059</v>
      </c>
      <c r="M96" s="37">
        <f t="shared" si="33"/>
        <v>4085.95</v>
      </c>
      <c r="N96" s="37">
        <f t="shared" si="34"/>
        <v>2040.1</v>
      </c>
      <c r="O96" s="37">
        <f t="shared" si="35"/>
        <v>21087.55</v>
      </c>
      <c r="P96" s="37">
        <v>3</v>
      </c>
      <c r="Q96" s="37">
        <v>4</v>
      </c>
      <c r="R96">
        <v>93</v>
      </c>
      <c r="S96" s="37">
        <f>IF($P96&gt;0,INDEX(装备!L$11:L$16,新属性汇总!$P96),0)</f>
        <v>630</v>
      </c>
      <c r="T96" s="37">
        <f>IF($P96&gt;0,INDEX(装备!M$11:M$16,新属性汇总!$P96),0)</f>
        <v>315</v>
      </c>
      <c r="U96" s="37">
        <f>IF($P96&gt;0,INDEX(装备!N$11:N$16,新属性汇总!$P96),0)</f>
        <v>3307.5</v>
      </c>
      <c r="V96" s="37">
        <f>IF($P96&gt;0,INDEX(装备!H$11:H$16,新属性汇总!$P96),0)</f>
        <v>20</v>
      </c>
      <c r="W96" s="37">
        <f>IF($P96&gt;0,INDEX(装备!I$11:I$16,新属性汇总!$P96),0)</f>
        <v>10</v>
      </c>
      <c r="X96" s="37">
        <f>IF($P96&gt;0,INDEX(装备!J$11:J$16,新属性汇总!$P96),0)</f>
        <v>125</v>
      </c>
      <c r="Y96" s="37">
        <f t="shared" si="36"/>
        <v>2490</v>
      </c>
      <c r="Z96" s="37">
        <f t="shared" si="37"/>
        <v>1245</v>
      </c>
      <c r="AA96" s="37">
        <f t="shared" si="38"/>
        <v>14932.5</v>
      </c>
      <c r="AB96" s="37">
        <v>0.65</v>
      </c>
      <c r="AC96" s="37">
        <f>IF(P96&gt;0,INDEX(装备!$BP$5:$BP$16,新属性汇总!P96),0)</f>
        <v>3</v>
      </c>
      <c r="AD96" s="37">
        <f>IF($P96&gt;0,ROUND(INDEX(装备!AY$11:AY$16,新属性汇总!$P96)*$AC96/3,0)*8*AB96,0)</f>
        <v>764.4</v>
      </c>
      <c r="AE96" s="37">
        <f>IF($P96&gt;0,ROUND(INDEX(装备!AZ$11:AZ$16,新属性汇总!$P96)*$AC96/3,0)*8*AB96,0)</f>
        <v>286</v>
      </c>
      <c r="AF96" s="37">
        <f>IF($P96&gt;0,ROUND(INDEX(装备!BA$11:BA$16,新属性汇总!$P96)*$AC96/3,0)*8*AB96,0)</f>
        <v>3010.8</v>
      </c>
      <c r="AG96" s="37">
        <f>IF(新属性汇总!P96&gt;0,INDEX(装备!$AP$11:$AP$16,新属性汇总!$P96)*2,0)</f>
        <v>3316</v>
      </c>
      <c r="AH96" s="37">
        <v>0</v>
      </c>
      <c r="AI96" s="37">
        <f>IF(新属性汇总!P96&gt;0,INDEX(装备!$AP$11:$AP$16,新属性汇总!$P96)*2,0)</f>
        <v>3316</v>
      </c>
      <c r="AJ96" s="37">
        <v>15</v>
      </c>
      <c r="AK96" s="37">
        <f>IF($AJ96&gt;0,INDEX(专属武器!H$4:H$53,新属性汇总!$AJ96),0)</f>
        <v>1362</v>
      </c>
      <c r="AL96" s="37">
        <f>IF($AJ96&gt;0,INDEX(专属武器!I$4:I$53,新属性汇总!$AJ96),0)</f>
        <v>679</v>
      </c>
      <c r="AM96" s="37">
        <f>IF($AJ96&gt;0,INDEX(专属武器!J$4:J$53,新属性汇总!$AJ96),0)</f>
        <v>6127</v>
      </c>
      <c r="AQ96" s="13">
        <v>92</v>
      </c>
      <c r="AR96" s="13">
        <f t="shared" si="39"/>
        <v>3995.6749999999997</v>
      </c>
      <c r="AS96" s="13">
        <f t="shared" si="40"/>
        <v>1994.9624999999999</v>
      </c>
      <c r="AT96" s="13">
        <f t="shared" si="41"/>
        <v>20681.599999999999</v>
      </c>
      <c r="AU96" s="13">
        <f t="shared" si="42"/>
        <v>2470</v>
      </c>
      <c r="AV96" s="13">
        <f t="shared" si="43"/>
        <v>1235</v>
      </c>
      <c r="AW96" s="13">
        <f t="shared" si="44"/>
        <v>14807.5</v>
      </c>
      <c r="AX96" s="13">
        <f t="shared" si="45"/>
        <v>764.4</v>
      </c>
      <c r="AY96" s="13">
        <f t="shared" si="46"/>
        <v>286</v>
      </c>
      <c r="AZ96" s="13">
        <f t="shared" si="47"/>
        <v>3010.8</v>
      </c>
      <c r="BA96" s="13">
        <f t="shared" si="48"/>
        <v>3316</v>
      </c>
      <c r="BB96" s="13">
        <f t="shared" si="49"/>
        <v>0</v>
      </c>
      <c r="BC96" s="13">
        <f t="shared" si="50"/>
        <v>3316</v>
      </c>
      <c r="BD96" s="13">
        <f t="shared" si="51"/>
        <v>1362</v>
      </c>
      <c r="BE96" s="13">
        <f t="shared" si="52"/>
        <v>679</v>
      </c>
      <c r="BF96" s="13">
        <f t="shared" si="53"/>
        <v>6127</v>
      </c>
      <c r="BG96" s="13">
        <f t="shared" si="54"/>
        <v>60609</v>
      </c>
      <c r="BH96" s="13">
        <f t="shared" si="55"/>
        <v>39507</v>
      </c>
      <c r="BI96" s="13">
        <f t="shared" si="56"/>
        <v>9692</v>
      </c>
      <c r="BJ96" s="13">
        <f t="shared" si="57"/>
        <v>19896</v>
      </c>
      <c r="BK96" s="13">
        <f t="shared" si="58"/>
        <v>19727</v>
      </c>
      <c r="BL96" s="13">
        <f t="shared" si="59"/>
        <v>149431</v>
      </c>
      <c r="BM96" s="31">
        <f t="shared" si="60"/>
        <v>0.40560000000000002</v>
      </c>
      <c r="BN96" s="31">
        <f t="shared" si="61"/>
        <v>0.26440000000000002</v>
      </c>
      <c r="BO96" s="31">
        <f t="shared" si="62"/>
        <v>6.4899999999999999E-2</v>
      </c>
      <c r="BP96" s="31">
        <f t="shared" si="63"/>
        <v>0.1331</v>
      </c>
      <c r="BQ96" s="31">
        <f t="shared" si="64"/>
        <v>0.13200000000000001</v>
      </c>
    </row>
    <row r="97" spans="1:69" ht="16.5" x14ac:dyDescent="0.2">
      <c r="A97" s="37">
        <v>94</v>
      </c>
      <c r="B97" s="37">
        <v>10</v>
      </c>
      <c r="C97" s="37">
        <v>1</v>
      </c>
      <c r="D97" s="37">
        <v>3</v>
      </c>
      <c r="E97" s="37">
        <v>94</v>
      </c>
      <c r="F97" s="37">
        <f>INDEX(新属性投放!$L$6:$L$10,新属性汇总!D97)</f>
        <v>1.1499999999999999</v>
      </c>
      <c r="G97" s="37">
        <f>INDEX(新属性投放!J$42:J$62,新属性汇总!$B97)</f>
        <v>3317.5</v>
      </c>
      <c r="H97" s="37">
        <f>INDEX(新属性投放!K$42:K$62,新属性汇总!$B97)</f>
        <v>1656.25</v>
      </c>
      <c r="I97" s="37">
        <f>INDEX(新属性投放!L$42:L$62,新属性汇总!$B97)</f>
        <v>17278</v>
      </c>
      <c r="J97" s="37">
        <f>($A97-INDEX(新属性投放!$B$42:$B$62,新属性汇总!$B97))*INDEX(新属性投放!D$42:D$62,新属性汇总!$B97)</f>
        <v>314</v>
      </c>
      <c r="K97" s="37">
        <f>($A97-INDEX(新属性投放!$B$42:$B$62,新属性汇总!$B97))*INDEX(新属性投放!E$42:E$62,新属性汇总!$B97)</f>
        <v>157</v>
      </c>
      <c r="L97" s="37">
        <f>($A97-INDEX(新属性投放!$B$42:$B$62,新属性汇总!$B97))*INDEX(新属性投放!F$42:F$62,新属性汇总!$B97)</f>
        <v>1412</v>
      </c>
      <c r="M97" s="37">
        <f t="shared" si="33"/>
        <v>4176.2249999999995</v>
      </c>
      <c r="N97" s="37">
        <f t="shared" si="34"/>
        <v>2085.2374999999997</v>
      </c>
      <c r="O97" s="37">
        <f t="shared" si="35"/>
        <v>21493.5</v>
      </c>
      <c r="P97" s="37">
        <v>3</v>
      </c>
      <c r="Q97" s="37">
        <v>4</v>
      </c>
      <c r="R97">
        <v>94</v>
      </c>
      <c r="S97" s="37">
        <f>IF($P97&gt;0,INDEX(装备!L$11:L$16,新属性汇总!$P97),0)</f>
        <v>630</v>
      </c>
      <c r="T97" s="37">
        <f>IF($P97&gt;0,INDEX(装备!M$11:M$16,新属性汇总!$P97),0)</f>
        <v>315</v>
      </c>
      <c r="U97" s="37">
        <f>IF($P97&gt;0,INDEX(装备!N$11:N$16,新属性汇总!$P97),0)</f>
        <v>3307.5</v>
      </c>
      <c r="V97" s="37">
        <f>IF($P97&gt;0,INDEX(装备!H$11:H$16,新属性汇总!$P97),0)</f>
        <v>20</v>
      </c>
      <c r="W97" s="37">
        <f>IF($P97&gt;0,INDEX(装备!I$11:I$16,新属性汇总!$P97),0)</f>
        <v>10</v>
      </c>
      <c r="X97" s="37">
        <f>IF($P97&gt;0,INDEX(装备!J$11:J$16,新属性汇总!$P97),0)</f>
        <v>125</v>
      </c>
      <c r="Y97" s="37">
        <f t="shared" si="36"/>
        <v>2510</v>
      </c>
      <c r="Z97" s="37">
        <f t="shared" si="37"/>
        <v>1255</v>
      </c>
      <c r="AA97" s="37">
        <f t="shared" si="38"/>
        <v>15057.5</v>
      </c>
      <c r="AB97" s="37">
        <v>0.65</v>
      </c>
      <c r="AC97" s="37">
        <f>IF(P97&gt;0,INDEX(装备!$BP$5:$BP$16,新属性汇总!P97),0)</f>
        <v>3</v>
      </c>
      <c r="AD97" s="37">
        <f>IF($P97&gt;0,ROUND(INDEX(装备!AY$11:AY$16,新属性汇总!$P97)*$AC97/3,0)*8*AB97,0)</f>
        <v>764.4</v>
      </c>
      <c r="AE97" s="37">
        <f>IF($P97&gt;0,ROUND(INDEX(装备!AZ$11:AZ$16,新属性汇总!$P97)*$AC97/3,0)*8*AB97,0)</f>
        <v>286</v>
      </c>
      <c r="AF97" s="37">
        <f>IF($P97&gt;0,ROUND(INDEX(装备!BA$11:BA$16,新属性汇总!$P97)*$AC97/3,0)*8*AB97,0)</f>
        <v>3010.8</v>
      </c>
      <c r="AG97" s="37">
        <f>IF(新属性汇总!P97&gt;0,INDEX(装备!$AP$11:$AP$16,新属性汇总!$P97)*2,0)</f>
        <v>3316</v>
      </c>
      <c r="AH97" s="37">
        <v>0</v>
      </c>
      <c r="AI97" s="37">
        <f>IF(新属性汇总!P97&gt;0,INDEX(装备!$AP$11:$AP$16,新属性汇总!$P97)*2,0)</f>
        <v>3316</v>
      </c>
      <c r="AJ97" s="37">
        <v>15</v>
      </c>
      <c r="AK97" s="37">
        <f>IF($AJ97&gt;0,INDEX(专属武器!H$4:H$53,新属性汇总!$AJ97),0)</f>
        <v>1362</v>
      </c>
      <c r="AL97" s="37">
        <f>IF($AJ97&gt;0,INDEX(专属武器!I$4:I$53,新属性汇总!$AJ97),0)</f>
        <v>679</v>
      </c>
      <c r="AM97" s="37">
        <f>IF($AJ97&gt;0,INDEX(专属武器!J$4:J$53,新属性汇总!$AJ97),0)</f>
        <v>6127</v>
      </c>
      <c r="AQ97" s="13">
        <v>93</v>
      </c>
      <c r="AR97" s="13">
        <f t="shared" si="39"/>
        <v>4085.95</v>
      </c>
      <c r="AS97" s="13">
        <f t="shared" si="40"/>
        <v>2040.1</v>
      </c>
      <c r="AT97" s="13">
        <f t="shared" si="41"/>
        <v>21087.55</v>
      </c>
      <c r="AU97" s="13">
        <f t="shared" si="42"/>
        <v>2490</v>
      </c>
      <c r="AV97" s="13">
        <f t="shared" si="43"/>
        <v>1245</v>
      </c>
      <c r="AW97" s="13">
        <f t="shared" si="44"/>
        <v>14932.5</v>
      </c>
      <c r="AX97" s="13">
        <f t="shared" si="45"/>
        <v>764.4</v>
      </c>
      <c r="AY97" s="13">
        <f t="shared" si="46"/>
        <v>286</v>
      </c>
      <c r="AZ97" s="13">
        <f t="shared" si="47"/>
        <v>3010.8</v>
      </c>
      <c r="BA97" s="13">
        <f t="shared" si="48"/>
        <v>3316</v>
      </c>
      <c r="BB97" s="13">
        <f t="shared" si="49"/>
        <v>0</v>
      </c>
      <c r="BC97" s="13">
        <f t="shared" si="50"/>
        <v>3316</v>
      </c>
      <c r="BD97" s="13">
        <f t="shared" si="51"/>
        <v>1362</v>
      </c>
      <c r="BE97" s="13">
        <f t="shared" si="52"/>
        <v>679</v>
      </c>
      <c r="BF97" s="13">
        <f t="shared" si="53"/>
        <v>6127</v>
      </c>
      <c r="BG97" s="13">
        <f t="shared" si="54"/>
        <v>61918</v>
      </c>
      <c r="BH97" s="13">
        <f t="shared" si="55"/>
        <v>39832</v>
      </c>
      <c r="BI97" s="13">
        <f t="shared" si="56"/>
        <v>9692</v>
      </c>
      <c r="BJ97" s="13">
        <f t="shared" si="57"/>
        <v>19896</v>
      </c>
      <c r="BK97" s="13">
        <f t="shared" si="58"/>
        <v>19727</v>
      </c>
      <c r="BL97" s="13">
        <f t="shared" si="59"/>
        <v>151065</v>
      </c>
      <c r="BM97" s="31">
        <f t="shared" si="60"/>
        <v>0.40989999999999999</v>
      </c>
      <c r="BN97" s="31">
        <f t="shared" si="61"/>
        <v>0.26369999999999999</v>
      </c>
      <c r="BO97" s="31">
        <f t="shared" si="62"/>
        <v>6.4199999999999993E-2</v>
      </c>
      <c r="BP97" s="31">
        <f t="shared" si="63"/>
        <v>0.13170000000000001</v>
      </c>
      <c r="BQ97" s="31">
        <f t="shared" si="64"/>
        <v>0.13059999999999999</v>
      </c>
    </row>
    <row r="98" spans="1:69" ht="16.5" x14ac:dyDescent="0.2">
      <c r="A98" s="37">
        <v>95</v>
      </c>
      <c r="B98" s="37">
        <v>10</v>
      </c>
      <c r="C98" s="37">
        <v>1</v>
      </c>
      <c r="D98" s="37">
        <v>3</v>
      </c>
      <c r="E98" s="37">
        <v>95</v>
      </c>
      <c r="F98" s="37">
        <f>INDEX(新属性投放!$L$6:$L$10,新属性汇总!D98)</f>
        <v>1.1499999999999999</v>
      </c>
      <c r="G98" s="37">
        <f>INDEX(新属性投放!J$42:J$62,新属性汇总!$B98)</f>
        <v>3317.5</v>
      </c>
      <c r="H98" s="37">
        <f>INDEX(新属性投放!K$42:K$62,新属性汇总!$B98)</f>
        <v>1656.25</v>
      </c>
      <c r="I98" s="37">
        <f>INDEX(新属性投放!L$42:L$62,新属性汇总!$B98)</f>
        <v>17278</v>
      </c>
      <c r="J98" s="37">
        <f>($A98-INDEX(新属性投放!$B$42:$B$62,新属性汇总!$B98))*INDEX(新属性投放!D$42:D$62,新属性汇总!$B98)</f>
        <v>392.5</v>
      </c>
      <c r="K98" s="37">
        <f>($A98-INDEX(新属性投放!$B$42:$B$62,新属性汇总!$B98))*INDEX(新属性投放!E$42:E$62,新属性汇总!$B98)</f>
        <v>196.25</v>
      </c>
      <c r="L98" s="37">
        <f>($A98-INDEX(新属性投放!$B$42:$B$62,新属性汇总!$B98))*INDEX(新属性投放!F$42:F$62,新属性汇总!$B98)</f>
        <v>1765</v>
      </c>
      <c r="M98" s="37">
        <f t="shared" si="33"/>
        <v>4266.5</v>
      </c>
      <c r="N98" s="37">
        <f t="shared" si="34"/>
        <v>2130.375</v>
      </c>
      <c r="O98" s="37">
        <f t="shared" si="35"/>
        <v>21899.449999999997</v>
      </c>
      <c r="P98" s="37">
        <v>3</v>
      </c>
      <c r="Q98" s="37">
        <v>4</v>
      </c>
      <c r="R98">
        <v>95</v>
      </c>
      <c r="S98" s="37">
        <f>IF($P98&gt;0,INDEX(装备!L$11:L$16,新属性汇总!$P98),0)</f>
        <v>630</v>
      </c>
      <c r="T98" s="37">
        <f>IF($P98&gt;0,INDEX(装备!M$11:M$16,新属性汇总!$P98),0)</f>
        <v>315</v>
      </c>
      <c r="U98" s="37">
        <f>IF($P98&gt;0,INDEX(装备!N$11:N$16,新属性汇总!$P98),0)</f>
        <v>3307.5</v>
      </c>
      <c r="V98" s="37">
        <f>IF($P98&gt;0,INDEX(装备!H$11:H$16,新属性汇总!$P98),0)</f>
        <v>20</v>
      </c>
      <c r="W98" s="37">
        <f>IF($P98&gt;0,INDEX(装备!I$11:I$16,新属性汇总!$P98),0)</f>
        <v>10</v>
      </c>
      <c r="X98" s="37">
        <f>IF($P98&gt;0,INDEX(装备!J$11:J$16,新属性汇总!$P98),0)</f>
        <v>125</v>
      </c>
      <c r="Y98" s="37">
        <f t="shared" si="36"/>
        <v>2530</v>
      </c>
      <c r="Z98" s="37">
        <f t="shared" si="37"/>
        <v>1265</v>
      </c>
      <c r="AA98" s="37">
        <f t="shared" si="38"/>
        <v>15182.5</v>
      </c>
      <c r="AB98" s="37">
        <v>0.65</v>
      </c>
      <c r="AC98" s="37">
        <f>IF(P98&gt;0,INDEX(装备!$BP$5:$BP$16,新属性汇总!P98),0)</f>
        <v>3</v>
      </c>
      <c r="AD98" s="37">
        <f>IF($P98&gt;0,ROUND(INDEX(装备!AY$11:AY$16,新属性汇总!$P98)*$AC98/3,0)*8*AB98,0)</f>
        <v>764.4</v>
      </c>
      <c r="AE98" s="37">
        <f>IF($P98&gt;0,ROUND(INDEX(装备!AZ$11:AZ$16,新属性汇总!$P98)*$AC98/3,0)*8*AB98,0)</f>
        <v>286</v>
      </c>
      <c r="AF98" s="37">
        <f>IF($P98&gt;0,ROUND(INDEX(装备!BA$11:BA$16,新属性汇总!$P98)*$AC98/3,0)*8*AB98,0)</f>
        <v>3010.8</v>
      </c>
      <c r="AG98" s="37">
        <f>IF(新属性汇总!P98&gt;0,INDEX(装备!$AP$11:$AP$16,新属性汇总!$P98)*2,0)</f>
        <v>3316</v>
      </c>
      <c r="AH98" s="37">
        <v>0</v>
      </c>
      <c r="AI98" s="37">
        <f>IF(新属性汇总!P98&gt;0,INDEX(装备!$AP$11:$AP$16,新属性汇总!$P98)*2,0)</f>
        <v>3316</v>
      </c>
      <c r="AJ98" s="37">
        <v>16</v>
      </c>
      <c r="AK98" s="37">
        <f>IF($AJ98&gt;0,INDEX(专属武器!H$4:H$53,新属性汇总!$AJ98),0)</f>
        <v>1526</v>
      </c>
      <c r="AL98" s="37">
        <f>IF($AJ98&gt;0,INDEX(专属武器!I$4:I$53,新属性汇总!$AJ98),0)</f>
        <v>761</v>
      </c>
      <c r="AM98" s="37">
        <f>IF($AJ98&gt;0,INDEX(专属武器!J$4:J$53,新属性汇总!$AJ98),0)</f>
        <v>6868</v>
      </c>
      <c r="AQ98" s="13">
        <v>94</v>
      </c>
      <c r="AR98" s="13">
        <f t="shared" si="39"/>
        <v>4176.2249999999995</v>
      </c>
      <c r="AS98" s="13">
        <f t="shared" si="40"/>
        <v>2085.2374999999997</v>
      </c>
      <c r="AT98" s="13">
        <f t="shared" si="41"/>
        <v>21493.5</v>
      </c>
      <c r="AU98" s="13">
        <f t="shared" si="42"/>
        <v>2510</v>
      </c>
      <c r="AV98" s="13">
        <f t="shared" si="43"/>
        <v>1255</v>
      </c>
      <c r="AW98" s="13">
        <f t="shared" si="44"/>
        <v>15057.5</v>
      </c>
      <c r="AX98" s="13">
        <f t="shared" si="45"/>
        <v>764.4</v>
      </c>
      <c r="AY98" s="13">
        <f t="shared" si="46"/>
        <v>286</v>
      </c>
      <c r="AZ98" s="13">
        <f t="shared" si="47"/>
        <v>3010.8</v>
      </c>
      <c r="BA98" s="13">
        <f t="shared" si="48"/>
        <v>3316</v>
      </c>
      <c r="BB98" s="13">
        <f t="shared" si="49"/>
        <v>0</v>
      </c>
      <c r="BC98" s="13">
        <f t="shared" si="50"/>
        <v>3316</v>
      </c>
      <c r="BD98" s="13">
        <f t="shared" si="51"/>
        <v>1362</v>
      </c>
      <c r="BE98" s="13">
        <f t="shared" si="52"/>
        <v>679</v>
      </c>
      <c r="BF98" s="13">
        <f t="shared" si="53"/>
        <v>6127</v>
      </c>
      <c r="BG98" s="13">
        <f t="shared" si="54"/>
        <v>63227</v>
      </c>
      <c r="BH98" s="13">
        <f t="shared" si="55"/>
        <v>40157</v>
      </c>
      <c r="BI98" s="13">
        <f t="shared" si="56"/>
        <v>9692</v>
      </c>
      <c r="BJ98" s="13">
        <f t="shared" si="57"/>
        <v>19896</v>
      </c>
      <c r="BK98" s="13">
        <f t="shared" si="58"/>
        <v>19727</v>
      </c>
      <c r="BL98" s="13">
        <f t="shared" si="59"/>
        <v>152699</v>
      </c>
      <c r="BM98" s="31">
        <f t="shared" si="60"/>
        <v>0.41410000000000002</v>
      </c>
      <c r="BN98" s="31">
        <f t="shared" si="61"/>
        <v>0.26300000000000001</v>
      </c>
      <c r="BO98" s="31">
        <f t="shared" si="62"/>
        <v>6.3500000000000001E-2</v>
      </c>
      <c r="BP98" s="31">
        <f t="shared" si="63"/>
        <v>0.1303</v>
      </c>
      <c r="BQ98" s="31">
        <f t="shared" si="64"/>
        <v>0.12920000000000001</v>
      </c>
    </row>
    <row r="99" spans="1:69" ht="16.5" x14ac:dyDescent="0.2">
      <c r="A99" s="37">
        <v>96</v>
      </c>
      <c r="B99" s="37">
        <v>10</v>
      </c>
      <c r="C99" s="37">
        <v>1</v>
      </c>
      <c r="D99" s="37">
        <v>3</v>
      </c>
      <c r="E99" s="37">
        <v>96</v>
      </c>
      <c r="F99" s="37">
        <f>INDEX(新属性投放!$L$6:$L$10,新属性汇总!D99)</f>
        <v>1.1499999999999999</v>
      </c>
      <c r="G99" s="37">
        <f>INDEX(新属性投放!J$42:J$62,新属性汇总!$B99)</f>
        <v>3317.5</v>
      </c>
      <c r="H99" s="37">
        <f>INDEX(新属性投放!K$42:K$62,新属性汇总!$B99)</f>
        <v>1656.25</v>
      </c>
      <c r="I99" s="37">
        <f>INDEX(新属性投放!L$42:L$62,新属性汇总!$B99)</f>
        <v>17278</v>
      </c>
      <c r="J99" s="37">
        <f>($A99-INDEX(新属性投放!$B$42:$B$62,新属性汇总!$B99))*INDEX(新属性投放!D$42:D$62,新属性汇总!$B99)</f>
        <v>471</v>
      </c>
      <c r="K99" s="37">
        <f>($A99-INDEX(新属性投放!$B$42:$B$62,新属性汇总!$B99))*INDEX(新属性投放!E$42:E$62,新属性汇总!$B99)</f>
        <v>235.5</v>
      </c>
      <c r="L99" s="37">
        <f>($A99-INDEX(新属性投放!$B$42:$B$62,新属性汇总!$B99))*INDEX(新属性投放!F$42:F$62,新属性汇总!$B99)</f>
        <v>2118</v>
      </c>
      <c r="M99" s="37">
        <f t="shared" si="33"/>
        <v>4356.7749999999996</v>
      </c>
      <c r="N99" s="37">
        <f t="shared" si="34"/>
        <v>2175.5124999999998</v>
      </c>
      <c r="O99" s="37">
        <f t="shared" si="35"/>
        <v>22305.399999999998</v>
      </c>
      <c r="P99" s="37">
        <v>3</v>
      </c>
      <c r="Q99" s="37">
        <v>4</v>
      </c>
      <c r="R99">
        <v>96</v>
      </c>
      <c r="S99" s="37">
        <f>IF($P99&gt;0,INDEX(装备!L$11:L$16,新属性汇总!$P99),0)</f>
        <v>630</v>
      </c>
      <c r="T99" s="37">
        <f>IF($P99&gt;0,INDEX(装备!M$11:M$16,新属性汇总!$P99),0)</f>
        <v>315</v>
      </c>
      <c r="U99" s="37">
        <f>IF($P99&gt;0,INDEX(装备!N$11:N$16,新属性汇总!$P99),0)</f>
        <v>3307.5</v>
      </c>
      <c r="V99" s="37">
        <f>IF($P99&gt;0,INDEX(装备!H$11:H$16,新属性汇总!$P99),0)</f>
        <v>20</v>
      </c>
      <c r="W99" s="37">
        <f>IF($P99&gt;0,INDEX(装备!I$11:I$16,新属性汇总!$P99),0)</f>
        <v>10</v>
      </c>
      <c r="X99" s="37">
        <f>IF($P99&gt;0,INDEX(装备!J$11:J$16,新属性汇总!$P99),0)</f>
        <v>125</v>
      </c>
      <c r="Y99" s="37">
        <f t="shared" si="36"/>
        <v>2550</v>
      </c>
      <c r="Z99" s="37">
        <f t="shared" si="37"/>
        <v>1275</v>
      </c>
      <c r="AA99" s="37">
        <f t="shared" si="38"/>
        <v>15307.5</v>
      </c>
      <c r="AB99" s="37">
        <v>0.65</v>
      </c>
      <c r="AC99" s="37">
        <f>IF(P99&gt;0,INDEX(装备!$BP$5:$BP$16,新属性汇总!P99),0)</f>
        <v>3</v>
      </c>
      <c r="AD99" s="37">
        <f>IF($P99&gt;0,ROUND(INDEX(装备!AY$11:AY$16,新属性汇总!$P99)*$AC99/3,0)*8*AB99,0)</f>
        <v>764.4</v>
      </c>
      <c r="AE99" s="37">
        <f>IF($P99&gt;0,ROUND(INDEX(装备!AZ$11:AZ$16,新属性汇总!$P99)*$AC99/3,0)*8*AB99,0)</f>
        <v>286</v>
      </c>
      <c r="AF99" s="37">
        <f>IF($P99&gt;0,ROUND(INDEX(装备!BA$11:BA$16,新属性汇总!$P99)*$AC99/3,0)*8*AB99,0)</f>
        <v>3010.8</v>
      </c>
      <c r="AG99" s="37">
        <f>IF(新属性汇总!P99&gt;0,INDEX(装备!$AP$11:$AP$16,新属性汇总!$P99)*2,0)</f>
        <v>3316</v>
      </c>
      <c r="AH99" s="37">
        <v>0</v>
      </c>
      <c r="AI99" s="37">
        <f>IF(新属性汇总!P99&gt;0,INDEX(装备!$AP$11:$AP$16,新属性汇总!$P99)*2,0)</f>
        <v>3316</v>
      </c>
      <c r="AJ99" s="37">
        <v>16</v>
      </c>
      <c r="AK99" s="37">
        <f>IF($AJ99&gt;0,INDEX(专属武器!H$4:H$53,新属性汇总!$AJ99),0)</f>
        <v>1526</v>
      </c>
      <c r="AL99" s="37">
        <f>IF($AJ99&gt;0,INDEX(专属武器!I$4:I$53,新属性汇总!$AJ99),0)</f>
        <v>761</v>
      </c>
      <c r="AM99" s="37">
        <f>IF($AJ99&gt;0,INDEX(专属武器!J$4:J$53,新属性汇总!$AJ99),0)</f>
        <v>6868</v>
      </c>
      <c r="AQ99" s="13">
        <v>95</v>
      </c>
      <c r="AR99" s="13">
        <f t="shared" si="39"/>
        <v>4266.5</v>
      </c>
      <c r="AS99" s="13">
        <f t="shared" si="40"/>
        <v>2130.375</v>
      </c>
      <c r="AT99" s="13">
        <f t="shared" si="41"/>
        <v>21899.449999999997</v>
      </c>
      <c r="AU99" s="13">
        <f t="shared" si="42"/>
        <v>2530</v>
      </c>
      <c r="AV99" s="13">
        <f t="shared" si="43"/>
        <v>1265</v>
      </c>
      <c r="AW99" s="13">
        <f t="shared" si="44"/>
        <v>15182.5</v>
      </c>
      <c r="AX99" s="13">
        <f t="shared" si="45"/>
        <v>764.4</v>
      </c>
      <c r="AY99" s="13">
        <f t="shared" si="46"/>
        <v>286</v>
      </c>
      <c r="AZ99" s="13">
        <f t="shared" si="47"/>
        <v>3010.8</v>
      </c>
      <c r="BA99" s="13">
        <f t="shared" si="48"/>
        <v>3316</v>
      </c>
      <c r="BB99" s="13">
        <f t="shared" si="49"/>
        <v>0</v>
      </c>
      <c r="BC99" s="13">
        <f t="shared" si="50"/>
        <v>3316</v>
      </c>
      <c r="BD99" s="13">
        <f t="shared" si="51"/>
        <v>1526</v>
      </c>
      <c r="BE99" s="13">
        <f t="shared" si="52"/>
        <v>761</v>
      </c>
      <c r="BF99" s="13">
        <f t="shared" si="53"/>
        <v>6868</v>
      </c>
      <c r="BG99" s="13">
        <f t="shared" si="54"/>
        <v>64535</v>
      </c>
      <c r="BH99" s="13">
        <f t="shared" si="55"/>
        <v>40482</v>
      </c>
      <c r="BI99" s="13">
        <f t="shared" si="56"/>
        <v>9692</v>
      </c>
      <c r="BJ99" s="13">
        <f t="shared" si="57"/>
        <v>19896</v>
      </c>
      <c r="BK99" s="13">
        <f t="shared" si="58"/>
        <v>22108</v>
      </c>
      <c r="BL99" s="13">
        <f t="shared" si="59"/>
        <v>156713</v>
      </c>
      <c r="BM99" s="31">
        <f t="shared" si="60"/>
        <v>0.4118</v>
      </c>
      <c r="BN99" s="31">
        <f t="shared" si="61"/>
        <v>0.25829999999999997</v>
      </c>
      <c r="BO99" s="31">
        <f t="shared" si="62"/>
        <v>6.1800000000000001E-2</v>
      </c>
      <c r="BP99" s="31">
        <f t="shared" si="63"/>
        <v>0.127</v>
      </c>
      <c r="BQ99" s="31">
        <f t="shared" si="64"/>
        <v>0.1411</v>
      </c>
    </row>
    <row r="100" spans="1:69" ht="16.5" x14ac:dyDescent="0.2">
      <c r="A100" s="37">
        <v>97</v>
      </c>
      <c r="B100" s="37">
        <v>10</v>
      </c>
      <c r="C100" s="37">
        <v>1</v>
      </c>
      <c r="D100" s="37">
        <v>3</v>
      </c>
      <c r="E100" s="37">
        <v>97</v>
      </c>
      <c r="F100" s="37">
        <f>INDEX(新属性投放!$L$6:$L$10,新属性汇总!D100)</f>
        <v>1.1499999999999999</v>
      </c>
      <c r="G100" s="37">
        <f>INDEX(新属性投放!J$42:J$62,新属性汇总!$B100)</f>
        <v>3317.5</v>
      </c>
      <c r="H100" s="37">
        <f>INDEX(新属性投放!K$42:K$62,新属性汇总!$B100)</f>
        <v>1656.25</v>
      </c>
      <c r="I100" s="37">
        <f>INDEX(新属性投放!L$42:L$62,新属性汇总!$B100)</f>
        <v>17278</v>
      </c>
      <c r="J100" s="37">
        <f>($A100-INDEX(新属性投放!$B$42:$B$62,新属性汇总!$B100))*INDEX(新属性投放!D$42:D$62,新属性汇总!$B100)</f>
        <v>549.5</v>
      </c>
      <c r="K100" s="37">
        <f>($A100-INDEX(新属性投放!$B$42:$B$62,新属性汇总!$B100))*INDEX(新属性投放!E$42:E$62,新属性汇总!$B100)</f>
        <v>274.75</v>
      </c>
      <c r="L100" s="37">
        <f>($A100-INDEX(新属性投放!$B$42:$B$62,新属性汇总!$B100))*INDEX(新属性投放!F$42:F$62,新属性汇总!$B100)</f>
        <v>2471</v>
      </c>
      <c r="M100" s="37">
        <f t="shared" si="33"/>
        <v>4447.0499999999993</v>
      </c>
      <c r="N100" s="37">
        <f t="shared" si="34"/>
        <v>2220.6499999999996</v>
      </c>
      <c r="O100" s="37">
        <f t="shared" si="35"/>
        <v>22711.35</v>
      </c>
      <c r="P100" s="37">
        <v>3</v>
      </c>
      <c r="Q100" s="37">
        <v>4</v>
      </c>
      <c r="R100">
        <v>97</v>
      </c>
      <c r="S100" s="37">
        <f>IF($P100&gt;0,INDEX(装备!L$11:L$16,新属性汇总!$P100),0)</f>
        <v>630</v>
      </c>
      <c r="T100" s="37">
        <f>IF($P100&gt;0,INDEX(装备!M$11:M$16,新属性汇总!$P100),0)</f>
        <v>315</v>
      </c>
      <c r="U100" s="37">
        <f>IF($P100&gt;0,INDEX(装备!N$11:N$16,新属性汇总!$P100),0)</f>
        <v>3307.5</v>
      </c>
      <c r="V100" s="37">
        <f>IF($P100&gt;0,INDEX(装备!H$11:H$16,新属性汇总!$P100),0)</f>
        <v>20</v>
      </c>
      <c r="W100" s="37">
        <f>IF($P100&gt;0,INDEX(装备!I$11:I$16,新属性汇总!$P100),0)</f>
        <v>10</v>
      </c>
      <c r="X100" s="37">
        <f>IF($P100&gt;0,INDEX(装备!J$11:J$16,新属性汇总!$P100),0)</f>
        <v>125</v>
      </c>
      <c r="Y100" s="37">
        <f t="shared" si="36"/>
        <v>2570</v>
      </c>
      <c r="Z100" s="37">
        <f t="shared" si="37"/>
        <v>1285</v>
      </c>
      <c r="AA100" s="37">
        <f t="shared" si="38"/>
        <v>15432.5</v>
      </c>
      <c r="AB100" s="37">
        <v>0.65</v>
      </c>
      <c r="AC100" s="37">
        <f>IF(P100&gt;0,INDEX(装备!$BP$5:$BP$16,新属性汇总!P100),0)</f>
        <v>3</v>
      </c>
      <c r="AD100" s="37">
        <f>IF($P100&gt;0,ROUND(INDEX(装备!AY$11:AY$16,新属性汇总!$P100)*$AC100/3,0)*8*AB100,0)</f>
        <v>764.4</v>
      </c>
      <c r="AE100" s="37">
        <f>IF($P100&gt;0,ROUND(INDEX(装备!AZ$11:AZ$16,新属性汇总!$P100)*$AC100/3,0)*8*AB100,0)</f>
        <v>286</v>
      </c>
      <c r="AF100" s="37">
        <f>IF($P100&gt;0,ROUND(INDEX(装备!BA$11:BA$16,新属性汇总!$P100)*$AC100/3,0)*8*AB100,0)</f>
        <v>3010.8</v>
      </c>
      <c r="AG100" s="37">
        <f>IF(新属性汇总!P100&gt;0,INDEX(装备!$AP$11:$AP$16,新属性汇总!$P100)*2,0)</f>
        <v>3316</v>
      </c>
      <c r="AH100" s="37">
        <v>0</v>
      </c>
      <c r="AI100" s="37">
        <f>IF(新属性汇总!P100&gt;0,INDEX(装备!$AP$11:$AP$16,新属性汇总!$P100)*2,0)</f>
        <v>3316</v>
      </c>
      <c r="AJ100" s="37">
        <v>16</v>
      </c>
      <c r="AK100" s="37">
        <f>IF($AJ100&gt;0,INDEX(专属武器!H$4:H$53,新属性汇总!$AJ100),0)</f>
        <v>1526</v>
      </c>
      <c r="AL100" s="37">
        <f>IF($AJ100&gt;0,INDEX(专属武器!I$4:I$53,新属性汇总!$AJ100),0)</f>
        <v>761</v>
      </c>
      <c r="AM100" s="37">
        <f>IF($AJ100&gt;0,INDEX(专属武器!J$4:J$53,新属性汇总!$AJ100),0)</f>
        <v>6868</v>
      </c>
      <c r="AQ100" s="13">
        <v>96</v>
      </c>
      <c r="AR100" s="13">
        <f t="shared" si="39"/>
        <v>4356.7749999999996</v>
      </c>
      <c r="AS100" s="13">
        <f t="shared" si="40"/>
        <v>2175.5124999999998</v>
      </c>
      <c r="AT100" s="13">
        <f t="shared" si="41"/>
        <v>22305.399999999998</v>
      </c>
      <c r="AU100" s="13">
        <f t="shared" si="42"/>
        <v>2550</v>
      </c>
      <c r="AV100" s="13">
        <f t="shared" si="43"/>
        <v>1275</v>
      </c>
      <c r="AW100" s="13">
        <f t="shared" si="44"/>
        <v>15307.5</v>
      </c>
      <c r="AX100" s="13">
        <f t="shared" si="45"/>
        <v>764.4</v>
      </c>
      <c r="AY100" s="13">
        <f t="shared" si="46"/>
        <v>286</v>
      </c>
      <c r="AZ100" s="13">
        <f t="shared" si="47"/>
        <v>3010.8</v>
      </c>
      <c r="BA100" s="13">
        <f t="shared" si="48"/>
        <v>3316</v>
      </c>
      <c r="BB100" s="13">
        <f t="shared" si="49"/>
        <v>0</v>
      </c>
      <c r="BC100" s="13">
        <f t="shared" si="50"/>
        <v>3316</v>
      </c>
      <c r="BD100" s="13">
        <f t="shared" si="51"/>
        <v>1526</v>
      </c>
      <c r="BE100" s="13">
        <f t="shared" si="52"/>
        <v>761</v>
      </c>
      <c r="BF100" s="13">
        <f t="shared" si="53"/>
        <v>6868</v>
      </c>
      <c r="BG100" s="13">
        <f t="shared" si="54"/>
        <v>65844</v>
      </c>
      <c r="BH100" s="13">
        <f t="shared" si="55"/>
        <v>40807</v>
      </c>
      <c r="BI100" s="13">
        <f t="shared" si="56"/>
        <v>9692</v>
      </c>
      <c r="BJ100" s="13">
        <f t="shared" si="57"/>
        <v>19896</v>
      </c>
      <c r="BK100" s="13">
        <f t="shared" si="58"/>
        <v>22108</v>
      </c>
      <c r="BL100" s="13">
        <f t="shared" si="59"/>
        <v>158347</v>
      </c>
      <c r="BM100" s="31">
        <f t="shared" si="60"/>
        <v>0.4158</v>
      </c>
      <c r="BN100" s="31">
        <f t="shared" si="61"/>
        <v>0.25769999999999998</v>
      </c>
      <c r="BO100" s="31">
        <f t="shared" si="62"/>
        <v>6.1199999999999997E-2</v>
      </c>
      <c r="BP100" s="31">
        <f t="shared" si="63"/>
        <v>0.12559999999999999</v>
      </c>
      <c r="BQ100" s="31">
        <f t="shared" si="64"/>
        <v>0.1396</v>
      </c>
    </row>
    <row r="101" spans="1:69" ht="16.5" x14ac:dyDescent="0.2">
      <c r="A101" s="37">
        <v>98</v>
      </c>
      <c r="B101" s="37">
        <v>10</v>
      </c>
      <c r="C101" s="37">
        <v>1</v>
      </c>
      <c r="D101" s="37">
        <v>3</v>
      </c>
      <c r="E101" s="37">
        <v>98</v>
      </c>
      <c r="F101" s="37">
        <f>INDEX(新属性投放!$L$6:$L$10,新属性汇总!D101)</f>
        <v>1.1499999999999999</v>
      </c>
      <c r="G101" s="37">
        <f>INDEX(新属性投放!J$42:J$62,新属性汇总!$B101)</f>
        <v>3317.5</v>
      </c>
      <c r="H101" s="37">
        <f>INDEX(新属性投放!K$42:K$62,新属性汇总!$B101)</f>
        <v>1656.25</v>
      </c>
      <c r="I101" s="37">
        <f>INDEX(新属性投放!L$42:L$62,新属性汇总!$B101)</f>
        <v>17278</v>
      </c>
      <c r="J101" s="37">
        <f>($A101-INDEX(新属性投放!$B$42:$B$62,新属性汇总!$B101))*INDEX(新属性投放!D$42:D$62,新属性汇总!$B101)</f>
        <v>628</v>
      </c>
      <c r="K101" s="37">
        <f>($A101-INDEX(新属性投放!$B$42:$B$62,新属性汇总!$B101))*INDEX(新属性投放!E$42:E$62,新属性汇总!$B101)</f>
        <v>314</v>
      </c>
      <c r="L101" s="37">
        <f>($A101-INDEX(新属性投放!$B$42:$B$62,新属性汇总!$B101))*INDEX(新属性投放!F$42:F$62,新属性汇总!$B101)</f>
        <v>2824</v>
      </c>
      <c r="M101" s="37">
        <f t="shared" si="33"/>
        <v>4537.3249999999998</v>
      </c>
      <c r="N101" s="37">
        <f t="shared" si="34"/>
        <v>2265.7874999999999</v>
      </c>
      <c r="O101" s="37">
        <f t="shared" si="35"/>
        <v>23117.3</v>
      </c>
      <c r="P101" s="37">
        <v>3</v>
      </c>
      <c r="Q101" s="37">
        <v>4</v>
      </c>
      <c r="R101">
        <v>98</v>
      </c>
      <c r="S101" s="37">
        <f>IF($P101&gt;0,INDEX(装备!L$11:L$16,新属性汇总!$P101),0)</f>
        <v>630</v>
      </c>
      <c r="T101" s="37">
        <f>IF($P101&gt;0,INDEX(装备!M$11:M$16,新属性汇总!$P101),0)</f>
        <v>315</v>
      </c>
      <c r="U101" s="37">
        <f>IF($P101&gt;0,INDEX(装备!N$11:N$16,新属性汇总!$P101),0)</f>
        <v>3307.5</v>
      </c>
      <c r="V101" s="37">
        <f>IF($P101&gt;0,INDEX(装备!H$11:H$16,新属性汇总!$P101),0)</f>
        <v>20</v>
      </c>
      <c r="W101" s="37">
        <f>IF($P101&gt;0,INDEX(装备!I$11:I$16,新属性汇总!$P101),0)</f>
        <v>10</v>
      </c>
      <c r="X101" s="37">
        <f>IF($P101&gt;0,INDEX(装备!J$11:J$16,新属性汇总!$P101),0)</f>
        <v>125</v>
      </c>
      <c r="Y101" s="37">
        <f t="shared" si="36"/>
        <v>2590</v>
      </c>
      <c r="Z101" s="37">
        <f t="shared" si="37"/>
        <v>1295</v>
      </c>
      <c r="AA101" s="37">
        <f t="shared" si="38"/>
        <v>15557.5</v>
      </c>
      <c r="AB101" s="37">
        <v>0.65</v>
      </c>
      <c r="AC101" s="37">
        <f>IF(P101&gt;0,INDEX(装备!$BP$5:$BP$16,新属性汇总!P101),0)</f>
        <v>3</v>
      </c>
      <c r="AD101" s="37">
        <f>IF($P101&gt;0,ROUND(INDEX(装备!AY$11:AY$16,新属性汇总!$P101)*$AC101/3,0)*8*AB101,0)</f>
        <v>764.4</v>
      </c>
      <c r="AE101" s="37">
        <f>IF($P101&gt;0,ROUND(INDEX(装备!AZ$11:AZ$16,新属性汇总!$P101)*$AC101/3,0)*8*AB101,0)</f>
        <v>286</v>
      </c>
      <c r="AF101" s="37">
        <f>IF($P101&gt;0,ROUND(INDEX(装备!BA$11:BA$16,新属性汇总!$P101)*$AC101/3,0)*8*AB101,0)</f>
        <v>3010.8</v>
      </c>
      <c r="AG101" s="37">
        <f>IF(新属性汇总!P101&gt;0,INDEX(装备!$AP$11:$AP$16,新属性汇总!$P101)*2,0)</f>
        <v>3316</v>
      </c>
      <c r="AH101" s="37">
        <v>0</v>
      </c>
      <c r="AI101" s="37">
        <f>IF(新属性汇总!P101&gt;0,INDEX(装备!$AP$11:$AP$16,新属性汇总!$P101)*2,0)</f>
        <v>3316</v>
      </c>
      <c r="AJ101" s="37">
        <v>16</v>
      </c>
      <c r="AK101" s="37">
        <f>IF($AJ101&gt;0,INDEX(专属武器!H$4:H$53,新属性汇总!$AJ101),0)</f>
        <v>1526</v>
      </c>
      <c r="AL101" s="37">
        <f>IF($AJ101&gt;0,INDEX(专属武器!I$4:I$53,新属性汇总!$AJ101),0)</f>
        <v>761</v>
      </c>
      <c r="AM101" s="37">
        <f>IF($AJ101&gt;0,INDEX(专属武器!J$4:J$53,新属性汇总!$AJ101),0)</f>
        <v>6868</v>
      </c>
      <c r="AQ101" s="13">
        <v>97</v>
      </c>
      <c r="AR101" s="13">
        <f t="shared" si="39"/>
        <v>4447.0499999999993</v>
      </c>
      <c r="AS101" s="13">
        <f t="shared" si="40"/>
        <v>2220.6499999999996</v>
      </c>
      <c r="AT101" s="13">
        <f t="shared" si="41"/>
        <v>22711.35</v>
      </c>
      <c r="AU101" s="13">
        <f t="shared" si="42"/>
        <v>2570</v>
      </c>
      <c r="AV101" s="13">
        <f t="shared" si="43"/>
        <v>1285</v>
      </c>
      <c r="AW101" s="13">
        <f t="shared" si="44"/>
        <v>15432.5</v>
      </c>
      <c r="AX101" s="13">
        <f t="shared" si="45"/>
        <v>764.4</v>
      </c>
      <c r="AY101" s="13">
        <f t="shared" si="46"/>
        <v>286</v>
      </c>
      <c r="AZ101" s="13">
        <f t="shared" si="47"/>
        <v>3010.8</v>
      </c>
      <c r="BA101" s="13">
        <f t="shared" si="48"/>
        <v>3316</v>
      </c>
      <c r="BB101" s="13">
        <f t="shared" si="49"/>
        <v>0</v>
      </c>
      <c r="BC101" s="13">
        <f t="shared" si="50"/>
        <v>3316</v>
      </c>
      <c r="BD101" s="13">
        <f t="shared" si="51"/>
        <v>1526</v>
      </c>
      <c r="BE101" s="13">
        <f t="shared" si="52"/>
        <v>761</v>
      </c>
      <c r="BF101" s="13">
        <f t="shared" si="53"/>
        <v>6868</v>
      </c>
      <c r="BG101" s="13">
        <f t="shared" si="54"/>
        <v>67153</v>
      </c>
      <c r="BH101" s="13">
        <f t="shared" si="55"/>
        <v>41132</v>
      </c>
      <c r="BI101" s="13">
        <f t="shared" si="56"/>
        <v>9692</v>
      </c>
      <c r="BJ101" s="13">
        <f t="shared" si="57"/>
        <v>19896</v>
      </c>
      <c r="BK101" s="13">
        <f t="shared" si="58"/>
        <v>22108</v>
      </c>
      <c r="BL101" s="13">
        <f t="shared" si="59"/>
        <v>159981</v>
      </c>
      <c r="BM101" s="31">
        <f t="shared" si="60"/>
        <v>0.41980000000000001</v>
      </c>
      <c r="BN101" s="31">
        <f t="shared" si="61"/>
        <v>0.2571</v>
      </c>
      <c r="BO101" s="31">
        <f t="shared" si="62"/>
        <v>6.0600000000000001E-2</v>
      </c>
      <c r="BP101" s="31">
        <f t="shared" si="63"/>
        <v>0.1244</v>
      </c>
      <c r="BQ101" s="31">
        <f t="shared" si="64"/>
        <v>0.13819999999999999</v>
      </c>
    </row>
    <row r="102" spans="1:69" ht="16.5" x14ac:dyDescent="0.2">
      <c r="A102" s="37">
        <v>99</v>
      </c>
      <c r="B102" s="37">
        <v>10</v>
      </c>
      <c r="C102" s="37">
        <v>1</v>
      </c>
      <c r="D102" s="37">
        <v>3</v>
      </c>
      <c r="E102" s="37">
        <v>99</v>
      </c>
      <c r="F102" s="37">
        <f>INDEX(新属性投放!$L$6:$L$10,新属性汇总!D102)</f>
        <v>1.1499999999999999</v>
      </c>
      <c r="G102" s="37">
        <f>INDEX(新属性投放!J$42:J$62,新属性汇总!$B102)</f>
        <v>3317.5</v>
      </c>
      <c r="H102" s="37">
        <f>INDEX(新属性投放!K$42:K$62,新属性汇总!$B102)</f>
        <v>1656.25</v>
      </c>
      <c r="I102" s="37">
        <f>INDEX(新属性投放!L$42:L$62,新属性汇总!$B102)</f>
        <v>17278</v>
      </c>
      <c r="J102" s="37">
        <f>($A102-INDEX(新属性投放!$B$42:$B$62,新属性汇总!$B102))*INDEX(新属性投放!D$42:D$62,新属性汇总!$B102)</f>
        <v>706.5</v>
      </c>
      <c r="K102" s="37">
        <f>($A102-INDEX(新属性投放!$B$42:$B$62,新属性汇总!$B102))*INDEX(新属性投放!E$42:E$62,新属性汇总!$B102)</f>
        <v>353.25</v>
      </c>
      <c r="L102" s="37">
        <f>($A102-INDEX(新属性投放!$B$42:$B$62,新属性汇总!$B102))*INDEX(新属性投放!F$42:F$62,新属性汇总!$B102)</f>
        <v>3177</v>
      </c>
      <c r="M102" s="37">
        <f t="shared" si="33"/>
        <v>4627.5999999999995</v>
      </c>
      <c r="N102" s="37">
        <f t="shared" si="34"/>
        <v>2310.9249999999997</v>
      </c>
      <c r="O102" s="37">
        <f t="shared" si="35"/>
        <v>23523.25</v>
      </c>
      <c r="P102" s="37">
        <v>3</v>
      </c>
      <c r="Q102" s="37">
        <v>4</v>
      </c>
      <c r="R102">
        <v>99</v>
      </c>
      <c r="S102" s="37">
        <f>IF($P102&gt;0,INDEX(装备!L$11:L$16,新属性汇总!$P102),0)</f>
        <v>630</v>
      </c>
      <c r="T102" s="37">
        <f>IF($P102&gt;0,INDEX(装备!M$11:M$16,新属性汇总!$P102),0)</f>
        <v>315</v>
      </c>
      <c r="U102" s="37">
        <f>IF($P102&gt;0,INDEX(装备!N$11:N$16,新属性汇总!$P102),0)</f>
        <v>3307.5</v>
      </c>
      <c r="V102" s="37">
        <f>IF($P102&gt;0,INDEX(装备!H$11:H$16,新属性汇总!$P102),0)</f>
        <v>20</v>
      </c>
      <c r="W102" s="37">
        <f>IF($P102&gt;0,INDEX(装备!I$11:I$16,新属性汇总!$P102),0)</f>
        <v>10</v>
      </c>
      <c r="X102" s="37">
        <f>IF($P102&gt;0,INDEX(装备!J$11:J$16,新属性汇总!$P102),0)</f>
        <v>125</v>
      </c>
      <c r="Y102" s="37">
        <f t="shared" si="36"/>
        <v>2610</v>
      </c>
      <c r="Z102" s="37">
        <f t="shared" si="37"/>
        <v>1305</v>
      </c>
      <c r="AA102" s="37">
        <f t="shared" si="38"/>
        <v>15682.5</v>
      </c>
      <c r="AB102" s="37">
        <v>0.65</v>
      </c>
      <c r="AC102" s="37">
        <f>IF(P102&gt;0,INDEX(装备!$BP$5:$BP$16,新属性汇总!P102),0)</f>
        <v>3</v>
      </c>
      <c r="AD102" s="37">
        <f>IF($P102&gt;0,ROUND(INDEX(装备!AY$11:AY$16,新属性汇总!$P102)*$AC102/3,0)*8*AB102,0)</f>
        <v>764.4</v>
      </c>
      <c r="AE102" s="37">
        <f>IF($P102&gt;0,ROUND(INDEX(装备!AZ$11:AZ$16,新属性汇总!$P102)*$AC102/3,0)*8*AB102,0)</f>
        <v>286</v>
      </c>
      <c r="AF102" s="37">
        <f>IF($P102&gt;0,ROUND(INDEX(装备!BA$11:BA$16,新属性汇总!$P102)*$AC102/3,0)*8*AB102,0)</f>
        <v>3010.8</v>
      </c>
      <c r="AG102" s="37">
        <f>IF(新属性汇总!P102&gt;0,INDEX(装备!$AP$11:$AP$16,新属性汇总!$P102)*2,0)</f>
        <v>3316</v>
      </c>
      <c r="AH102" s="37">
        <v>0</v>
      </c>
      <c r="AI102" s="37">
        <f>IF(新属性汇总!P102&gt;0,INDEX(装备!$AP$11:$AP$16,新属性汇总!$P102)*2,0)</f>
        <v>3316</v>
      </c>
      <c r="AJ102" s="37">
        <v>16</v>
      </c>
      <c r="AK102" s="37">
        <f>IF($AJ102&gt;0,INDEX(专属武器!H$4:H$53,新属性汇总!$AJ102),0)</f>
        <v>1526</v>
      </c>
      <c r="AL102" s="37">
        <f>IF($AJ102&gt;0,INDEX(专属武器!I$4:I$53,新属性汇总!$AJ102),0)</f>
        <v>761</v>
      </c>
      <c r="AM102" s="37">
        <f>IF($AJ102&gt;0,INDEX(专属武器!J$4:J$53,新属性汇总!$AJ102),0)</f>
        <v>6868</v>
      </c>
      <c r="AQ102" s="13">
        <v>98</v>
      </c>
      <c r="AR102" s="13">
        <f t="shared" si="39"/>
        <v>4537.3249999999998</v>
      </c>
      <c r="AS102" s="13">
        <f t="shared" si="40"/>
        <v>2265.7874999999999</v>
      </c>
      <c r="AT102" s="13">
        <f t="shared" si="41"/>
        <v>23117.3</v>
      </c>
      <c r="AU102" s="13">
        <f t="shared" si="42"/>
        <v>2590</v>
      </c>
      <c r="AV102" s="13">
        <f t="shared" si="43"/>
        <v>1295</v>
      </c>
      <c r="AW102" s="13">
        <f t="shared" si="44"/>
        <v>15557.5</v>
      </c>
      <c r="AX102" s="13">
        <f t="shared" si="45"/>
        <v>764.4</v>
      </c>
      <c r="AY102" s="13">
        <f t="shared" si="46"/>
        <v>286</v>
      </c>
      <c r="AZ102" s="13">
        <f t="shared" si="47"/>
        <v>3010.8</v>
      </c>
      <c r="BA102" s="13">
        <f t="shared" si="48"/>
        <v>3316</v>
      </c>
      <c r="BB102" s="13">
        <f t="shared" si="49"/>
        <v>0</v>
      </c>
      <c r="BC102" s="13">
        <f t="shared" si="50"/>
        <v>3316</v>
      </c>
      <c r="BD102" s="13">
        <f t="shared" si="51"/>
        <v>1526</v>
      </c>
      <c r="BE102" s="13">
        <f t="shared" si="52"/>
        <v>761</v>
      </c>
      <c r="BF102" s="13">
        <f t="shared" si="53"/>
        <v>6868</v>
      </c>
      <c r="BG102" s="13">
        <f t="shared" si="54"/>
        <v>68461</v>
      </c>
      <c r="BH102" s="13">
        <f t="shared" si="55"/>
        <v>41457</v>
      </c>
      <c r="BI102" s="13">
        <f t="shared" si="56"/>
        <v>9692</v>
      </c>
      <c r="BJ102" s="13">
        <f t="shared" si="57"/>
        <v>19896</v>
      </c>
      <c r="BK102" s="13">
        <f t="shared" si="58"/>
        <v>22108</v>
      </c>
      <c r="BL102" s="13">
        <f t="shared" si="59"/>
        <v>161614</v>
      </c>
      <c r="BM102" s="31">
        <f t="shared" si="60"/>
        <v>0.42359999999999998</v>
      </c>
      <c r="BN102" s="31">
        <f t="shared" si="61"/>
        <v>0.25650000000000001</v>
      </c>
      <c r="BO102" s="31">
        <f t="shared" si="62"/>
        <v>0.06</v>
      </c>
      <c r="BP102" s="31">
        <f t="shared" si="63"/>
        <v>0.1231</v>
      </c>
      <c r="BQ102" s="31">
        <f t="shared" si="64"/>
        <v>0.1368</v>
      </c>
    </row>
    <row r="103" spans="1:69" ht="16.5" x14ac:dyDescent="0.2">
      <c r="A103" s="37">
        <v>100</v>
      </c>
      <c r="B103" s="37">
        <v>11</v>
      </c>
      <c r="C103" s="37">
        <v>1</v>
      </c>
      <c r="D103" s="37">
        <v>3</v>
      </c>
      <c r="E103" s="37">
        <v>100</v>
      </c>
      <c r="F103" s="37">
        <f>INDEX(新属性投放!$L$6:$L$10,新属性汇总!D103)</f>
        <v>1.1499999999999999</v>
      </c>
      <c r="G103" s="37">
        <f>INDEX(新属性投放!J$42:J$62,新属性汇总!$B103)</f>
        <v>4298.5</v>
      </c>
      <c r="H103" s="37">
        <f>INDEX(新属性投放!K$42:K$62,新属性汇总!$B103)</f>
        <v>2146.75</v>
      </c>
      <c r="I103" s="37">
        <f>INDEX(新属性投放!L$42:L$62,新属性汇总!$B103)</f>
        <v>22572</v>
      </c>
      <c r="J103" s="37">
        <f>($A103-INDEX(新属性投放!$B$42:$B$62,新属性汇总!$B103))*INDEX(新属性投放!D$42:D$62,新属性汇总!$B103)</f>
        <v>0</v>
      </c>
      <c r="K103" s="37">
        <f>($A103-INDEX(新属性投放!$B$42:$B$62,新属性汇总!$B103))*INDEX(新属性投放!E$42:E$62,新属性汇总!$B103)</f>
        <v>0</v>
      </c>
      <c r="L103" s="37">
        <f>($A103-INDEX(新属性投放!$B$42:$B$62,新属性汇总!$B103))*INDEX(新属性投放!F$42:F$62,新属性汇总!$B103)</f>
        <v>0</v>
      </c>
      <c r="M103" s="37">
        <f t="shared" si="33"/>
        <v>4943.2749999999996</v>
      </c>
      <c r="N103" s="37">
        <f t="shared" si="34"/>
        <v>2468.7624999999998</v>
      </c>
      <c r="O103" s="37">
        <f t="shared" si="35"/>
        <v>25957.8</v>
      </c>
      <c r="P103" s="37">
        <v>3</v>
      </c>
      <c r="Q103" s="37">
        <v>4</v>
      </c>
      <c r="R103">
        <v>100</v>
      </c>
      <c r="S103" s="37">
        <f>IF($P103&gt;0,INDEX(装备!L$11:L$16,新属性汇总!$P103),0)</f>
        <v>630</v>
      </c>
      <c r="T103" s="37">
        <f>IF($P103&gt;0,INDEX(装备!M$11:M$16,新属性汇总!$P103),0)</f>
        <v>315</v>
      </c>
      <c r="U103" s="37">
        <f>IF($P103&gt;0,INDEX(装备!N$11:N$16,新属性汇总!$P103),0)</f>
        <v>3307.5</v>
      </c>
      <c r="V103" s="37">
        <f>IF($P103&gt;0,INDEX(装备!H$11:H$16,新属性汇总!$P103),0)</f>
        <v>20</v>
      </c>
      <c r="W103" s="37">
        <f>IF($P103&gt;0,INDEX(装备!I$11:I$16,新属性汇总!$P103),0)</f>
        <v>10</v>
      </c>
      <c r="X103" s="37">
        <f>IF($P103&gt;0,INDEX(装备!J$11:J$16,新属性汇总!$P103),0)</f>
        <v>125</v>
      </c>
      <c r="Y103" s="37">
        <f t="shared" si="36"/>
        <v>2630</v>
      </c>
      <c r="Z103" s="37">
        <f t="shared" si="37"/>
        <v>1315</v>
      </c>
      <c r="AA103" s="37">
        <f t="shared" si="38"/>
        <v>15807.5</v>
      </c>
      <c r="AB103" s="37">
        <v>0.65</v>
      </c>
      <c r="AC103" s="37">
        <f>IF(P103&gt;0,INDEX(装备!$BP$5:$BP$16,新属性汇总!P103),0)</f>
        <v>3</v>
      </c>
      <c r="AD103" s="37">
        <f>IF($P103&gt;0,ROUND(INDEX(装备!AY$11:AY$16,新属性汇总!$P103)*$AC103/3,0)*8*AB103,0)</f>
        <v>764.4</v>
      </c>
      <c r="AE103" s="37">
        <f>IF($P103&gt;0,ROUND(INDEX(装备!AZ$11:AZ$16,新属性汇总!$P103)*$AC103/3,0)*8*AB103,0)</f>
        <v>286</v>
      </c>
      <c r="AF103" s="37">
        <f>IF($P103&gt;0,ROUND(INDEX(装备!BA$11:BA$16,新属性汇总!$P103)*$AC103/3,0)*8*AB103,0)</f>
        <v>3010.8</v>
      </c>
      <c r="AG103" s="37">
        <f>IF(新属性汇总!P103&gt;0,INDEX(装备!$AP$11:$AP$16,新属性汇总!$P103)*2,0)</f>
        <v>3316</v>
      </c>
      <c r="AH103" s="37">
        <v>0</v>
      </c>
      <c r="AI103" s="37">
        <f>IF(新属性汇总!P103&gt;0,INDEX(装备!$AP$11:$AP$16,新属性汇总!$P103)*2,0)</f>
        <v>3316</v>
      </c>
      <c r="AJ103" s="37">
        <v>21</v>
      </c>
      <c r="AK103" s="37">
        <f>IF($AJ103&gt;0,INDEX(专属武器!H$4:H$53,新属性汇总!$AJ103),0)</f>
        <v>2632</v>
      </c>
      <c r="AL103" s="37">
        <f>IF($AJ103&gt;0,INDEX(专属武器!I$4:I$53,新属性汇总!$AJ103),0)</f>
        <v>1312</v>
      </c>
      <c r="AM103" s="37">
        <f>IF($AJ103&gt;0,INDEX(专属武器!J$4:J$53,新属性汇总!$AJ103),0)</f>
        <v>11851</v>
      </c>
      <c r="AQ103" s="13">
        <v>99</v>
      </c>
      <c r="AR103" s="13">
        <f t="shared" si="39"/>
        <v>4627.5999999999995</v>
      </c>
      <c r="AS103" s="13">
        <f t="shared" si="40"/>
        <v>2310.9249999999997</v>
      </c>
      <c r="AT103" s="13">
        <f t="shared" si="41"/>
        <v>23523.25</v>
      </c>
      <c r="AU103" s="13">
        <f t="shared" si="42"/>
        <v>2610</v>
      </c>
      <c r="AV103" s="13">
        <f t="shared" si="43"/>
        <v>1305</v>
      </c>
      <c r="AW103" s="13">
        <f t="shared" si="44"/>
        <v>15682.5</v>
      </c>
      <c r="AX103" s="13">
        <f t="shared" si="45"/>
        <v>764.4</v>
      </c>
      <c r="AY103" s="13">
        <f t="shared" si="46"/>
        <v>286</v>
      </c>
      <c r="AZ103" s="13">
        <f t="shared" si="47"/>
        <v>3010.8</v>
      </c>
      <c r="BA103" s="13">
        <f t="shared" si="48"/>
        <v>3316</v>
      </c>
      <c r="BB103" s="13">
        <f t="shared" si="49"/>
        <v>0</v>
      </c>
      <c r="BC103" s="13">
        <f t="shared" si="50"/>
        <v>3316</v>
      </c>
      <c r="BD103" s="13">
        <f t="shared" si="51"/>
        <v>1526</v>
      </c>
      <c r="BE103" s="13">
        <f t="shared" si="52"/>
        <v>761</v>
      </c>
      <c r="BF103" s="13">
        <f t="shared" si="53"/>
        <v>6868</v>
      </c>
      <c r="BG103" s="13">
        <f t="shared" si="54"/>
        <v>69770</v>
      </c>
      <c r="BH103" s="13">
        <f t="shared" si="55"/>
        <v>41782</v>
      </c>
      <c r="BI103" s="13">
        <f t="shared" si="56"/>
        <v>9692</v>
      </c>
      <c r="BJ103" s="13">
        <f t="shared" si="57"/>
        <v>19896</v>
      </c>
      <c r="BK103" s="13">
        <f t="shared" si="58"/>
        <v>22108</v>
      </c>
      <c r="BL103" s="13">
        <f t="shared" si="59"/>
        <v>163248</v>
      </c>
      <c r="BM103" s="31">
        <f t="shared" si="60"/>
        <v>0.4274</v>
      </c>
      <c r="BN103" s="31">
        <f t="shared" si="61"/>
        <v>0.25590000000000002</v>
      </c>
      <c r="BO103" s="31">
        <f t="shared" si="62"/>
        <v>5.9400000000000001E-2</v>
      </c>
      <c r="BP103" s="31">
        <f t="shared" si="63"/>
        <v>0.12189999999999999</v>
      </c>
      <c r="BQ103" s="31">
        <f t="shared" si="64"/>
        <v>0.13539999999999999</v>
      </c>
    </row>
    <row r="104" spans="1:69" ht="16.5" x14ac:dyDescent="0.2">
      <c r="A104" s="37">
        <v>101</v>
      </c>
      <c r="B104" s="37">
        <v>11</v>
      </c>
      <c r="C104" s="37">
        <v>1</v>
      </c>
      <c r="D104" s="37">
        <v>3</v>
      </c>
      <c r="E104" s="37">
        <v>101</v>
      </c>
      <c r="F104" s="37">
        <f>INDEX(新属性投放!$L$6:$L$10,新属性汇总!D104)</f>
        <v>1.1499999999999999</v>
      </c>
      <c r="G104" s="37">
        <f>INDEX(新属性投放!J$42:J$62,新属性汇总!$B104)</f>
        <v>4298.5</v>
      </c>
      <c r="H104" s="37">
        <f>INDEX(新属性投放!K$42:K$62,新属性汇总!$B104)</f>
        <v>2146.75</v>
      </c>
      <c r="I104" s="37">
        <f>INDEX(新属性投放!L$42:L$62,新属性汇总!$B104)</f>
        <v>22572</v>
      </c>
      <c r="J104" s="37">
        <f>($A104-INDEX(新属性投放!$B$42:$B$62,新属性汇总!$B104))*INDEX(新属性投放!D$42:D$62,新属性汇总!$B104)</f>
        <v>103.34</v>
      </c>
      <c r="K104" s="37">
        <f>($A104-INDEX(新属性投放!$B$42:$B$62,新属性汇总!$B104))*INDEX(新属性投放!E$42:E$62,新属性汇总!$B104)</f>
        <v>51.67</v>
      </c>
      <c r="L104" s="37">
        <f>($A104-INDEX(新属性投放!$B$42:$B$62,新属性汇总!$B104))*INDEX(新属性投放!F$42:F$62,新属性汇总!$B104)</f>
        <v>465</v>
      </c>
      <c r="M104" s="37">
        <f t="shared" si="33"/>
        <v>5062.116</v>
      </c>
      <c r="N104" s="37">
        <f t="shared" si="34"/>
        <v>2528.183</v>
      </c>
      <c r="O104" s="37">
        <f t="shared" si="35"/>
        <v>26492.55</v>
      </c>
      <c r="P104" s="37">
        <v>3</v>
      </c>
      <c r="Q104" s="37">
        <v>4</v>
      </c>
      <c r="R104">
        <v>101</v>
      </c>
      <c r="S104" s="37">
        <f>IF($P104&gt;0,INDEX(装备!L$11:L$16,新属性汇总!$P104),0)</f>
        <v>630</v>
      </c>
      <c r="T104" s="37">
        <f>IF($P104&gt;0,INDEX(装备!M$11:M$16,新属性汇总!$P104),0)</f>
        <v>315</v>
      </c>
      <c r="U104" s="37">
        <f>IF($P104&gt;0,INDEX(装备!N$11:N$16,新属性汇总!$P104),0)</f>
        <v>3307.5</v>
      </c>
      <c r="V104" s="37">
        <f>IF($P104&gt;0,INDEX(装备!H$11:H$16,新属性汇总!$P104),0)</f>
        <v>20</v>
      </c>
      <c r="W104" s="37">
        <f>IF($P104&gt;0,INDEX(装备!I$11:I$16,新属性汇总!$P104),0)</f>
        <v>10</v>
      </c>
      <c r="X104" s="37">
        <f>IF($P104&gt;0,INDEX(装备!J$11:J$16,新属性汇总!$P104),0)</f>
        <v>125</v>
      </c>
      <c r="Y104" s="37">
        <f t="shared" si="36"/>
        <v>2650</v>
      </c>
      <c r="Z104" s="37">
        <f t="shared" si="37"/>
        <v>1325</v>
      </c>
      <c r="AA104" s="37">
        <f t="shared" si="38"/>
        <v>15932.5</v>
      </c>
      <c r="AB104" s="37">
        <v>0.65</v>
      </c>
      <c r="AC104" s="37">
        <f>IF(P104&gt;0,INDEX(装备!$BP$5:$BP$16,新属性汇总!P104),0)</f>
        <v>3</v>
      </c>
      <c r="AD104" s="37">
        <f>IF($P104&gt;0,ROUND(INDEX(装备!AY$11:AY$16,新属性汇总!$P104)*$AC104/3,0)*8*AB104,0)</f>
        <v>764.4</v>
      </c>
      <c r="AE104" s="37">
        <f>IF($P104&gt;0,ROUND(INDEX(装备!AZ$11:AZ$16,新属性汇总!$P104)*$AC104/3,0)*8*AB104,0)</f>
        <v>286</v>
      </c>
      <c r="AF104" s="37">
        <f>IF($P104&gt;0,ROUND(INDEX(装备!BA$11:BA$16,新属性汇总!$P104)*$AC104/3,0)*8*AB104,0)</f>
        <v>3010.8</v>
      </c>
      <c r="AG104" s="37">
        <f>IF(新属性汇总!P104&gt;0,INDEX(装备!$AP$11:$AP$16,新属性汇总!$P104)*2,0)</f>
        <v>3316</v>
      </c>
      <c r="AH104" s="37">
        <v>0</v>
      </c>
      <c r="AI104" s="37">
        <f>IF(新属性汇总!P104&gt;0,INDEX(装备!$AP$11:$AP$16,新属性汇总!$P104)*2,0)</f>
        <v>3316</v>
      </c>
      <c r="AJ104" s="37">
        <v>21</v>
      </c>
      <c r="AK104" s="37">
        <f>IF($AJ104&gt;0,INDEX(专属武器!H$4:H$53,新属性汇总!$AJ104),0)</f>
        <v>2632</v>
      </c>
      <c r="AL104" s="37">
        <f>IF($AJ104&gt;0,INDEX(专属武器!I$4:I$53,新属性汇总!$AJ104),0)</f>
        <v>1312</v>
      </c>
      <c r="AM104" s="37">
        <f>IF($AJ104&gt;0,INDEX(专属武器!J$4:J$53,新属性汇总!$AJ104),0)</f>
        <v>11851</v>
      </c>
      <c r="AQ104" s="13">
        <v>100</v>
      </c>
      <c r="AR104" s="13">
        <f t="shared" si="39"/>
        <v>4943.2749999999996</v>
      </c>
      <c r="AS104" s="13">
        <f t="shared" si="40"/>
        <v>2468.7624999999998</v>
      </c>
      <c r="AT104" s="13">
        <f t="shared" si="41"/>
        <v>25957.8</v>
      </c>
      <c r="AU104" s="13">
        <f t="shared" si="42"/>
        <v>2630</v>
      </c>
      <c r="AV104" s="13">
        <f t="shared" si="43"/>
        <v>1315</v>
      </c>
      <c r="AW104" s="13">
        <f t="shared" si="44"/>
        <v>15807.5</v>
      </c>
      <c r="AX104" s="13">
        <f t="shared" si="45"/>
        <v>764.4</v>
      </c>
      <c r="AY104" s="13">
        <f t="shared" si="46"/>
        <v>286</v>
      </c>
      <c r="AZ104" s="13">
        <f t="shared" si="47"/>
        <v>3010.8</v>
      </c>
      <c r="BA104" s="13">
        <f t="shared" si="48"/>
        <v>3316</v>
      </c>
      <c r="BB104" s="13">
        <f t="shared" si="49"/>
        <v>0</v>
      </c>
      <c r="BC104" s="13">
        <f t="shared" si="50"/>
        <v>3316</v>
      </c>
      <c r="BD104" s="13">
        <f t="shared" si="51"/>
        <v>2632</v>
      </c>
      <c r="BE104" s="13">
        <f t="shared" si="52"/>
        <v>1312</v>
      </c>
      <c r="BF104" s="13">
        <f t="shared" si="53"/>
        <v>11851</v>
      </c>
      <c r="BG104" s="13">
        <f t="shared" si="54"/>
        <v>75361</v>
      </c>
      <c r="BH104" s="13">
        <f t="shared" si="55"/>
        <v>42107</v>
      </c>
      <c r="BI104" s="13">
        <f t="shared" si="56"/>
        <v>9692</v>
      </c>
      <c r="BJ104" s="13">
        <f t="shared" si="57"/>
        <v>19896</v>
      </c>
      <c r="BK104" s="13">
        <f t="shared" si="58"/>
        <v>38131</v>
      </c>
      <c r="BL104" s="13">
        <f t="shared" si="59"/>
        <v>185187</v>
      </c>
      <c r="BM104" s="31">
        <f t="shared" si="60"/>
        <v>0.40689999999999998</v>
      </c>
      <c r="BN104" s="31">
        <f t="shared" si="61"/>
        <v>0.22739999999999999</v>
      </c>
      <c r="BO104" s="31">
        <f t="shared" si="62"/>
        <v>5.2299999999999999E-2</v>
      </c>
      <c r="BP104" s="31">
        <f t="shared" si="63"/>
        <v>0.1074</v>
      </c>
      <c r="BQ104" s="31">
        <f t="shared" si="64"/>
        <v>0.2059</v>
      </c>
    </row>
    <row r="105" spans="1:69" ht="16.5" x14ac:dyDescent="0.2">
      <c r="A105" s="37">
        <v>102</v>
      </c>
      <c r="B105" s="37">
        <v>11</v>
      </c>
      <c r="C105" s="37">
        <v>1</v>
      </c>
      <c r="D105" s="37">
        <v>3</v>
      </c>
      <c r="E105" s="37">
        <v>102</v>
      </c>
      <c r="F105" s="37">
        <f>INDEX(新属性投放!$L$6:$L$10,新属性汇总!D105)</f>
        <v>1.1499999999999999</v>
      </c>
      <c r="G105" s="37">
        <f>INDEX(新属性投放!J$42:J$62,新属性汇总!$B105)</f>
        <v>4298.5</v>
      </c>
      <c r="H105" s="37">
        <f>INDEX(新属性投放!K$42:K$62,新属性汇总!$B105)</f>
        <v>2146.75</v>
      </c>
      <c r="I105" s="37">
        <f>INDEX(新属性投放!L$42:L$62,新属性汇总!$B105)</f>
        <v>22572</v>
      </c>
      <c r="J105" s="37">
        <f>($A105-INDEX(新属性投放!$B$42:$B$62,新属性汇总!$B105))*INDEX(新属性投放!D$42:D$62,新属性汇总!$B105)</f>
        <v>206.68</v>
      </c>
      <c r="K105" s="37">
        <f>($A105-INDEX(新属性投放!$B$42:$B$62,新属性汇总!$B105))*INDEX(新属性投放!E$42:E$62,新属性汇总!$B105)</f>
        <v>103.34</v>
      </c>
      <c r="L105" s="37">
        <f>($A105-INDEX(新属性投放!$B$42:$B$62,新属性汇总!$B105))*INDEX(新属性投放!F$42:F$62,新属性汇总!$B105)</f>
        <v>930</v>
      </c>
      <c r="M105" s="37">
        <f t="shared" si="33"/>
        <v>5180.9570000000003</v>
      </c>
      <c r="N105" s="37">
        <f t="shared" si="34"/>
        <v>2587.6035000000002</v>
      </c>
      <c r="O105" s="37">
        <f t="shared" si="35"/>
        <v>27027.3</v>
      </c>
      <c r="P105" s="37">
        <v>3</v>
      </c>
      <c r="Q105" s="37">
        <v>4</v>
      </c>
      <c r="R105">
        <v>102</v>
      </c>
      <c r="S105" s="37">
        <f>IF($P105&gt;0,INDEX(装备!L$11:L$16,新属性汇总!$P105),0)</f>
        <v>630</v>
      </c>
      <c r="T105" s="37">
        <f>IF($P105&gt;0,INDEX(装备!M$11:M$16,新属性汇总!$P105),0)</f>
        <v>315</v>
      </c>
      <c r="U105" s="37">
        <f>IF($P105&gt;0,INDEX(装备!N$11:N$16,新属性汇总!$P105),0)</f>
        <v>3307.5</v>
      </c>
      <c r="V105" s="37">
        <f>IF($P105&gt;0,INDEX(装备!H$11:H$16,新属性汇总!$P105),0)</f>
        <v>20</v>
      </c>
      <c r="W105" s="37">
        <f>IF($P105&gt;0,INDEX(装备!I$11:I$16,新属性汇总!$P105),0)</f>
        <v>10</v>
      </c>
      <c r="X105" s="37">
        <f>IF($P105&gt;0,INDEX(装备!J$11:J$16,新属性汇总!$P105),0)</f>
        <v>125</v>
      </c>
      <c r="Y105" s="37">
        <f t="shared" si="36"/>
        <v>2670</v>
      </c>
      <c r="Z105" s="37">
        <f t="shared" si="37"/>
        <v>1335</v>
      </c>
      <c r="AA105" s="37">
        <f t="shared" si="38"/>
        <v>16057.5</v>
      </c>
      <c r="AB105" s="37">
        <v>0.65</v>
      </c>
      <c r="AC105" s="37">
        <f>IF(P105&gt;0,INDEX(装备!$BP$5:$BP$16,新属性汇总!P105),0)</f>
        <v>3</v>
      </c>
      <c r="AD105" s="37">
        <f>IF($P105&gt;0,ROUND(INDEX(装备!AY$11:AY$16,新属性汇总!$P105)*$AC105/3,0)*8*AB105,0)</f>
        <v>764.4</v>
      </c>
      <c r="AE105" s="37">
        <f>IF($P105&gt;0,ROUND(INDEX(装备!AZ$11:AZ$16,新属性汇总!$P105)*$AC105/3,0)*8*AB105,0)</f>
        <v>286</v>
      </c>
      <c r="AF105" s="37">
        <f>IF($P105&gt;0,ROUND(INDEX(装备!BA$11:BA$16,新属性汇总!$P105)*$AC105/3,0)*8*AB105,0)</f>
        <v>3010.8</v>
      </c>
      <c r="AG105" s="37">
        <f>IF(新属性汇总!P105&gt;0,INDEX(装备!$AP$11:$AP$16,新属性汇总!$P105)*2,0)</f>
        <v>3316</v>
      </c>
      <c r="AH105" s="37">
        <v>0</v>
      </c>
      <c r="AI105" s="37">
        <f>IF(新属性汇总!P105&gt;0,INDEX(装备!$AP$11:$AP$16,新属性汇总!$P105)*2,0)</f>
        <v>3316</v>
      </c>
      <c r="AJ105" s="37">
        <v>22</v>
      </c>
      <c r="AK105" s="37">
        <f>IF($AJ105&gt;0,INDEX(专属武器!H$4:H$53,新属性汇总!$AJ105),0)</f>
        <v>2916</v>
      </c>
      <c r="AL105" s="37">
        <f>IF($AJ105&gt;0,INDEX(专属武器!I$4:I$53,新属性汇总!$AJ105),0)</f>
        <v>1454</v>
      </c>
      <c r="AM105" s="37">
        <f>IF($AJ105&gt;0,INDEX(专属武器!J$4:J$53,新属性汇总!$AJ105),0)</f>
        <v>13132</v>
      </c>
      <c r="AQ105" s="13">
        <v>101</v>
      </c>
      <c r="AR105" s="13">
        <f t="shared" si="39"/>
        <v>5062.116</v>
      </c>
      <c r="AS105" s="13">
        <f t="shared" si="40"/>
        <v>2528.183</v>
      </c>
      <c r="AT105" s="13">
        <f t="shared" si="41"/>
        <v>26492.55</v>
      </c>
      <c r="AU105" s="13">
        <f t="shared" si="42"/>
        <v>2650</v>
      </c>
      <c r="AV105" s="13">
        <f t="shared" si="43"/>
        <v>1325</v>
      </c>
      <c r="AW105" s="13">
        <f t="shared" si="44"/>
        <v>15932.5</v>
      </c>
      <c r="AX105" s="13">
        <f t="shared" si="45"/>
        <v>764.4</v>
      </c>
      <c r="AY105" s="13">
        <f t="shared" si="46"/>
        <v>286</v>
      </c>
      <c r="AZ105" s="13">
        <f t="shared" si="47"/>
        <v>3010.8</v>
      </c>
      <c r="BA105" s="13">
        <f t="shared" si="48"/>
        <v>3316</v>
      </c>
      <c r="BB105" s="13">
        <f t="shared" si="49"/>
        <v>0</v>
      </c>
      <c r="BC105" s="13">
        <f t="shared" si="50"/>
        <v>3316</v>
      </c>
      <c r="BD105" s="13">
        <f t="shared" si="51"/>
        <v>2632</v>
      </c>
      <c r="BE105" s="13">
        <f t="shared" si="52"/>
        <v>1312</v>
      </c>
      <c r="BF105" s="13">
        <f t="shared" si="53"/>
        <v>11851</v>
      </c>
      <c r="BG105" s="13">
        <f t="shared" si="54"/>
        <v>77084</v>
      </c>
      <c r="BH105" s="13">
        <f t="shared" si="55"/>
        <v>42432</v>
      </c>
      <c r="BI105" s="13">
        <f t="shared" si="56"/>
        <v>9692</v>
      </c>
      <c r="BJ105" s="13">
        <f t="shared" si="57"/>
        <v>19896</v>
      </c>
      <c r="BK105" s="13">
        <f t="shared" si="58"/>
        <v>38131</v>
      </c>
      <c r="BL105" s="13">
        <f t="shared" si="59"/>
        <v>187235</v>
      </c>
      <c r="BM105" s="31">
        <f t="shared" si="60"/>
        <v>0.41170000000000001</v>
      </c>
      <c r="BN105" s="31">
        <f t="shared" si="61"/>
        <v>0.2266</v>
      </c>
      <c r="BO105" s="31">
        <f t="shared" si="62"/>
        <v>5.1799999999999999E-2</v>
      </c>
      <c r="BP105" s="31">
        <f t="shared" si="63"/>
        <v>0.10630000000000001</v>
      </c>
      <c r="BQ105" s="31">
        <f t="shared" si="64"/>
        <v>0.20369999999999999</v>
      </c>
    </row>
    <row r="106" spans="1:69" ht="16.5" x14ac:dyDescent="0.2">
      <c r="A106" s="37">
        <v>103</v>
      </c>
      <c r="B106" s="37">
        <v>11</v>
      </c>
      <c r="C106" s="37">
        <v>1</v>
      </c>
      <c r="D106" s="37">
        <v>3</v>
      </c>
      <c r="E106" s="37">
        <v>103</v>
      </c>
      <c r="F106" s="37">
        <f>INDEX(新属性投放!$L$6:$L$10,新属性汇总!D106)</f>
        <v>1.1499999999999999</v>
      </c>
      <c r="G106" s="37">
        <f>INDEX(新属性投放!J$42:J$62,新属性汇总!$B106)</f>
        <v>4298.5</v>
      </c>
      <c r="H106" s="37">
        <f>INDEX(新属性投放!K$42:K$62,新属性汇总!$B106)</f>
        <v>2146.75</v>
      </c>
      <c r="I106" s="37">
        <f>INDEX(新属性投放!L$42:L$62,新属性汇总!$B106)</f>
        <v>22572</v>
      </c>
      <c r="J106" s="37">
        <f>($A106-INDEX(新属性投放!$B$42:$B$62,新属性汇总!$B106))*INDEX(新属性投放!D$42:D$62,新属性汇总!$B106)</f>
        <v>310.02</v>
      </c>
      <c r="K106" s="37">
        <f>($A106-INDEX(新属性投放!$B$42:$B$62,新属性汇总!$B106))*INDEX(新属性投放!E$42:E$62,新属性汇总!$B106)</f>
        <v>155.01</v>
      </c>
      <c r="L106" s="37">
        <f>($A106-INDEX(新属性投放!$B$42:$B$62,新属性汇总!$B106))*INDEX(新属性投放!F$42:F$62,新属性汇总!$B106)</f>
        <v>1395</v>
      </c>
      <c r="M106" s="37">
        <f t="shared" si="33"/>
        <v>5299.7979999999998</v>
      </c>
      <c r="N106" s="37">
        <f t="shared" si="34"/>
        <v>2647.0239999999999</v>
      </c>
      <c r="O106" s="37">
        <f t="shared" si="35"/>
        <v>27562.05</v>
      </c>
      <c r="P106" s="37">
        <v>3</v>
      </c>
      <c r="Q106" s="37">
        <v>4</v>
      </c>
      <c r="R106">
        <v>103</v>
      </c>
      <c r="S106" s="37">
        <f>IF($P106&gt;0,INDEX(装备!L$11:L$16,新属性汇总!$P106),0)</f>
        <v>630</v>
      </c>
      <c r="T106" s="37">
        <f>IF($P106&gt;0,INDEX(装备!M$11:M$16,新属性汇总!$P106),0)</f>
        <v>315</v>
      </c>
      <c r="U106" s="37">
        <f>IF($P106&gt;0,INDEX(装备!N$11:N$16,新属性汇总!$P106),0)</f>
        <v>3307.5</v>
      </c>
      <c r="V106" s="37">
        <f>IF($P106&gt;0,INDEX(装备!H$11:H$16,新属性汇总!$P106),0)</f>
        <v>20</v>
      </c>
      <c r="W106" s="37">
        <f>IF($P106&gt;0,INDEX(装备!I$11:I$16,新属性汇总!$P106),0)</f>
        <v>10</v>
      </c>
      <c r="X106" s="37">
        <f>IF($P106&gt;0,INDEX(装备!J$11:J$16,新属性汇总!$P106),0)</f>
        <v>125</v>
      </c>
      <c r="Y106" s="37">
        <f t="shared" si="36"/>
        <v>2690</v>
      </c>
      <c r="Z106" s="37">
        <f t="shared" si="37"/>
        <v>1345</v>
      </c>
      <c r="AA106" s="37">
        <f t="shared" si="38"/>
        <v>16182.5</v>
      </c>
      <c r="AB106" s="37">
        <v>0.65</v>
      </c>
      <c r="AC106" s="37">
        <f>IF(P106&gt;0,INDEX(装备!$BP$5:$BP$16,新属性汇总!P106),0)</f>
        <v>3</v>
      </c>
      <c r="AD106" s="37">
        <f>IF($P106&gt;0,ROUND(INDEX(装备!AY$11:AY$16,新属性汇总!$P106)*$AC106/3,0)*8*AB106,0)</f>
        <v>764.4</v>
      </c>
      <c r="AE106" s="37">
        <f>IF($P106&gt;0,ROUND(INDEX(装备!AZ$11:AZ$16,新属性汇总!$P106)*$AC106/3,0)*8*AB106,0)</f>
        <v>286</v>
      </c>
      <c r="AF106" s="37">
        <f>IF($P106&gt;0,ROUND(INDEX(装备!BA$11:BA$16,新属性汇总!$P106)*$AC106/3,0)*8*AB106,0)</f>
        <v>3010.8</v>
      </c>
      <c r="AG106" s="37">
        <f>IF(新属性汇总!P106&gt;0,INDEX(装备!$AP$11:$AP$16,新属性汇总!$P106)*2,0)</f>
        <v>3316</v>
      </c>
      <c r="AH106" s="37">
        <v>0</v>
      </c>
      <c r="AI106" s="37">
        <f>IF(新属性汇总!P106&gt;0,INDEX(装备!$AP$11:$AP$16,新属性汇总!$P106)*2,0)</f>
        <v>3316</v>
      </c>
      <c r="AJ106" s="37">
        <v>22</v>
      </c>
      <c r="AK106" s="37">
        <f>IF($AJ106&gt;0,INDEX(专属武器!H$4:H$53,新属性汇总!$AJ106),0)</f>
        <v>2916</v>
      </c>
      <c r="AL106" s="37">
        <f>IF($AJ106&gt;0,INDEX(专属武器!I$4:I$53,新属性汇总!$AJ106),0)</f>
        <v>1454</v>
      </c>
      <c r="AM106" s="37">
        <f>IF($AJ106&gt;0,INDEX(专属武器!J$4:J$53,新属性汇总!$AJ106),0)</f>
        <v>13132</v>
      </c>
      <c r="AQ106" s="13">
        <v>102</v>
      </c>
      <c r="AR106" s="13">
        <f t="shared" si="39"/>
        <v>5180.9570000000003</v>
      </c>
      <c r="AS106" s="13">
        <f t="shared" si="40"/>
        <v>2587.6035000000002</v>
      </c>
      <c r="AT106" s="13">
        <f t="shared" si="41"/>
        <v>27027.3</v>
      </c>
      <c r="AU106" s="13">
        <f t="shared" si="42"/>
        <v>2670</v>
      </c>
      <c r="AV106" s="13">
        <f t="shared" si="43"/>
        <v>1335</v>
      </c>
      <c r="AW106" s="13">
        <f t="shared" si="44"/>
        <v>16057.5</v>
      </c>
      <c r="AX106" s="13">
        <f t="shared" si="45"/>
        <v>764.4</v>
      </c>
      <c r="AY106" s="13">
        <f t="shared" si="46"/>
        <v>286</v>
      </c>
      <c r="AZ106" s="13">
        <f t="shared" si="47"/>
        <v>3010.8</v>
      </c>
      <c r="BA106" s="13">
        <f t="shared" si="48"/>
        <v>3316</v>
      </c>
      <c r="BB106" s="13">
        <f t="shared" si="49"/>
        <v>0</v>
      </c>
      <c r="BC106" s="13">
        <f t="shared" si="50"/>
        <v>3316</v>
      </c>
      <c r="BD106" s="13">
        <f t="shared" si="51"/>
        <v>2916</v>
      </c>
      <c r="BE106" s="13">
        <f t="shared" si="52"/>
        <v>1454</v>
      </c>
      <c r="BF106" s="13">
        <f t="shared" si="53"/>
        <v>13132</v>
      </c>
      <c r="BG106" s="13">
        <f t="shared" si="54"/>
        <v>78808</v>
      </c>
      <c r="BH106" s="13">
        <f t="shared" si="55"/>
        <v>42757</v>
      </c>
      <c r="BI106" s="13">
        <f t="shared" si="56"/>
        <v>9692</v>
      </c>
      <c r="BJ106" s="13">
        <f t="shared" si="57"/>
        <v>19896</v>
      </c>
      <c r="BK106" s="13">
        <f t="shared" si="58"/>
        <v>42252</v>
      </c>
      <c r="BL106" s="13">
        <f t="shared" si="59"/>
        <v>193405</v>
      </c>
      <c r="BM106" s="31">
        <f t="shared" si="60"/>
        <v>0.40749999999999997</v>
      </c>
      <c r="BN106" s="31">
        <f t="shared" si="61"/>
        <v>0.22109999999999999</v>
      </c>
      <c r="BO106" s="31">
        <f t="shared" si="62"/>
        <v>5.0099999999999999E-2</v>
      </c>
      <c r="BP106" s="31">
        <f t="shared" si="63"/>
        <v>0.10290000000000001</v>
      </c>
      <c r="BQ106" s="31">
        <f t="shared" si="64"/>
        <v>0.2185</v>
      </c>
    </row>
    <row r="107" spans="1:69" ht="16.5" x14ac:dyDescent="0.2">
      <c r="A107" s="37">
        <v>104</v>
      </c>
      <c r="B107" s="37">
        <v>11</v>
      </c>
      <c r="C107" s="37">
        <v>1</v>
      </c>
      <c r="D107" s="37">
        <v>3</v>
      </c>
      <c r="E107" s="37">
        <v>104</v>
      </c>
      <c r="F107" s="37">
        <f>INDEX(新属性投放!$L$6:$L$10,新属性汇总!D107)</f>
        <v>1.1499999999999999</v>
      </c>
      <c r="G107" s="37">
        <f>INDEX(新属性投放!J$42:J$62,新属性汇总!$B107)</f>
        <v>4298.5</v>
      </c>
      <c r="H107" s="37">
        <f>INDEX(新属性投放!K$42:K$62,新属性汇总!$B107)</f>
        <v>2146.75</v>
      </c>
      <c r="I107" s="37">
        <f>INDEX(新属性投放!L$42:L$62,新属性汇总!$B107)</f>
        <v>22572</v>
      </c>
      <c r="J107" s="37">
        <f>($A107-INDEX(新属性投放!$B$42:$B$62,新属性汇总!$B107))*INDEX(新属性投放!D$42:D$62,新属性汇总!$B107)</f>
        <v>413.36</v>
      </c>
      <c r="K107" s="37">
        <f>($A107-INDEX(新属性投放!$B$42:$B$62,新属性汇总!$B107))*INDEX(新属性投放!E$42:E$62,新属性汇总!$B107)</f>
        <v>206.68</v>
      </c>
      <c r="L107" s="37">
        <f>($A107-INDEX(新属性投放!$B$42:$B$62,新属性汇总!$B107))*INDEX(新属性投放!F$42:F$62,新属性汇总!$B107)</f>
        <v>1860</v>
      </c>
      <c r="M107" s="37">
        <f t="shared" si="33"/>
        <v>5418.6389999999992</v>
      </c>
      <c r="N107" s="37">
        <f t="shared" si="34"/>
        <v>2706.4444999999996</v>
      </c>
      <c r="O107" s="37">
        <f t="shared" si="35"/>
        <v>28096.799999999999</v>
      </c>
      <c r="P107" s="37">
        <v>3</v>
      </c>
      <c r="Q107" s="37">
        <v>4</v>
      </c>
      <c r="R107">
        <v>104</v>
      </c>
      <c r="S107" s="37">
        <f>IF($P107&gt;0,INDEX(装备!L$11:L$16,新属性汇总!$P107),0)</f>
        <v>630</v>
      </c>
      <c r="T107" s="37">
        <f>IF($P107&gt;0,INDEX(装备!M$11:M$16,新属性汇总!$P107),0)</f>
        <v>315</v>
      </c>
      <c r="U107" s="37">
        <f>IF($P107&gt;0,INDEX(装备!N$11:N$16,新属性汇总!$P107),0)</f>
        <v>3307.5</v>
      </c>
      <c r="V107" s="37">
        <f>IF($P107&gt;0,INDEX(装备!H$11:H$16,新属性汇总!$P107),0)</f>
        <v>20</v>
      </c>
      <c r="W107" s="37">
        <f>IF($P107&gt;0,INDEX(装备!I$11:I$16,新属性汇总!$P107),0)</f>
        <v>10</v>
      </c>
      <c r="X107" s="37">
        <f>IF($P107&gt;0,INDEX(装备!J$11:J$16,新属性汇总!$P107),0)</f>
        <v>125</v>
      </c>
      <c r="Y107" s="37">
        <f t="shared" si="36"/>
        <v>2710</v>
      </c>
      <c r="Z107" s="37">
        <f t="shared" si="37"/>
        <v>1355</v>
      </c>
      <c r="AA107" s="37">
        <f t="shared" si="38"/>
        <v>16307.5</v>
      </c>
      <c r="AB107" s="37">
        <v>0.65</v>
      </c>
      <c r="AC107" s="37">
        <f>IF(P107&gt;0,INDEX(装备!$BP$5:$BP$16,新属性汇总!P107),0)</f>
        <v>3</v>
      </c>
      <c r="AD107" s="37">
        <f>IF($P107&gt;0,ROUND(INDEX(装备!AY$11:AY$16,新属性汇总!$P107)*$AC107/3,0)*8*AB107,0)</f>
        <v>764.4</v>
      </c>
      <c r="AE107" s="37">
        <f>IF($P107&gt;0,ROUND(INDEX(装备!AZ$11:AZ$16,新属性汇总!$P107)*$AC107/3,0)*8*AB107,0)</f>
        <v>286</v>
      </c>
      <c r="AF107" s="37">
        <f>IF($P107&gt;0,ROUND(INDEX(装备!BA$11:BA$16,新属性汇总!$P107)*$AC107/3,0)*8*AB107,0)</f>
        <v>3010.8</v>
      </c>
      <c r="AG107" s="37">
        <f>IF(新属性汇总!P107&gt;0,INDEX(装备!$AP$11:$AP$16,新属性汇总!$P107)*2,0)</f>
        <v>3316</v>
      </c>
      <c r="AH107" s="37">
        <v>0</v>
      </c>
      <c r="AI107" s="37">
        <f>IF(新属性汇总!P107&gt;0,INDEX(装备!$AP$11:$AP$16,新属性汇总!$P107)*2,0)</f>
        <v>3316</v>
      </c>
      <c r="AJ107" s="37">
        <v>22</v>
      </c>
      <c r="AK107" s="37">
        <f>IF($AJ107&gt;0,INDEX(专属武器!H$4:H$53,新属性汇总!$AJ107),0)</f>
        <v>2916</v>
      </c>
      <c r="AL107" s="37">
        <f>IF($AJ107&gt;0,INDEX(专属武器!I$4:I$53,新属性汇总!$AJ107),0)</f>
        <v>1454</v>
      </c>
      <c r="AM107" s="37">
        <f>IF($AJ107&gt;0,INDEX(专属武器!J$4:J$53,新属性汇总!$AJ107),0)</f>
        <v>13132</v>
      </c>
      <c r="AQ107" s="13">
        <v>103</v>
      </c>
      <c r="AR107" s="13">
        <f t="shared" si="39"/>
        <v>5299.7979999999998</v>
      </c>
      <c r="AS107" s="13">
        <f t="shared" si="40"/>
        <v>2647.0239999999999</v>
      </c>
      <c r="AT107" s="13">
        <f t="shared" si="41"/>
        <v>27562.05</v>
      </c>
      <c r="AU107" s="13">
        <f t="shared" si="42"/>
        <v>2690</v>
      </c>
      <c r="AV107" s="13">
        <f t="shared" si="43"/>
        <v>1345</v>
      </c>
      <c r="AW107" s="13">
        <f t="shared" si="44"/>
        <v>16182.5</v>
      </c>
      <c r="AX107" s="13">
        <f t="shared" si="45"/>
        <v>764.4</v>
      </c>
      <c r="AY107" s="13">
        <f t="shared" si="46"/>
        <v>286</v>
      </c>
      <c r="AZ107" s="13">
        <f t="shared" si="47"/>
        <v>3010.8</v>
      </c>
      <c r="BA107" s="13">
        <f t="shared" si="48"/>
        <v>3316</v>
      </c>
      <c r="BB107" s="13">
        <f t="shared" si="49"/>
        <v>0</v>
      </c>
      <c r="BC107" s="13">
        <f t="shared" si="50"/>
        <v>3316</v>
      </c>
      <c r="BD107" s="13">
        <f t="shared" si="51"/>
        <v>2916</v>
      </c>
      <c r="BE107" s="13">
        <f t="shared" si="52"/>
        <v>1454</v>
      </c>
      <c r="BF107" s="13">
        <f t="shared" si="53"/>
        <v>13132</v>
      </c>
      <c r="BG107" s="13">
        <f t="shared" si="54"/>
        <v>80531</v>
      </c>
      <c r="BH107" s="13">
        <f t="shared" si="55"/>
        <v>43082</v>
      </c>
      <c r="BI107" s="13">
        <f t="shared" si="56"/>
        <v>9692</v>
      </c>
      <c r="BJ107" s="13">
        <f t="shared" si="57"/>
        <v>19896</v>
      </c>
      <c r="BK107" s="13">
        <f t="shared" si="58"/>
        <v>42252</v>
      </c>
      <c r="BL107" s="13">
        <f t="shared" si="59"/>
        <v>195453</v>
      </c>
      <c r="BM107" s="31">
        <f t="shared" si="60"/>
        <v>0.41199999999999998</v>
      </c>
      <c r="BN107" s="31">
        <f t="shared" si="61"/>
        <v>0.22040000000000001</v>
      </c>
      <c r="BO107" s="31">
        <f t="shared" si="62"/>
        <v>4.9599999999999998E-2</v>
      </c>
      <c r="BP107" s="31">
        <f t="shared" si="63"/>
        <v>0.1018</v>
      </c>
      <c r="BQ107" s="31">
        <f t="shared" si="64"/>
        <v>0.2162</v>
      </c>
    </row>
    <row r="108" spans="1:69" ht="16.5" x14ac:dyDescent="0.2">
      <c r="A108" s="37">
        <v>105</v>
      </c>
      <c r="B108" s="37">
        <v>11</v>
      </c>
      <c r="C108" s="37">
        <v>1</v>
      </c>
      <c r="D108" s="37">
        <v>3</v>
      </c>
      <c r="E108" s="37">
        <v>105</v>
      </c>
      <c r="F108" s="37">
        <f>INDEX(新属性投放!$L$6:$L$10,新属性汇总!D108)</f>
        <v>1.1499999999999999</v>
      </c>
      <c r="G108" s="37">
        <f>INDEX(新属性投放!J$42:J$62,新属性汇总!$B108)</f>
        <v>4298.5</v>
      </c>
      <c r="H108" s="37">
        <f>INDEX(新属性投放!K$42:K$62,新属性汇总!$B108)</f>
        <v>2146.75</v>
      </c>
      <c r="I108" s="37">
        <f>INDEX(新属性投放!L$42:L$62,新属性汇总!$B108)</f>
        <v>22572</v>
      </c>
      <c r="J108" s="37">
        <f>($A108-INDEX(新属性投放!$B$42:$B$62,新属性汇总!$B108))*INDEX(新属性投放!D$42:D$62,新属性汇总!$B108)</f>
        <v>516.70000000000005</v>
      </c>
      <c r="K108" s="37">
        <f>($A108-INDEX(新属性投放!$B$42:$B$62,新属性汇总!$B108))*INDEX(新属性投放!E$42:E$62,新属性汇总!$B108)</f>
        <v>258.35000000000002</v>
      </c>
      <c r="L108" s="37">
        <f>($A108-INDEX(新属性投放!$B$42:$B$62,新属性汇总!$B108))*INDEX(新属性投放!F$42:F$62,新属性汇总!$B108)</f>
        <v>2325</v>
      </c>
      <c r="M108" s="37">
        <f t="shared" si="33"/>
        <v>5537.48</v>
      </c>
      <c r="N108" s="37">
        <f t="shared" si="34"/>
        <v>2765.8649999999998</v>
      </c>
      <c r="O108" s="37">
        <f t="shared" si="35"/>
        <v>28631.55</v>
      </c>
      <c r="P108" s="37">
        <v>3</v>
      </c>
      <c r="Q108" s="37">
        <v>4</v>
      </c>
      <c r="R108">
        <v>105</v>
      </c>
      <c r="S108" s="37">
        <f>IF($P108&gt;0,INDEX(装备!L$11:L$16,新属性汇总!$P108),0)</f>
        <v>630</v>
      </c>
      <c r="T108" s="37">
        <f>IF($P108&gt;0,INDEX(装备!M$11:M$16,新属性汇总!$P108),0)</f>
        <v>315</v>
      </c>
      <c r="U108" s="37">
        <f>IF($P108&gt;0,INDEX(装备!N$11:N$16,新属性汇总!$P108),0)</f>
        <v>3307.5</v>
      </c>
      <c r="V108" s="37">
        <f>IF($P108&gt;0,INDEX(装备!H$11:H$16,新属性汇总!$P108),0)</f>
        <v>20</v>
      </c>
      <c r="W108" s="37">
        <f>IF($P108&gt;0,INDEX(装备!I$11:I$16,新属性汇总!$P108),0)</f>
        <v>10</v>
      </c>
      <c r="X108" s="37">
        <f>IF($P108&gt;0,INDEX(装备!J$11:J$16,新属性汇总!$P108),0)</f>
        <v>125</v>
      </c>
      <c r="Y108" s="37">
        <f t="shared" si="36"/>
        <v>2730</v>
      </c>
      <c r="Z108" s="37">
        <f t="shared" si="37"/>
        <v>1365</v>
      </c>
      <c r="AA108" s="37">
        <f t="shared" si="38"/>
        <v>16432.5</v>
      </c>
      <c r="AB108" s="37">
        <v>0.65</v>
      </c>
      <c r="AC108" s="37">
        <f>IF(P108&gt;0,INDEX(装备!$BP$5:$BP$16,新属性汇总!P108),0)</f>
        <v>3</v>
      </c>
      <c r="AD108" s="37">
        <f>IF($P108&gt;0,ROUND(INDEX(装备!AY$11:AY$16,新属性汇总!$P108)*$AC108/3,0)*8*AB108,0)</f>
        <v>764.4</v>
      </c>
      <c r="AE108" s="37">
        <f>IF($P108&gt;0,ROUND(INDEX(装备!AZ$11:AZ$16,新属性汇总!$P108)*$AC108/3,0)*8*AB108,0)</f>
        <v>286</v>
      </c>
      <c r="AF108" s="37">
        <f>IF($P108&gt;0,ROUND(INDEX(装备!BA$11:BA$16,新属性汇总!$P108)*$AC108/3,0)*8*AB108,0)</f>
        <v>3010.8</v>
      </c>
      <c r="AG108" s="37">
        <f>IF(新属性汇总!P108&gt;0,INDEX(装备!$AP$11:$AP$16,新属性汇总!$P108)*2,0)</f>
        <v>3316</v>
      </c>
      <c r="AH108" s="37">
        <v>0</v>
      </c>
      <c r="AI108" s="37">
        <f>IF(新属性汇总!P108&gt;0,INDEX(装备!$AP$11:$AP$16,新属性汇总!$P108)*2,0)</f>
        <v>3316</v>
      </c>
      <c r="AJ108" s="37">
        <v>22</v>
      </c>
      <c r="AK108" s="37">
        <f>IF($AJ108&gt;0,INDEX(专属武器!H$4:H$53,新属性汇总!$AJ108),0)</f>
        <v>2916</v>
      </c>
      <c r="AL108" s="37">
        <f>IF($AJ108&gt;0,INDEX(专属武器!I$4:I$53,新属性汇总!$AJ108),0)</f>
        <v>1454</v>
      </c>
      <c r="AM108" s="37">
        <f>IF($AJ108&gt;0,INDEX(专属武器!J$4:J$53,新属性汇总!$AJ108),0)</f>
        <v>13132</v>
      </c>
      <c r="AQ108" s="13">
        <v>104</v>
      </c>
      <c r="AR108" s="13">
        <f t="shared" si="39"/>
        <v>5418.6389999999992</v>
      </c>
      <c r="AS108" s="13">
        <f t="shared" si="40"/>
        <v>2706.4444999999996</v>
      </c>
      <c r="AT108" s="13">
        <f t="shared" si="41"/>
        <v>28096.799999999999</v>
      </c>
      <c r="AU108" s="13">
        <f t="shared" si="42"/>
        <v>2710</v>
      </c>
      <c r="AV108" s="13">
        <f t="shared" si="43"/>
        <v>1355</v>
      </c>
      <c r="AW108" s="13">
        <f t="shared" si="44"/>
        <v>16307.5</v>
      </c>
      <c r="AX108" s="13">
        <f t="shared" si="45"/>
        <v>764.4</v>
      </c>
      <c r="AY108" s="13">
        <f t="shared" si="46"/>
        <v>286</v>
      </c>
      <c r="AZ108" s="13">
        <f t="shared" si="47"/>
        <v>3010.8</v>
      </c>
      <c r="BA108" s="13">
        <f t="shared" si="48"/>
        <v>3316</v>
      </c>
      <c r="BB108" s="13">
        <f t="shared" si="49"/>
        <v>0</v>
      </c>
      <c r="BC108" s="13">
        <f t="shared" si="50"/>
        <v>3316</v>
      </c>
      <c r="BD108" s="13">
        <f t="shared" si="51"/>
        <v>2916</v>
      </c>
      <c r="BE108" s="13">
        <f t="shared" si="52"/>
        <v>1454</v>
      </c>
      <c r="BF108" s="13">
        <f t="shared" si="53"/>
        <v>13132</v>
      </c>
      <c r="BG108" s="13">
        <f t="shared" si="54"/>
        <v>82254</v>
      </c>
      <c r="BH108" s="13">
        <f t="shared" si="55"/>
        <v>43407</v>
      </c>
      <c r="BI108" s="13">
        <f t="shared" si="56"/>
        <v>9692</v>
      </c>
      <c r="BJ108" s="13">
        <f t="shared" si="57"/>
        <v>19896</v>
      </c>
      <c r="BK108" s="13">
        <f t="shared" si="58"/>
        <v>42252</v>
      </c>
      <c r="BL108" s="13">
        <f t="shared" si="59"/>
        <v>197501</v>
      </c>
      <c r="BM108" s="31">
        <f t="shared" si="60"/>
        <v>0.41649999999999998</v>
      </c>
      <c r="BN108" s="31">
        <f t="shared" si="61"/>
        <v>0.2198</v>
      </c>
      <c r="BO108" s="31">
        <f t="shared" si="62"/>
        <v>4.9099999999999998E-2</v>
      </c>
      <c r="BP108" s="31">
        <f t="shared" si="63"/>
        <v>0.1007</v>
      </c>
      <c r="BQ108" s="31">
        <f t="shared" si="64"/>
        <v>0.21390000000000001</v>
      </c>
    </row>
    <row r="109" spans="1:69" ht="16.5" x14ac:dyDescent="0.2">
      <c r="A109" s="37">
        <v>106</v>
      </c>
      <c r="B109" s="37">
        <v>11</v>
      </c>
      <c r="C109" s="37">
        <v>1</v>
      </c>
      <c r="D109" s="37">
        <v>3</v>
      </c>
      <c r="E109" s="37">
        <v>106</v>
      </c>
      <c r="F109" s="37">
        <f>INDEX(新属性投放!$L$6:$L$10,新属性汇总!D109)</f>
        <v>1.1499999999999999</v>
      </c>
      <c r="G109" s="37">
        <f>INDEX(新属性投放!J$42:J$62,新属性汇总!$B109)</f>
        <v>4298.5</v>
      </c>
      <c r="H109" s="37">
        <f>INDEX(新属性投放!K$42:K$62,新属性汇总!$B109)</f>
        <v>2146.75</v>
      </c>
      <c r="I109" s="37">
        <f>INDEX(新属性投放!L$42:L$62,新属性汇总!$B109)</f>
        <v>22572</v>
      </c>
      <c r="J109" s="37">
        <f>($A109-INDEX(新属性投放!$B$42:$B$62,新属性汇总!$B109))*INDEX(新属性投放!D$42:D$62,新属性汇总!$B109)</f>
        <v>620.04</v>
      </c>
      <c r="K109" s="37">
        <f>($A109-INDEX(新属性投放!$B$42:$B$62,新属性汇总!$B109))*INDEX(新属性投放!E$42:E$62,新属性汇总!$B109)</f>
        <v>310.02</v>
      </c>
      <c r="L109" s="37">
        <f>($A109-INDEX(新属性投放!$B$42:$B$62,新属性汇总!$B109))*INDEX(新属性投放!F$42:F$62,新属性汇总!$B109)</f>
        <v>2790</v>
      </c>
      <c r="M109" s="37">
        <f t="shared" si="33"/>
        <v>5656.3209999999999</v>
      </c>
      <c r="N109" s="37">
        <f t="shared" si="34"/>
        <v>2825.2855</v>
      </c>
      <c r="O109" s="37">
        <f t="shared" si="35"/>
        <v>29166.3</v>
      </c>
      <c r="P109" s="37">
        <v>3</v>
      </c>
      <c r="Q109" s="37">
        <v>4</v>
      </c>
      <c r="R109">
        <v>106</v>
      </c>
      <c r="S109" s="37">
        <f>IF($P109&gt;0,INDEX(装备!L$11:L$16,新属性汇总!$P109),0)</f>
        <v>630</v>
      </c>
      <c r="T109" s="37">
        <f>IF($P109&gt;0,INDEX(装备!M$11:M$16,新属性汇总!$P109),0)</f>
        <v>315</v>
      </c>
      <c r="U109" s="37">
        <f>IF($P109&gt;0,INDEX(装备!N$11:N$16,新属性汇总!$P109),0)</f>
        <v>3307.5</v>
      </c>
      <c r="V109" s="37">
        <f>IF($P109&gt;0,INDEX(装备!H$11:H$16,新属性汇总!$P109),0)</f>
        <v>20</v>
      </c>
      <c r="W109" s="37">
        <f>IF($P109&gt;0,INDEX(装备!I$11:I$16,新属性汇总!$P109),0)</f>
        <v>10</v>
      </c>
      <c r="X109" s="37">
        <f>IF($P109&gt;0,INDEX(装备!J$11:J$16,新属性汇总!$P109),0)</f>
        <v>125</v>
      </c>
      <c r="Y109" s="37">
        <f t="shared" si="36"/>
        <v>2750</v>
      </c>
      <c r="Z109" s="37">
        <f t="shared" si="37"/>
        <v>1375</v>
      </c>
      <c r="AA109" s="37">
        <f t="shared" si="38"/>
        <v>16557.5</v>
      </c>
      <c r="AB109" s="37">
        <v>0.65</v>
      </c>
      <c r="AC109" s="37">
        <f>IF(P109&gt;0,INDEX(装备!$BP$5:$BP$16,新属性汇总!P109),0)</f>
        <v>3</v>
      </c>
      <c r="AD109" s="37">
        <f>IF($P109&gt;0,ROUND(INDEX(装备!AY$11:AY$16,新属性汇总!$P109)*$AC109/3,0)*8*AB109,0)</f>
        <v>764.4</v>
      </c>
      <c r="AE109" s="37">
        <f>IF($P109&gt;0,ROUND(INDEX(装备!AZ$11:AZ$16,新属性汇总!$P109)*$AC109/3,0)*8*AB109,0)</f>
        <v>286</v>
      </c>
      <c r="AF109" s="37">
        <f>IF($P109&gt;0,ROUND(INDEX(装备!BA$11:BA$16,新属性汇总!$P109)*$AC109/3,0)*8*AB109,0)</f>
        <v>3010.8</v>
      </c>
      <c r="AG109" s="37">
        <f>IF(新属性汇总!P109&gt;0,INDEX(装备!$AP$11:$AP$16,新属性汇总!$P109)*2,0)</f>
        <v>3316</v>
      </c>
      <c r="AH109" s="37">
        <v>0</v>
      </c>
      <c r="AI109" s="37">
        <f>IF(新属性汇总!P109&gt;0,INDEX(装备!$AP$11:$AP$16,新属性汇总!$P109)*2,0)</f>
        <v>3316</v>
      </c>
      <c r="AJ109" s="37">
        <v>23</v>
      </c>
      <c r="AK109" s="37">
        <f>IF($AJ109&gt;0,INDEX(专属武器!H$4:H$53,新属性汇总!$AJ109),0)</f>
        <v>3200</v>
      </c>
      <c r="AL109" s="37">
        <f>IF($AJ109&gt;0,INDEX(专属武器!I$4:I$53,新属性汇总!$AJ109),0)</f>
        <v>1596</v>
      </c>
      <c r="AM109" s="37">
        <f>IF($AJ109&gt;0,INDEX(专属武器!J$4:J$53,新属性汇总!$AJ109),0)</f>
        <v>14413</v>
      </c>
      <c r="AQ109" s="13">
        <v>105</v>
      </c>
      <c r="AR109" s="13">
        <f t="shared" si="39"/>
        <v>5537.48</v>
      </c>
      <c r="AS109" s="13">
        <f t="shared" si="40"/>
        <v>2765.8649999999998</v>
      </c>
      <c r="AT109" s="13">
        <f t="shared" si="41"/>
        <v>28631.55</v>
      </c>
      <c r="AU109" s="13">
        <f t="shared" si="42"/>
        <v>2730</v>
      </c>
      <c r="AV109" s="13">
        <f t="shared" si="43"/>
        <v>1365</v>
      </c>
      <c r="AW109" s="13">
        <f t="shared" si="44"/>
        <v>16432.5</v>
      </c>
      <c r="AX109" s="13">
        <f t="shared" si="45"/>
        <v>764.4</v>
      </c>
      <c r="AY109" s="13">
        <f t="shared" si="46"/>
        <v>286</v>
      </c>
      <c r="AZ109" s="13">
        <f t="shared" si="47"/>
        <v>3010.8</v>
      </c>
      <c r="BA109" s="13">
        <f t="shared" si="48"/>
        <v>3316</v>
      </c>
      <c r="BB109" s="13">
        <f t="shared" si="49"/>
        <v>0</v>
      </c>
      <c r="BC109" s="13">
        <f t="shared" si="50"/>
        <v>3316</v>
      </c>
      <c r="BD109" s="13">
        <f t="shared" si="51"/>
        <v>2916</v>
      </c>
      <c r="BE109" s="13">
        <f t="shared" si="52"/>
        <v>1454</v>
      </c>
      <c r="BF109" s="13">
        <f t="shared" si="53"/>
        <v>13132</v>
      </c>
      <c r="BG109" s="13">
        <f t="shared" si="54"/>
        <v>83977</v>
      </c>
      <c r="BH109" s="13">
        <f t="shared" si="55"/>
        <v>43732</v>
      </c>
      <c r="BI109" s="13">
        <f t="shared" si="56"/>
        <v>9692</v>
      </c>
      <c r="BJ109" s="13">
        <f t="shared" si="57"/>
        <v>19896</v>
      </c>
      <c r="BK109" s="13">
        <f t="shared" si="58"/>
        <v>42252</v>
      </c>
      <c r="BL109" s="13">
        <f t="shared" si="59"/>
        <v>199549</v>
      </c>
      <c r="BM109" s="31">
        <f t="shared" si="60"/>
        <v>0.42080000000000001</v>
      </c>
      <c r="BN109" s="31">
        <f t="shared" si="61"/>
        <v>0.21920000000000001</v>
      </c>
      <c r="BO109" s="31">
        <f t="shared" si="62"/>
        <v>4.8599999999999997E-2</v>
      </c>
      <c r="BP109" s="31">
        <f t="shared" si="63"/>
        <v>9.9699999999999997E-2</v>
      </c>
      <c r="BQ109" s="31">
        <f t="shared" si="64"/>
        <v>0.2117</v>
      </c>
    </row>
    <row r="110" spans="1:69" ht="16.5" x14ac:dyDescent="0.2">
      <c r="A110" s="37">
        <v>107</v>
      </c>
      <c r="B110" s="37">
        <v>11</v>
      </c>
      <c r="C110" s="37">
        <v>1</v>
      </c>
      <c r="D110" s="37">
        <v>3</v>
      </c>
      <c r="E110" s="37">
        <v>107</v>
      </c>
      <c r="F110" s="37">
        <f>INDEX(新属性投放!$L$6:$L$10,新属性汇总!D110)</f>
        <v>1.1499999999999999</v>
      </c>
      <c r="G110" s="37">
        <f>INDEX(新属性投放!J$42:J$62,新属性汇总!$B110)</f>
        <v>4298.5</v>
      </c>
      <c r="H110" s="37">
        <f>INDEX(新属性投放!K$42:K$62,新属性汇总!$B110)</f>
        <v>2146.75</v>
      </c>
      <c r="I110" s="37">
        <f>INDEX(新属性投放!L$42:L$62,新属性汇总!$B110)</f>
        <v>22572</v>
      </c>
      <c r="J110" s="37">
        <f>($A110-INDEX(新属性投放!$B$42:$B$62,新属性汇总!$B110))*INDEX(新属性投放!D$42:D$62,新属性汇总!$B110)</f>
        <v>723.38</v>
      </c>
      <c r="K110" s="37">
        <f>($A110-INDEX(新属性投放!$B$42:$B$62,新属性汇总!$B110))*INDEX(新属性投放!E$42:E$62,新属性汇总!$B110)</f>
        <v>361.69</v>
      </c>
      <c r="L110" s="37">
        <f>($A110-INDEX(新属性投放!$B$42:$B$62,新属性汇总!$B110))*INDEX(新属性投放!F$42:F$62,新属性汇总!$B110)</f>
        <v>3255</v>
      </c>
      <c r="M110" s="37">
        <f t="shared" si="33"/>
        <v>5775.1619999999994</v>
      </c>
      <c r="N110" s="37">
        <f t="shared" si="34"/>
        <v>2884.7059999999997</v>
      </c>
      <c r="O110" s="37">
        <f t="shared" si="35"/>
        <v>29701.05</v>
      </c>
      <c r="P110" s="37">
        <v>3</v>
      </c>
      <c r="Q110" s="37">
        <v>4</v>
      </c>
      <c r="R110">
        <v>107</v>
      </c>
      <c r="S110" s="37">
        <f>IF($P110&gt;0,INDEX(装备!L$11:L$16,新属性汇总!$P110),0)</f>
        <v>630</v>
      </c>
      <c r="T110" s="37">
        <f>IF($P110&gt;0,INDEX(装备!M$11:M$16,新属性汇总!$P110),0)</f>
        <v>315</v>
      </c>
      <c r="U110" s="37">
        <f>IF($P110&gt;0,INDEX(装备!N$11:N$16,新属性汇总!$P110),0)</f>
        <v>3307.5</v>
      </c>
      <c r="V110" s="37">
        <f>IF($P110&gt;0,INDEX(装备!H$11:H$16,新属性汇总!$P110),0)</f>
        <v>20</v>
      </c>
      <c r="W110" s="37">
        <f>IF($P110&gt;0,INDEX(装备!I$11:I$16,新属性汇总!$P110),0)</f>
        <v>10</v>
      </c>
      <c r="X110" s="37">
        <f>IF($P110&gt;0,INDEX(装备!J$11:J$16,新属性汇总!$P110),0)</f>
        <v>125</v>
      </c>
      <c r="Y110" s="37">
        <f t="shared" si="36"/>
        <v>2770</v>
      </c>
      <c r="Z110" s="37">
        <f t="shared" si="37"/>
        <v>1385</v>
      </c>
      <c r="AA110" s="37">
        <f t="shared" si="38"/>
        <v>16682.5</v>
      </c>
      <c r="AB110" s="37">
        <v>0.65</v>
      </c>
      <c r="AC110" s="37">
        <f>IF(P110&gt;0,INDEX(装备!$BP$5:$BP$16,新属性汇总!P110),0)</f>
        <v>3</v>
      </c>
      <c r="AD110" s="37">
        <f>IF($P110&gt;0,ROUND(INDEX(装备!AY$11:AY$16,新属性汇总!$P110)*$AC110/3,0)*8*AB110,0)</f>
        <v>764.4</v>
      </c>
      <c r="AE110" s="37">
        <f>IF($P110&gt;0,ROUND(INDEX(装备!AZ$11:AZ$16,新属性汇总!$P110)*$AC110/3,0)*8*AB110,0)</f>
        <v>286</v>
      </c>
      <c r="AF110" s="37">
        <f>IF($P110&gt;0,ROUND(INDEX(装备!BA$11:BA$16,新属性汇总!$P110)*$AC110/3,0)*8*AB110,0)</f>
        <v>3010.8</v>
      </c>
      <c r="AG110" s="37">
        <f>IF(新属性汇总!P110&gt;0,INDEX(装备!$AP$11:$AP$16,新属性汇总!$P110)*2,0)</f>
        <v>3316</v>
      </c>
      <c r="AH110" s="37">
        <v>0</v>
      </c>
      <c r="AI110" s="37">
        <f>IF(新属性汇总!P110&gt;0,INDEX(装备!$AP$11:$AP$16,新属性汇总!$P110)*2,0)</f>
        <v>3316</v>
      </c>
      <c r="AJ110" s="37">
        <v>23</v>
      </c>
      <c r="AK110" s="37">
        <f>IF($AJ110&gt;0,INDEX(专属武器!H$4:H$53,新属性汇总!$AJ110),0)</f>
        <v>3200</v>
      </c>
      <c r="AL110" s="37">
        <f>IF($AJ110&gt;0,INDEX(专属武器!I$4:I$53,新属性汇总!$AJ110),0)</f>
        <v>1596</v>
      </c>
      <c r="AM110" s="37">
        <f>IF($AJ110&gt;0,INDEX(专属武器!J$4:J$53,新属性汇总!$AJ110),0)</f>
        <v>14413</v>
      </c>
      <c r="AQ110" s="13">
        <v>106</v>
      </c>
      <c r="AR110" s="13">
        <f t="shared" si="39"/>
        <v>5656.3209999999999</v>
      </c>
      <c r="AS110" s="13">
        <f t="shared" si="40"/>
        <v>2825.2855</v>
      </c>
      <c r="AT110" s="13">
        <f t="shared" si="41"/>
        <v>29166.3</v>
      </c>
      <c r="AU110" s="13">
        <f t="shared" si="42"/>
        <v>2750</v>
      </c>
      <c r="AV110" s="13">
        <f t="shared" si="43"/>
        <v>1375</v>
      </c>
      <c r="AW110" s="13">
        <f t="shared" si="44"/>
        <v>16557.5</v>
      </c>
      <c r="AX110" s="13">
        <f t="shared" si="45"/>
        <v>764.4</v>
      </c>
      <c r="AY110" s="13">
        <f t="shared" si="46"/>
        <v>286</v>
      </c>
      <c r="AZ110" s="13">
        <f t="shared" si="47"/>
        <v>3010.8</v>
      </c>
      <c r="BA110" s="13">
        <f t="shared" si="48"/>
        <v>3316</v>
      </c>
      <c r="BB110" s="13">
        <f t="shared" si="49"/>
        <v>0</v>
      </c>
      <c r="BC110" s="13">
        <f t="shared" si="50"/>
        <v>3316</v>
      </c>
      <c r="BD110" s="13">
        <f t="shared" si="51"/>
        <v>3200</v>
      </c>
      <c r="BE110" s="13">
        <f t="shared" si="52"/>
        <v>1596</v>
      </c>
      <c r="BF110" s="13">
        <f t="shared" si="53"/>
        <v>14413</v>
      </c>
      <c r="BG110" s="13">
        <f t="shared" si="54"/>
        <v>85700</v>
      </c>
      <c r="BH110" s="13">
        <f t="shared" si="55"/>
        <v>44057</v>
      </c>
      <c r="BI110" s="13">
        <f t="shared" si="56"/>
        <v>9692</v>
      </c>
      <c r="BJ110" s="13">
        <f t="shared" si="57"/>
        <v>19896</v>
      </c>
      <c r="BK110" s="13">
        <f t="shared" si="58"/>
        <v>46373</v>
      </c>
      <c r="BL110" s="13">
        <f t="shared" si="59"/>
        <v>205718</v>
      </c>
      <c r="BM110" s="31">
        <f t="shared" si="60"/>
        <v>0.41660000000000003</v>
      </c>
      <c r="BN110" s="31">
        <f t="shared" si="61"/>
        <v>0.2142</v>
      </c>
      <c r="BO110" s="31">
        <f t="shared" si="62"/>
        <v>4.7100000000000003E-2</v>
      </c>
      <c r="BP110" s="31">
        <f t="shared" si="63"/>
        <v>9.6699999999999994E-2</v>
      </c>
      <c r="BQ110" s="31">
        <f t="shared" si="64"/>
        <v>0.22539999999999999</v>
      </c>
    </row>
    <row r="111" spans="1:69" ht="16.5" x14ac:dyDescent="0.2">
      <c r="A111" s="37">
        <v>108</v>
      </c>
      <c r="B111" s="37">
        <v>11</v>
      </c>
      <c r="C111" s="37">
        <v>1</v>
      </c>
      <c r="D111" s="37">
        <v>3</v>
      </c>
      <c r="E111" s="37">
        <v>108</v>
      </c>
      <c r="F111" s="37">
        <f>INDEX(新属性投放!$L$6:$L$10,新属性汇总!D111)</f>
        <v>1.1499999999999999</v>
      </c>
      <c r="G111" s="37">
        <f>INDEX(新属性投放!J$42:J$62,新属性汇总!$B111)</f>
        <v>4298.5</v>
      </c>
      <c r="H111" s="37">
        <f>INDEX(新属性投放!K$42:K$62,新属性汇总!$B111)</f>
        <v>2146.75</v>
      </c>
      <c r="I111" s="37">
        <f>INDEX(新属性投放!L$42:L$62,新属性汇总!$B111)</f>
        <v>22572</v>
      </c>
      <c r="J111" s="37">
        <f>($A111-INDEX(新属性投放!$B$42:$B$62,新属性汇总!$B111))*INDEX(新属性投放!D$42:D$62,新属性汇总!$B111)</f>
        <v>826.72</v>
      </c>
      <c r="K111" s="37">
        <f>($A111-INDEX(新属性投放!$B$42:$B$62,新属性汇总!$B111))*INDEX(新属性投放!E$42:E$62,新属性汇总!$B111)</f>
        <v>413.36</v>
      </c>
      <c r="L111" s="37">
        <f>($A111-INDEX(新属性投放!$B$42:$B$62,新属性汇总!$B111))*INDEX(新属性投放!F$42:F$62,新属性汇总!$B111)</f>
        <v>3720</v>
      </c>
      <c r="M111" s="37">
        <f t="shared" si="33"/>
        <v>5894.0029999999997</v>
      </c>
      <c r="N111" s="37">
        <f t="shared" si="34"/>
        <v>2944.1264999999999</v>
      </c>
      <c r="O111" s="37">
        <f t="shared" si="35"/>
        <v>30235.8</v>
      </c>
      <c r="P111" s="37">
        <v>3</v>
      </c>
      <c r="Q111" s="37">
        <v>4</v>
      </c>
      <c r="R111">
        <v>108</v>
      </c>
      <c r="S111" s="37">
        <f>IF($P111&gt;0,INDEX(装备!L$11:L$16,新属性汇总!$P111),0)</f>
        <v>630</v>
      </c>
      <c r="T111" s="37">
        <f>IF($P111&gt;0,INDEX(装备!M$11:M$16,新属性汇总!$P111),0)</f>
        <v>315</v>
      </c>
      <c r="U111" s="37">
        <f>IF($P111&gt;0,INDEX(装备!N$11:N$16,新属性汇总!$P111),0)</f>
        <v>3307.5</v>
      </c>
      <c r="V111" s="37">
        <f>IF($P111&gt;0,INDEX(装备!H$11:H$16,新属性汇总!$P111),0)</f>
        <v>20</v>
      </c>
      <c r="W111" s="37">
        <f>IF($P111&gt;0,INDEX(装备!I$11:I$16,新属性汇总!$P111),0)</f>
        <v>10</v>
      </c>
      <c r="X111" s="37">
        <f>IF($P111&gt;0,INDEX(装备!J$11:J$16,新属性汇总!$P111),0)</f>
        <v>125</v>
      </c>
      <c r="Y111" s="37">
        <f t="shared" si="36"/>
        <v>2790</v>
      </c>
      <c r="Z111" s="37">
        <f t="shared" si="37"/>
        <v>1395</v>
      </c>
      <c r="AA111" s="37">
        <f t="shared" si="38"/>
        <v>16807.5</v>
      </c>
      <c r="AB111" s="37">
        <v>0.65</v>
      </c>
      <c r="AC111" s="37">
        <f>IF(P111&gt;0,INDEX(装备!$BP$5:$BP$16,新属性汇总!P111),0)</f>
        <v>3</v>
      </c>
      <c r="AD111" s="37">
        <f>IF($P111&gt;0,ROUND(INDEX(装备!AY$11:AY$16,新属性汇总!$P111)*$AC111/3,0)*8*AB111,0)</f>
        <v>764.4</v>
      </c>
      <c r="AE111" s="37">
        <f>IF($P111&gt;0,ROUND(INDEX(装备!AZ$11:AZ$16,新属性汇总!$P111)*$AC111/3,0)*8*AB111,0)</f>
        <v>286</v>
      </c>
      <c r="AF111" s="37">
        <f>IF($P111&gt;0,ROUND(INDEX(装备!BA$11:BA$16,新属性汇总!$P111)*$AC111/3,0)*8*AB111,0)</f>
        <v>3010.8</v>
      </c>
      <c r="AG111" s="37">
        <f>IF(新属性汇总!P111&gt;0,INDEX(装备!$AP$11:$AP$16,新属性汇总!$P111)*2,0)</f>
        <v>3316</v>
      </c>
      <c r="AH111" s="37">
        <v>0</v>
      </c>
      <c r="AI111" s="37">
        <f>IF(新属性汇总!P111&gt;0,INDEX(装备!$AP$11:$AP$16,新属性汇总!$P111)*2,0)</f>
        <v>3316</v>
      </c>
      <c r="AJ111" s="37">
        <v>23</v>
      </c>
      <c r="AK111" s="37">
        <f>IF($AJ111&gt;0,INDEX(专属武器!H$4:H$53,新属性汇总!$AJ111),0)</f>
        <v>3200</v>
      </c>
      <c r="AL111" s="37">
        <f>IF($AJ111&gt;0,INDEX(专属武器!I$4:I$53,新属性汇总!$AJ111),0)</f>
        <v>1596</v>
      </c>
      <c r="AM111" s="37">
        <f>IF($AJ111&gt;0,INDEX(专属武器!J$4:J$53,新属性汇总!$AJ111),0)</f>
        <v>14413</v>
      </c>
      <c r="AQ111" s="13">
        <v>107</v>
      </c>
      <c r="AR111" s="13">
        <f t="shared" si="39"/>
        <v>5775.1619999999994</v>
      </c>
      <c r="AS111" s="13">
        <f t="shared" si="40"/>
        <v>2884.7059999999997</v>
      </c>
      <c r="AT111" s="13">
        <f t="shared" si="41"/>
        <v>29701.05</v>
      </c>
      <c r="AU111" s="13">
        <f t="shared" si="42"/>
        <v>2770</v>
      </c>
      <c r="AV111" s="13">
        <f t="shared" si="43"/>
        <v>1385</v>
      </c>
      <c r="AW111" s="13">
        <f t="shared" si="44"/>
        <v>16682.5</v>
      </c>
      <c r="AX111" s="13">
        <f t="shared" si="45"/>
        <v>764.4</v>
      </c>
      <c r="AY111" s="13">
        <f t="shared" si="46"/>
        <v>286</v>
      </c>
      <c r="AZ111" s="13">
        <f t="shared" si="47"/>
        <v>3010.8</v>
      </c>
      <c r="BA111" s="13">
        <f t="shared" si="48"/>
        <v>3316</v>
      </c>
      <c r="BB111" s="13">
        <f t="shared" si="49"/>
        <v>0</v>
      </c>
      <c r="BC111" s="13">
        <f t="shared" si="50"/>
        <v>3316</v>
      </c>
      <c r="BD111" s="13">
        <f t="shared" si="51"/>
        <v>3200</v>
      </c>
      <c r="BE111" s="13">
        <f t="shared" si="52"/>
        <v>1596</v>
      </c>
      <c r="BF111" s="13">
        <f t="shared" si="53"/>
        <v>14413</v>
      </c>
      <c r="BG111" s="13">
        <f t="shared" si="54"/>
        <v>87423</v>
      </c>
      <c r="BH111" s="13">
        <f t="shared" si="55"/>
        <v>44382</v>
      </c>
      <c r="BI111" s="13">
        <f t="shared" si="56"/>
        <v>9692</v>
      </c>
      <c r="BJ111" s="13">
        <f t="shared" si="57"/>
        <v>19896</v>
      </c>
      <c r="BK111" s="13">
        <f t="shared" si="58"/>
        <v>46373</v>
      </c>
      <c r="BL111" s="13">
        <f t="shared" si="59"/>
        <v>207766</v>
      </c>
      <c r="BM111" s="31">
        <f t="shared" si="60"/>
        <v>0.42080000000000001</v>
      </c>
      <c r="BN111" s="31">
        <f t="shared" si="61"/>
        <v>0.21360000000000001</v>
      </c>
      <c r="BO111" s="31">
        <f t="shared" si="62"/>
        <v>4.6600000000000003E-2</v>
      </c>
      <c r="BP111" s="31">
        <f t="shared" si="63"/>
        <v>9.5799999999999996E-2</v>
      </c>
      <c r="BQ111" s="31">
        <f t="shared" si="64"/>
        <v>0.22320000000000001</v>
      </c>
    </row>
    <row r="112" spans="1:69" ht="16.5" x14ac:dyDescent="0.2">
      <c r="A112" s="37">
        <v>109</v>
      </c>
      <c r="B112" s="37">
        <v>11</v>
      </c>
      <c r="C112" s="37">
        <v>1</v>
      </c>
      <c r="D112" s="37">
        <v>3</v>
      </c>
      <c r="E112" s="37">
        <v>109</v>
      </c>
      <c r="F112" s="37">
        <f>INDEX(新属性投放!$L$6:$L$10,新属性汇总!D112)</f>
        <v>1.1499999999999999</v>
      </c>
      <c r="G112" s="37">
        <f>INDEX(新属性投放!J$42:J$62,新属性汇总!$B112)</f>
        <v>4298.5</v>
      </c>
      <c r="H112" s="37">
        <f>INDEX(新属性投放!K$42:K$62,新属性汇总!$B112)</f>
        <v>2146.75</v>
      </c>
      <c r="I112" s="37">
        <f>INDEX(新属性投放!L$42:L$62,新属性汇总!$B112)</f>
        <v>22572</v>
      </c>
      <c r="J112" s="37">
        <f>($A112-INDEX(新属性投放!$B$42:$B$62,新属性汇总!$B112))*INDEX(新属性投放!D$42:D$62,新属性汇总!$B112)</f>
        <v>930.06000000000006</v>
      </c>
      <c r="K112" s="37">
        <f>($A112-INDEX(新属性投放!$B$42:$B$62,新属性汇总!$B112))*INDEX(新属性投放!E$42:E$62,新属性汇总!$B112)</f>
        <v>465.03000000000003</v>
      </c>
      <c r="L112" s="37">
        <f>($A112-INDEX(新属性投放!$B$42:$B$62,新属性汇总!$B112))*INDEX(新属性投放!F$42:F$62,新属性汇总!$B112)</f>
        <v>4185</v>
      </c>
      <c r="M112" s="37">
        <f t="shared" si="33"/>
        <v>6012.8440000000001</v>
      </c>
      <c r="N112" s="37">
        <f t="shared" si="34"/>
        <v>3003.547</v>
      </c>
      <c r="O112" s="37">
        <f t="shared" si="35"/>
        <v>30770.55</v>
      </c>
      <c r="P112" s="37">
        <v>3</v>
      </c>
      <c r="Q112" s="37">
        <v>4</v>
      </c>
      <c r="R112">
        <v>109</v>
      </c>
      <c r="S112" s="37">
        <f>IF($P112&gt;0,INDEX(装备!L$11:L$16,新属性汇总!$P112),0)</f>
        <v>630</v>
      </c>
      <c r="T112" s="37">
        <f>IF($P112&gt;0,INDEX(装备!M$11:M$16,新属性汇总!$P112),0)</f>
        <v>315</v>
      </c>
      <c r="U112" s="37">
        <f>IF($P112&gt;0,INDEX(装备!N$11:N$16,新属性汇总!$P112),0)</f>
        <v>3307.5</v>
      </c>
      <c r="V112" s="37">
        <f>IF($P112&gt;0,INDEX(装备!H$11:H$16,新属性汇总!$P112),0)</f>
        <v>20</v>
      </c>
      <c r="W112" s="37">
        <f>IF($P112&gt;0,INDEX(装备!I$11:I$16,新属性汇总!$P112),0)</f>
        <v>10</v>
      </c>
      <c r="X112" s="37">
        <f>IF($P112&gt;0,INDEX(装备!J$11:J$16,新属性汇总!$P112),0)</f>
        <v>125</v>
      </c>
      <c r="Y112" s="37">
        <f t="shared" si="36"/>
        <v>2810</v>
      </c>
      <c r="Z112" s="37">
        <f t="shared" si="37"/>
        <v>1405</v>
      </c>
      <c r="AA112" s="37">
        <f t="shared" si="38"/>
        <v>16932.5</v>
      </c>
      <c r="AB112" s="37">
        <v>0.65</v>
      </c>
      <c r="AC112" s="37">
        <f>IF(P112&gt;0,INDEX(装备!$BP$5:$BP$16,新属性汇总!P112),0)</f>
        <v>3</v>
      </c>
      <c r="AD112" s="37">
        <f>IF($P112&gt;0,ROUND(INDEX(装备!AY$11:AY$16,新属性汇总!$P112)*$AC112/3,0)*8*AB112,0)</f>
        <v>764.4</v>
      </c>
      <c r="AE112" s="37">
        <f>IF($P112&gt;0,ROUND(INDEX(装备!AZ$11:AZ$16,新属性汇总!$P112)*$AC112/3,0)*8*AB112,0)</f>
        <v>286</v>
      </c>
      <c r="AF112" s="37">
        <f>IF($P112&gt;0,ROUND(INDEX(装备!BA$11:BA$16,新属性汇总!$P112)*$AC112/3,0)*8*AB112,0)</f>
        <v>3010.8</v>
      </c>
      <c r="AG112" s="37">
        <f>IF(新属性汇总!P112&gt;0,INDEX(装备!$AP$11:$AP$16,新属性汇总!$P112)*2,0)</f>
        <v>3316</v>
      </c>
      <c r="AH112" s="37">
        <v>0</v>
      </c>
      <c r="AI112" s="37">
        <f>IF(新属性汇总!P112&gt;0,INDEX(装备!$AP$11:$AP$16,新属性汇总!$P112)*2,0)</f>
        <v>3316</v>
      </c>
      <c r="AJ112" s="37">
        <v>23</v>
      </c>
      <c r="AK112" s="37">
        <f>IF($AJ112&gt;0,INDEX(专属武器!H$4:H$53,新属性汇总!$AJ112),0)</f>
        <v>3200</v>
      </c>
      <c r="AL112" s="37">
        <f>IF($AJ112&gt;0,INDEX(专属武器!I$4:I$53,新属性汇总!$AJ112),0)</f>
        <v>1596</v>
      </c>
      <c r="AM112" s="37">
        <f>IF($AJ112&gt;0,INDEX(专属武器!J$4:J$53,新属性汇总!$AJ112),0)</f>
        <v>14413</v>
      </c>
      <c r="AQ112" s="13">
        <v>108</v>
      </c>
      <c r="AR112" s="13">
        <f t="shared" si="39"/>
        <v>5894.0029999999997</v>
      </c>
      <c r="AS112" s="13">
        <f t="shared" si="40"/>
        <v>2944.1264999999999</v>
      </c>
      <c r="AT112" s="13">
        <f t="shared" si="41"/>
        <v>30235.8</v>
      </c>
      <c r="AU112" s="13">
        <f t="shared" si="42"/>
        <v>2790</v>
      </c>
      <c r="AV112" s="13">
        <f t="shared" si="43"/>
        <v>1395</v>
      </c>
      <c r="AW112" s="13">
        <f t="shared" si="44"/>
        <v>16807.5</v>
      </c>
      <c r="AX112" s="13">
        <f t="shared" si="45"/>
        <v>764.4</v>
      </c>
      <c r="AY112" s="13">
        <f t="shared" si="46"/>
        <v>286</v>
      </c>
      <c r="AZ112" s="13">
        <f t="shared" si="47"/>
        <v>3010.8</v>
      </c>
      <c r="BA112" s="13">
        <f t="shared" si="48"/>
        <v>3316</v>
      </c>
      <c r="BB112" s="13">
        <f t="shared" si="49"/>
        <v>0</v>
      </c>
      <c r="BC112" s="13">
        <f t="shared" si="50"/>
        <v>3316</v>
      </c>
      <c r="BD112" s="13">
        <f t="shared" si="51"/>
        <v>3200</v>
      </c>
      <c r="BE112" s="13">
        <f t="shared" si="52"/>
        <v>1596</v>
      </c>
      <c r="BF112" s="13">
        <f t="shared" si="53"/>
        <v>14413</v>
      </c>
      <c r="BG112" s="13">
        <f t="shared" si="54"/>
        <v>89147</v>
      </c>
      <c r="BH112" s="13">
        <f t="shared" si="55"/>
        <v>44707</v>
      </c>
      <c r="BI112" s="13">
        <f t="shared" si="56"/>
        <v>9692</v>
      </c>
      <c r="BJ112" s="13">
        <f t="shared" si="57"/>
        <v>19896</v>
      </c>
      <c r="BK112" s="13">
        <f t="shared" si="58"/>
        <v>46373</v>
      </c>
      <c r="BL112" s="13">
        <f t="shared" si="59"/>
        <v>209815</v>
      </c>
      <c r="BM112" s="31">
        <f t="shared" si="60"/>
        <v>0.4249</v>
      </c>
      <c r="BN112" s="31">
        <f t="shared" si="61"/>
        <v>0.21310000000000001</v>
      </c>
      <c r="BO112" s="31">
        <f t="shared" si="62"/>
        <v>4.6199999999999998E-2</v>
      </c>
      <c r="BP112" s="31">
        <f t="shared" si="63"/>
        <v>9.4799999999999995E-2</v>
      </c>
      <c r="BQ112" s="31">
        <f t="shared" si="64"/>
        <v>0.221</v>
      </c>
    </row>
    <row r="113" spans="1:69" ht="16.5" x14ac:dyDescent="0.2">
      <c r="A113" s="37">
        <v>110</v>
      </c>
      <c r="B113" s="37">
        <v>12</v>
      </c>
      <c r="C113" s="37">
        <v>1</v>
      </c>
      <c r="D113" s="37">
        <v>3</v>
      </c>
      <c r="E113" s="37">
        <v>110</v>
      </c>
      <c r="F113" s="37">
        <f>INDEX(新属性投放!$L$6:$L$10,新属性汇总!D113)</f>
        <v>1.1499999999999999</v>
      </c>
      <c r="G113" s="37">
        <f>INDEX(新属性投放!J$42:J$62,新属性汇总!$B113)</f>
        <v>5589.9</v>
      </c>
      <c r="H113" s="37">
        <f>INDEX(新属性投放!K$42:K$62,新属性汇总!$B113)</f>
        <v>2792.45</v>
      </c>
      <c r="I113" s="37">
        <f>INDEX(新属性投放!L$42:L$62,新属性汇总!$B113)</f>
        <v>29544</v>
      </c>
      <c r="J113" s="37">
        <f>($A113-INDEX(新属性投放!$B$42:$B$62,新属性汇总!$B113))*INDEX(新属性投放!D$42:D$62,新属性汇总!$B113)</f>
        <v>0</v>
      </c>
      <c r="K113" s="37">
        <f>($A113-INDEX(新属性投放!$B$42:$B$62,新属性汇总!$B113))*INDEX(新属性投放!E$42:E$62,新属性汇总!$B113)</f>
        <v>0</v>
      </c>
      <c r="L113" s="37">
        <f>($A113-INDEX(新属性投放!$B$42:$B$62,新属性汇总!$B113))*INDEX(新属性投放!F$42:F$62,新属性汇总!$B113)</f>
        <v>0</v>
      </c>
      <c r="M113" s="37">
        <f t="shared" si="33"/>
        <v>6428.3849999999993</v>
      </c>
      <c r="N113" s="37">
        <f t="shared" si="34"/>
        <v>3211.3174999999997</v>
      </c>
      <c r="O113" s="37">
        <f t="shared" si="35"/>
        <v>33975.599999999999</v>
      </c>
      <c r="P113" s="37">
        <v>3</v>
      </c>
      <c r="Q113" s="37">
        <v>4</v>
      </c>
      <c r="R113">
        <v>110</v>
      </c>
      <c r="S113" s="37">
        <f>IF($P113&gt;0,INDEX(装备!L$11:L$16,新属性汇总!$P113),0)</f>
        <v>630</v>
      </c>
      <c r="T113" s="37">
        <f>IF($P113&gt;0,INDEX(装备!M$11:M$16,新属性汇总!$P113),0)</f>
        <v>315</v>
      </c>
      <c r="U113" s="37">
        <f>IF($P113&gt;0,INDEX(装备!N$11:N$16,新属性汇总!$P113),0)</f>
        <v>3307.5</v>
      </c>
      <c r="V113" s="37">
        <f>IF($P113&gt;0,INDEX(装备!H$11:H$16,新属性汇总!$P113),0)</f>
        <v>20</v>
      </c>
      <c r="W113" s="37">
        <f>IF($P113&gt;0,INDEX(装备!I$11:I$16,新属性汇总!$P113),0)</f>
        <v>10</v>
      </c>
      <c r="X113" s="37">
        <f>IF($P113&gt;0,INDEX(装备!J$11:J$16,新属性汇总!$P113),0)</f>
        <v>125</v>
      </c>
      <c r="Y113" s="37">
        <f t="shared" si="36"/>
        <v>2830</v>
      </c>
      <c r="Z113" s="37">
        <f t="shared" si="37"/>
        <v>1415</v>
      </c>
      <c r="AA113" s="37">
        <f t="shared" si="38"/>
        <v>17057.5</v>
      </c>
      <c r="AB113" s="37">
        <v>0.65</v>
      </c>
      <c r="AC113" s="37">
        <f>IF(P113&gt;0,INDEX(装备!$BP$5:$BP$16,新属性汇总!P113),0)</f>
        <v>3</v>
      </c>
      <c r="AD113" s="37">
        <f>IF($P113&gt;0,ROUND(INDEX(装备!AY$11:AY$16,新属性汇总!$P113)*$AC113/3,0)*8*AB113,0)</f>
        <v>764.4</v>
      </c>
      <c r="AE113" s="37">
        <f>IF($P113&gt;0,ROUND(INDEX(装备!AZ$11:AZ$16,新属性汇总!$P113)*$AC113/3,0)*8*AB113,0)</f>
        <v>286</v>
      </c>
      <c r="AF113" s="37">
        <f>IF($P113&gt;0,ROUND(INDEX(装备!BA$11:BA$16,新属性汇总!$P113)*$AC113/3,0)*8*AB113,0)</f>
        <v>3010.8</v>
      </c>
      <c r="AG113" s="37">
        <f>IF(新属性汇总!P113&gt;0,INDEX(装备!$AP$11:$AP$16,新属性汇总!$P113)*2,0)</f>
        <v>3316</v>
      </c>
      <c r="AH113" s="37">
        <v>0</v>
      </c>
      <c r="AI113" s="37">
        <f>IF(新属性汇总!P113&gt;0,INDEX(装备!$AP$11:$AP$16,新属性汇总!$P113)*2,0)</f>
        <v>3316</v>
      </c>
      <c r="AJ113" s="37">
        <v>24</v>
      </c>
      <c r="AK113" s="37">
        <f>IF($AJ113&gt;0,INDEX(专属武器!H$4:H$53,新属性汇总!$AJ113),0)</f>
        <v>3579</v>
      </c>
      <c r="AL113" s="37">
        <f>IF($AJ113&gt;0,INDEX(专属武器!I$4:I$53,新属性汇总!$AJ113),0)</f>
        <v>1785</v>
      </c>
      <c r="AM113" s="37">
        <f>IF($AJ113&gt;0,INDEX(专属武器!J$4:J$53,新属性汇总!$AJ113),0)</f>
        <v>16121</v>
      </c>
      <c r="AQ113" s="13">
        <v>109</v>
      </c>
      <c r="AR113" s="13">
        <f t="shared" si="39"/>
        <v>6012.8440000000001</v>
      </c>
      <c r="AS113" s="13">
        <f t="shared" si="40"/>
        <v>3003.547</v>
      </c>
      <c r="AT113" s="13">
        <f t="shared" si="41"/>
        <v>30770.55</v>
      </c>
      <c r="AU113" s="13">
        <f t="shared" si="42"/>
        <v>2810</v>
      </c>
      <c r="AV113" s="13">
        <f t="shared" si="43"/>
        <v>1405</v>
      </c>
      <c r="AW113" s="13">
        <f t="shared" si="44"/>
        <v>16932.5</v>
      </c>
      <c r="AX113" s="13">
        <f t="shared" si="45"/>
        <v>764.4</v>
      </c>
      <c r="AY113" s="13">
        <f t="shared" si="46"/>
        <v>286</v>
      </c>
      <c r="AZ113" s="13">
        <f t="shared" si="47"/>
        <v>3010.8</v>
      </c>
      <c r="BA113" s="13">
        <f t="shared" si="48"/>
        <v>3316</v>
      </c>
      <c r="BB113" s="13">
        <f t="shared" si="49"/>
        <v>0</v>
      </c>
      <c r="BC113" s="13">
        <f t="shared" si="50"/>
        <v>3316</v>
      </c>
      <c r="BD113" s="13">
        <f t="shared" si="51"/>
        <v>3200</v>
      </c>
      <c r="BE113" s="13">
        <f t="shared" si="52"/>
        <v>1596</v>
      </c>
      <c r="BF113" s="13">
        <f t="shared" si="53"/>
        <v>14413</v>
      </c>
      <c r="BG113" s="13">
        <f t="shared" si="54"/>
        <v>90870</v>
      </c>
      <c r="BH113" s="13">
        <f t="shared" si="55"/>
        <v>45032</v>
      </c>
      <c r="BI113" s="13">
        <f t="shared" si="56"/>
        <v>9692</v>
      </c>
      <c r="BJ113" s="13">
        <f t="shared" si="57"/>
        <v>19896</v>
      </c>
      <c r="BK113" s="13">
        <f t="shared" si="58"/>
        <v>46373</v>
      </c>
      <c r="BL113" s="13">
        <f t="shared" si="59"/>
        <v>211863</v>
      </c>
      <c r="BM113" s="31">
        <f t="shared" si="60"/>
        <v>0.4289</v>
      </c>
      <c r="BN113" s="31">
        <f t="shared" si="61"/>
        <v>0.21260000000000001</v>
      </c>
      <c r="BO113" s="31">
        <f t="shared" si="62"/>
        <v>4.5699999999999998E-2</v>
      </c>
      <c r="BP113" s="31">
        <f t="shared" si="63"/>
        <v>9.3899999999999997E-2</v>
      </c>
      <c r="BQ113" s="31">
        <f t="shared" si="64"/>
        <v>0.21890000000000001</v>
      </c>
    </row>
    <row r="114" spans="1:69" ht="16.5" x14ac:dyDescent="0.2">
      <c r="A114" s="37">
        <v>111</v>
      </c>
      <c r="B114" s="37">
        <v>12</v>
      </c>
      <c r="C114" s="37">
        <v>1</v>
      </c>
      <c r="D114" s="37">
        <v>3</v>
      </c>
      <c r="E114" s="37">
        <v>111</v>
      </c>
      <c r="F114" s="37">
        <f>INDEX(新属性投放!$L$6:$L$10,新属性汇总!D114)</f>
        <v>1.1499999999999999</v>
      </c>
      <c r="G114" s="37">
        <f>INDEX(新属性投放!J$42:J$62,新属性汇总!$B114)</f>
        <v>5589.9</v>
      </c>
      <c r="H114" s="37">
        <f>INDEX(新属性投放!K$42:K$62,新属性汇总!$B114)</f>
        <v>2792.45</v>
      </c>
      <c r="I114" s="37">
        <f>INDEX(新属性投放!L$42:L$62,新属性汇总!$B114)</f>
        <v>29544</v>
      </c>
      <c r="J114" s="37">
        <f>($A114-INDEX(新属性投放!$B$42:$B$62,新属性汇总!$B114))*INDEX(新属性投放!D$42:D$62,新属性汇总!$B114)</f>
        <v>135.62</v>
      </c>
      <c r="K114" s="37">
        <f>($A114-INDEX(新属性投放!$B$42:$B$62,新属性汇总!$B114))*INDEX(新属性投放!E$42:E$62,新属性汇总!$B114)</f>
        <v>67.81</v>
      </c>
      <c r="L114" s="37">
        <f>($A114-INDEX(新属性投放!$B$42:$B$62,新属性汇总!$B114))*INDEX(新属性投放!F$42:F$62,新属性汇总!$B114)</f>
        <v>610</v>
      </c>
      <c r="M114" s="37">
        <f t="shared" si="33"/>
        <v>6584.347999999999</v>
      </c>
      <c r="N114" s="37">
        <f t="shared" si="34"/>
        <v>3289.2989999999995</v>
      </c>
      <c r="O114" s="37">
        <f t="shared" si="35"/>
        <v>34677.1</v>
      </c>
      <c r="P114" s="37">
        <v>3</v>
      </c>
      <c r="Q114" s="37">
        <v>4</v>
      </c>
      <c r="R114">
        <v>111</v>
      </c>
      <c r="S114" s="37">
        <f>IF($P114&gt;0,INDEX(装备!L$11:L$16,新属性汇总!$P114),0)</f>
        <v>630</v>
      </c>
      <c r="T114" s="37">
        <f>IF($P114&gt;0,INDEX(装备!M$11:M$16,新属性汇总!$P114),0)</f>
        <v>315</v>
      </c>
      <c r="U114" s="37">
        <f>IF($P114&gt;0,INDEX(装备!N$11:N$16,新属性汇总!$P114),0)</f>
        <v>3307.5</v>
      </c>
      <c r="V114" s="37">
        <f>IF($P114&gt;0,INDEX(装备!H$11:H$16,新属性汇总!$P114),0)</f>
        <v>20</v>
      </c>
      <c r="W114" s="37">
        <f>IF($P114&gt;0,INDEX(装备!I$11:I$16,新属性汇总!$P114),0)</f>
        <v>10</v>
      </c>
      <c r="X114" s="37">
        <f>IF($P114&gt;0,INDEX(装备!J$11:J$16,新属性汇总!$P114),0)</f>
        <v>125</v>
      </c>
      <c r="Y114" s="37">
        <f t="shared" si="36"/>
        <v>2850</v>
      </c>
      <c r="Z114" s="37">
        <f t="shared" si="37"/>
        <v>1425</v>
      </c>
      <c r="AA114" s="37">
        <f t="shared" si="38"/>
        <v>17182.5</v>
      </c>
      <c r="AB114" s="37">
        <v>0.65</v>
      </c>
      <c r="AC114" s="37">
        <f>IF(P114&gt;0,INDEX(装备!$BP$5:$BP$16,新属性汇总!P114),0)</f>
        <v>3</v>
      </c>
      <c r="AD114" s="37">
        <f>IF($P114&gt;0,ROUND(INDEX(装备!AY$11:AY$16,新属性汇总!$P114)*$AC114/3,0)*8*AB114,0)</f>
        <v>764.4</v>
      </c>
      <c r="AE114" s="37">
        <f>IF($P114&gt;0,ROUND(INDEX(装备!AZ$11:AZ$16,新属性汇总!$P114)*$AC114/3,0)*8*AB114,0)</f>
        <v>286</v>
      </c>
      <c r="AF114" s="37">
        <f>IF($P114&gt;0,ROUND(INDEX(装备!BA$11:BA$16,新属性汇总!$P114)*$AC114/3,0)*8*AB114,0)</f>
        <v>3010.8</v>
      </c>
      <c r="AG114" s="37">
        <f>IF(新属性汇总!P114&gt;0,INDEX(装备!$AP$11:$AP$16,新属性汇总!$P114)*2,0)</f>
        <v>3316</v>
      </c>
      <c r="AH114" s="37">
        <v>0</v>
      </c>
      <c r="AI114" s="37">
        <f>IF(新属性汇总!P114&gt;0,INDEX(装备!$AP$11:$AP$16,新属性汇总!$P114)*2,0)</f>
        <v>3316</v>
      </c>
      <c r="AJ114" s="37">
        <v>24</v>
      </c>
      <c r="AK114" s="37">
        <f>IF($AJ114&gt;0,INDEX(专属武器!H$4:H$53,新属性汇总!$AJ114),0)</f>
        <v>3579</v>
      </c>
      <c r="AL114" s="37">
        <f>IF($AJ114&gt;0,INDEX(专属武器!I$4:I$53,新属性汇总!$AJ114),0)</f>
        <v>1785</v>
      </c>
      <c r="AM114" s="37">
        <f>IF($AJ114&gt;0,INDEX(专属武器!J$4:J$53,新属性汇总!$AJ114),0)</f>
        <v>16121</v>
      </c>
      <c r="AQ114" s="13">
        <v>110</v>
      </c>
      <c r="AR114" s="13">
        <f t="shared" si="39"/>
        <v>6428.3849999999993</v>
      </c>
      <c r="AS114" s="13">
        <f t="shared" si="40"/>
        <v>3211.3174999999997</v>
      </c>
      <c r="AT114" s="13">
        <f t="shared" si="41"/>
        <v>33975.599999999999</v>
      </c>
      <c r="AU114" s="13">
        <f t="shared" si="42"/>
        <v>2830</v>
      </c>
      <c r="AV114" s="13">
        <f t="shared" si="43"/>
        <v>1415</v>
      </c>
      <c r="AW114" s="13">
        <f t="shared" si="44"/>
        <v>17057.5</v>
      </c>
      <c r="AX114" s="13">
        <f t="shared" si="45"/>
        <v>764.4</v>
      </c>
      <c r="AY114" s="13">
        <f t="shared" si="46"/>
        <v>286</v>
      </c>
      <c r="AZ114" s="13">
        <f t="shared" si="47"/>
        <v>3010.8</v>
      </c>
      <c r="BA114" s="13">
        <f t="shared" si="48"/>
        <v>3316</v>
      </c>
      <c r="BB114" s="13">
        <f t="shared" si="49"/>
        <v>0</v>
      </c>
      <c r="BC114" s="13">
        <f t="shared" si="50"/>
        <v>3316</v>
      </c>
      <c r="BD114" s="13">
        <f t="shared" si="51"/>
        <v>3579</v>
      </c>
      <c r="BE114" s="13">
        <f t="shared" si="52"/>
        <v>1785</v>
      </c>
      <c r="BF114" s="13">
        <f t="shared" si="53"/>
        <v>16121</v>
      </c>
      <c r="BG114" s="13">
        <f t="shared" si="54"/>
        <v>98230</v>
      </c>
      <c r="BH114" s="13">
        <f t="shared" si="55"/>
        <v>45357</v>
      </c>
      <c r="BI114" s="13">
        <f t="shared" si="56"/>
        <v>9692</v>
      </c>
      <c r="BJ114" s="13">
        <f t="shared" si="57"/>
        <v>19896</v>
      </c>
      <c r="BK114" s="13">
        <f t="shared" si="58"/>
        <v>51866</v>
      </c>
      <c r="BL114" s="13">
        <f t="shared" si="59"/>
        <v>225041</v>
      </c>
      <c r="BM114" s="31">
        <f t="shared" si="60"/>
        <v>0.4365</v>
      </c>
      <c r="BN114" s="31">
        <f t="shared" si="61"/>
        <v>0.20150000000000001</v>
      </c>
      <c r="BO114" s="31">
        <f t="shared" si="62"/>
        <v>4.3099999999999999E-2</v>
      </c>
      <c r="BP114" s="31">
        <f t="shared" si="63"/>
        <v>8.8400000000000006E-2</v>
      </c>
      <c r="BQ114" s="31">
        <f t="shared" si="64"/>
        <v>0.23050000000000001</v>
      </c>
    </row>
    <row r="115" spans="1:69" ht="16.5" x14ac:dyDescent="0.2">
      <c r="A115" s="37">
        <v>112</v>
      </c>
      <c r="B115" s="37">
        <v>12</v>
      </c>
      <c r="C115" s="37">
        <v>1</v>
      </c>
      <c r="D115" s="37">
        <v>3</v>
      </c>
      <c r="E115" s="37">
        <v>112</v>
      </c>
      <c r="F115" s="37">
        <f>INDEX(新属性投放!$L$6:$L$10,新属性汇总!D115)</f>
        <v>1.1499999999999999</v>
      </c>
      <c r="G115" s="37">
        <f>INDEX(新属性投放!J$42:J$62,新属性汇总!$B115)</f>
        <v>5589.9</v>
      </c>
      <c r="H115" s="37">
        <f>INDEX(新属性投放!K$42:K$62,新属性汇总!$B115)</f>
        <v>2792.45</v>
      </c>
      <c r="I115" s="37">
        <f>INDEX(新属性投放!L$42:L$62,新属性汇总!$B115)</f>
        <v>29544</v>
      </c>
      <c r="J115" s="37">
        <f>($A115-INDEX(新属性投放!$B$42:$B$62,新属性汇总!$B115))*INDEX(新属性投放!D$42:D$62,新属性汇总!$B115)</f>
        <v>271.24</v>
      </c>
      <c r="K115" s="37">
        <f>($A115-INDEX(新属性投放!$B$42:$B$62,新属性汇总!$B115))*INDEX(新属性投放!E$42:E$62,新属性汇总!$B115)</f>
        <v>135.62</v>
      </c>
      <c r="L115" s="37">
        <f>($A115-INDEX(新属性投放!$B$42:$B$62,新属性汇总!$B115))*INDEX(新属性投放!F$42:F$62,新属性汇总!$B115)</f>
        <v>1220</v>
      </c>
      <c r="M115" s="37">
        <f t="shared" si="33"/>
        <v>6740.3109999999988</v>
      </c>
      <c r="N115" s="37">
        <f t="shared" si="34"/>
        <v>3367.2804999999994</v>
      </c>
      <c r="O115" s="37">
        <f t="shared" si="35"/>
        <v>35378.6</v>
      </c>
      <c r="P115" s="37">
        <v>3</v>
      </c>
      <c r="Q115" s="37">
        <v>4</v>
      </c>
      <c r="R115">
        <v>112</v>
      </c>
      <c r="S115" s="37">
        <f>IF($P115&gt;0,INDEX(装备!L$11:L$16,新属性汇总!$P115),0)</f>
        <v>630</v>
      </c>
      <c r="T115" s="37">
        <f>IF($P115&gt;0,INDEX(装备!M$11:M$16,新属性汇总!$P115),0)</f>
        <v>315</v>
      </c>
      <c r="U115" s="37">
        <f>IF($P115&gt;0,INDEX(装备!N$11:N$16,新属性汇总!$P115),0)</f>
        <v>3307.5</v>
      </c>
      <c r="V115" s="37">
        <f>IF($P115&gt;0,INDEX(装备!H$11:H$16,新属性汇总!$P115),0)</f>
        <v>20</v>
      </c>
      <c r="W115" s="37">
        <f>IF($P115&gt;0,INDEX(装备!I$11:I$16,新属性汇总!$P115),0)</f>
        <v>10</v>
      </c>
      <c r="X115" s="37">
        <f>IF($P115&gt;0,INDEX(装备!J$11:J$16,新属性汇总!$P115),0)</f>
        <v>125</v>
      </c>
      <c r="Y115" s="37">
        <f t="shared" si="36"/>
        <v>2870</v>
      </c>
      <c r="Z115" s="37">
        <f t="shared" si="37"/>
        <v>1435</v>
      </c>
      <c r="AA115" s="37">
        <f t="shared" si="38"/>
        <v>17307.5</v>
      </c>
      <c r="AB115" s="37">
        <v>0.65</v>
      </c>
      <c r="AC115" s="37">
        <f>IF(P115&gt;0,INDEX(装备!$BP$5:$BP$16,新属性汇总!P115),0)</f>
        <v>3</v>
      </c>
      <c r="AD115" s="37">
        <f>IF($P115&gt;0,ROUND(INDEX(装备!AY$11:AY$16,新属性汇总!$P115)*$AC115/3,0)*8*AB115,0)</f>
        <v>764.4</v>
      </c>
      <c r="AE115" s="37">
        <f>IF($P115&gt;0,ROUND(INDEX(装备!AZ$11:AZ$16,新属性汇总!$P115)*$AC115/3,0)*8*AB115,0)</f>
        <v>286</v>
      </c>
      <c r="AF115" s="37">
        <f>IF($P115&gt;0,ROUND(INDEX(装备!BA$11:BA$16,新属性汇总!$P115)*$AC115/3,0)*8*AB115,0)</f>
        <v>3010.8</v>
      </c>
      <c r="AG115" s="37">
        <f>IF(新属性汇总!P115&gt;0,INDEX(装备!$AP$11:$AP$16,新属性汇总!$P115)*2,0)</f>
        <v>3316</v>
      </c>
      <c r="AH115" s="37">
        <v>0</v>
      </c>
      <c r="AI115" s="37">
        <f>IF(新属性汇总!P115&gt;0,INDEX(装备!$AP$11:$AP$16,新属性汇总!$P115)*2,0)</f>
        <v>3316</v>
      </c>
      <c r="AJ115" s="37">
        <v>24</v>
      </c>
      <c r="AK115" s="37">
        <f>IF($AJ115&gt;0,INDEX(专属武器!H$4:H$53,新属性汇总!$AJ115),0)</f>
        <v>3579</v>
      </c>
      <c r="AL115" s="37">
        <f>IF($AJ115&gt;0,INDEX(专属武器!I$4:I$53,新属性汇总!$AJ115),0)</f>
        <v>1785</v>
      </c>
      <c r="AM115" s="37">
        <f>IF($AJ115&gt;0,INDEX(专属武器!J$4:J$53,新属性汇总!$AJ115),0)</f>
        <v>16121</v>
      </c>
      <c r="AQ115" s="13">
        <v>111</v>
      </c>
      <c r="AR115" s="13">
        <f t="shared" si="39"/>
        <v>6584.347999999999</v>
      </c>
      <c r="AS115" s="13">
        <f t="shared" si="40"/>
        <v>3289.2989999999995</v>
      </c>
      <c r="AT115" s="13">
        <f t="shared" si="41"/>
        <v>34677.1</v>
      </c>
      <c r="AU115" s="13">
        <f t="shared" si="42"/>
        <v>2850</v>
      </c>
      <c r="AV115" s="13">
        <f t="shared" si="43"/>
        <v>1425</v>
      </c>
      <c r="AW115" s="13">
        <f t="shared" si="44"/>
        <v>17182.5</v>
      </c>
      <c r="AX115" s="13">
        <f t="shared" si="45"/>
        <v>764.4</v>
      </c>
      <c r="AY115" s="13">
        <f t="shared" si="46"/>
        <v>286</v>
      </c>
      <c r="AZ115" s="13">
        <f t="shared" si="47"/>
        <v>3010.8</v>
      </c>
      <c r="BA115" s="13">
        <f t="shared" si="48"/>
        <v>3316</v>
      </c>
      <c r="BB115" s="13">
        <f t="shared" si="49"/>
        <v>0</v>
      </c>
      <c r="BC115" s="13">
        <f t="shared" si="50"/>
        <v>3316</v>
      </c>
      <c r="BD115" s="13">
        <f t="shared" si="51"/>
        <v>3579</v>
      </c>
      <c r="BE115" s="13">
        <f t="shared" si="52"/>
        <v>1785</v>
      </c>
      <c r="BF115" s="13">
        <f t="shared" si="53"/>
        <v>16121</v>
      </c>
      <c r="BG115" s="13">
        <f t="shared" si="54"/>
        <v>100491</v>
      </c>
      <c r="BH115" s="13">
        <f t="shared" si="55"/>
        <v>45682</v>
      </c>
      <c r="BI115" s="13">
        <f t="shared" si="56"/>
        <v>9692</v>
      </c>
      <c r="BJ115" s="13">
        <f t="shared" si="57"/>
        <v>19896</v>
      </c>
      <c r="BK115" s="13">
        <f t="shared" si="58"/>
        <v>51866</v>
      </c>
      <c r="BL115" s="13">
        <f t="shared" si="59"/>
        <v>227627</v>
      </c>
      <c r="BM115" s="31">
        <f t="shared" si="60"/>
        <v>0.4415</v>
      </c>
      <c r="BN115" s="31">
        <f t="shared" si="61"/>
        <v>0.20069999999999999</v>
      </c>
      <c r="BO115" s="31">
        <f t="shared" si="62"/>
        <v>4.2599999999999999E-2</v>
      </c>
      <c r="BP115" s="31">
        <f t="shared" si="63"/>
        <v>8.7400000000000005E-2</v>
      </c>
      <c r="BQ115" s="31">
        <f t="shared" si="64"/>
        <v>0.22789999999999999</v>
      </c>
    </row>
    <row r="116" spans="1:69" ht="16.5" x14ac:dyDescent="0.2">
      <c r="A116" s="37">
        <v>113</v>
      </c>
      <c r="B116" s="37">
        <v>12</v>
      </c>
      <c r="C116" s="37">
        <v>1</v>
      </c>
      <c r="D116" s="37">
        <v>3</v>
      </c>
      <c r="E116" s="37">
        <v>113</v>
      </c>
      <c r="F116" s="37">
        <f>INDEX(新属性投放!$L$6:$L$10,新属性汇总!D116)</f>
        <v>1.1499999999999999</v>
      </c>
      <c r="G116" s="37">
        <f>INDEX(新属性投放!J$42:J$62,新属性汇总!$B116)</f>
        <v>5589.9</v>
      </c>
      <c r="H116" s="37">
        <f>INDEX(新属性投放!K$42:K$62,新属性汇总!$B116)</f>
        <v>2792.45</v>
      </c>
      <c r="I116" s="37">
        <f>INDEX(新属性投放!L$42:L$62,新属性汇总!$B116)</f>
        <v>29544</v>
      </c>
      <c r="J116" s="37">
        <f>($A116-INDEX(新属性投放!$B$42:$B$62,新属性汇总!$B116))*INDEX(新属性投放!D$42:D$62,新属性汇总!$B116)</f>
        <v>406.86</v>
      </c>
      <c r="K116" s="37">
        <f>($A116-INDEX(新属性投放!$B$42:$B$62,新属性汇总!$B116))*INDEX(新属性投放!E$42:E$62,新属性汇总!$B116)</f>
        <v>203.43</v>
      </c>
      <c r="L116" s="37">
        <f>($A116-INDEX(新属性投放!$B$42:$B$62,新属性汇总!$B116))*INDEX(新属性投放!F$42:F$62,新属性汇总!$B116)</f>
        <v>1830</v>
      </c>
      <c r="M116" s="37">
        <f t="shared" si="33"/>
        <v>6896.2739999999985</v>
      </c>
      <c r="N116" s="37">
        <f t="shared" si="34"/>
        <v>3445.2619999999993</v>
      </c>
      <c r="O116" s="37">
        <f t="shared" si="35"/>
        <v>36080.1</v>
      </c>
      <c r="P116" s="37">
        <v>3</v>
      </c>
      <c r="Q116" s="37">
        <v>4</v>
      </c>
      <c r="R116">
        <v>113</v>
      </c>
      <c r="S116" s="37">
        <f>IF($P116&gt;0,INDEX(装备!L$11:L$16,新属性汇总!$P116),0)</f>
        <v>630</v>
      </c>
      <c r="T116" s="37">
        <f>IF($P116&gt;0,INDEX(装备!M$11:M$16,新属性汇总!$P116),0)</f>
        <v>315</v>
      </c>
      <c r="U116" s="37">
        <f>IF($P116&gt;0,INDEX(装备!N$11:N$16,新属性汇总!$P116),0)</f>
        <v>3307.5</v>
      </c>
      <c r="V116" s="37">
        <f>IF($P116&gt;0,INDEX(装备!H$11:H$16,新属性汇总!$P116),0)</f>
        <v>20</v>
      </c>
      <c r="W116" s="37">
        <f>IF($P116&gt;0,INDEX(装备!I$11:I$16,新属性汇总!$P116),0)</f>
        <v>10</v>
      </c>
      <c r="X116" s="37">
        <f>IF($P116&gt;0,INDEX(装备!J$11:J$16,新属性汇总!$P116),0)</f>
        <v>125</v>
      </c>
      <c r="Y116" s="37">
        <f t="shared" si="36"/>
        <v>2890</v>
      </c>
      <c r="Z116" s="37">
        <f t="shared" si="37"/>
        <v>1445</v>
      </c>
      <c r="AA116" s="37">
        <f t="shared" si="38"/>
        <v>17432.5</v>
      </c>
      <c r="AB116" s="37">
        <v>0.65</v>
      </c>
      <c r="AC116" s="37">
        <f>IF(P116&gt;0,INDEX(装备!$BP$5:$BP$16,新属性汇总!P116),0)</f>
        <v>3</v>
      </c>
      <c r="AD116" s="37">
        <f>IF($P116&gt;0,ROUND(INDEX(装备!AY$11:AY$16,新属性汇总!$P116)*$AC116/3,0)*8*AB116,0)</f>
        <v>764.4</v>
      </c>
      <c r="AE116" s="37">
        <f>IF($P116&gt;0,ROUND(INDEX(装备!AZ$11:AZ$16,新属性汇总!$P116)*$AC116/3,0)*8*AB116,0)</f>
        <v>286</v>
      </c>
      <c r="AF116" s="37">
        <f>IF($P116&gt;0,ROUND(INDEX(装备!BA$11:BA$16,新属性汇总!$P116)*$AC116/3,0)*8*AB116,0)</f>
        <v>3010.8</v>
      </c>
      <c r="AG116" s="37">
        <f>IF(新属性汇总!P116&gt;0,INDEX(装备!$AP$11:$AP$16,新属性汇总!$P116)*2,0)</f>
        <v>3316</v>
      </c>
      <c r="AH116" s="37">
        <v>0</v>
      </c>
      <c r="AI116" s="37">
        <f>IF(新属性汇总!P116&gt;0,INDEX(装备!$AP$11:$AP$16,新属性汇总!$P116)*2,0)</f>
        <v>3316</v>
      </c>
      <c r="AJ116" s="37">
        <v>24</v>
      </c>
      <c r="AK116" s="37">
        <f>IF($AJ116&gt;0,INDEX(专属武器!H$4:H$53,新属性汇总!$AJ116),0)</f>
        <v>3579</v>
      </c>
      <c r="AL116" s="37">
        <f>IF($AJ116&gt;0,INDEX(专属武器!I$4:I$53,新属性汇总!$AJ116),0)</f>
        <v>1785</v>
      </c>
      <c r="AM116" s="37">
        <f>IF($AJ116&gt;0,INDEX(专属武器!J$4:J$53,新属性汇总!$AJ116),0)</f>
        <v>16121</v>
      </c>
      <c r="AQ116" s="13">
        <v>112</v>
      </c>
      <c r="AR116" s="13">
        <f t="shared" si="39"/>
        <v>6740.3109999999988</v>
      </c>
      <c r="AS116" s="13">
        <f t="shared" si="40"/>
        <v>3367.2804999999994</v>
      </c>
      <c r="AT116" s="13">
        <f t="shared" si="41"/>
        <v>35378.6</v>
      </c>
      <c r="AU116" s="13">
        <f t="shared" si="42"/>
        <v>2870</v>
      </c>
      <c r="AV116" s="13">
        <f t="shared" si="43"/>
        <v>1435</v>
      </c>
      <c r="AW116" s="13">
        <f t="shared" si="44"/>
        <v>17307.5</v>
      </c>
      <c r="AX116" s="13">
        <f t="shared" si="45"/>
        <v>764.4</v>
      </c>
      <c r="AY116" s="13">
        <f t="shared" si="46"/>
        <v>286</v>
      </c>
      <c r="AZ116" s="13">
        <f t="shared" si="47"/>
        <v>3010.8</v>
      </c>
      <c r="BA116" s="13">
        <f t="shared" si="48"/>
        <v>3316</v>
      </c>
      <c r="BB116" s="13">
        <f t="shared" si="49"/>
        <v>0</v>
      </c>
      <c r="BC116" s="13">
        <f t="shared" si="50"/>
        <v>3316</v>
      </c>
      <c r="BD116" s="13">
        <f t="shared" si="51"/>
        <v>3579</v>
      </c>
      <c r="BE116" s="13">
        <f t="shared" si="52"/>
        <v>1785</v>
      </c>
      <c r="BF116" s="13">
        <f t="shared" si="53"/>
        <v>16121</v>
      </c>
      <c r="BG116" s="13">
        <f t="shared" si="54"/>
        <v>102752</v>
      </c>
      <c r="BH116" s="13">
        <f t="shared" si="55"/>
        <v>46007</v>
      </c>
      <c r="BI116" s="13">
        <f t="shared" si="56"/>
        <v>9692</v>
      </c>
      <c r="BJ116" s="13">
        <f t="shared" si="57"/>
        <v>19896</v>
      </c>
      <c r="BK116" s="13">
        <f t="shared" si="58"/>
        <v>51866</v>
      </c>
      <c r="BL116" s="13">
        <f t="shared" si="59"/>
        <v>230213</v>
      </c>
      <c r="BM116" s="31">
        <f t="shared" si="60"/>
        <v>0.44629999999999997</v>
      </c>
      <c r="BN116" s="31">
        <f t="shared" si="61"/>
        <v>0.19980000000000001</v>
      </c>
      <c r="BO116" s="31">
        <f t="shared" si="62"/>
        <v>4.2099999999999999E-2</v>
      </c>
      <c r="BP116" s="31">
        <f t="shared" si="63"/>
        <v>8.6400000000000005E-2</v>
      </c>
      <c r="BQ116" s="31">
        <f t="shared" si="64"/>
        <v>0.2253</v>
      </c>
    </row>
    <row r="117" spans="1:69" ht="16.5" x14ac:dyDescent="0.2">
      <c r="A117" s="37">
        <v>114</v>
      </c>
      <c r="B117" s="37">
        <v>12</v>
      </c>
      <c r="C117" s="37">
        <v>1</v>
      </c>
      <c r="D117" s="37">
        <v>3</v>
      </c>
      <c r="E117" s="37">
        <v>114</v>
      </c>
      <c r="F117" s="37">
        <f>INDEX(新属性投放!$L$6:$L$10,新属性汇总!D117)</f>
        <v>1.1499999999999999</v>
      </c>
      <c r="G117" s="37">
        <f>INDEX(新属性投放!J$42:J$62,新属性汇总!$B117)</f>
        <v>5589.9</v>
      </c>
      <c r="H117" s="37">
        <f>INDEX(新属性投放!K$42:K$62,新属性汇总!$B117)</f>
        <v>2792.45</v>
      </c>
      <c r="I117" s="37">
        <f>INDEX(新属性投放!L$42:L$62,新属性汇总!$B117)</f>
        <v>29544</v>
      </c>
      <c r="J117" s="37">
        <f>($A117-INDEX(新属性投放!$B$42:$B$62,新属性汇总!$B117))*INDEX(新属性投放!D$42:D$62,新属性汇总!$B117)</f>
        <v>542.48</v>
      </c>
      <c r="K117" s="37">
        <f>($A117-INDEX(新属性投放!$B$42:$B$62,新属性汇总!$B117))*INDEX(新属性投放!E$42:E$62,新属性汇总!$B117)</f>
        <v>271.24</v>
      </c>
      <c r="L117" s="37">
        <f>($A117-INDEX(新属性投放!$B$42:$B$62,新属性汇总!$B117))*INDEX(新属性投放!F$42:F$62,新属性汇总!$B117)</f>
        <v>2440</v>
      </c>
      <c r="M117" s="37">
        <f t="shared" si="33"/>
        <v>7052.2369999999983</v>
      </c>
      <c r="N117" s="37">
        <f t="shared" si="34"/>
        <v>3523.2434999999991</v>
      </c>
      <c r="O117" s="37">
        <f t="shared" si="35"/>
        <v>36781.599999999999</v>
      </c>
      <c r="P117" s="37">
        <v>3</v>
      </c>
      <c r="Q117" s="37">
        <v>4</v>
      </c>
      <c r="R117">
        <v>114</v>
      </c>
      <c r="S117" s="37">
        <f>IF($P117&gt;0,INDEX(装备!L$11:L$16,新属性汇总!$P117),0)</f>
        <v>630</v>
      </c>
      <c r="T117" s="37">
        <f>IF($P117&gt;0,INDEX(装备!M$11:M$16,新属性汇总!$P117),0)</f>
        <v>315</v>
      </c>
      <c r="U117" s="37">
        <f>IF($P117&gt;0,INDEX(装备!N$11:N$16,新属性汇总!$P117),0)</f>
        <v>3307.5</v>
      </c>
      <c r="V117" s="37">
        <f>IF($P117&gt;0,INDEX(装备!H$11:H$16,新属性汇总!$P117),0)</f>
        <v>20</v>
      </c>
      <c r="W117" s="37">
        <f>IF($P117&gt;0,INDEX(装备!I$11:I$16,新属性汇总!$P117),0)</f>
        <v>10</v>
      </c>
      <c r="X117" s="37">
        <f>IF($P117&gt;0,INDEX(装备!J$11:J$16,新属性汇总!$P117),0)</f>
        <v>125</v>
      </c>
      <c r="Y117" s="37">
        <f t="shared" si="36"/>
        <v>2910</v>
      </c>
      <c r="Z117" s="37">
        <f t="shared" si="37"/>
        <v>1455</v>
      </c>
      <c r="AA117" s="37">
        <f t="shared" si="38"/>
        <v>17557.5</v>
      </c>
      <c r="AB117" s="37">
        <v>0.65</v>
      </c>
      <c r="AC117" s="37">
        <f>IF(P117&gt;0,INDEX(装备!$BP$5:$BP$16,新属性汇总!P117),0)</f>
        <v>3</v>
      </c>
      <c r="AD117" s="37">
        <f>IF($P117&gt;0,ROUND(INDEX(装备!AY$11:AY$16,新属性汇总!$P117)*$AC117/3,0)*8*AB117,0)</f>
        <v>764.4</v>
      </c>
      <c r="AE117" s="37">
        <f>IF($P117&gt;0,ROUND(INDEX(装备!AZ$11:AZ$16,新属性汇总!$P117)*$AC117/3,0)*8*AB117,0)</f>
        <v>286</v>
      </c>
      <c r="AF117" s="37">
        <f>IF($P117&gt;0,ROUND(INDEX(装备!BA$11:BA$16,新属性汇总!$P117)*$AC117/3,0)*8*AB117,0)</f>
        <v>3010.8</v>
      </c>
      <c r="AG117" s="37">
        <f>IF(新属性汇总!P117&gt;0,INDEX(装备!$AP$11:$AP$16,新属性汇总!$P117)*2,0)</f>
        <v>3316</v>
      </c>
      <c r="AH117" s="37">
        <v>0</v>
      </c>
      <c r="AI117" s="37">
        <f>IF(新属性汇总!P117&gt;0,INDEX(装备!$AP$11:$AP$16,新属性汇总!$P117)*2,0)</f>
        <v>3316</v>
      </c>
      <c r="AJ117" s="37">
        <v>25</v>
      </c>
      <c r="AK117" s="37">
        <f>IF($AJ117&gt;0,INDEX(专属武器!H$4:H$53,新属性汇总!$AJ117),0)</f>
        <v>3952</v>
      </c>
      <c r="AL117" s="37">
        <f>IF($AJ117&gt;0,INDEX(专属武器!I$4:I$53,新属性汇总!$AJ117),0)</f>
        <v>1971</v>
      </c>
      <c r="AM117" s="37">
        <f>IF($AJ117&gt;0,INDEX(专属武器!J$4:J$53,新属性汇总!$AJ117),0)</f>
        <v>17803</v>
      </c>
      <c r="AQ117" s="13">
        <v>113</v>
      </c>
      <c r="AR117" s="13">
        <f t="shared" si="39"/>
        <v>6896.2739999999985</v>
      </c>
      <c r="AS117" s="13">
        <f t="shared" si="40"/>
        <v>3445.2619999999993</v>
      </c>
      <c r="AT117" s="13">
        <f t="shared" si="41"/>
        <v>36080.1</v>
      </c>
      <c r="AU117" s="13">
        <f t="shared" si="42"/>
        <v>2890</v>
      </c>
      <c r="AV117" s="13">
        <f t="shared" si="43"/>
        <v>1445</v>
      </c>
      <c r="AW117" s="13">
        <f t="shared" si="44"/>
        <v>17432.5</v>
      </c>
      <c r="AX117" s="13">
        <f t="shared" si="45"/>
        <v>764.4</v>
      </c>
      <c r="AY117" s="13">
        <f t="shared" si="46"/>
        <v>286</v>
      </c>
      <c r="AZ117" s="13">
        <f t="shared" si="47"/>
        <v>3010.8</v>
      </c>
      <c r="BA117" s="13">
        <f t="shared" si="48"/>
        <v>3316</v>
      </c>
      <c r="BB117" s="13">
        <f t="shared" si="49"/>
        <v>0</v>
      </c>
      <c r="BC117" s="13">
        <f t="shared" si="50"/>
        <v>3316</v>
      </c>
      <c r="BD117" s="13">
        <f t="shared" si="51"/>
        <v>3579</v>
      </c>
      <c r="BE117" s="13">
        <f t="shared" si="52"/>
        <v>1785</v>
      </c>
      <c r="BF117" s="13">
        <f t="shared" si="53"/>
        <v>16121</v>
      </c>
      <c r="BG117" s="13">
        <f t="shared" si="54"/>
        <v>105014</v>
      </c>
      <c r="BH117" s="13">
        <f t="shared" si="55"/>
        <v>46332</v>
      </c>
      <c r="BI117" s="13">
        <f t="shared" si="56"/>
        <v>9692</v>
      </c>
      <c r="BJ117" s="13">
        <f t="shared" si="57"/>
        <v>19896</v>
      </c>
      <c r="BK117" s="13">
        <f t="shared" si="58"/>
        <v>51866</v>
      </c>
      <c r="BL117" s="13">
        <f t="shared" si="59"/>
        <v>232800</v>
      </c>
      <c r="BM117" s="31">
        <f t="shared" si="60"/>
        <v>0.4511</v>
      </c>
      <c r="BN117" s="31">
        <f t="shared" si="61"/>
        <v>0.19900000000000001</v>
      </c>
      <c r="BO117" s="31">
        <f t="shared" si="62"/>
        <v>4.1599999999999998E-2</v>
      </c>
      <c r="BP117" s="31">
        <f t="shared" si="63"/>
        <v>8.5500000000000007E-2</v>
      </c>
      <c r="BQ117" s="31">
        <f t="shared" si="64"/>
        <v>0.2228</v>
      </c>
    </row>
    <row r="118" spans="1:69" ht="16.5" x14ac:dyDescent="0.2">
      <c r="A118" s="37">
        <v>115</v>
      </c>
      <c r="B118" s="37">
        <v>12</v>
      </c>
      <c r="C118" s="37">
        <v>1</v>
      </c>
      <c r="D118" s="37">
        <v>3</v>
      </c>
      <c r="E118" s="37">
        <v>115</v>
      </c>
      <c r="F118" s="37">
        <f>INDEX(新属性投放!$L$6:$L$10,新属性汇总!D118)</f>
        <v>1.1499999999999999</v>
      </c>
      <c r="G118" s="37">
        <f>INDEX(新属性投放!J$42:J$62,新属性汇总!$B118)</f>
        <v>5589.9</v>
      </c>
      <c r="H118" s="37">
        <f>INDEX(新属性投放!K$42:K$62,新属性汇总!$B118)</f>
        <v>2792.45</v>
      </c>
      <c r="I118" s="37">
        <f>INDEX(新属性投放!L$42:L$62,新属性汇总!$B118)</f>
        <v>29544</v>
      </c>
      <c r="J118" s="37">
        <f>($A118-INDEX(新属性投放!$B$42:$B$62,新属性汇总!$B118))*INDEX(新属性投放!D$42:D$62,新属性汇总!$B118)</f>
        <v>678.1</v>
      </c>
      <c r="K118" s="37">
        <f>($A118-INDEX(新属性投放!$B$42:$B$62,新属性汇总!$B118))*INDEX(新属性投放!E$42:E$62,新属性汇总!$B118)</f>
        <v>339.05</v>
      </c>
      <c r="L118" s="37">
        <f>($A118-INDEX(新属性投放!$B$42:$B$62,新属性汇总!$B118))*INDEX(新属性投放!F$42:F$62,新属性汇总!$B118)</f>
        <v>3050</v>
      </c>
      <c r="M118" s="37">
        <f t="shared" si="33"/>
        <v>7208.2</v>
      </c>
      <c r="N118" s="37">
        <f t="shared" si="34"/>
        <v>3601.2249999999999</v>
      </c>
      <c r="O118" s="37">
        <f t="shared" si="35"/>
        <v>37483.1</v>
      </c>
      <c r="P118" s="37">
        <v>3</v>
      </c>
      <c r="Q118" s="37">
        <v>4</v>
      </c>
      <c r="R118">
        <v>115</v>
      </c>
      <c r="S118" s="37">
        <f>IF($P118&gt;0,INDEX(装备!L$11:L$16,新属性汇总!$P118),0)</f>
        <v>630</v>
      </c>
      <c r="T118" s="37">
        <f>IF($P118&gt;0,INDEX(装备!M$11:M$16,新属性汇总!$P118),0)</f>
        <v>315</v>
      </c>
      <c r="U118" s="37">
        <f>IF($P118&gt;0,INDEX(装备!N$11:N$16,新属性汇总!$P118),0)</f>
        <v>3307.5</v>
      </c>
      <c r="V118" s="37">
        <f>IF($P118&gt;0,INDEX(装备!H$11:H$16,新属性汇总!$P118),0)</f>
        <v>20</v>
      </c>
      <c r="W118" s="37">
        <f>IF($P118&gt;0,INDEX(装备!I$11:I$16,新属性汇总!$P118),0)</f>
        <v>10</v>
      </c>
      <c r="X118" s="37">
        <f>IF($P118&gt;0,INDEX(装备!J$11:J$16,新属性汇总!$P118),0)</f>
        <v>125</v>
      </c>
      <c r="Y118" s="37">
        <f t="shared" si="36"/>
        <v>2930</v>
      </c>
      <c r="Z118" s="37">
        <f t="shared" si="37"/>
        <v>1465</v>
      </c>
      <c r="AA118" s="37">
        <f t="shared" si="38"/>
        <v>17682.5</v>
      </c>
      <c r="AB118" s="37">
        <v>0.65</v>
      </c>
      <c r="AC118" s="37">
        <f>IF(P118&gt;0,INDEX(装备!$BP$5:$BP$16,新属性汇总!P118),0)</f>
        <v>3</v>
      </c>
      <c r="AD118" s="37">
        <f>IF($P118&gt;0,ROUND(INDEX(装备!AY$11:AY$16,新属性汇总!$P118)*$AC118/3,0)*8*AB118,0)</f>
        <v>764.4</v>
      </c>
      <c r="AE118" s="37">
        <f>IF($P118&gt;0,ROUND(INDEX(装备!AZ$11:AZ$16,新属性汇总!$P118)*$AC118/3,0)*8*AB118,0)</f>
        <v>286</v>
      </c>
      <c r="AF118" s="37">
        <f>IF($P118&gt;0,ROUND(INDEX(装备!BA$11:BA$16,新属性汇总!$P118)*$AC118/3,0)*8*AB118,0)</f>
        <v>3010.8</v>
      </c>
      <c r="AG118" s="37">
        <f>IF(新属性汇总!P118&gt;0,INDEX(装备!$AP$11:$AP$16,新属性汇总!$P118)*2,0)</f>
        <v>3316</v>
      </c>
      <c r="AH118" s="37">
        <v>0</v>
      </c>
      <c r="AI118" s="37">
        <f>IF(新属性汇总!P118&gt;0,INDEX(装备!$AP$11:$AP$16,新属性汇总!$P118)*2,0)</f>
        <v>3316</v>
      </c>
      <c r="AJ118" s="37">
        <v>25</v>
      </c>
      <c r="AK118" s="37">
        <f>IF($AJ118&gt;0,INDEX(专属武器!H$4:H$53,新属性汇总!$AJ118),0)</f>
        <v>3952</v>
      </c>
      <c r="AL118" s="37">
        <f>IF($AJ118&gt;0,INDEX(专属武器!I$4:I$53,新属性汇总!$AJ118),0)</f>
        <v>1971</v>
      </c>
      <c r="AM118" s="37">
        <f>IF($AJ118&gt;0,INDEX(专属武器!J$4:J$53,新属性汇总!$AJ118),0)</f>
        <v>17803</v>
      </c>
      <c r="AQ118" s="13">
        <v>114</v>
      </c>
      <c r="AR118" s="13">
        <f t="shared" si="39"/>
        <v>7052.2369999999983</v>
      </c>
      <c r="AS118" s="13">
        <f t="shared" si="40"/>
        <v>3523.2434999999991</v>
      </c>
      <c r="AT118" s="13">
        <f t="shared" si="41"/>
        <v>36781.599999999999</v>
      </c>
      <c r="AU118" s="13">
        <f t="shared" si="42"/>
        <v>2910</v>
      </c>
      <c r="AV118" s="13">
        <f t="shared" si="43"/>
        <v>1455</v>
      </c>
      <c r="AW118" s="13">
        <f t="shared" si="44"/>
        <v>17557.5</v>
      </c>
      <c r="AX118" s="13">
        <f t="shared" si="45"/>
        <v>764.4</v>
      </c>
      <c r="AY118" s="13">
        <f t="shared" si="46"/>
        <v>286</v>
      </c>
      <c r="AZ118" s="13">
        <f t="shared" si="47"/>
        <v>3010.8</v>
      </c>
      <c r="BA118" s="13">
        <f t="shared" si="48"/>
        <v>3316</v>
      </c>
      <c r="BB118" s="13">
        <f t="shared" si="49"/>
        <v>0</v>
      </c>
      <c r="BC118" s="13">
        <f t="shared" si="50"/>
        <v>3316</v>
      </c>
      <c r="BD118" s="13">
        <f t="shared" si="51"/>
        <v>3952</v>
      </c>
      <c r="BE118" s="13">
        <f t="shared" si="52"/>
        <v>1971</v>
      </c>
      <c r="BF118" s="13">
        <f t="shared" si="53"/>
        <v>17803</v>
      </c>
      <c r="BG118" s="13">
        <f t="shared" si="54"/>
        <v>107275</v>
      </c>
      <c r="BH118" s="13">
        <f t="shared" si="55"/>
        <v>46657</v>
      </c>
      <c r="BI118" s="13">
        <f t="shared" si="56"/>
        <v>9692</v>
      </c>
      <c r="BJ118" s="13">
        <f t="shared" si="57"/>
        <v>19896</v>
      </c>
      <c r="BK118" s="13">
        <f t="shared" si="58"/>
        <v>57273</v>
      </c>
      <c r="BL118" s="13">
        <f t="shared" si="59"/>
        <v>240793</v>
      </c>
      <c r="BM118" s="31">
        <f t="shared" si="60"/>
        <v>0.44550000000000001</v>
      </c>
      <c r="BN118" s="31">
        <f t="shared" si="61"/>
        <v>0.1938</v>
      </c>
      <c r="BO118" s="31">
        <f t="shared" si="62"/>
        <v>4.0300000000000002E-2</v>
      </c>
      <c r="BP118" s="31">
        <f t="shared" si="63"/>
        <v>8.2600000000000007E-2</v>
      </c>
      <c r="BQ118" s="31">
        <f t="shared" si="64"/>
        <v>0.2379</v>
      </c>
    </row>
    <row r="119" spans="1:69" ht="16.5" x14ac:dyDescent="0.2">
      <c r="A119" s="37">
        <v>116</v>
      </c>
      <c r="B119" s="37">
        <v>12</v>
      </c>
      <c r="C119" s="37">
        <v>1</v>
      </c>
      <c r="D119" s="37">
        <v>3</v>
      </c>
      <c r="E119" s="37">
        <v>116</v>
      </c>
      <c r="F119" s="37">
        <f>INDEX(新属性投放!$L$6:$L$10,新属性汇总!D119)</f>
        <v>1.1499999999999999</v>
      </c>
      <c r="G119" s="37">
        <f>INDEX(新属性投放!J$42:J$62,新属性汇总!$B119)</f>
        <v>5589.9</v>
      </c>
      <c r="H119" s="37">
        <f>INDEX(新属性投放!K$42:K$62,新属性汇总!$B119)</f>
        <v>2792.45</v>
      </c>
      <c r="I119" s="37">
        <f>INDEX(新属性投放!L$42:L$62,新属性汇总!$B119)</f>
        <v>29544</v>
      </c>
      <c r="J119" s="37">
        <f>($A119-INDEX(新属性投放!$B$42:$B$62,新属性汇总!$B119))*INDEX(新属性投放!D$42:D$62,新属性汇总!$B119)</f>
        <v>813.72</v>
      </c>
      <c r="K119" s="37">
        <f>($A119-INDEX(新属性投放!$B$42:$B$62,新属性汇总!$B119))*INDEX(新属性投放!E$42:E$62,新属性汇总!$B119)</f>
        <v>406.86</v>
      </c>
      <c r="L119" s="37">
        <f>($A119-INDEX(新属性投放!$B$42:$B$62,新属性汇总!$B119))*INDEX(新属性投放!F$42:F$62,新属性汇总!$B119)</f>
        <v>3660</v>
      </c>
      <c r="M119" s="37">
        <f t="shared" si="33"/>
        <v>7364.1629999999996</v>
      </c>
      <c r="N119" s="37">
        <f t="shared" si="34"/>
        <v>3679.2064999999998</v>
      </c>
      <c r="O119" s="37">
        <f t="shared" si="35"/>
        <v>38184.6</v>
      </c>
      <c r="P119" s="37">
        <v>3</v>
      </c>
      <c r="Q119" s="37">
        <v>4</v>
      </c>
      <c r="R119">
        <v>116</v>
      </c>
      <c r="S119" s="37">
        <f>IF($P119&gt;0,INDEX(装备!L$11:L$16,新属性汇总!$P119),0)</f>
        <v>630</v>
      </c>
      <c r="T119" s="37">
        <f>IF($P119&gt;0,INDEX(装备!M$11:M$16,新属性汇总!$P119),0)</f>
        <v>315</v>
      </c>
      <c r="U119" s="37">
        <f>IF($P119&gt;0,INDEX(装备!N$11:N$16,新属性汇总!$P119),0)</f>
        <v>3307.5</v>
      </c>
      <c r="V119" s="37">
        <f>IF($P119&gt;0,INDEX(装备!H$11:H$16,新属性汇总!$P119),0)</f>
        <v>20</v>
      </c>
      <c r="W119" s="37">
        <f>IF($P119&gt;0,INDEX(装备!I$11:I$16,新属性汇总!$P119),0)</f>
        <v>10</v>
      </c>
      <c r="X119" s="37">
        <f>IF($P119&gt;0,INDEX(装备!J$11:J$16,新属性汇总!$P119),0)</f>
        <v>125</v>
      </c>
      <c r="Y119" s="37">
        <f t="shared" si="36"/>
        <v>2950</v>
      </c>
      <c r="Z119" s="37">
        <f t="shared" si="37"/>
        <v>1475</v>
      </c>
      <c r="AA119" s="37">
        <f t="shared" si="38"/>
        <v>17807.5</v>
      </c>
      <c r="AB119" s="37">
        <v>0.65</v>
      </c>
      <c r="AC119" s="37">
        <f>IF(P119&gt;0,INDEX(装备!$BP$5:$BP$16,新属性汇总!P119),0)</f>
        <v>3</v>
      </c>
      <c r="AD119" s="37">
        <f>IF($P119&gt;0,ROUND(INDEX(装备!AY$11:AY$16,新属性汇总!$P119)*$AC119/3,0)*8*AB119,0)</f>
        <v>764.4</v>
      </c>
      <c r="AE119" s="37">
        <f>IF($P119&gt;0,ROUND(INDEX(装备!AZ$11:AZ$16,新属性汇总!$P119)*$AC119/3,0)*8*AB119,0)</f>
        <v>286</v>
      </c>
      <c r="AF119" s="37">
        <f>IF($P119&gt;0,ROUND(INDEX(装备!BA$11:BA$16,新属性汇总!$P119)*$AC119/3,0)*8*AB119,0)</f>
        <v>3010.8</v>
      </c>
      <c r="AG119" s="37">
        <f>IF(新属性汇总!P119&gt;0,INDEX(装备!$AP$11:$AP$16,新属性汇总!$P119)*2,0)</f>
        <v>3316</v>
      </c>
      <c r="AH119" s="37">
        <v>0</v>
      </c>
      <c r="AI119" s="37">
        <f>IF(新属性汇总!P119&gt;0,INDEX(装备!$AP$11:$AP$16,新属性汇总!$P119)*2,0)</f>
        <v>3316</v>
      </c>
      <c r="AJ119" s="37">
        <v>25</v>
      </c>
      <c r="AK119" s="37">
        <f>IF($AJ119&gt;0,INDEX(专属武器!H$4:H$53,新属性汇总!$AJ119),0)</f>
        <v>3952</v>
      </c>
      <c r="AL119" s="37">
        <f>IF($AJ119&gt;0,INDEX(专属武器!I$4:I$53,新属性汇总!$AJ119),0)</f>
        <v>1971</v>
      </c>
      <c r="AM119" s="37">
        <f>IF($AJ119&gt;0,INDEX(专属武器!J$4:J$53,新属性汇总!$AJ119),0)</f>
        <v>17803</v>
      </c>
      <c r="AQ119" s="13">
        <v>115</v>
      </c>
      <c r="AR119" s="13">
        <f t="shared" si="39"/>
        <v>7208.2</v>
      </c>
      <c r="AS119" s="13">
        <f t="shared" si="40"/>
        <v>3601.2249999999999</v>
      </c>
      <c r="AT119" s="13">
        <f t="shared" si="41"/>
        <v>37483.1</v>
      </c>
      <c r="AU119" s="13">
        <f t="shared" si="42"/>
        <v>2930</v>
      </c>
      <c r="AV119" s="13">
        <f t="shared" si="43"/>
        <v>1465</v>
      </c>
      <c r="AW119" s="13">
        <f t="shared" si="44"/>
        <v>17682.5</v>
      </c>
      <c r="AX119" s="13">
        <f t="shared" si="45"/>
        <v>764.4</v>
      </c>
      <c r="AY119" s="13">
        <f t="shared" si="46"/>
        <v>286</v>
      </c>
      <c r="AZ119" s="13">
        <f t="shared" si="47"/>
        <v>3010.8</v>
      </c>
      <c r="BA119" s="13">
        <f t="shared" si="48"/>
        <v>3316</v>
      </c>
      <c r="BB119" s="13">
        <f t="shared" si="49"/>
        <v>0</v>
      </c>
      <c r="BC119" s="13">
        <f t="shared" si="50"/>
        <v>3316</v>
      </c>
      <c r="BD119" s="13">
        <f t="shared" si="51"/>
        <v>3952</v>
      </c>
      <c r="BE119" s="13">
        <f t="shared" si="52"/>
        <v>1971</v>
      </c>
      <c r="BF119" s="13">
        <f t="shared" si="53"/>
        <v>17803</v>
      </c>
      <c r="BG119" s="13">
        <f t="shared" si="54"/>
        <v>109536</v>
      </c>
      <c r="BH119" s="13">
        <f t="shared" si="55"/>
        <v>46982</v>
      </c>
      <c r="BI119" s="13">
        <f t="shared" si="56"/>
        <v>9692</v>
      </c>
      <c r="BJ119" s="13">
        <f t="shared" si="57"/>
        <v>19896</v>
      </c>
      <c r="BK119" s="13">
        <f t="shared" si="58"/>
        <v>57273</v>
      </c>
      <c r="BL119" s="13">
        <f t="shared" si="59"/>
        <v>243379</v>
      </c>
      <c r="BM119" s="31">
        <f t="shared" si="60"/>
        <v>0.4501</v>
      </c>
      <c r="BN119" s="31">
        <f t="shared" si="61"/>
        <v>0.193</v>
      </c>
      <c r="BO119" s="31">
        <f t="shared" si="62"/>
        <v>3.9800000000000002E-2</v>
      </c>
      <c r="BP119" s="31">
        <f t="shared" si="63"/>
        <v>8.1699999999999995E-2</v>
      </c>
      <c r="BQ119" s="31">
        <f t="shared" si="64"/>
        <v>0.23530000000000001</v>
      </c>
    </row>
    <row r="120" spans="1:69" ht="16.5" x14ac:dyDescent="0.2">
      <c r="A120" s="37">
        <v>117</v>
      </c>
      <c r="B120" s="37">
        <v>12</v>
      </c>
      <c r="C120" s="37">
        <v>1</v>
      </c>
      <c r="D120" s="37">
        <v>3</v>
      </c>
      <c r="E120" s="37">
        <v>117</v>
      </c>
      <c r="F120" s="37">
        <f>INDEX(新属性投放!$L$6:$L$10,新属性汇总!D120)</f>
        <v>1.1499999999999999</v>
      </c>
      <c r="G120" s="37">
        <f>INDEX(新属性投放!J$42:J$62,新属性汇总!$B120)</f>
        <v>5589.9</v>
      </c>
      <c r="H120" s="37">
        <f>INDEX(新属性投放!K$42:K$62,新属性汇总!$B120)</f>
        <v>2792.45</v>
      </c>
      <c r="I120" s="37">
        <f>INDEX(新属性投放!L$42:L$62,新属性汇总!$B120)</f>
        <v>29544</v>
      </c>
      <c r="J120" s="37">
        <f>($A120-INDEX(新属性投放!$B$42:$B$62,新属性汇总!$B120))*INDEX(新属性投放!D$42:D$62,新属性汇总!$B120)</f>
        <v>949.34</v>
      </c>
      <c r="K120" s="37">
        <f>($A120-INDEX(新属性投放!$B$42:$B$62,新属性汇总!$B120))*INDEX(新属性投放!E$42:E$62,新属性汇总!$B120)</f>
        <v>474.67</v>
      </c>
      <c r="L120" s="37">
        <f>($A120-INDEX(新属性投放!$B$42:$B$62,新属性汇总!$B120))*INDEX(新属性投放!F$42:F$62,新属性汇总!$B120)</f>
        <v>4270</v>
      </c>
      <c r="M120" s="37">
        <f t="shared" si="33"/>
        <v>7520.1259999999993</v>
      </c>
      <c r="N120" s="37">
        <f t="shared" si="34"/>
        <v>3757.1879999999996</v>
      </c>
      <c r="O120" s="37">
        <f t="shared" si="35"/>
        <v>38886.1</v>
      </c>
      <c r="P120" s="37">
        <v>3</v>
      </c>
      <c r="Q120" s="37">
        <v>4</v>
      </c>
      <c r="R120">
        <v>117</v>
      </c>
      <c r="S120" s="37">
        <f>IF($P120&gt;0,INDEX(装备!L$11:L$16,新属性汇总!$P120),0)</f>
        <v>630</v>
      </c>
      <c r="T120" s="37">
        <f>IF($P120&gt;0,INDEX(装备!M$11:M$16,新属性汇总!$P120),0)</f>
        <v>315</v>
      </c>
      <c r="U120" s="37">
        <f>IF($P120&gt;0,INDEX(装备!N$11:N$16,新属性汇总!$P120),0)</f>
        <v>3307.5</v>
      </c>
      <c r="V120" s="37">
        <f>IF($P120&gt;0,INDEX(装备!H$11:H$16,新属性汇总!$P120),0)</f>
        <v>20</v>
      </c>
      <c r="W120" s="37">
        <f>IF($P120&gt;0,INDEX(装备!I$11:I$16,新属性汇总!$P120),0)</f>
        <v>10</v>
      </c>
      <c r="X120" s="37">
        <f>IF($P120&gt;0,INDEX(装备!J$11:J$16,新属性汇总!$P120),0)</f>
        <v>125</v>
      </c>
      <c r="Y120" s="37">
        <f t="shared" si="36"/>
        <v>2970</v>
      </c>
      <c r="Z120" s="37">
        <f t="shared" si="37"/>
        <v>1485</v>
      </c>
      <c r="AA120" s="37">
        <f t="shared" si="38"/>
        <v>17932.5</v>
      </c>
      <c r="AB120" s="37">
        <v>0.65</v>
      </c>
      <c r="AC120" s="37">
        <f>IF(P120&gt;0,INDEX(装备!$BP$5:$BP$16,新属性汇总!P120),0)</f>
        <v>3</v>
      </c>
      <c r="AD120" s="37">
        <f>IF($P120&gt;0,ROUND(INDEX(装备!AY$11:AY$16,新属性汇总!$P120)*$AC120/3,0)*8*AB120,0)</f>
        <v>764.4</v>
      </c>
      <c r="AE120" s="37">
        <f>IF($P120&gt;0,ROUND(INDEX(装备!AZ$11:AZ$16,新属性汇总!$P120)*$AC120/3,0)*8*AB120,0)</f>
        <v>286</v>
      </c>
      <c r="AF120" s="37">
        <f>IF($P120&gt;0,ROUND(INDEX(装备!BA$11:BA$16,新属性汇总!$P120)*$AC120/3,0)*8*AB120,0)</f>
        <v>3010.8</v>
      </c>
      <c r="AG120" s="37">
        <f>IF(新属性汇总!P120&gt;0,INDEX(装备!$AP$11:$AP$16,新属性汇总!$P120)*2,0)</f>
        <v>3316</v>
      </c>
      <c r="AH120" s="37">
        <v>0</v>
      </c>
      <c r="AI120" s="37">
        <f>IF(新属性汇总!P120&gt;0,INDEX(装备!$AP$11:$AP$16,新属性汇总!$P120)*2,0)</f>
        <v>3316</v>
      </c>
      <c r="AJ120" s="37">
        <v>25</v>
      </c>
      <c r="AK120" s="37">
        <f>IF($AJ120&gt;0,INDEX(专属武器!H$4:H$53,新属性汇总!$AJ120),0)</f>
        <v>3952</v>
      </c>
      <c r="AL120" s="37">
        <f>IF($AJ120&gt;0,INDEX(专属武器!I$4:I$53,新属性汇总!$AJ120),0)</f>
        <v>1971</v>
      </c>
      <c r="AM120" s="37">
        <f>IF($AJ120&gt;0,INDEX(专属武器!J$4:J$53,新属性汇总!$AJ120),0)</f>
        <v>17803</v>
      </c>
      <c r="AQ120" s="13">
        <v>116</v>
      </c>
      <c r="AR120" s="13">
        <f t="shared" si="39"/>
        <v>7364.1629999999996</v>
      </c>
      <c r="AS120" s="13">
        <f t="shared" si="40"/>
        <v>3679.2064999999998</v>
      </c>
      <c r="AT120" s="13">
        <f t="shared" si="41"/>
        <v>38184.6</v>
      </c>
      <c r="AU120" s="13">
        <f t="shared" si="42"/>
        <v>2950</v>
      </c>
      <c r="AV120" s="13">
        <f t="shared" si="43"/>
        <v>1475</v>
      </c>
      <c r="AW120" s="13">
        <f t="shared" si="44"/>
        <v>17807.5</v>
      </c>
      <c r="AX120" s="13">
        <f t="shared" si="45"/>
        <v>764.4</v>
      </c>
      <c r="AY120" s="13">
        <f t="shared" si="46"/>
        <v>286</v>
      </c>
      <c r="AZ120" s="13">
        <f t="shared" si="47"/>
        <v>3010.8</v>
      </c>
      <c r="BA120" s="13">
        <f t="shared" si="48"/>
        <v>3316</v>
      </c>
      <c r="BB120" s="13">
        <f t="shared" si="49"/>
        <v>0</v>
      </c>
      <c r="BC120" s="13">
        <f t="shared" si="50"/>
        <v>3316</v>
      </c>
      <c r="BD120" s="13">
        <f t="shared" si="51"/>
        <v>3952</v>
      </c>
      <c r="BE120" s="13">
        <f t="shared" si="52"/>
        <v>1971</v>
      </c>
      <c r="BF120" s="13">
        <f t="shared" si="53"/>
        <v>17803</v>
      </c>
      <c r="BG120" s="13">
        <f t="shared" si="54"/>
        <v>111797</v>
      </c>
      <c r="BH120" s="13">
        <f t="shared" si="55"/>
        <v>47307</v>
      </c>
      <c r="BI120" s="13">
        <f t="shared" si="56"/>
        <v>9692</v>
      </c>
      <c r="BJ120" s="13">
        <f t="shared" si="57"/>
        <v>19896</v>
      </c>
      <c r="BK120" s="13">
        <f t="shared" si="58"/>
        <v>57273</v>
      </c>
      <c r="BL120" s="13">
        <f t="shared" si="59"/>
        <v>245965</v>
      </c>
      <c r="BM120" s="31">
        <f t="shared" si="60"/>
        <v>0.45450000000000002</v>
      </c>
      <c r="BN120" s="31">
        <f t="shared" si="61"/>
        <v>0.1923</v>
      </c>
      <c r="BO120" s="31">
        <f t="shared" si="62"/>
        <v>3.9399999999999998E-2</v>
      </c>
      <c r="BP120" s="31">
        <f t="shared" si="63"/>
        <v>8.09E-2</v>
      </c>
      <c r="BQ120" s="31">
        <f t="shared" si="64"/>
        <v>0.2329</v>
      </c>
    </row>
    <row r="121" spans="1:69" ht="16.5" x14ac:dyDescent="0.2">
      <c r="A121" s="37">
        <v>118</v>
      </c>
      <c r="B121" s="37">
        <v>12</v>
      </c>
      <c r="C121" s="37">
        <v>1</v>
      </c>
      <c r="D121" s="37">
        <v>3</v>
      </c>
      <c r="E121" s="37">
        <v>118</v>
      </c>
      <c r="F121" s="37">
        <f>INDEX(新属性投放!$L$6:$L$10,新属性汇总!D121)</f>
        <v>1.1499999999999999</v>
      </c>
      <c r="G121" s="37">
        <f>INDEX(新属性投放!J$42:J$62,新属性汇总!$B121)</f>
        <v>5589.9</v>
      </c>
      <c r="H121" s="37">
        <f>INDEX(新属性投放!K$42:K$62,新属性汇总!$B121)</f>
        <v>2792.45</v>
      </c>
      <c r="I121" s="37">
        <f>INDEX(新属性投放!L$42:L$62,新属性汇总!$B121)</f>
        <v>29544</v>
      </c>
      <c r="J121" s="37">
        <f>($A121-INDEX(新属性投放!$B$42:$B$62,新属性汇总!$B121))*INDEX(新属性投放!D$42:D$62,新属性汇总!$B121)</f>
        <v>1084.96</v>
      </c>
      <c r="K121" s="37">
        <f>($A121-INDEX(新属性投放!$B$42:$B$62,新属性汇总!$B121))*INDEX(新属性投放!E$42:E$62,新属性汇总!$B121)</f>
        <v>542.48</v>
      </c>
      <c r="L121" s="37">
        <f>($A121-INDEX(新属性投放!$B$42:$B$62,新属性汇总!$B121))*INDEX(新属性投放!F$42:F$62,新属性汇总!$B121)</f>
        <v>4880</v>
      </c>
      <c r="M121" s="37">
        <f t="shared" si="33"/>
        <v>7676.088999999999</v>
      </c>
      <c r="N121" s="37">
        <f t="shared" si="34"/>
        <v>3835.1694999999995</v>
      </c>
      <c r="O121" s="37">
        <f t="shared" si="35"/>
        <v>39587.599999999999</v>
      </c>
      <c r="P121" s="37">
        <v>3</v>
      </c>
      <c r="Q121" s="37">
        <v>4</v>
      </c>
      <c r="R121">
        <v>118</v>
      </c>
      <c r="S121" s="37">
        <f>IF($P121&gt;0,INDEX(装备!L$11:L$16,新属性汇总!$P121),0)</f>
        <v>630</v>
      </c>
      <c r="T121" s="37">
        <f>IF($P121&gt;0,INDEX(装备!M$11:M$16,新属性汇总!$P121),0)</f>
        <v>315</v>
      </c>
      <c r="U121" s="37">
        <f>IF($P121&gt;0,INDEX(装备!N$11:N$16,新属性汇总!$P121),0)</f>
        <v>3307.5</v>
      </c>
      <c r="V121" s="37">
        <f>IF($P121&gt;0,INDEX(装备!H$11:H$16,新属性汇总!$P121),0)</f>
        <v>20</v>
      </c>
      <c r="W121" s="37">
        <f>IF($P121&gt;0,INDEX(装备!I$11:I$16,新属性汇总!$P121),0)</f>
        <v>10</v>
      </c>
      <c r="X121" s="37">
        <f>IF($P121&gt;0,INDEX(装备!J$11:J$16,新属性汇总!$P121),0)</f>
        <v>125</v>
      </c>
      <c r="Y121" s="37">
        <f t="shared" si="36"/>
        <v>2990</v>
      </c>
      <c r="Z121" s="37">
        <f t="shared" si="37"/>
        <v>1495</v>
      </c>
      <c r="AA121" s="37">
        <f t="shared" si="38"/>
        <v>18057.5</v>
      </c>
      <c r="AB121" s="37">
        <v>0.65</v>
      </c>
      <c r="AC121" s="37">
        <f>IF(P121&gt;0,INDEX(装备!$BP$5:$BP$16,新属性汇总!P121),0)</f>
        <v>3</v>
      </c>
      <c r="AD121" s="37">
        <f>IF($P121&gt;0,ROUND(INDEX(装备!AY$11:AY$16,新属性汇总!$P121)*$AC121/3,0)*8*AB121,0)</f>
        <v>764.4</v>
      </c>
      <c r="AE121" s="37">
        <f>IF($P121&gt;0,ROUND(INDEX(装备!AZ$11:AZ$16,新属性汇总!$P121)*$AC121/3,0)*8*AB121,0)</f>
        <v>286</v>
      </c>
      <c r="AF121" s="37">
        <f>IF($P121&gt;0,ROUND(INDEX(装备!BA$11:BA$16,新属性汇总!$P121)*$AC121/3,0)*8*AB121,0)</f>
        <v>3010.8</v>
      </c>
      <c r="AG121" s="37">
        <f>IF(新属性汇总!P121&gt;0,INDEX(装备!$AP$11:$AP$16,新属性汇总!$P121)*2,0)</f>
        <v>3316</v>
      </c>
      <c r="AH121" s="37">
        <v>0</v>
      </c>
      <c r="AI121" s="37">
        <f>IF(新属性汇总!P121&gt;0,INDEX(装备!$AP$11:$AP$16,新属性汇总!$P121)*2,0)</f>
        <v>3316</v>
      </c>
      <c r="AJ121" s="37">
        <v>26</v>
      </c>
      <c r="AK121" s="37">
        <f>IF($AJ121&gt;0,INDEX(专属武器!H$4:H$53,新属性汇总!$AJ121),0)</f>
        <v>4325</v>
      </c>
      <c r="AL121" s="37">
        <f>IF($AJ121&gt;0,INDEX(专属武器!I$4:I$53,新属性汇总!$AJ121),0)</f>
        <v>2157</v>
      </c>
      <c r="AM121" s="37">
        <f>IF($AJ121&gt;0,INDEX(专属武器!J$4:J$53,新属性汇总!$AJ121),0)</f>
        <v>19485</v>
      </c>
      <c r="AQ121" s="13">
        <v>117</v>
      </c>
      <c r="AR121" s="13">
        <f t="shared" si="39"/>
        <v>7520.1259999999993</v>
      </c>
      <c r="AS121" s="13">
        <f t="shared" si="40"/>
        <v>3757.1879999999996</v>
      </c>
      <c r="AT121" s="13">
        <f t="shared" si="41"/>
        <v>38886.1</v>
      </c>
      <c r="AU121" s="13">
        <f t="shared" si="42"/>
        <v>2970</v>
      </c>
      <c r="AV121" s="13">
        <f t="shared" si="43"/>
        <v>1485</v>
      </c>
      <c r="AW121" s="13">
        <f t="shared" si="44"/>
        <v>17932.5</v>
      </c>
      <c r="AX121" s="13">
        <f t="shared" si="45"/>
        <v>764.4</v>
      </c>
      <c r="AY121" s="13">
        <f t="shared" si="46"/>
        <v>286</v>
      </c>
      <c r="AZ121" s="13">
        <f t="shared" si="47"/>
        <v>3010.8</v>
      </c>
      <c r="BA121" s="13">
        <f t="shared" si="48"/>
        <v>3316</v>
      </c>
      <c r="BB121" s="13">
        <f t="shared" si="49"/>
        <v>0</v>
      </c>
      <c r="BC121" s="13">
        <f t="shared" si="50"/>
        <v>3316</v>
      </c>
      <c r="BD121" s="13">
        <f t="shared" si="51"/>
        <v>3952</v>
      </c>
      <c r="BE121" s="13">
        <f t="shared" si="52"/>
        <v>1971</v>
      </c>
      <c r="BF121" s="13">
        <f t="shared" si="53"/>
        <v>17803</v>
      </c>
      <c r="BG121" s="13">
        <f t="shared" si="54"/>
        <v>114058</v>
      </c>
      <c r="BH121" s="13">
        <f t="shared" si="55"/>
        <v>47632</v>
      </c>
      <c r="BI121" s="13">
        <f t="shared" si="56"/>
        <v>9692</v>
      </c>
      <c r="BJ121" s="13">
        <f t="shared" si="57"/>
        <v>19896</v>
      </c>
      <c r="BK121" s="13">
        <f t="shared" si="58"/>
        <v>57273</v>
      </c>
      <c r="BL121" s="13">
        <f t="shared" si="59"/>
        <v>248551</v>
      </c>
      <c r="BM121" s="31">
        <f t="shared" si="60"/>
        <v>0.45889999999999997</v>
      </c>
      <c r="BN121" s="31">
        <f t="shared" si="61"/>
        <v>0.19159999999999999</v>
      </c>
      <c r="BO121" s="31">
        <f t="shared" si="62"/>
        <v>3.9E-2</v>
      </c>
      <c r="BP121" s="31">
        <f t="shared" si="63"/>
        <v>0.08</v>
      </c>
      <c r="BQ121" s="31">
        <f t="shared" si="64"/>
        <v>0.23039999999999999</v>
      </c>
    </row>
    <row r="122" spans="1:69" ht="16.5" x14ac:dyDescent="0.2">
      <c r="A122" s="37">
        <v>119</v>
      </c>
      <c r="B122" s="37">
        <v>12</v>
      </c>
      <c r="C122" s="37">
        <v>1</v>
      </c>
      <c r="D122" s="37">
        <v>3</v>
      </c>
      <c r="E122" s="37">
        <v>119</v>
      </c>
      <c r="F122" s="37">
        <f>INDEX(新属性投放!$L$6:$L$10,新属性汇总!D122)</f>
        <v>1.1499999999999999</v>
      </c>
      <c r="G122" s="37">
        <f>INDEX(新属性投放!J$42:J$62,新属性汇总!$B122)</f>
        <v>5589.9</v>
      </c>
      <c r="H122" s="37">
        <f>INDEX(新属性投放!K$42:K$62,新属性汇总!$B122)</f>
        <v>2792.45</v>
      </c>
      <c r="I122" s="37">
        <f>INDEX(新属性投放!L$42:L$62,新属性汇总!$B122)</f>
        <v>29544</v>
      </c>
      <c r="J122" s="37">
        <f>($A122-INDEX(新属性投放!$B$42:$B$62,新属性汇总!$B122))*INDEX(新属性投放!D$42:D$62,新属性汇总!$B122)</f>
        <v>1220.58</v>
      </c>
      <c r="K122" s="37">
        <f>($A122-INDEX(新属性投放!$B$42:$B$62,新属性汇总!$B122))*INDEX(新属性投放!E$42:E$62,新属性汇总!$B122)</f>
        <v>610.29</v>
      </c>
      <c r="L122" s="37">
        <f>($A122-INDEX(新属性投放!$B$42:$B$62,新属性汇总!$B122))*INDEX(新属性投放!F$42:F$62,新属性汇总!$B122)</f>
        <v>5490</v>
      </c>
      <c r="M122" s="37">
        <f t="shared" si="33"/>
        <v>7832.0519999999988</v>
      </c>
      <c r="N122" s="37">
        <f t="shared" si="34"/>
        <v>3913.1509999999994</v>
      </c>
      <c r="O122" s="37">
        <f t="shared" si="35"/>
        <v>40289.1</v>
      </c>
      <c r="P122" s="37">
        <v>3</v>
      </c>
      <c r="Q122" s="37">
        <v>4</v>
      </c>
      <c r="R122">
        <v>119</v>
      </c>
      <c r="S122" s="37">
        <f>IF($P122&gt;0,INDEX(装备!L$11:L$16,新属性汇总!$P122),0)</f>
        <v>630</v>
      </c>
      <c r="T122" s="37">
        <f>IF($P122&gt;0,INDEX(装备!M$11:M$16,新属性汇总!$P122),0)</f>
        <v>315</v>
      </c>
      <c r="U122" s="37">
        <f>IF($P122&gt;0,INDEX(装备!N$11:N$16,新属性汇总!$P122),0)</f>
        <v>3307.5</v>
      </c>
      <c r="V122" s="37">
        <f>IF($P122&gt;0,INDEX(装备!H$11:H$16,新属性汇总!$P122),0)</f>
        <v>20</v>
      </c>
      <c r="W122" s="37">
        <f>IF($P122&gt;0,INDEX(装备!I$11:I$16,新属性汇总!$P122),0)</f>
        <v>10</v>
      </c>
      <c r="X122" s="37">
        <f>IF($P122&gt;0,INDEX(装备!J$11:J$16,新属性汇总!$P122),0)</f>
        <v>125</v>
      </c>
      <c r="Y122" s="37">
        <f t="shared" si="36"/>
        <v>3010</v>
      </c>
      <c r="Z122" s="37">
        <f t="shared" si="37"/>
        <v>1505</v>
      </c>
      <c r="AA122" s="37">
        <f t="shared" si="38"/>
        <v>18182.5</v>
      </c>
      <c r="AB122" s="37">
        <v>0.65</v>
      </c>
      <c r="AC122" s="37">
        <f>IF(P122&gt;0,INDEX(装备!$BP$5:$BP$16,新属性汇总!P122),0)</f>
        <v>3</v>
      </c>
      <c r="AD122" s="37">
        <f>IF($P122&gt;0,ROUND(INDEX(装备!AY$11:AY$16,新属性汇总!$P122)*$AC122/3,0)*8*AB122,0)</f>
        <v>764.4</v>
      </c>
      <c r="AE122" s="37">
        <f>IF($P122&gt;0,ROUND(INDEX(装备!AZ$11:AZ$16,新属性汇总!$P122)*$AC122/3,0)*8*AB122,0)</f>
        <v>286</v>
      </c>
      <c r="AF122" s="37">
        <f>IF($P122&gt;0,ROUND(INDEX(装备!BA$11:BA$16,新属性汇总!$P122)*$AC122/3,0)*8*AB122,0)</f>
        <v>3010.8</v>
      </c>
      <c r="AG122" s="37">
        <f>IF(新属性汇总!P122&gt;0,INDEX(装备!$AP$11:$AP$16,新属性汇总!$P122)*2,0)</f>
        <v>3316</v>
      </c>
      <c r="AH122" s="37">
        <v>0</v>
      </c>
      <c r="AI122" s="37">
        <f>IF(新属性汇总!P122&gt;0,INDEX(装备!$AP$11:$AP$16,新属性汇总!$P122)*2,0)</f>
        <v>3316</v>
      </c>
      <c r="AJ122" s="37">
        <v>26</v>
      </c>
      <c r="AK122" s="37">
        <f>IF($AJ122&gt;0,INDEX(专属武器!H$4:H$53,新属性汇总!$AJ122),0)</f>
        <v>4325</v>
      </c>
      <c r="AL122" s="37">
        <f>IF($AJ122&gt;0,INDEX(专属武器!I$4:I$53,新属性汇总!$AJ122),0)</f>
        <v>2157</v>
      </c>
      <c r="AM122" s="37">
        <f>IF($AJ122&gt;0,INDEX(专属武器!J$4:J$53,新属性汇总!$AJ122),0)</f>
        <v>19485</v>
      </c>
      <c r="AQ122" s="13">
        <v>118</v>
      </c>
      <c r="AR122" s="13">
        <f t="shared" si="39"/>
        <v>7676.088999999999</v>
      </c>
      <c r="AS122" s="13">
        <f t="shared" si="40"/>
        <v>3835.1694999999995</v>
      </c>
      <c r="AT122" s="13">
        <f t="shared" si="41"/>
        <v>39587.599999999999</v>
      </c>
      <c r="AU122" s="13">
        <f t="shared" si="42"/>
        <v>2990</v>
      </c>
      <c r="AV122" s="13">
        <f t="shared" si="43"/>
        <v>1495</v>
      </c>
      <c r="AW122" s="13">
        <f t="shared" si="44"/>
        <v>18057.5</v>
      </c>
      <c r="AX122" s="13">
        <f t="shared" si="45"/>
        <v>764.4</v>
      </c>
      <c r="AY122" s="13">
        <f t="shared" si="46"/>
        <v>286</v>
      </c>
      <c r="AZ122" s="13">
        <f t="shared" si="47"/>
        <v>3010.8</v>
      </c>
      <c r="BA122" s="13">
        <f t="shared" si="48"/>
        <v>3316</v>
      </c>
      <c r="BB122" s="13">
        <f t="shared" si="49"/>
        <v>0</v>
      </c>
      <c r="BC122" s="13">
        <f t="shared" si="50"/>
        <v>3316</v>
      </c>
      <c r="BD122" s="13">
        <f t="shared" si="51"/>
        <v>4325</v>
      </c>
      <c r="BE122" s="13">
        <f t="shared" si="52"/>
        <v>2157</v>
      </c>
      <c r="BF122" s="13">
        <f t="shared" si="53"/>
        <v>19485</v>
      </c>
      <c r="BG122" s="13">
        <f t="shared" si="54"/>
        <v>116319</v>
      </c>
      <c r="BH122" s="13">
        <f t="shared" si="55"/>
        <v>47957</v>
      </c>
      <c r="BI122" s="13">
        <f t="shared" si="56"/>
        <v>9692</v>
      </c>
      <c r="BJ122" s="13">
        <f t="shared" si="57"/>
        <v>19896</v>
      </c>
      <c r="BK122" s="13">
        <f t="shared" si="58"/>
        <v>62680</v>
      </c>
      <c r="BL122" s="13">
        <f t="shared" si="59"/>
        <v>256544</v>
      </c>
      <c r="BM122" s="31">
        <f t="shared" si="60"/>
        <v>0.45340000000000003</v>
      </c>
      <c r="BN122" s="31">
        <f t="shared" si="61"/>
        <v>0.18690000000000001</v>
      </c>
      <c r="BO122" s="31">
        <f t="shared" si="62"/>
        <v>3.78E-2</v>
      </c>
      <c r="BP122" s="31">
        <f t="shared" si="63"/>
        <v>7.7600000000000002E-2</v>
      </c>
      <c r="BQ122" s="31">
        <f t="shared" si="64"/>
        <v>0.24429999999999999</v>
      </c>
    </row>
    <row r="123" spans="1:69" ht="16.5" x14ac:dyDescent="0.2">
      <c r="A123" s="37">
        <v>120</v>
      </c>
      <c r="B123" s="37">
        <v>13</v>
      </c>
      <c r="C123" s="37">
        <v>1</v>
      </c>
      <c r="D123" s="37">
        <v>3</v>
      </c>
      <c r="E123" s="37">
        <v>120</v>
      </c>
      <c r="F123" s="37">
        <f>INDEX(新属性投放!$L$6:$L$10,新属性汇总!D123)</f>
        <v>1.1499999999999999</v>
      </c>
      <c r="G123" s="37">
        <f>INDEX(新属性投放!J$42:J$62,新属性汇总!$B123)</f>
        <v>7285.0999999999995</v>
      </c>
      <c r="H123" s="37">
        <f>INDEX(新属性投放!K$42:K$62,新属性汇总!$B123)</f>
        <v>3640.5499999999997</v>
      </c>
      <c r="I123" s="37">
        <f>INDEX(新属性投放!L$42:L$62,新属性汇总!$B123)</f>
        <v>38695</v>
      </c>
      <c r="J123" s="37">
        <f>($A123-INDEX(新属性投放!$B$42:$B$62,新属性汇总!$B123))*INDEX(新属性投放!D$42:D$62,新属性汇总!$B123)</f>
        <v>0</v>
      </c>
      <c r="K123" s="37">
        <f>($A123-INDEX(新属性投放!$B$42:$B$62,新属性汇总!$B123))*INDEX(新属性投放!E$42:E$62,新属性汇总!$B123)</f>
        <v>0</v>
      </c>
      <c r="L123" s="37">
        <f>($A123-INDEX(新属性投放!$B$42:$B$62,新属性汇总!$B123))*INDEX(新属性投放!F$42:F$62,新属性汇总!$B123)</f>
        <v>0</v>
      </c>
      <c r="M123" s="37">
        <f t="shared" si="33"/>
        <v>8377.864999999998</v>
      </c>
      <c r="N123" s="37">
        <f t="shared" si="34"/>
        <v>4186.6324999999997</v>
      </c>
      <c r="O123" s="37">
        <f t="shared" si="35"/>
        <v>44499.25</v>
      </c>
      <c r="P123" s="37">
        <v>4</v>
      </c>
      <c r="Q123" s="37">
        <v>4</v>
      </c>
      <c r="R123">
        <v>120</v>
      </c>
      <c r="S123" s="37">
        <f>IF($P123&gt;0,INDEX(装备!L$11:L$16,新属性汇总!$P123),0)</f>
        <v>1380</v>
      </c>
      <c r="T123" s="37">
        <f>IF($P123&gt;0,INDEX(装备!M$11:M$16,新属性汇总!$P123),0)</f>
        <v>690</v>
      </c>
      <c r="U123" s="37">
        <f>IF($P123&gt;0,INDEX(装备!N$11:N$16,新属性汇总!$P123),0)</f>
        <v>7380</v>
      </c>
      <c r="V123" s="37">
        <f>IF($P123&gt;0,INDEX(装备!H$11:H$16,新属性汇总!$P123),0)</f>
        <v>35</v>
      </c>
      <c r="W123" s="37">
        <f>IF($P123&gt;0,INDEX(装备!I$11:I$16,新属性汇总!$P123),0)</f>
        <v>18</v>
      </c>
      <c r="X123" s="37">
        <f>IF($P123&gt;0,INDEX(装备!J$11:J$16,新属性汇总!$P123),0)</f>
        <v>200</v>
      </c>
      <c r="Y123" s="37">
        <f t="shared" si="36"/>
        <v>5580</v>
      </c>
      <c r="Z123" s="37">
        <f t="shared" si="37"/>
        <v>2850</v>
      </c>
      <c r="AA123" s="37">
        <f t="shared" si="38"/>
        <v>31380</v>
      </c>
      <c r="AB123" s="37">
        <v>0.65</v>
      </c>
      <c r="AC123" s="37">
        <f>IF(P123&gt;0,INDEX(装备!$BP$5:$BP$16,新属性汇总!P123),0)</f>
        <v>4</v>
      </c>
      <c r="AD123" s="37">
        <f>IF($P123&gt;0,ROUND(INDEX(装备!AY$11:AY$16,新属性汇总!$P123)*$AC123/3,0)*8*AB123,0)</f>
        <v>1679.6000000000001</v>
      </c>
      <c r="AE123" s="37">
        <f>IF($P123&gt;0,ROUND(INDEX(装备!AZ$11:AZ$16,新属性汇总!$P123)*$AC123/3,0)*8*AB123,0)</f>
        <v>837.2</v>
      </c>
      <c r="AF123" s="37">
        <f>IF($P123&gt;0,ROUND(INDEX(装备!BA$11:BA$16,新属性汇总!$P123)*$AC123/3,0)*8*AB123,0)</f>
        <v>8959.6</v>
      </c>
      <c r="AG123" s="37">
        <f>IF(新属性汇总!P123&gt;0,INDEX(装备!$AP$11:$AP$16,新属性汇总!$P123)*2,0)</f>
        <v>7284</v>
      </c>
      <c r="AH123" s="37">
        <v>0</v>
      </c>
      <c r="AI123" s="37">
        <f>IF(新属性汇总!P123&gt;0,INDEX(装备!$AP$11:$AP$16,新属性汇总!$P123)*2,0)</f>
        <v>7284</v>
      </c>
      <c r="AJ123" s="37">
        <v>26</v>
      </c>
      <c r="AK123" s="37">
        <f>IF($AJ123&gt;0,INDEX(专属武器!H$4:H$53,新属性汇总!$AJ123),0)</f>
        <v>4325</v>
      </c>
      <c r="AL123" s="37">
        <f>IF($AJ123&gt;0,INDEX(专属武器!I$4:I$53,新属性汇总!$AJ123),0)</f>
        <v>2157</v>
      </c>
      <c r="AM123" s="37">
        <f>IF($AJ123&gt;0,INDEX(专属武器!J$4:J$53,新属性汇总!$AJ123),0)</f>
        <v>19485</v>
      </c>
      <c r="AQ123" s="13">
        <v>119</v>
      </c>
      <c r="AR123" s="13">
        <f t="shared" si="39"/>
        <v>7832.0519999999988</v>
      </c>
      <c r="AS123" s="13">
        <f t="shared" si="40"/>
        <v>3913.1509999999994</v>
      </c>
      <c r="AT123" s="13">
        <f t="shared" si="41"/>
        <v>40289.1</v>
      </c>
      <c r="AU123" s="13">
        <f t="shared" si="42"/>
        <v>3010</v>
      </c>
      <c r="AV123" s="13">
        <f t="shared" si="43"/>
        <v>1505</v>
      </c>
      <c r="AW123" s="13">
        <f t="shared" si="44"/>
        <v>18182.5</v>
      </c>
      <c r="AX123" s="13">
        <f t="shared" si="45"/>
        <v>764.4</v>
      </c>
      <c r="AY123" s="13">
        <f t="shared" si="46"/>
        <v>286</v>
      </c>
      <c r="AZ123" s="13">
        <f t="shared" si="47"/>
        <v>3010.8</v>
      </c>
      <c r="BA123" s="13">
        <f t="shared" si="48"/>
        <v>3316</v>
      </c>
      <c r="BB123" s="13">
        <f t="shared" si="49"/>
        <v>0</v>
      </c>
      <c r="BC123" s="13">
        <f t="shared" si="50"/>
        <v>3316</v>
      </c>
      <c r="BD123" s="13">
        <f t="shared" si="51"/>
        <v>4325</v>
      </c>
      <c r="BE123" s="13">
        <f t="shared" si="52"/>
        <v>2157</v>
      </c>
      <c r="BF123" s="13">
        <f t="shared" si="53"/>
        <v>19485</v>
      </c>
      <c r="BG123" s="13">
        <f t="shared" si="54"/>
        <v>118580</v>
      </c>
      <c r="BH123" s="13">
        <f t="shared" si="55"/>
        <v>48282</v>
      </c>
      <c r="BI123" s="13">
        <f t="shared" si="56"/>
        <v>9692</v>
      </c>
      <c r="BJ123" s="13">
        <f t="shared" si="57"/>
        <v>19896</v>
      </c>
      <c r="BK123" s="13">
        <f t="shared" si="58"/>
        <v>62680</v>
      </c>
      <c r="BL123" s="13">
        <f t="shared" si="59"/>
        <v>259130</v>
      </c>
      <c r="BM123" s="31">
        <f t="shared" si="60"/>
        <v>0.45760000000000001</v>
      </c>
      <c r="BN123" s="31">
        <f t="shared" si="61"/>
        <v>0.18629999999999999</v>
      </c>
      <c r="BO123" s="31">
        <f t="shared" si="62"/>
        <v>3.7400000000000003E-2</v>
      </c>
      <c r="BP123" s="31">
        <f t="shared" si="63"/>
        <v>7.6799999999999993E-2</v>
      </c>
      <c r="BQ123" s="31">
        <f t="shared" si="64"/>
        <v>0.2419</v>
      </c>
    </row>
    <row r="124" spans="1:69" ht="16.5" x14ac:dyDescent="0.2">
      <c r="A124" s="37">
        <v>121</v>
      </c>
      <c r="B124" s="37">
        <v>13</v>
      </c>
      <c r="C124" s="37">
        <v>1</v>
      </c>
      <c r="D124" s="37">
        <v>3</v>
      </c>
      <c r="E124" s="37">
        <v>121</v>
      </c>
      <c r="F124" s="37">
        <f>INDEX(新属性投放!$L$6:$L$10,新属性汇总!D124)</f>
        <v>1.1499999999999999</v>
      </c>
      <c r="G124" s="37">
        <f>INDEX(新属性投放!J$42:J$62,新属性汇总!$B124)</f>
        <v>7285.0999999999995</v>
      </c>
      <c r="H124" s="37">
        <f>INDEX(新属性投放!K$42:K$62,新属性汇总!$B124)</f>
        <v>3640.5499999999997</v>
      </c>
      <c r="I124" s="37">
        <f>INDEX(新属性投放!L$42:L$62,新属性汇总!$B124)</f>
        <v>38695</v>
      </c>
      <c r="J124" s="37">
        <f>($A124-INDEX(新属性投放!$B$42:$B$62,新属性汇总!$B124))*INDEX(新属性投放!D$42:D$62,新属性汇总!$B124)</f>
        <v>178</v>
      </c>
      <c r="K124" s="37">
        <f>($A124-INDEX(新属性投放!$B$42:$B$62,新属性汇总!$B124))*INDEX(新属性投放!E$42:E$62,新属性汇总!$B124)</f>
        <v>89</v>
      </c>
      <c r="L124" s="37">
        <f>($A124-INDEX(新属性投放!$B$42:$B$62,新属性汇总!$B124))*INDEX(新属性投放!F$42:F$62,新属性汇总!$B124)</f>
        <v>801</v>
      </c>
      <c r="M124" s="37">
        <f t="shared" si="33"/>
        <v>8582.5649999999987</v>
      </c>
      <c r="N124" s="37">
        <f t="shared" si="34"/>
        <v>4288.9824999999992</v>
      </c>
      <c r="O124" s="37">
        <f t="shared" si="35"/>
        <v>45420.399999999994</v>
      </c>
      <c r="P124" s="37">
        <v>4</v>
      </c>
      <c r="Q124" s="37">
        <v>4</v>
      </c>
      <c r="R124">
        <v>121</v>
      </c>
      <c r="S124" s="37">
        <f>IF($P124&gt;0,INDEX(装备!L$11:L$16,新属性汇总!$P124),0)</f>
        <v>1380</v>
      </c>
      <c r="T124" s="37">
        <f>IF($P124&gt;0,INDEX(装备!M$11:M$16,新属性汇总!$P124),0)</f>
        <v>690</v>
      </c>
      <c r="U124" s="37">
        <f>IF($P124&gt;0,INDEX(装备!N$11:N$16,新属性汇总!$P124),0)</f>
        <v>7380</v>
      </c>
      <c r="V124" s="37">
        <f>IF($P124&gt;0,INDEX(装备!H$11:H$16,新属性汇总!$P124),0)</f>
        <v>35</v>
      </c>
      <c r="W124" s="37">
        <f>IF($P124&gt;0,INDEX(装备!I$11:I$16,新属性汇总!$P124),0)</f>
        <v>18</v>
      </c>
      <c r="X124" s="37">
        <f>IF($P124&gt;0,INDEX(装备!J$11:J$16,新属性汇总!$P124),0)</f>
        <v>200</v>
      </c>
      <c r="Y124" s="37">
        <f t="shared" si="36"/>
        <v>5615</v>
      </c>
      <c r="Z124" s="37">
        <f t="shared" si="37"/>
        <v>2868</v>
      </c>
      <c r="AA124" s="37">
        <f t="shared" si="38"/>
        <v>31580</v>
      </c>
      <c r="AB124" s="37">
        <v>0.65</v>
      </c>
      <c r="AC124" s="37">
        <f>IF(P124&gt;0,INDEX(装备!$BP$5:$BP$16,新属性汇总!P124),0)</f>
        <v>4</v>
      </c>
      <c r="AD124" s="37">
        <f>IF($P124&gt;0,ROUND(INDEX(装备!AY$11:AY$16,新属性汇总!$P124)*$AC124/3,0)*8*AB124,0)</f>
        <v>1679.6000000000001</v>
      </c>
      <c r="AE124" s="37">
        <f>IF($P124&gt;0,ROUND(INDEX(装备!AZ$11:AZ$16,新属性汇总!$P124)*$AC124/3,0)*8*AB124,0)</f>
        <v>837.2</v>
      </c>
      <c r="AF124" s="37">
        <f>IF($P124&gt;0,ROUND(INDEX(装备!BA$11:BA$16,新属性汇总!$P124)*$AC124/3,0)*8*AB124,0)</f>
        <v>8959.6</v>
      </c>
      <c r="AG124" s="37">
        <f>IF(新属性汇总!P124&gt;0,INDEX(装备!$AP$11:$AP$16,新属性汇总!$P124)*2,0)</f>
        <v>7284</v>
      </c>
      <c r="AH124" s="37">
        <v>0</v>
      </c>
      <c r="AI124" s="37">
        <f>IF(新属性汇总!P124&gt;0,INDEX(装备!$AP$11:$AP$16,新属性汇总!$P124)*2,0)</f>
        <v>7284</v>
      </c>
      <c r="AJ124" s="37">
        <v>26</v>
      </c>
      <c r="AK124" s="37">
        <f>IF($AJ124&gt;0,INDEX(专属武器!H$4:H$53,新属性汇总!$AJ124),0)</f>
        <v>4325</v>
      </c>
      <c r="AL124" s="37">
        <f>IF($AJ124&gt;0,INDEX(专属武器!I$4:I$53,新属性汇总!$AJ124),0)</f>
        <v>2157</v>
      </c>
      <c r="AM124" s="37">
        <f>IF($AJ124&gt;0,INDEX(专属武器!J$4:J$53,新属性汇总!$AJ124),0)</f>
        <v>19485</v>
      </c>
      <c r="AQ124" s="13">
        <v>120</v>
      </c>
      <c r="AR124" s="13">
        <f t="shared" si="39"/>
        <v>8377.864999999998</v>
      </c>
      <c r="AS124" s="13">
        <f t="shared" si="40"/>
        <v>4186.6324999999997</v>
      </c>
      <c r="AT124" s="13">
        <f t="shared" si="41"/>
        <v>44499.25</v>
      </c>
      <c r="AU124" s="13">
        <f t="shared" si="42"/>
        <v>5580</v>
      </c>
      <c r="AV124" s="13">
        <f t="shared" si="43"/>
        <v>2850</v>
      </c>
      <c r="AW124" s="13">
        <f t="shared" si="44"/>
        <v>31380</v>
      </c>
      <c r="AX124" s="13">
        <f t="shared" si="45"/>
        <v>1679.6000000000001</v>
      </c>
      <c r="AY124" s="13">
        <f t="shared" si="46"/>
        <v>837.2</v>
      </c>
      <c r="AZ124" s="13">
        <f t="shared" si="47"/>
        <v>8959.6</v>
      </c>
      <c r="BA124" s="13">
        <f t="shared" si="48"/>
        <v>7284</v>
      </c>
      <c r="BB124" s="13">
        <f t="shared" si="49"/>
        <v>0</v>
      </c>
      <c r="BC124" s="13">
        <f t="shared" si="50"/>
        <v>7284</v>
      </c>
      <c r="BD124" s="13">
        <f t="shared" si="51"/>
        <v>4325</v>
      </c>
      <c r="BE124" s="13">
        <f t="shared" si="52"/>
        <v>2157</v>
      </c>
      <c r="BF124" s="13">
        <f t="shared" si="53"/>
        <v>19485</v>
      </c>
      <c r="BG124" s="13">
        <f t="shared" si="54"/>
        <v>128254</v>
      </c>
      <c r="BH124" s="13">
        <f t="shared" si="55"/>
        <v>87780</v>
      </c>
      <c r="BI124" s="13">
        <f t="shared" si="56"/>
        <v>25729</v>
      </c>
      <c r="BJ124" s="13">
        <f t="shared" si="57"/>
        <v>43704</v>
      </c>
      <c r="BK124" s="13">
        <f t="shared" si="58"/>
        <v>62680</v>
      </c>
      <c r="BL124" s="13">
        <f t="shared" si="59"/>
        <v>348147</v>
      </c>
      <c r="BM124" s="31">
        <f t="shared" si="60"/>
        <v>0.36840000000000001</v>
      </c>
      <c r="BN124" s="31">
        <f t="shared" si="61"/>
        <v>0.25209999999999999</v>
      </c>
      <c r="BO124" s="31">
        <f t="shared" si="62"/>
        <v>7.3899999999999993E-2</v>
      </c>
      <c r="BP124" s="31">
        <f t="shared" si="63"/>
        <v>0.1255</v>
      </c>
      <c r="BQ124" s="31">
        <f t="shared" si="64"/>
        <v>0.18</v>
      </c>
    </row>
    <row r="125" spans="1:69" ht="16.5" x14ac:dyDescent="0.2">
      <c r="A125" s="37">
        <v>122</v>
      </c>
      <c r="B125" s="37">
        <v>13</v>
      </c>
      <c r="C125" s="37">
        <v>1</v>
      </c>
      <c r="D125" s="37">
        <v>3</v>
      </c>
      <c r="E125" s="37">
        <v>122</v>
      </c>
      <c r="F125" s="37">
        <f>INDEX(新属性投放!$L$6:$L$10,新属性汇总!D125)</f>
        <v>1.1499999999999999</v>
      </c>
      <c r="G125" s="37">
        <f>INDEX(新属性投放!J$42:J$62,新属性汇总!$B125)</f>
        <v>7285.0999999999995</v>
      </c>
      <c r="H125" s="37">
        <f>INDEX(新属性投放!K$42:K$62,新属性汇总!$B125)</f>
        <v>3640.5499999999997</v>
      </c>
      <c r="I125" s="37">
        <f>INDEX(新属性投放!L$42:L$62,新属性汇总!$B125)</f>
        <v>38695</v>
      </c>
      <c r="J125" s="37">
        <f>($A125-INDEX(新属性投放!$B$42:$B$62,新属性汇总!$B125))*INDEX(新属性投放!D$42:D$62,新属性汇总!$B125)</f>
        <v>356</v>
      </c>
      <c r="K125" s="37">
        <f>($A125-INDEX(新属性投放!$B$42:$B$62,新属性汇总!$B125))*INDEX(新属性投放!E$42:E$62,新属性汇总!$B125)</f>
        <v>178</v>
      </c>
      <c r="L125" s="37">
        <f>($A125-INDEX(新属性投放!$B$42:$B$62,新属性汇总!$B125))*INDEX(新属性投放!F$42:F$62,新属性汇总!$B125)</f>
        <v>1602</v>
      </c>
      <c r="M125" s="37">
        <f t="shared" si="33"/>
        <v>8787.2649999999994</v>
      </c>
      <c r="N125" s="37">
        <f t="shared" si="34"/>
        <v>4391.3324999999995</v>
      </c>
      <c r="O125" s="37">
        <f t="shared" si="35"/>
        <v>46341.549999999996</v>
      </c>
      <c r="P125" s="37">
        <v>4</v>
      </c>
      <c r="Q125" s="37">
        <v>4</v>
      </c>
      <c r="R125">
        <v>122</v>
      </c>
      <c r="S125" s="37">
        <f>IF($P125&gt;0,INDEX(装备!L$11:L$16,新属性汇总!$P125),0)</f>
        <v>1380</v>
      </c>
      <c r="T125" s="37">
        <f>IF($P125&gt;0,INDEX(装备!M$11:M$16,新属性汇总!$P125),0)</f>
        <v>690</v>
      </c>
      <c r="U125" s="37">
        <f>IF($P125&gt;0,INDEX(装备!N$11:N$16,新属性汇总!$P125),0)</f>
        <v>7380</v>
      </c>
      <c r="V125" s="37">
        <f>IF($P125&gt;0,INDEX(装备!H$11:H$16,新属性汇总!$P125),0)</f>
        <v>35</v>
      </c>
      <c r="W125" s="37">
        <f>IF($P125&gt;0,INDEX(装备!I$11:I$16,新属性汇总!$P125),0)</f>
        <v>18</v>
      </c>
      <c r="X125" s="37">
        <f>IF($P125&gt;0,INDEX(装备!J$11:J$16,新属性汇总!$P125),0)</f>
        <v>200</v>
      </c>
      <c r="Y125" s="37">
        <f t="shared" si="36"/>
        <v>5650</v>
      </c>
      <c r="Z125" s="37">
        <f t="shared" si="37"/>
        <v>2886</v>
      </c>
      <c r="AA125" s="37">
        <f t="shared" si="38"/>
        <v>31780</v>
      </c>
      <c r="AB125" s="37">
        <v>0.65</v>
      </c>
      <c r="AC125" s="37">
        <f>IF(P125&gt;0,INDEX(装备!$BP$5:$BP$16,新属性汇总!P125),0)</f>
        <v>4</v>
      </c>
      <c r="AD125" s="37">
        <f>IF($P125&gt;0,ROUND(INDEX(装备!AY$11:AY$16,新属性汇总!$P125)*$AC125/3,0)*8*AB125,0)</f>
        <v>1679.6000000000001</v>
      </c>
      <c r="AE125" s="37">
        <f>IF($P125&gt;0,ROUND(INDEX(装备!AZ$11:AZ$16,新属性汇总!$P125)*$AC125/3,0)*8*AB125,0)</f>
        <v>837.2</v>
      </c>
      <c r="AF125" s="37">
        <f>IF($P125&gt;0,ROUND(INDEX(装备!BA$11:BA$16,新属性汇总!$P125)*$AC125/3,0)*8*AB125,0)</f>
        <v>8959.6</v>
      </c>
      <c r="AG125" s="37">
        <f>IF(新属性汇总!P125&gt;0,INDEX(装备!$AP$11:$AP$16,新属性汇总!$P125)*2,0)</f>
        <v>7284</v>
      </c>
      <c r="AH125" s="37">
        <v>0</v>
      </c>
      <c r="AI125" s="37">
        <f>IF(新属性汇总!P125&gt;0,INDEX(装备!$AP$11:$AP$16,新属性汇总!$P125)*2,0)</f>
        <v>7284</v>
      </c>
      <c r="AJ125" s="37">
        <v>27</v>
      </c>
      <c r="AK125" s="37">
        <f>IF($AJ125&gt;0,INDEX(专属武器!H$4:H$53,新属性汇总!$AJ125),0)</f>
        <v>4823</v>
      </c>
      <c r="AL125" s="37">
        <f>IF($AJ125&gt;0,INDEX(专属武器!I$4:I$53,新属性汇总!$AJ125),0)</f>
        <v>2406</v>
      </c>
      <c r="AM125" s="37">
        <f>IF($AJ125&gt;0,INDEX(专属武器!J$4:J$53,新属性汇总!$AJ125),0)</f>
        <v>21727</v>
      </c>
      <c r="AQ125" s="13">
        <v>121</v>
      </c>
      <c r="AR125" s="13">
        <f t="shared" si="39"/>
        <v>8582.5649999999987</v>
      </c>
      <c r="AS125" s="13">
        <f t="shared" si="40"/>
        <v>4288.9824999999992</v>
      </c>
      <c r="AT125" s="13">
        <f t="shared" si="41"/>
        <v>45420.399999999994</v>
      </c>
      <c r="AU125" s="13">
        <f t="shared" si="42"/>
        <v>5615</v>
      </c>
      <c r="AV125" s="13">
        <f t="shared" si="43"/>
        <v>2868</v>
      </c>
      <c r="AW125" s="13">
        <f t="shared" si="44"/>
        <v>31580</v>
      </c>
      <c r="AX125" s="13">
        <f t="shared" si="45"/>
        <v>1679.6000000000001</v>
      </c>
      <c r="AY125" s="13">
        <f t="shared" si="46"/>
        <v>837.2</v>
      </c>
      <c r="AZ125" s="13">
        <f t="shared" si="47"/>
        <v>8959.6</v>
      </c>
      <c r="BA125" s="13">
        <f t="shared" si="48"/>
        <v>7284</v>
      </c>
      <c r="BB125" s="13">
        <f t="shared" si="49"/>
        <v>0</v>
      </c>
      <c r="BC125" s="13">
        <f t="shared" si="50"/>
        <v>7284</v>
      </c>
      <c r="BD125" s="13">
        <f t="shared" si="51"/>
        <v>4325</v>
      </c>
      <c r="BE125" s="13">
        <f t="shared" si="52"/>
        <v>2157</v>
      </c>
      <c r="BF125" s="13">
        <f t="shared" si="53"/>
        <v>19485</v>
      </c>
      <c r="BG125" s="13">
        <f t="shared" si="54"/>
        <v>131223</v>
      </c>
      <c r="BH125" s="13">
        <f t="shared" si="55"/>
        <v>88335</v>
      </c>
      <c r="BI125" s="13">
        <f t="shared" si="56"/>
        <v>25729</v>
      </c>
      <c r="BJ125" s="13">
        <f t="shared" si="57"/>
        <v>43704</v>
      </c>
      <c r="BK125" s="13">
        <f t="shared" si="58"/>
        <v>62680</v>
      </c>
      <c r="BL125" s="13">
        <f t="shared" si="59"/>
        <v>351671</v>
      </c>
      <c r="BM125" s="31">
        <f t="shared" si="60"/>
        <v>0.37309999999999999</v>
      </c>
      <c r="BN125" s="31">
        <f t="shared" si="61"/>
        <v>0.25119999999999998</v>
      </c>
      <c r="BO125" s="31">
        <f t="shared" si="62"/>
        <v>7.3200000000000001E-2</v>
      </c>
      <c r="BP125" s="31">
        <f t="shared" si="63"/>
        <v>0.12429999999999999</v>
      </c>
      <c r="BQ125" s="31">
        <f t="shared" si="64"/>
        <v>0.1782</v>
      </c>
    </row>
    <row r="126" spans="1:69" ht="16.5" x14ac:dyDescent="0.2">
      <c r="A126" s="37">
        <v>123</v>
      </c>
      <c r="B126" s="37">
        <v>13</v>
      </c>
      <c r="C126" s="37">
        <v>1</v>
      </c>
      <c r="D126" s="37">
        <v>3</v>
      </c>
      <c r="E126" s="37">
        <v>123</v>
      </c>
      <c r="F126" s="37">
        <f>INDEX(新属性投放!$L$6:$L$10,新属性汇总!D126)</f>
        <v>1.1499999999999999</v>
      </c>
      <c r="G126" s="37">
        <f>INDEX(新属性投放!J$42:J$62,新属性汇总!$B126)</f>
        <v>7285.0999999999995</v>
      </c>
      <c r="H126" s="37">
        <f>INDEX(新属性投放!K$42:K$62,新属性汇总!$B126)</f>
        <v>3640.5499999999997</v>
      </c>
      <c r="I126" s="37">
        <f>INDEX(新属性投放!L$42:L$62,新属性汇总!$B126)</f>
        <v>38695</v>
      </c>
      <c r="J126" s="37">
        <f>($A126-INDEX(新属性投放!$B$42:$B$62,新属性汇总!$B126))*INDEX(新属性投放!D$42:D$62,新属性汇总!$B126)</f>
        <v>534</v>
      </c>
      <c r="K126" s="37">
        <f>($A126-INDEX(新属性投放!$B$42:$B$62,新属性汇总!$B126))*INDEX(新属性投放!E$42:E$62,新属性汇总!$B126)</f>
        <v>267</v>
      </c>
      <c r="L126" s="37">
        <f>($A126-INDEX(新属性投放!$B$42:$B$62,新属性汇总!$B126))*INDEX(新属性投放!F$42:F$62,新属性汇总!$B126)</f>
        <v>2403</v>
      </c>
      <c r="M126" s="37">
        <f t="shared" si="33"/>
        <v>8991.9649999999983</v>
      </c>
      <c r="N126" s="37">
        <f t="shared" si="34"/>
        <v>4493.682499999999</v>
      </c>
      <c r="O126" s="37">
        <f t="shared" si="35"/>
        <v>47262.7</v>
      </c>
      <c r="P126" s="37">
        <v>4</v>
      </c>
      <c r="Q126" s="37">
        <v>4</v>
      </c>
      <c r="R126">
        <v>123</v>
      </c>
      <c r="S126" s="37">
        <f>IF($P126&gt;0,INDEX(装备!L$11:L$16,新属性汇总!$P126),0)</f>
        <v>1380</v>
      </c>
      <c r="T126" s="37">
        <f>IF($P126&gt;0,INDEX(装备!M$11:M$16,新属性汇总!$P126),0)</f>
        <v>690</v>
      </c>
      <c r="U126" s="37">
        <f>IF($P126&gt;0,INDEX(装备!N$11:N$16,新属性汇总!$P126),0)</f>
        <v>7380</v>
      </c>
      <c r="V126" s="37">
        <f>IF($P126&gt;0,INDEX(装备!H$11:H$16,新属性汇总!$P126),0)</f>
        <v>35</v>
      </c>
      <c r="W126" s="37">
        <f>IF($P126&gt;0,INDEX(装备!I$11:I$16,新属性汇总!$P126),0)</f>
        <v>18</v>
      </c>
      <c r="X126" s="37">
        <f>IF($P126&gt;0,INDEX(装备!J$11:J$16,新属性汇总!$P126),0)</f>
        <v>200</v>
      </c>
      <c r="Y126" s="37">
        <f t="shared" si="36"/>
        <v>5685</v>
      </c>
      <c r="Z126" s="37">
        <f t="shared" si="37"/>
        <v>2904</v>
      </c>
      <c r="AA126" s="37">
        <f t="shared" si="38"/>
        <v>31980</v>
      </c>
      <c r="AB126" s="37">
        <v>0.65</v>
      </c>
      <c r="AC126" s="37">
        <f>IF(P126&gt;0,INDEX(装备!$BP$5:$BP$16,新属性汇总!P126),0)</f>
        <v>4</v>
      </c>
      <c r="AD126" s="37">
        <f>IF($P126&gt;0,ROUND(INDEX(装备!AY$11:AY$16,新属性汇总!$P126)*$AC126/3,0)*8*AB126,0)</f>
        <v>1679.6000000000001</v>
      </c>
      <c r="AE126" s="37">
        <f>IF($P126&gt;0,ROUND(INDEX(装备!AZ$11:AZ$16,新属性汇总!$P126)*$AC126/3,0)*8*AB126,0)</f>
        <v>837.2</v>
      </c>
      <c r="AF126" s="37">
        <f>IF($P126&gt;0,ROUND(INDEX(装备!BA$11:BA$16,新属性汇总!$P126)*$AC126/3,0)*8*AB126,0)</f>
        <v>8959.6</v>
      </c>
      <c r="AG126" s="37">
        <f>IF(新属性汇总!P126&gt;0,INDEX(装备!$AP$11:$AP$16,新属性汇总!$P126)*2,0)</f>
        <v>7284</v>
      </c>
      <c r="AH126" s="37">
        <v>0</v>
      </c>
      <c r="AI126" s="37">
        <f>IF(新属性汇总!P126&gt;0,INDEX(装备!$AP$11:$AP$16,新属性汇总!$P126)*2,0)</f>
        <v>7284</v>
      </c>
      <c r="AJ126" s="37">
        <v>27</v>
      </c>
      <c r="AK126" s="37">
        <f>IF($AJ126&gt;0,INDEX(专属武器!H$4:H$53,新属性汇总!$AJ126),0)</f>
        <v>4823</v>
      </c>
      <c r="AL126" s="37">
        <f>IF($AJ126&gt;0,INDEX(专属武器!I$4:I$53,新属性汇总!$AJ126),0)</f>
        <v>2406</v>
      </c>
      <c r="AM126" s="37">
        <f>IF($AJ126&gt;0,INDEX(专属武器!J$4:J$53,新属性汇总!$AJ126),0)</f>
        <v>21727</v>
      </c>
      <c r="AQ126" s="13">
        <v>122</v>
      </c>
      <c r="AR126" s="13">
        <f t="shared" si="39"/>
        <v>8787.2649999999994</v>
      </c>
      <c r="AS126" s="13">
        <f t="shared" si="40"/>
        <v>4391.3324999999995</v>
      </c>
      <c r="AT126" s="13">
        <f t="shared" si="41"/>
        <v>46341.549999999996</v>
      </c>
      <c r="AU126" s="13">
        <f t="shared" si="42"/>
        <v>5650</v>
      </c>
      <c r="AV126" s="13">
        <f t="shared" si="43"/>
        <v>2886</v>
      </c>
      <c r="AW126" s="13">
        <f t="shared" si="44"/>
        <v>31780</v>
      </c>
      <c r="AX126" s="13">
        <f t="shared" si="45"/>
        <v>1679.6000000000001</v>
      </c>
      <c r="AY126" s="13">
        <f t="shared" si="46"/>
        <v>837.2</v>
      </c>
      <c r="AZ126" s="13">
        <f t="shared" si="47"/>
        <v>8959.6</v>
      </c>
      <c r="BA126" s="13">
        <f t="shared" si="48"/>
        <v>7284</v>
      </c>
      <c r="BB126" s="13">
        <f t="shared" si="49"/>
        <v>0</v>
      </c>
      <c r="BC126" s="13">
        <f t="shared" si="50"/>
        <v>7284</v>
      </c>
      <c r="BD126" s="13">
        <f t="shared" si="51"/>
        <v>4823</v>
      </c>
      <c r="BE126" s="13">
        <f t="shared" si="52"/>
        <v>2406</v>
      </c>
      <c r="BF126" s="13">
        <f t="shared" si="53"/>
        <v>21727</v>
      </c>
      <c r="BG126" s="13">
        <f t="shared" si="54"/>
        <v>134191</v>
      </c>
      <c r="BH126" s="13">
        <f t="shared" si="55"/>
        <v>88890</v>
      </c>
      <c r="BI126" s="13">
        <f t="shared" si="56"/>
        <v>25729</v>
      </c>
      <c r="BJ126" s="13">
        <f t="shared" si="57"/>
        <v>43704</v>
      </c>
      <c r="BK126" s="13">
        <f t="shared" si="58"/>
        <v>69902</v>
      </c>
      <c r="BL126" s="13">
        <f t="shared" si="59"/>
        <v>362416</v>
      </c>
      <c r="BM126" s="31">
        <f t="shared" si="60"/>
        <v>0.37030000000000002</v>
      </c>
      <c r="BN126" s="31">
        <f t="shared" si="61"/>
        <v>0.24529999999999999</v>
      </c>
      <c r="BO126" s="31">
        <f t="shared" si="62"/>
        <v>7.0999999999999994E-2</v>
      </c>
      <c r="BP126" s="31">
        <f t="shared" si="63"/>
        <v>0.1206</v>
      </c>
      <c r="BQ126" s="31">
        <f t="shared" si="64"/>
        <v>0.19289999999999999</v>
      </c>
    </row>
    <row r="127" spans="1:69" ht="16.5" x14ac:dyDescent="0.2">
      <c r="A127" s="37">
        <v>124</v>
      </c>
      <c r="B127" s="37">
        <v>13</v>
      </c>
      <c r="C127" s="37">
        <v>1</v>
      </c>
      <c r="D127" s="37">
        <v>3</v>
      </c>
      <c r="E127" s="37">
        <v>124</v>
      </c>
      <c r="F127" s="37">
        <f>INDEX(新属性投放!$L$6:$L$10,新属性汇总!D127)</f>
        <v>1.1499999999999999</v>
      </c>
      <c r="G127" s="37">
        <f>INDEX(新属性投放!J$42:J$62,新属性汇总!$B127)</f>
        <v>7285.0999999999995</v>
      </c>
      <c r="H127" s="37">
        <f>INDEX(新属性投放!K$42:K$62,新属性汇总!$B127)</f>
        <v>3640.5499999999997</v>
      </c>
      <c r="I127" s="37">
        <f>INDEX(新属性投放!L$42:L$62,新属性汇总!$B127)</f>
        <v>38695</v>
      </c>
      <c r="J127" s="37">
        <f>($A127-INDEX(新属性投放!$B$42:$B$62,新属性汇总!$B127))*INDEX(新属性投放!D$42:D$62,新属性汇总!$B127)</f>
        <v>712</v>
      </c>
      <c r="K127" s="37">
        <f>($A127-INDEX(新属性投放!$B$42:$B$62,新属性汇总!$B127))*INDEX(新属性投放!E$42:E$62,新属性汇总!$B127)</f>
        <v>356</v>
      </c>
      <c r="L127" s="37">
        <f>($A127-INDEX(新属性投放!$B$42:$B$62,新属性汇总!$B127))*INDEX(新属性投放!F$42:F$62,新属性汇总!$B127)</f>
        <v>3204</v>
      </c>
      <c r="M127" s="37">
        <f t="shared" si="33"/>
        <v>9196.6649999999991</v>
      </c>
      <c r="N127" s="37">
        <f t="shared" si="34"/>
        <v>4596.0324999999993</v>
      </c>
      <c r="O127" s="37">
        <f t="shared" si="35"/>
        <v>48183.85</v>
      </c>
      <c r="P127" s="37">
        <v>4</v>
      </c>
      <c r="Q127" s="37">
        <v>4</v>
      </c>
      <c r="R127">
        <v>124</v>
      </c>
      <c r="S127" s="37">
        <f>IF($P127&gt;0,INDEX(装备!L$11:L$16,新属性汇总!$P127),0)</f>
        <v>1380</v>
      </c>
      <c r="T127" s="37">
        <f>IF($P127&gt;0,INDEX(装备!M$11:M$16,新属性汇总!$P127),0)</f>
        <v>690</v>
      </c>
      <c r="U127" s="37">
        <f>IF($P127&gt;0,INDEX(装备!N$11:N$16,新属性汇总!$P127),0)</f>
        <v>7380</v>
      </c>
      <c r="V127" s="37">
        <f>IF($P127&gt;0,INDEX(装备!H$11:H$16,新属性汇总!$P127),0)</f>
        <v>35</v>
      </c>
      <c r="W127" s="37">
        <f>IF($P127&gt;0,INDEX(装备!I$11:I$16,新属性汇总!$P127),0)</f>
        <v>18</v>
      </c>
      <c r="X127" s="37">
        <f>IF($P127&gt;0,INDEX(装备!J$11:J$16,新属性汇总!$P127),0)</f>
        <v>200</v>
      </c>
      <c r="Y127" s="37">
        <f t="shared" si="36"/>
        <v>5720</v>
      </c>
      <c r="Z127" s="37">
        <f t="shared" si="37"/>
        <v>2922</v>
      </c>
      <c r="AA127" s="37">
        <f t="shared" si="38"/>
        <v>32180</v>
      </c>
      <c r="AB127" s="37">
        <v>0.65</v>
      </c>
      <c r="AC127" s="37">
        <f>IF(P127&gt;0,INDEX(装备!$BP$5:$BP$16,新属性汇总!P127),0)</f>
        <v>4</v>
      </c>
      <c r="AD127" s="37">
        <f>IF($P127&gt;0,ROUND(INDEX(装备!AY$11:AY$16,新属性汇总!$P127)*$AC127/3,0)*8*AB127,0)</f>
        <v>1679.6000000000001</v>
      </c>
      <c r="AE127" s="37">
        <f>IF($P127&gt;0,ROUND(INDEX(装备!AZ$11:AZ$16,新属性汇总!$P127)*$AC127/3,0)*8*AB127,0)</f>
        <v>837.2</v>
      </c>
      <c r="AF127" s="37">
        <f>IF($P127&gt;0,ROUND(INDEX(装备!BA$11:BA$16,新属性汇总!$P127)*$AC127/3,0)*8*AB127,0)</f>
        <v>8959.6</v>
      </c>
      <c r="AG127" s="37">
        <f>IF(新属性汇总!P127&gt;0,INDEX(装备!$AP$11:$AP$16,新属性汇总!$P127)*2,0)</f>
        <v>7284</v>
      </c>
      <c r="AH127" s="37">
        <v>0</v>
      </c>
      <c r="AI127" s="37">
        <f>IF(新属性汇总!P127&gt;0,INDEX(装备!$AP$11:$AP$16,新属性汇总!$P127)*2,0)</f>
        <v>7284</v>
      </c>
      <c r="AJ127" s="37">
        <v>27</v>
      </c>
      <c r="AK127" s="37">
        <f>IF($AJ127&gt;0,INDEX(专属武器!H$4:H$53,新属性汇总!$AJ127),0)</f>
        <v>4823</v>
      </c>
      <c r="AL127" s="37">
        <f>IF($AJ127&gt;0,INDEX(专属武器!I$4:I$53,新属性汇总!$AJ127),0)</f>
        <v>2406</v>
      </c>
      <c r="AM127" s="37">
        <f>IF($AJ127&gt;0,INDEX(专属武器!J$4:J$53,新属性汇总!$AJ127),0)</f>
        <v>21727</v>
      </c>
      <c r="AQ127" s="13">
        <v>123</v>
      </c>
      <c r="AR127" s="13">
        <f t="shared" si="39"/>
        <v>8991.9649999999983</v>
      </c>
      <c r="AS127" s="13">
        <f t="shared" si="40"/>
        <v>4493.682499999999</v>
      </c>
      <c r="AT127" s="13">
        <f t="shared" si="41"/>
        <v>47262.7</v>
      </c>
      <c r="AU127" s="13">
        <f t="shared" si="42"/>
        <v>5685</v>
      </c>
      <c r="AV127" s="13">
        <f t="shared" si="43"/>
        <v>2904</v>
      </c>
      <c r="AW127" s="13">
        <f t="shared" si="44"/>
        <v>31980</v>
      </c>
      <c r="AX127" s="13">
        <f t="shared" si="45"/>
        <v>1679.6000000000001</v>
      </c>
      <c r="AY127" s="13">
        <f t="shared" si="46"/>
        <v>837.2</v>
      </c>
      <c r="AZ127" s="13">
        <f t="shared" si="47"/>
        <v>8959.6</v>
      </c>
      <c r="BA127" s="13">
        <f t="shared" si="48"/>
        <v>7284</v>
      </c>
      <c r="BB127" s="13">
        <f t="shared" si="49"/>
        <v>0</v>
      </c>
      <c r="BC127" s="13">
        <f t="shared" si="50"/>
        <v>7284</v>
      </c>
      <c r="BD127" s="13">
        <f t="shared" si="51"/>
        <v>4823</v>
      </c>
      <c r="BE127" s="13">
        <f t="shared" si="52"/>
        <v>2406</v>
      </c>
      <c r="BF127" s="13">
        <f t="shared" si="53"/>
        <v>21727</v>
      </c>
      <c r="BG127" s="13">
        <f t="shared" si="54"/>
        <v>137159</v>
      </c>
      <c r="BH127" s="13">
        <f t="shared" si="55"/>
        <v>89445</v>
      </c>
      <c r="BI127" s="13">
        <f t="shared" si="56"/>
        <v>25729</v>
      </c>
      <c r="BJ127" s="13">
        <f t="shared" si="57"/>
        <v>43704</v>
      </c>
      <c r="BK127" s="13">
        <f t="shared" si="58"/>
        <v>69902</v>
      </c>
      <c r="BL127" s="13">
        <f t="shared" si="59"/>
        <v>365939</v>
      </c>
      <c r="BM127" s="31">
        <f t="shared" si="60"/>
        <v>0.37480000000000002</v>
      </c>
      <c r="BN127" s="31">
        <f t="shared" si="61"/>
        <v>0.24440000000000001</v>
      </c>
      <c r="BO127" s="31">
        <f t="shared" si="62"/>
        <v>7.0300000000000001E-2</v>
      </c>
      <c r="BP127" s="31">
        <f t="shared" si="63"/>
        <v>0.11940000000000001</v>
      </c>
      <c r="BQ127" s="31">
        <f t="shared" si="64"/>
        <v>0.191</v>
      </c>
    </row>
    <row r="128" spans="1:69" ht="16.5" x14ac:dyDescent="0.2">
      <c r="A128" s="37">
        <v>125</v>
      </c>
      <c r="B128" s="37">
        <v>13</v>
      </c>
      <c r="C128" s="37">
        <v>1</v>
      </c>
      <c r="D128" s="37">
        <v>3</v>
      </c>
      <c r="E128" s="37">
        <v>125</v>
      </c>
      <c r="F128" s="37">
        <f>INDEX(新属性投放!$L$6:$L$10,新属性汇总!D128)</f>
        <v>1.1499999999999999</v>
      </c>
      <c r="G128" s="37">
        <f>INDEX(新属性投放!J$42:J$62,新属性汇总!$B128)</f>
        <v>7285.0999999999995</v>
      </c>
      <c r="H128" s="37">
        <f>INDEX(新属性投放!K$42:K$62,新属性汇总!$B128)</f>
        <v>3640.5499999999997</v>
      </c>
      <c r="I128" s="37">
        <f>INDEX(新属性投放!L$42:L$62,新属性汇总!$B128)</f>
        <v>38695</v>
      </c>
      <c r="J128" s="37">
        <f>($A128-INDEX(新属性投放!$B$42:$B$62,新属性汇总!$B128))*INDEX(新属性投放!D$42:D$62,新属性汇总!$B128)</f>
        <v>890</v>
      </c>
      <c r="K128" s="37">
        <f>($A128-INDEX(新属性投放!$B$42:$B$62,新属性汇总!$B128))*INDEX(新属性投放!E$42:E$62,新属性汇总!$B128)</f>
        <v>445</v>
      </c>
      <c r="L128" s="37">
        <f>($A128-INDEX(新属性投放!$B$42:$B$62,新属性汇总!$B128))*INDEX(新属性投放!F$42:F$62,新属性汇总!$B128)</f>
        <v>4005</v>
      </c>
      <c r="M128" s="37">
        <f t="shared" si="33"/>
        <v>9401.364999999998</v>
      </c>
      <c r="N128" s="37">
        <f t="shared" si="34"/>
        <v>4698.3824999999997</v>
      </c>
      <c r="O128" s="37">
        <f t="shared" si="35"/>
        <v>49104.999999999993</v>
      </c>
      <c r="P128" s="37">
        <v>4</v>
      </c>
      <c r="Q128" s="37">
        <v>4</v>
      </c>
      <c r="R128">
        <v>125</v>
      </c>
      <c r="S128" s="37">
        <f>IF($P128&gt;0,INDEX(装备!L$11:L$16,新属性汇总!$P128),0)</f>
        <v>1380</v>
      </c>
      <c r="T128" s="37">
        <f>IF($P128&gt;0,INDEX(装备!M$11:M$16,新属性汇总!$P128),0)</f>
        <v>690</v>
      </c>
      <c r="U128" s="37">
        <f>IF($P128&gt;0,INDEX(装备!N$11:N$16,新属性汇总!$P128),0)</f>
        <v>7380</v>
      </c>
      <c r="V128" s="37">
        <f>IF($P128&gt;0,INDEX(装备!H$11:H$16,新属性汇总!$P128),0)</f>
        <v>35</v>
      </c>
      <c r="W128" s="37">
        <f>IF($P128&gt;0,INDEX(装备!I$11:I$16,新属性汇总!$P128),0)</f>
        <v>18</v>
      </c>
      <c r="X128" s="37">
        <f>IF($P128&gt;0,INDEX(装备!J$11:J$16,新属性汇总!$P128),0)</f>
        <v>200</v>
      </c>
      <c r="Y128" s="37">
        <f t="shared" si="36"/>
        <v>5755</v>
      </c>
      <c r="Z128" s="37">
        <f t="shared" si="37"/>
        <v>2940</v>
      </c>
      <c r="AA128" s="37">
        <f t="shared" si="38"/>
        <v>32380</v>
      </c>
      <c r="AB128" s="37">
        <v>0.65</v>
      </c>
      <c r="AC128" s="37">
        <f>IF(P128&gt;0,INDEX(装备!$BP$5:$BP$16,新属性汇总!P128),0)</f>
        <v>4</v>
      </c>
      <c r="AD128" s="37">
        <f>IF($P128&gt;0,ROUND(INDEX(装备!AY$11:AY$16,新属性汇总!$P128)*$AC128/3,0)*8*AB128,0)</f>
        <v>1679.6000000000001</v>
      </c>
      <c r="AE128" s="37">
        <f>IF($P128&gt;0,ROUND(INDEX(装备!AZ$11:AZ$16,新属性汇总!$P128)*$AC128/3,0)*8*AB128,0)</f>
        <v>837.2</v>
      </c>
      <c r="AF128" s="37">
        <f>IF($P128&gt;0,ROUND(INDEX(装备!BA$11:BA$16,新属性汇总!$P128)*$AC128/3,0)*8*AB128,0)</f>
        <v>8959.6</v>
      </c>
      <c r="AG128" s="37">
        <f>IF(新属性汇总!P128&gt;0,INDEX(装备!$AP$11:$AP$16,新属性汇总!$P128)*2,0)</f>
        <v>7284</v>
      </c>
      <c r="AH128" s="37">
        <v>0</v>
      </c>
      <c r="AI128" s="37">
        <f>IF(新属性汇总!P128&gt;0,INDEX(装备!$AP$11:$AP$16,新属性汇总!$P128)*2,0)</f>
        <v>7284</v>
      </c>
      <c r="AJ128" s="37">
        <v>27</v>
      </c>
      <c r="AK128" s="37">
        <f>IF($AJ128&gt;0,INDEX(专属武器!H$4:H$53,新属性汇总!$AJ128),0)</f>
        <v>4823</v>
      </c>
      <c r="AL128" s="37">
        <f>IF($AJ128&gt;0,INDEX(专属武器!I$4:I$53,新属性汇总!$AJ128),0)</f>
        <v>2406</v>
      </c>
      <c r="AM128" s="37">
        <f>IF($AJ128&gt;0,INDEX(专属武器!J$4:J$53,新属性汇总!$AJ128),0)</f>
        <v>21727</v>
      </c>
      <c r="AQ128" s="13">
        <v>124</v>
      </c>
      <c r="AR128" s="13">
        <f t="shared" si="39"/>
        <v>9196.6649999999991</v>
      </c>
      <c r="AS128" s="13">
        <f t="shared" si="40"/>
        <v>4596.0324999999993</v>
      </c>
      <c r="AT128" s="13">
        <f t="shared" si="41"/>
        <v>48183.85</v>
      </c>
      <c r="AU128" s="13">
        <f t="shared" si="42"/>
        <v>5720</v>
      </c>
      <c r="AV128" s="13">
        <f t="shared" si="43"/>
        <v>2922</v>
      </c>
      <c r="AW128" s="13">
        <f t="shared" si="44"/>
        <v>32180</v>
      </c>
      <c r="AX128" s="13">
        <f t="shared" si="45"/>
        <v>1679.6000000000001</v>
      </c>
      <c r="AY128" s="13">
        <f t="shared" si="46"/>
        <v>837.2</v>
      </c>
      <c r="AZ128" s="13">
        <f t="shared" si="47"/>
        <v>8959.6</v>
      </c>
      <c r="BA128" s="13">
        <f t="shared" si="48"/>
        <v>7284</v>
      </c>
      <c r="BB128" s="13">
        <f t="shared" si="49"/>
        <v>0</v>
      </c>
      <c r="BC128" s="13">
        <f t="shared" si="50"/>
        <v>7284</v>
      </c>
      <c r="BD128" s="13">
        <f t="shared" si="51"/>
        <v>4823</v>
      </c>
      <c r="BE128" s="13">
        <f t="shared" si="52"/>
        <v>2406</v>
      </c>
      <c r="BF128" s="13">
        <f t="shared" si="53"/>
        <v>21727</v>
      </c>
      <c r="BG128" s="13">
        <f t="shared" si="54"/>
        <v>140127</v>
      </c>
      <c r="BH128" s="13">
        <f t="shared" si="55"/>
        <v>90000</v>
      </c>
      <c r="BI128" s="13">
        <f t="shared" si="56"/>
        <v>25729</v>
      </c>
      <c r="BJ128" s="13">
        <f t="shared" si="57"/>
        <v>43704</v>
      </c>
      <c r="BK128" s="13">
        <f t="shared" si="58"/>
        <v>69902</v>
      </c>
      <c r="BL128" s="13">
        <f t="shared" si="59"/>
        <v>369462</v>
      </c>
      <c r="BM128" s="31">
        <f t="shared" si="60"/>
        <v>0.37930000000000003</v>
      </c>
      <c r="BN128" s="31">
        <f t="shared" si="61"/>
        <v>0.24360000000000001</v>
      </c>
      <c r="BO128" s="31">
        <f t="shared" si="62"/>
        <v>6.9599999999999995E-2</v>
      </c>
      <c r="BP128" s="31">
        <f t="shared" si="63"/>
        <v>0.1183</v>
      </c>
      <c r="BQ128" s="31">
        <f t="shared" si="64"/>
        <v>0.18920000000000001</v>
      </c>
    </row>
    <row r="129" spans="1:69" ht="16.5" x14ac:dyDescent="0.2">
      <c r="A129" s="37">
        <v>126</v>
      </c>
      <c r="B129" s="37">
        <v>13</v>
      </c>
      <c r="C129" s="37">
        <v>1</v>
      </c>
      <c r="D129" s="37">
        <v>3</v>
      </c>
      <c r="E129" s="37">
        <v>126</v>
      </c>
      <c r="F129" s="37">
        <f>INDEX(新属性投放!$L$6:$L$10,新属性汇总!D129)</f>
        <v>1.1499999999999999</v>
      </c>
      <c r="G129" s="37">
        <f>INDEX(新属性投放!J$42:J$62,新属性汇总!$B129)</f>
        <v>7285.0999999999995</v>
      </c>
      <c r="H129" s="37">
        <f>INDEX(新属性投放!K$42:K$62,新属性汇总!$B129)</f>
        <v>3640.5499999999997</v>
      </c>
      <c r="I129" s="37">
        <f>INDEX(新属性投放!L$42:L$62,新属性汇总!$B129)</f>
        <v>38695</v>
      </c>
      <c r="J129" s="37">
        <f>($A129-INDEX(新属性投放!$B$42:$B$62,新属性汇总!$B129))*INDEX(新属性投放!D$42:D$62,新属性汇总!$B129)</f>
        <v>1068</v>
      </c>
      <c r="K129" s="37">
        <f>($A129-INDEX(新属性投放!$B$42:$B$62,新属性汇总!$B129))*INDEX(新属性投放!E$42:E$62,新属性汇总!$B129)</f>
        <v>534</v>
      </c>
      <c r="L129" s="37">
        <f>($A129-INDEX(新属性投放!$B$42:$B$62,新属性汇总!$B129))*INDEX(新属性投放!F$42:F$62,新属性汇总!$B129)</f>
        <v>4806</v>
      </c>
      <c r="M129" s="37">
        <f t="shared" si="33"/>
        <v>9606.0649999999969</v>
      </c>
      <c r="N129" s="37">
        <f t="shared" si="34"/>
        <v>4800.7324999999992</v>
      </c>
      <c r="O129" s="37">
        <f t="shared" si="35"/>
        <v>50026.149999999994</v>
      </c>
      <c r="P129" s="37">
        <v>4</v>
      </c>
      <c r="Q129" s="37">
        <v>4</v>
      </c>
      <c r="R129">
        <v>126</v>
      </c>
      <c r="S129" s="37">
        <f>IF($P129&gt;0,INDEX(装备!L$11:L$16,新属性汇总!$P129),0)</f>
        <v>1380</v>
      </c>
      <c r="T129" s="37">
        <f>IF($P129&gt;0,INDEX(装备!M$11:M$16,新属性汇总!$P129),0)</f>
        <v>690</v>
      </c>
      <c r="U129" s="37">
        <f>IF($P129&gt;0,INDEX(装备!N$11:N$16,新属性汇总!$P129),0)</f>
        <v>7380</v>
      </c>
      <c r="V129" s="37">
        <f>IF($P129&gt;0,INDEX(装备!H$11:H$16,新属性汇总!$P129),0)</f>
        <v>35</v>
      </c>
      <c r="W129" s="37">
        <f>IF($P129&gt;0,INDEX(装备!I$11:I$16,新属性汇总!$P129),0)</f>
        <v>18</v>
      </c>
      <c r="X129" s="37">
        <f>IF($P129&gt;0,INDEX(装备!J$11:J$16,新属性汇总!$P129),0)</f>
        <v>200</v>
      </c>
      <c r="Y129" s="37">
        <f t="shared" si="36"/>
        <v>5790</v>
      </c>
      <c r="Z129" s="37">
        <f t="shared" si="37"/>
        <v>2958</v>
      </c>
      <c r="AA129" s="37">
        <f t="shared" si="38"/>
        <v>32580</v>
      </c>
      <c r="AB129" s="37">
        <v>0.65</v>
      </c>
      <c r="AC129" s="37">
        <f>IF(P129&gt;0,INDEX(装备!$BP$5:$BP$16,新属性汇总!P129),0)</f>
        <v>4</v>
      </c>
      <c r="AD129" s="37">
        <f>IF($P129&gt;0,ROUND(INDEX(装备!AY$11:AY$16,新属性汇总!$P129)*$AC129/3,0)*8*AB129,0)</f>
        <v>1679.6000000000001</v>
      </c>
      <c r="AE129" s="37">
        <f>IF($P129&gt;0,ROUND(INDEX(装备!AZ$11:AZ$16,新属性汇总!$P129)*$AC129/3,0)*8*AB129,0)</f>
        <v>837.2</v>
      </c>
      <c r="AF129" s="37">
        <f>IF($P129&gt;0,ROUND(INDEX(装备!BA$11:BA$16,新属性汇总!$P129)*$AC129/3,0)*8*AB129,0)</f>
        <v>8959.6</v>
      </c>
      <c r="AG129" s="37">
        <f>IF(新属性汇总!P129&gt;0,INDEX(装备!$AP$11:$AP$16,新属性汇总!$P129)*2,0)</f>
        <v>7284</v>
      </c>
      <c r="AH129" s="37">
        <v>0</v>
      </c>
      <c r="AI129" s="37">
        <f>IF(新属性汇总!P129&gt;0,INDEX(装备!$AP$11:$AP$16,新属性汇总!$P129)*2,0)</f>
        <v>7284</v>
      </c>
      <c r="AJ129" s="37">
        <v>28</v>
      </c>
      <c r="AK129" s="37">
        <f>IF($AJ129&gt;0,INDEX(专属武器!H$4:H$53,新属性汇总!$AJ129),0)</f>
        <v>5313</v>
      </c>
      <c r="AL129" s="37">
        <f>IF($AJ129&gt;0,INDEX(专属武器!I$4:I$53,新属性汇总!$AJ129),0)</f>
        <v>2651</v>
      </c>
      <c r="AM129" s="37">
        <f>IF($AJ129&gt;0,INDEX(专属武器!J$4:J$53,新属性汇总!$AJ129),0)</f>
        <v>23934</v>
      </c>
      <c r="AQ129" s="13">
        <v>125</v>
      </c>
      <c r="AR129" s="13">
        <f t="shared" si="39"/>
        <v>9401.364999999998</v>
      </c>
      <c r="AS129" s="13">
        <f t="shared" si="40"/>
        <v>4698.3824999999997</v>
      </c>
      <c r="AT129" s="13">
        <f t="shared" si="41"/>
        <v>49104.999999999993</v>
      </c>
      <c r="AU129" s="13">
        <f t="shared" si="42"/>
        <v>5755</v>
      </c>
      <c r="AV129" s="13">
        <f t="shared" si="43"/>
        <v>2940</v>
      </c>
      <c r="AW129" s="13">
        <f t="shared" si="44"/>
        <v>32380</v>
      </c>
      <c r="AX129" s="13">
        <f t="shared" si="45"/>
        <v>1679.6000000000001</v>
      </c>
      <c r="AY129" s="13">
        <f t="shared" si="46"/>
        <v>837.2</v>
      </c>
      <c r="AZ129" s="13">
        <f t="shared" si="47"/>
        <v>8959.6</v>
      </c>
      <c r="BA129" s="13">
        <f t="shared" si="48"/>
        <v>7284</v>
      </c>
      <c r="BB129" s="13">
        <f t="shared" si="49"/>
        <v>0</v>
      </c>
      <c r="BC129" s="13">
        <f t="shared" si="50"/>
        <v>7284</v>
      </c>
      <c r="BD129" s="13">
        <f t="shared" si="51"/>
        <v>4823</v>
      </c>
      <c r="BE129" s="13">
        <f t="shared" si="52"/>
        <v>2406</v>
      </c>
      <c r="BF129" s="13">
        <f t="shared" si="53"/>
        <v>21727</v>
      </c>
      <c r="BG129" s="13">
        <f t="shared" si="54"/>
        <v>143095</v>
      </c>
      <c r="BH129" s="13">
        <f t="shared" si="55"/>
        <v>90555</v>
      </c>
      <c r="BI129" s="13">
        <f t="shared" si="56"/>
        <v>25729</v>
      </c>
      <c r="BJ129" s="13">
        <f t="shared" si="57"/>
        <v>43704</v>
      </c>
      <c r="BK129" s="13">
        <f t="shared" si="58"/>
        <v>69902</v>
      </c>
      <c r="BL129" s="13">
        <f t="shared" si="59"/>
        <v>372985</v>
      </c>
      <c r="BM129" s="31">
        <f t="shared" si="60"/>
        <v>0.3836</v>
      </c>
      <c r="BN129" s="31">
        <f t="shared" si="61"/>
        <v>0.24279999999999999</v>
      </c>
      <c r="BO129" s="31">
        <f t="shared" si="62"/>
        <v>6.9000000000000006E-2</v>
      </c>
      <c r="BP129" s="31">
        <f t="shared" si="63"/>
        <v>0.1172</v>
      </c>
      <c r="BQ129" s="31">
        <f t="shared" si="64"/>
        <v>0.18740000000000001</v>
      </c>
    </row>
    <row r="130" spans="1:69" ht="16.5" x14ac:dyDescent="0.2">
      <c r="A130" s="37">
        <v>127</v>
      </c>
      <c r="B130" s="37">
        <v>13</v>
      </c>
      <c r="C130" s="37">
        <v>1</v>
      </c>
      <c r="D130" s="37">
        <v>3</v>
      </c>
      <c r="E130" s="37">
        <v>127</v>
      </c>
      <c r="F130" s="37">
        <f>INDEX(新属性投放!$L$6:$L$10,新属性汇总!D130)</f>
        <v>1.1499999999999999</v>
      </c>
      <c r="G130" s="37">
        <f>INDEX(新属性投放!J$42:J$62,新属性汇总!$B130)</f>
        <v>7285.0999999999995</v>
      </c>
      <c r="H130" s="37">
        <f>INDEX(新属性投放!K$42:K$62,新属性汇总!$B130)</f>
        <v>3640.5499999999997</v>
      </c>
      <c r="I130" s="37">
        <f>INDEX(新属性投放!L$42:L$62,新属性汇总!$B130)</f>
        <v>38695</v>
      </c>
      <c r="J130" s="37">
        <f>($A130-INDEX(新属性投放!$B$42:$B$62,新属性汇总!$B130))*INDEX(新属性投放!D$42:D$62,新属性汇总!$B130)</f>
        <v>1246</v>
      </c>
      <c r="K130" s="37">
        <f>($A130-INDEX(新属性投放!$B$42:$B$62,新属性汇总!$B130))*INDEX(新属性投放!E$42:E$62,新属性汇总!$B130)</f>
        <v>623</v>
      </c>
      <c r="L130" s="37">
        <f>($A130-INDEX(新属性投放!$B$42:$B$62,新属性汇总!$B130))*INDEX(新属性投放!F$42:F$62,新属性汇总!$B130)</f>
        <v>5607</v>
      </c>
      <c r="M130" s="37">
        <f t="shared" si="33"/>
        <v>9810.7649999999976</v>
      </c>
      <c r="N130" s="37">
        <f t="shared" si="34"/>
        <v>4903.0824999999986</v>
      </c>
      <c r="O130" s="37">
        <f t="shared" si="35"/>
        <v>50947.299999999996</v>
      </c>
      <c r="P130" s="37">
        <v>4</v>
      </c>
      <c r="Q130" s="37">
        <v>4</v>
      </c>
      <c r="R130">
        <v>127</v>
      </c>
      <c r="S130" s="37">
        <f>IF($P130&gt;0,INDEX(装备!L$11:L$16,新属性汇总!$P130),0)</f>
        <v>1380</v>
      </c>
      <c r="T130" s="37">
        <f>IF($P130&gt;0,INDEX(装备!M$11:M$16,新属性汇总!$P130),0)</f>
        <v>690</v>
      </c>
      <c r="U130" s="37">
        <f>IF($P130&gt;0,INDEX(装备!N$11:N$16,新属性汇总!$P130),0)</f>
        <v>7380</v>
      </c>
      <c r="V130" s="37">
        <f>IF($P130&gt;0,INDEX(装备!H$11:H$16,新属性汇总!$P130),0)</f>
        <v>35</v>
      </c>
      <c r="W130" s="37">
        <f>IF($P130&gt;0,INDEX(装备!I$11:I$16,新属性汇总!$P130),0)</f>
        <v>18</v>
      </c>
      <c r="X130" s="37">
        <f>IF($P130&gt;0,INDEX(装备!J$11:J$16,新属性汇总!$P130),0)</f>
        <v>200</v>
      </c>
      <c r="Y130" s="37">
        <f t="shared" si="36"/>
        <v>5825</v>
      </c>
      <c r="Z130" s="37">
        <f t="shared" si="37"/>
        <v>2976</v>
      </c>
      <c r="AA130" s="37">
        <f t="shared" si="38"/>
        <v>32780</v>
      </c>
      <c r="AB130" s="37">
        <v>0.65</v>
      </c>
      <c r="AC130" s="37">
        <f>IF(P130&gt;0,INDEX(装备!$BP$5:$BP$16,新属性汇总!P130),0)</f>
        <v>4</v>
      </c>
      <c r="AD130" s="37">
        <f>IF($P130&gt;0,ROUND(INDEX(装备!AY$11:AY$16,新属性汇总!$P130)*$AC130/3,0)*8*AB130,0)</f>
        <v>1679.6000000000001</v>
      </c>
      <c r="AE130" s="37">
        <f>IF($P130&gt;0,ROUND(INDEX(装备!AZ$11:AZ$16,新属性汇总!$P130)*$AC130/3,0)*8*AB130,0)</f>
        <v>837.2</v>
      </c>
      <c r="AF130" s="37">
        <f>IF($P130&gt;0,ROUND(INDEX(装备!BA$11:BA$16,新属性汇总!$P130)*$AC130/3,0)*8*AB130,0)</f>
        <v>8959.6</v>
      </c>
      <c r="AG130" s="37">
        <f>IF(新属性汇总!P130&gt;0,INDEX(装备!$AP$11:$AP$16,新属性汇总!$P130)*2,0)</f>
        <v>7284</v>
      </c>
      <c r="AH130" s="37">
        <v>0</v>
      </c>
      <c r="AI130" s="37">
        <f>IF(新属性汇总!P130&gt;0,INDEX(装备!$AP$11:$AP$16,新属性汇总!$P130)*2,0)</f>
        <v>7284</v>
      </c>
      <c r="AJ130" s="37">
        <v>28</v>
      </c>
      <c r="AK130" s="37">
        <f>IF($AJ130&gt;0,INDEX(专属武器!H$4:H$53,新属性汇总!$AJ130),0)</f>
        <v>5313</v>
      </c>
      <c r="AL130" s="37">
        <f>IF($AJ130&gt;0,INDEX(专属武器!I$4:I$53,新属性汇总!$AJ130),0)</f>
        <v>2651</v>
      </c>
      <c r="AM130" s="37">
        <f>IF($AJ130&gt;0,INDEX(专属武器!J$4:J$53,新属性汇总!$AJ130),0)</f>
        <v>23934</v>
      </c>
      <c r="AQ130" s="13">
        <v>126</v>
      </c>
      <c r="AR130" s="13">
        <f t="shared" si="39"/>
        <v>9606.0649999999969</v>
      </c>
      <c r="AS130" s="13">
        <f t="shared" si="40"/>
        <v>4800.7324999999992</v>
      </c>
      <c r="AT130" s="13">
        <f t="shared" si="41"/>
        <v>50026.149999999994</v>
      </c>
      <c r="AU130" s="13">
        <f t="shared" si="42"/>
        <v>5790</v>
      </c>
      <c r="AV130" s="13">
        <f t="shared" si="43"/>
        <v>2958</v>
      </c>
      <c r="AW130" s="13">
        <f t="shared" si="44"/>
        <v>32580</v>
      </c>
      <c r="AX130" s="13">
        <f t="shared" si="45"/>
        <v>1679.6000000000001</v>
      </c>
      <c r="AY130" s="13">
        <f t="shared" si="46"/>
        <v>837.2</v>
      </c>
      <c r="AZ130" s="13">
        <f t="shared" si="47"/>
        <v>8959.6</v>
      </c>
      <c r="BA130" s="13">
        <f t="shared" si="48"/>
        <v>7284</v>
      </c>
      <c r="BB130" s="13">
        <f t="shared" si="49"/>
        <v>0</v>
      </c>
      <c r="BC130" s="13">
        <f t="shared" si="50"/>
        <v>7284</v>
      </c>
      <c r="BD130" s="13">
        <f t="shared" si="51"/>
        <v>5313</v>
      </c>
      <c r="BE130" s="13">
        <f t="shared" si="52"/>
        <v>2651</v>
      </c>
      <c r="BF130" s="13">
        <f t="shared" si="53"/>
        <v>23934</v>
      </c>
      <c r="BG130" s="13">
        <f t="shared" si="54"/>
        <v>146063</v>
      </c>
      <c r="BH130" s="13">
        <f t="shared" si="55"/>
        <v>91110</v>
      </c>
      <c r="BI130" s="13">
        <f t="shared" si="56"/>
        <v>25729</v>
      </c>
      <c r="BJ130" s="13">
        <f t="shared" si="57"/>
        <v>43704</v>
      </c>
      <c r="BK130" s="13">
        <f t="shared" si="58"/>
        <v>77009</v>
      </c>
      <c r="BL130" s="13">
        <f t="shared" si="59"/>
        <v>383615</v>
      </c>
      <c r="BM130" s="31">
        <f t="shared" si="60"/>
        <v>0.38080000000000003</v>
      </c>
      <c r="BN130" s="31">
        <f t="shared" si="61"/>
        <v>0.23749999999999999</v>
      </c>
      <c r="BO130" s="31">
        <f t="shared" si="62"/>
        <v>6.7100000000000007E-2</v>
      </c>
      <c r="BP130" s="31">
        <f t="shared" si="63"/>
        <v>0.1139</v>
      </c>
      <c r="BQ130" s="31">
        <f t="shared" si="64"/>
        <v>0.20069999999999999</v>
      </c>
    </row>
    <row r="131" spans="1:69" ht="16.5" x14ac:dyDescent="0.2">
      <c r="A131" s="37">
        <v>128</v>
      </c>
      <c r="B131" s="37">
        <v>13</v>
      </c>
      <c r="C131" s="37">
        <v>1</v>
      </c>
      <c r="D131" s="37">
        <v>3</v>
      </c>
      <c r="E131" s="37">
        <v>128</v>
      </c>
      <c r="F131" s="37">
        <f>INDEX(新属性投放!$L$6:$L$10,新属性汇总!D131)</f>
        <v>1.1499999999999999</v>
      </c>
      <c r="G131" s="37">
        <f>INDEX(新属性投放!J$42:J$62,新属性汇总!$B131)</f>
        <v>7285.0999999999995</v>
      </c>
      <c r="H131" s="37">
        <f>INDEX(新属性投放!K$42:K$62,新属性汇总!$B131)</f>
        <v>3640.5499999999997</v>
      </c>
      <c r="I131" s="37">
        <f>INDEX(新属性投放!L$42:L$62,新属性汇总!$B131)</f>
        <v>38695</v>
      </c>
      <c r="J131" s="37">
        <f>($A131-INDEX(新属性投放!$B$42:$B$62,新属性汇总!$B131))*INDEX(新属性投放!D$42:D$62,新属性汇总!$B131)</f>
        <v>1424</v>
      </c>
      <c r="K131" s="37">
        <f>($A131-INDEX(新属性投放!$B$42:$B$62,新属性汇总!$B131))*INDEX(新属性投放!E$42:E$62,新属性汇总!$B131)</f>
        <v>712</v>
      </c>
      <c r="L131" s="37">
        <f>($A131-INDEX(新属性投放!$B$42:$B$62,新属性汇总!$B131))*INDEX(新属性投放!F$42:F$62,新属性汇总!$B131)</f>
        <v>6408</v>
      </c>
      <c r="M131" s="37">
        <f t="shared" si="33"/>
        <v>10015.464999999998</v>
      </c>
      <c r="N131" s="37">
        <f t="shared" si="34"/>
        <v>5005.432499999999</v>
      </c>
      <c r="O131" s="37">
        <f t="shared" si="35"/>
        <v>51868.45</v>
      </c>
      <c r="P131" s="37">
        <v>4</v>
      </c>
      <c r="Q131" s="37">
        <v>4</v>
      </c>
      <c r="R131">
        <v>128</v>
      </c>
      <c r="S131" s="37">
        <f>IF($P131&gt;0,INDEX(装备!L$11:L$16,新属性汇总!$P131),0)</f>
        <v>1380</v>
      </c>
      <c r="T131" s="37">
        <f>IF($P131&gt;0,INDEX(装备!M$11:M$16,新属性汇总!$P131),0)</f>
        <v>690</v>
      </c>
      <c r="U131" s="37">
        <f>IF($P131&gt;0,INDEX(装备!N$11:N$16,新属性汇总!$P131),0)</f>
        <v>7380</v>
      </c>
      <c r="V131" s="37">
        <f>IF($P131&gt;0,INDEX(装备!H$11:H$16,新属性汇总!$P131),0)</f>
        <v>35</v>
      </c>
      <c r="W131" s="37">
        <f>IF($P131&gt;0,INDEX(装备!I$11:I$16,新属性汇总!$P131),0)</f>
        <v>18</v>
      </c>
      <c r="X131" s="37">
        <f>IF($P131&gt;0,INDEX(装备!J$11:J$16,新属性汇总!$P131),0)</f>
        <v>200</v>
      </c>
      <c r="Y131" s="37">
        <f t="shared" si="36"/>
        <v>5860</v>
      </c>
      <c r="Z131" s="37">
        <f t="shared" si="37"/>
        <v>2994</v>
      </c>
      <c r="AA131" s="37">
        <f t="shared" si="38"/>
        <v>32980</v>
      </c>
      <c r="AB131" s="37">
        <v>0.65</v>
      </c>
      <c r="AC131" s="37">
        <f>IF(P131&gt;0,INDEX(装备!$BP$5:$BP$16,新属性汇总!P131),0)</f>
        <v>4</v>
      </c>
      <c r="AD131" s="37">
        <f>IF($P131&gt;0,ROUND(INDEX(装备!AY$11:AY$16,新属性汇总!$P131)*$AC131/3,0)*8*AB131,0)</f>
        <v>1679.6000000000001</v>
      </c>
      <c r="AE131" s="37">
        <f>IF($P131&gt;0,ROUND(INDEX(装备!AZ$11:AZ$16,新属性汇总!$P131)*$AC131/3,0)*8*AB131,0)</f>
        <v>837.2</v>
      </c>
      <c r="AF131" s="37">
        <f>IF($P131&gt;0,ROUND(INDEX(装备!BA$11:BA$16,新属性汇总!$P131)*$AC131/3,0)*8*AB131,0)</f>
        <v>8959.6</v>
      </c>
      <c r="AG131" s="37">
        <f>IF(新属性汇总!P131&gt;0,INDEX(装备!$AP$11:$AP$16,新属性汇总!$P131)*2,0)</f>
        <v>7284</v>
      </c>
      <c r="AH131" s="37">
        <v>0</v>
      </c>
      <c r="AI131" s="37">
        <f>IF(新属性汇总!P131&gt;0,INDEX(装备!$AP$11:$AP$16,新属性汇总!$P131)*2,0)</f>
        <v>7284</v>
      </c>
      <c r="AJ131" s="37">
        <v>28</v>
      </c>
      <c r="AK131" s="37">
        <f>IF($AJ131&gt;0,INDEX(专属武器!H$4:H$53,新属性汇总!$AJ131),0)</f>
        <v>5313</v>
      </c>
      <c r="AL131" s="37">
        <f>IF($AJ131&gt;0,INDEX(专属武器!I$4:I$53,新属性汇总!$AJ131),0)</f>
        <v>2651</v>
      </c>
      <c r="AM131" s="37">
        <f>IF($AJ131&gt;0,INDEX(专属武器!J$4:J$53,新属性汇总!$AJ131),0)</f>
        <v>23934</v>
      </c>
      <c r="AQ131" s="13">
        <v>127</v>
      </c>
      <c r="AR131" s="13">
        <f t="shared" si="39"/>
        <v>9810.7649999999976</v>
      </c>
      <c r="AS131" s="13">
        <f t="shared" si="40"/>
        <v>4903.0824999999986</v>
      </c>
      <c r="AT131" s="13">
        <f t="shared" si="41"/>
        <v>50947.299999999996</v>
      </c>
      <c r="AU131" s="13">
        <f t="shared" si="42"/>
        <v>5825</v>
      </c>
      <c r="AV131" s="13">
        <f t="shared" si="43"/>
        <v>2976</v>
      </c>
      <c r="AW131" s="13">
        <f t="shared" si="44"/>
        <v>32780</v>
      </c>
      <c r="AX131" s="13">
        <f t="shared" si="45"/>
        <v>1679.6000000000001</v>
      </c>
      <c r="AY131" s="13">
        <f t="shared" si="46"/>
        <v>837.2</v>
      </c>
      <c r="AZ131" s="13">
        <f t="shared" si="47"/>
        <v>8959.6</v>
      </c>
      <c r="BA131" s="13">
        <f t="shared" si="48"/>
        <v>7284</v>
      </c>
      <c r="BB131" s="13">
        <f t="shared" si="49"/>
        <v>0</v>
      </c>
      <c r="BC131" s="13">
        <f t="shared" si="50"/>
        <v>7284</v>
      </c>
      <c r="BD131" s="13">
        <f t="shared" si="51"/>
        <v>5313</v>
      </c>
      <c r="BE131" s="13">
        <f t="shared" si="52"/>
        <v>2651</v>
      </c>
      <c r="BF131" s="13">
        <f t="shared" si="53"/>
        <v>23934</v>
      </c>
      <c r="BG131" s="13">
        <f t="shared" si="54"/>
        <v>149031</v>
      </c>
      <c r="BH131" s="13">
        <f t="shared" si="55"/>
        <v>91665</v>
      </c>
      <c r="BI131" s="13">
        <f t="shared" si="56"/>
        <v>25729</v>
      </c>
      <c r="BJ131" s="13">
        <f t="shared" si="57"/>
        <v>43704</v>
      </c>
      <c r="BK131" s="13">
        <f t="shared" si="58"/>
        <v>77009</v>
      </c>
      <c r="BL131" s="13">
        <f t="shared" si="59"/>
        <v>387138</v>
      </c>
      <c r="BM131" s="31">
        <f t="shared" si="60"/>
        <v>0.38500000000000001</v>
      </c>
      <c r="BN131" s="31">
        <f t="shared" si="61"/>
        <v>0.23680000000000001</v>
      </c>
      <c r="BO131" s="31">
        <f t="shared" si="62"/>
        <v>6.6500000000000004E-2</v>
      </c>
      <c r="BP131" s="31">
        <f t="shared" si="63"/>
        <v>0.1129</v>
      </c>
      <c r="BQ131" s="31">
        <f t="shared" si="64"/>
        <v>0.19889999999999999</v>
      </c>
    </row>
    <row r="132" spans="1:69" ht="16.5" x14ac:dyDescent="0.2">
      <c r="A132" s="37">
        <v>129</v>
      </c>
      <c r="B132" s="37">
        <v>13</v>
      </c>
      <c r="C132" s="37">
        <v>1</v>
      </c>
      <c r="D132" s="37">
        <v>3</v>
      </c>
      <c r="E132" s="37">
        <v>129</v>
      </c>
      <c r="F132" s="37">
        <f>INDEX(新属性投放!$L$6:$L$10,新属性汇总!D132)</f>
        <v>1.1499999999999999</v>
      </c>
      <c r="G132" s="37">
        <f>INDEX(新属性投放!J$42:J$62,新属性汇总!$B132)</f>
        <v>7285.0999999999995</v>
      </c>
      <c r="H132" s="37">
        <f>INDEX(新属性投放!K$42:K$62,新属性汇总!$B132)</f>
        <v>3640.5499999999997</v>
      </c>
      <c r="I132" s="37">
        <f>INDEX(新属性投放!L$42:L$62,新属性汇总!$B132)</f>
        <v>38695</v>
      </c>
      <c r="J132" s="37">
        <f>($A132-INDEX(新属性投放!$B$42:$B$62,新属性汇总!$B132))*INDEX(新属性投放!D$42:D$62,新属性汇总!$B132)</f>
        <v>1602</v>
      </c>
      <c r="K132" s="37">
        <f>($A132-INDEX(新属性投放!$B$42:$B$62,新属性汇总!$B132))*INDEX(新属性投放!E$42:E$62,新属性汇总!$B132)</f>
        <v>801</v>
      </c>
      <c r="L132" s="37">
        <f>($A132-INDEX(新属性投放!$B$42:$B$62,新属性汇总!$B132))*INDEX(新属性投放!F$42:F$62,新属性汇总!$B132)</f>
        <v>7209</v>
      </c>
      <c r="M132" s="37">
        <f t="shared" si="33"/>
        <v>10220.164999999997</v>
      </c>
      <c r="N132" s="37">
        <f t="shared" si="34"/>
        <v>5107.7824999999984</v>
      </c>
      <c r="O132" s="37">
        <f t="shared" si="35"/>
        <v>52789.599999999999</v>
      </c>
      <c r="P132" s="37">
        <v>4</v>
      </c>
      <c r="Q132" s="37">
        <v>4</v>
      </c>
      <c r="R132">
        <v>129</v>
      </c>
      <c r="S132" s="37">
        <f>IF($P132&gt;0,INDEX(装备!L$11:L$16,新属性汇总!$P132),0)</f>
        <v>1380</v>
      </c>
      <c r="T132" s="37">
        <f>IF($P132&gt;0,INDEX(装备!M$11:M$16,新属性汇总!$P132),0)</f>
        <v>690</v>
      </c>
      <c r="U132" s="37">
        <f>IF($P132&gt;0,INDEX(装备!N$11:N$16,新属性汇总!$P132),0)</f>
        <v>7380</v>
      </c>
      <c r="V132" s="37">
        <f>IF($P132&gt;0,INDEX(装备!H$11:H$16,新属性汇总!$P132),0)</f>
        <v>35</v>
      </c>
      <c r="W132" s="37">
        <f>IF($P132&gt;0,INDEX(装备!I$11:I$16,新属性汇总!$P132),0)</f>
        <v>18</v>
      </c>
      <c r="X132" s="37">
        <f>IF($P132&gt;0,INDEX(装备!J$11:J$16,新属性汇总!$P132),0)</f>
        <v>200</v>
      </c>
      <c r="Y132" s="37">
        <f t="shared" si="36"/>
        <v>5895</v>
      </c>
      <c r="Z132" s="37">
        <f t="shared" si="37"/>
        <v>3012</v>
      </c>
      <c r="AA132" s="37">
        <f t="shared" si="38"/>
        <v>33180</v>
      </c>
      <c r="AB132" s="37">
        <v>0.65</v>
      </c>
      <c r="AC132" s="37">
        <f>IF(P132&gt;0,INDEX(装备!$BP$5:$BP$16,新属性汇总!P132),0)</f>
        <v>4</v>
      </c>
      <c r="AD132" s="37">
        <f>IF($P132&gt;0,ROUND(INDEX(装备!AY$11:AY$16,新属性汇总!$P132)*$AC132/3,0)*8*AB132,0)</f>
        <v>1679.6000000000001</v>
      </c>
      <c r="AE132" s="37">
        <f>IF($P132&gt;0,ROUND(INDEX(装备!AZ$11:AZ$16,新属性汇总!$P132)*$AC132/3,0)*8*AB132,0)</f>
        <v>837.2</v>
      </c>
      <c r="AF132" s="37">
        <f>IF($P132&gt;0,ROUND(INDEX(装备!BA$11:BA$16,新属性汇总!$P132)*$AC132/3,0)*8*AB132,0)</f>
        <v>8959.6</v>
      </c>
      <c r="AG132" s="37">
        <f>IF(新属性汇总!P132&gt;0,INDEX(装备!$AP$11:$AP$16,新属性汇总!$P132)*2,0)</f>
        <v>7284</v>
      </c>
      <c r="AH132" s="37">
        <v>0</v>
      </c>
      <c r="AI132" s="37">
        <f>IF(新属性汇总!P132&gt;0,INDEX(装备!$AP$11:$AP$16,新属性汇总!$P132)*2,0)</f>
        <v>7284</v>
      </c>
      <c r="AJ132" s="37">
        <v>28</v>
      </c>
      <c r="AK132" s="37">
        <f>IF($AJ132&gt;0,INDEX(专属武器!H$4:H$53,新属性汇总!$AJ132),0)</f>
        <v>5313</v>
      </c>
      <c r="AL132" s="37">
        <f>IF($AJ132&gt;0,INDEX(专属武器!I$4:I$53,新属性汇总!$AJ132),0)</f>
        <v>2651</v>
      </c>
      <c r="AM132" s="37">
        <f>IF($AJ132&gt;0,INDEX(专属武器!J$4:J$53,新属性汇总!$AJ132),0)</f>
        <v>23934</v>
      </c>
      <c r="AQ132" s="13">
        <v>128</v>
      </c>
      <c r="AR132" s="13">
        <f t="shared" si="39"/>
        <v>10015.464999999998</v>
      </c>
      <c r="AS132" s="13">
        <f t="shared" si="40"/>
        <v>5005.432499999999</v>
      </c>
      <c r="AT132" s="13">
        <f t="shared" si="41"/>
        <v>51868.45</v>
      </c>
      <c r="AU132" s="13">
        <f t="shared" si="42"/>
        <v>5860</v>
      </c>
      <c r="AV132" s="13">
        <f t="shared" si="43"/>
        <v>2994</v>
      </c>
      <c r="AW132" s="13">
        <f t="shared" si="44"/>
        <v>32980</v>
      </c>
      <c r="AX132" s="13">
        <f t="shared" si="45"/>
        <v>1679.6000000000001</v>
      </c>
      <c r="AY132" s="13">
        <f t="shared" si="46"/>
        <v>837.2</v>
      </c>
      <c r="AZ132" s="13">
        <f t="shared" si="47"/>
        <v>8959.6</v>
      </c>
      <c r="BA132" s="13">
        <f t="shared" si="48"/>
        <v>7284</v>
      </c>
      <c r="BB132" s="13">
        <f t="shared" si="49"/>
        <v>0</v>
      </c>
      <c r="BC132" s="13">
        <f t="shared" si="50"/>
        <v>7284</v>
      </c>
      <c r="BD132" s="13">
        <f t="shared" si="51"/>
        <v>5313</v>
      </c>
      <c r="BE132" s="13">
        <f t="shared" si="52"/>
        <v>2651</v>
      </c>
      <c r="BF132" s="13">
        <f t="shared" si="53"/>
        <v>23934</v>
      </c>
      <c r="BG132" s="13">
        <f t="shared" si="54"/>
        <v>152000</v>
      </c>
      <c r="BH132" s="13">
        <f t="shared" si="55"/>
        <v>92220</v>
      </c>
      <c r="BI132" s="13">
        <f t="shared" si="56"/>
        <v>25729</v>
      </c>
      <c r="BJ132" s="13">
        <f t="shared" si="57"/>
        <v>43704</v>
      </c>
      <c r="BK132" s="13">
        <f t="shared" si="58"/>
        <v>77009</v>
      </c>
      <c r="BL132" s="13">
        <f t="shared" si="59"/>
        <v>390662</v>
      </c>
      <c r="BM132" s="31">
        <f t="shared" si="60"/>
        <v>0.3891</v>
      </c>
      <c r="BN132" s="31">
        <f t="shared" si="61"/>
        <v>0.2361</v>
      </c>
      <c r="BO132" s="31">
        <f t="shared" si="62"/>
        <v>6.59E-2</v>
      </c>
      <c r="BP132" s="31">
        <f t="shared" si="63"/>
        <v>0.1119</v>
      </c>
      <c r="BQ132" s="31">
        <f t="shared" si="64"/>
        <v>0.1971</v>
      </c>
    </row>
    <row r="133" spans="1:69" ht="16.5" x14ac:dyDescent="0.2">
      <c r="A133" s="37">
        <v>130</v>
      </c>
      <c r="B133" s="37">
        <v>14</v>
      </c>
      <c r="C133" s="37">
        <v>1</v>
      </c>
      <c r="D133" s="37">
        <v>3</v>
      </c>
      <c r="E133" s="37">
        <v>130</v>
      </c>
      <c r="F133" s="37">
        <f>INDEX(新属性投放!$L$6:$L$10,新属性汇总!D133)</f>
        <v>1.1499999999999999</v>
      </c>
      <c r="G133" s="37">
        <f>INDEX(新属性投放!J$42:J$62,新属性汇总!$B133)</f>
        <v>9510.0999999999985</v>
      </c>
      <c r="H133" s="37">
        <f>INDEX(新属性投放!K$42:K$62,新属性汇总!$B133)</f>
        <v>4753.5499999999993</v>
      </c>
      <c r="I133" s="37">
        <f>INDEX(新属性投放!L$42:L$62,新属性汇总!$B133)</f>
        <v>50710</v>
      </c>
      <c r="J133" s="37">
        <f>($A133-INDEX(新属性投放!$B$42:$B$62,新属性汇总!$B133))*INDEX(新属性投放!D$42:D$62,新属性汇总!$B133)</f>
        <v>0</v>
      </c>
      <c r="K133" s="37">
        <f>($A133-INDEX(新属性投放!$B$42:$B$62,新属性汇总!$B133))*INDEX(新属性投放!E$42:E$62,新属性汇总!$B133)</f>
        <v>0</v>
      </c>
      <c r="L133" s="37">
        <f>($A133-INDEX(新属性投放!$B$42:$B$62,新属性汇总!$B133))*INDEX(新属性投放!F$42:F$62,新属性汇总!$B133)</f>
        <v>0</v>
      </c>
      <c r="M133" s="37">
        <f t="shared" ref="M133:M196" si="65">(G133+J133)*$F133</f>
        <v>10936.614999999998</v>
      </c>
      <c r="N133" s="37">
        <f t="shared" ref="N133:N196" si="66">(H133+K133)*$F133</f>
        <v>5466.5824999999986</v>
      </c>
      <c r="O133" s="37">
        <f t="shared" ref="O133:O196" si="67">(I133+L133)*$F133</f>
        <v>58316.499999999993</v>
      </c>
      <c r="P133" s="37">
        <v>4</v>
      </c>
      <c r="Q133" s="37">
        <v>4</v>
      </c>
      <c r="R133">
        <v>130</v>
      </c>
      <c r="S133" s="37">
        <f>IF($P133&gt;0,INDEX(装备!L$11:L$16,新属性汇总!$P133),0)</f>
        <v>1380</v>
      </c>
      <c r="T133" s="37">
        <f>IF($P133&gt;0,INDEX(装备!M$11:M$16,新属性汇总!$P133),0)</f>
        <v>690</v>
      </c>
      <c r="U133" s="37">
        <f>IF($P133&gt;0,INDEX(装备!N$11:N$16,新属性汇总!$P133),0)</f>
        <v>7380</v>
      </c>
      <c r="V133" s="37">
        <f>IF($P133&gt;0,INDEX(装备!H$11:H$16,新属性汇总!$P133),0)</f>
        <v>35</v>
      </c>
      <c r="W133" s="37">
        <f>IF($P133&gt;0,INDEX(装备!I$11:I$16,新属性汇总!$P133),0)</f>
        <v>18</v>
      </c>
      <c r="X133" s="37">
        <f>IF($P133&gt;0,INDEX(装备!J$11:J$16,新属性汇总!$P133),0)</f>
        <v>200</v>
      </c>
      <c r="Y133" s="37">
        <f t="shared" ref="Y133:Y196" si="68">S133+V133*$R133</f>
        <v>5930</v>
      </c>
      <c r="Z133" s="37">
        <f t="shared" ref="Z133:Z196" si="69">T133+W133*$R133</f>
        <v>3030</v>
      </c>
      <c r="AA133" s="37">
        <f t="shared" ref="AA133:AA196" si="70">U133+X133*$R133</f>
        <v>33380</v>
      </c>
      <c r="AB133" s="37">
        <v>0.65</v>
      </c>
      <c r="AC133" s="37">
        <f>IF(P133&gt;0,INDEX(装备!$BP$5:$BP$16,新属性汇总!P133),0)</f>
        <v>4</v>
      </c>
      <c r="AD133" s="37">
        <f>IF($P133&gt;0,ROUND(INDEX(装备!AY$11:AY$16,新属性汇总!$P133)*$AC133/3,0)*8*AB133,0)</f>
        <v>1679.6000000000001</v>
      </c>
      <c r="AE133" s="37">
        <f>IF($P133&gt;0,ROUND(INDEX(装备!AZ$11:AZ$16,新属性汇总!$P133)*$AC133/3,0)*8*AB133,0)</f>
        <v>837.2</v>
      </c>
      <c r="AF133" s="37">
        <f>IF($P133&gt;0,ROUND(INDEX(装备!BA$11:BA$16,新属性汇总!$P133)*$AC133/3,0)*8*AB133,0)</f>
        <v>8959.6</v>
      </c>
      <c r="AG133" s="37">
        <f>IF(新属性汇总!P133&gt;0,INDEX(装备!$AP$11:$AP$16,新属性汇总!$P133)*2,0)</f>
        <v>7284</v>
      </c>
      <c r="AH133" s="37">
        <v>0</v>
      </c>
      <c r="AI133" s="37">
        <f>IF(新属性汇总!P133&gt;0,INDEX(装备!$AP$11:$AP$16,新属性汇总!$P133)*2,0)</f>
        <v>7284</v>
      </c>
      <c r="AJ133" s="37">
        <v>29</v>
      </c>
      <c r="AK133" s="37">
        <f>IF($AJ133&gt;0,INDEX(专属武器!H$4:H$53,新属性汇总!$AJ133),0)</f>
        <v>5803</v>
      </c>
      <c r="AL133" s="37">
        <f>IF($AJ133&gt;0,INDEX(专属武器!I$4:I$53,新属性汇总!$AJ133),0)</f>
        <v>2896</v>
      </c>
      <c r="AM133" s="37">
        <f>IF($AJ133&gt;0,INDEX(专属武器!J$4:J$53,新属性汇总!$AJ133),0)</f>
        <v>26141</v>
      </c>
      <c r="AQ133" s="13">
        <v>129</v>
      </c>
      <c r="AR133" s="13">
        <f t="shared" ref="AR133:AR196" si="71">INDEX(M$4:M$203,$AQ133)</f>
        <v>10220.164999999997</v>
      </c>
      <c r="AS133" s="13">
        <f t="shared" ref="AS133:AS196" si="72">INDEX(N$4:N$203,$AQ133)</f>
        <v>5107.7824999999984</v>
      </c>
      <c r="AT133" s="13">
        <f t="shared" ref="AT133:AT196" si="73">INDEX(O$4:O$203,$AQ133)</f>
        <v>52789.599999999999</v>
      </c>
      <c r="AU133" s="13">
        <f t="shared" ref="AU133:AU196" si="74">INDEX(Y$4:Y$203,$AQ133)</f>
        <v>5895</v>
      </c>
      <c r="AV133" s="13">
        <f t="shared" ref="AV133:AV196" si="75">INDEX(Z$4:Z$203,$AQ133)</f>
        <v>3012</v>
      </c>
      <c r="AW133" s="13">
        <f t="shared" ref="AW133:AW196" si="76">INDEX(AA$4:AA$203,$AQ133)</f>
        <v>33180</v>
      </c>
      <c r="AX133" s="13">
        <f t="shared" ref="AX133:AX196" si="77">INDEX(AD$4:AD$203,$AQ133)</f>
        <v>1679.6000000000001</v>
      </c>
      <c r="AY133" s="13">
        <f t="shared" ref="AY133:AY196" si="78">INDEX(AE$4:AE$203,$AQ133)</f>
        <v>837.2</v>
      </c>
      <c r="AZ133" s="13">
        <f t="shared" ref="AZ133:AZ196" si="79">INDEX(AF$4:AF$203,$AQ133)</f>
        <v>8959.6</v>
      </c>
      <c r="BA133" s="13">
        <f t="shared" ref="BA133:BA196" si="80">INDEX(AG$4:AG$203,$AQ133)</f>
        <v>7284</v>
      </c>
      <c r="BB133" s="13">
        <f t="shared" ref="BB133:BB196" si="81">INDEX(AH$4:AH$203,$AQ133)</f>
        <v>0</v>
      </c>
      <c r="BC133" s="13">
        <f t="shared" ref="BC133:BC196" si="82">INDEX(AI$4:AI$203,$AQ133)</f>
        <v>7284</v>
      </c>
      <c r="BD133" s="13">
        <f t="shared" ref="BD133:BD196" si="83">INDEX(AK$4:AK$203,$AQ133)</f>
        <v>5313</v>
      </c>
      <c r="BE133" s="13">
        <f t="shared" ref="BE133:BE196" si="84">INDEX(AL$4:AL$203,$AQ133)</f>
        <v>2651</v>
      </c>
      <c r="BF133" s="13">
        <f t="shared" ref="BF133:BF196" si="85">INDEX(AM$4:AM$203,$AQ133)</f>
        <v>23934</v>
      </c>
      <c r="BG133" s="13">
        <f t="shared" ref="BG133:BG196" si="86">INT(SUMPRODUCT(AR133:AT133,AR$2:AT$2))</f>
        <v>154968</v>
      </c>
      <c r="BH133" s="13">
        <f t="shared" ref="BH133:BH196" si="87">INT(SUMPRODUCT(AU133:AW133,AU$2:AW$2))</f>
        <v>92775</v>
      </c>
      <c r="BI133" s="13">
        <f t="shared" ref="BI133:BI196" si="88">INT(SUMPRODUCT(AX133:AZ133,AX$2:AZ$2))</f>
        <v>25729</v>
      </c>
      <c r="BJ133" s="13">
        <f t="shared" ref="BJ133:BJ196" si="89">INT(SUMPRODUCT(BA133:BC133,BA$2:BC$2))</f>
        <v>43704</v>
      </c>
      <c r="BK133" s="13">
        <f t="shared" ref="BK133:BK196" si="90">INT(SUMPRODUCT(BD133:BF133,BD$2:BF$2))</f>
        <v>77009</v>
      </c>
      <c r="BL133" s="13">
        <f t="shared" ref="BL133:BL196" si="91">SUM(BG133:BK133)</f>
        <v>394185</v>
      </c>
      <c r="BM133" s="31">
        <f t="shared" ref="BM133:BM196" si="92">ROUND(BG133/$BL133,4)</f>
        <v>0.3931</v>
      </c>
      <c r="BN133" s="31">
        <f t="shared" ref="BN133:BN196" si="93">ROUND(BH133/$BL133,4)</f>
        <v>0.2354</v>
      </c>
      <c r="BO133" s="31">
        <f t="shared" ref="BO133:BO196" si="94">ROUND(BI133/$BL133,4)</f>
        <v>6.5299999999999997E-2</v>
      </c>
      <c r="BP133" s="31">
        <f t="shared" ref="BP133:BP196" si="95">ROUND(BJ133/$BL133,4)</f>
        <v>0.1109</v>
      </c>
      <c r="BQ133" s="31">
        <f t="shared" ref="BQ133:BQ196" si="96">ROUND(BK133/$BL133,4)</f>
        <v>0.19539999999999999</v>
      </c>
    </row>
    <row r="134" spans="1:69" ht="16.5" x14ac:dyDescent="0.2">
      <c r="A134" s="37">
        <v>131</v>
      </c>
      <c r="B134" s="37">
        <v>14</v>
      </c>
      <c r="C134" s="37">
        <v>1</v>
      </c>
      <c r="D134" s="37">
        <v>3</v>
      </c>
      <c r="E134" s="37">
        <v>131</v>
      </c>
      <c r="F134" s="37">
        <f>INDEX(新属性投放!$L$6:$L$10,新属性汇总!D134)</f>
        <v>1.1499999999999999</v>
      </c>
      <c r="G134" s="37">
        <f>INDEX(新属性投放!J$42:J$62,新属性汇总!$B134)</f>
        <v>9510.0999999999985</v>
      </c>
      <c r="H134" s="37">
        <f>INDEX(新属性投放!K$42:K$62,新属性汇总!$B134)</f>
        <v>4753.5499999999993</v>
      </c>
      <c r="I134" s="37">
        <f>INDEX(新属性投放!L$42:L$62,新属性汇总!$B134)</f>
        <v>50710</v>
      </c>
      <c r="J134" s="37">
        <f>($A134-INDEX(新属性投放!$B$42:$B$62,新属性汇总!$B134))*INDEX(新属性投放!D$42:D$62,新属性汇总!$B134)</f>
        <v>233.63</v>
      </c>
      <c r="K134" s="37">
        <f>($A134-INDEX(新属性投放!$B$42:$B$62,新属性汇总!$B134))*INDEX(新属性投放!E$42:E$62,新属性汇总!$B134)</f>
        <v>116.815</v>
      </c>
      <c r="L134" s="37">
        <f>($A134-INDEX(新属性投放!$B$42:$B$62,新属性汇总!$B134))*INDEX(新属性投放!F$42:F$62,新属性汇总!$B134)</f>
        <v>1051</v>
      </c>
      <c r="M134" s="37">
        <f t="shared" si="65"/>
        <v>11205.289499999997</v>
      </c>
      <c r="N134" s="37">
        <f t="shared" si="66"/>
        <v>5600.9197499999982</v>
      </c>
      <c r="O134" s="37">
        <f t="shared" si="67"/>
        <v>59525.149999999994</v>
      </c>
      <c r="P134" s="37">
        <v>4</v>
      </c>
      <c r="Q134" s="37">
        <v>4</v>
      </c>
      <c r="R134">
        <v>131</v>
      </c>
      <c r="S134" s="37">
        <f>IF($P134&gt;0,INDEX(装备!L$11:L$16,新属性汇总!$P134),0)</f>
        <v>1380</v>
      </c>
      <c r="T134" s="37">
        <f>IF($P134&gt;0,INDEX(装备!M$11:M$16,新属性汇总!$P134),0)</f>
        <v>690</v>
      </c>
      <c r="U134" s="37">
        <f>IF($P134&gt;0,INDEX(装备!N$11:N$16,新属性汇总!$P134),0)</f>
        <v>7380</v>
      </c>
      <c r="V134" s="37">
        <f>IF($P134&gt;0,INDEX(装备!H$11:H$16,新属性汇总!$P134),0)</f>
        <v>35</v>
      </c>
      <c r="W134" s="37">
        <f>IF($P134&gt;0,INDEX(装备!I$11:I$16,新属性汇总!$P134),0)</f>
        <v>18</v>
      </c>
      <c r="X134" s="37">
        <f>IF($P134&gt;0,INDEX(装备!J$11:J$16,新属性汇总!$P134),0)</f>
        <v>200</v>
      </c>
      <c r="Y134" s="37">
        <f t="shared" si="68"/>
        <v>5965</v>
      </c>
      <c r="Z134" s="37">
        <f t="shared" si="69"/>
        <v>3048</v>
      </c>
      <c r="AA134" s="37">
        <f t="shared" si="70"/>
        <v>33580</v>
      </c>
      <c r="AB134" s="37">
        <v>0.65</v>
      </c>
      <c r="AC134" s="37">
        <f>IF(P134&gt;0,INDEX(装备!$BP$5:$BP$16,新属性汇总!P134),0)</f>
        <v>4</v>
      </c>
      <c r="AD134" s="37">
        <f>IF($P134&gt;0,ROUND(INDEX(装备!AY$11:AY$16,新属性汇总!$P134)*$AC134/3,0)*8*AB134,0)</f>
        <v>1679.6000000000001</v>
      </c>
      <c r="AE134" s="37">
        <f>IF($P134&gt;0,ROUND(INDEX(装备!AZ$11:AZ$16,新属性汇总!$P134)*$AC134/3,0)*8*AB134,0)</f>
        <v>837.2</v>
      </c>
      <c r="AF134" s="37">
        <f>IF($P134&gt;0,ROUND(INDEX(装备!BA$11:BA$16,新属性汇总!$P134)*$AC134/3,0)*8*AB134,0)</f>
        <v>8959.6</v>
      </c>
      <c r="AG134" s="37">
        <f>IF(新属性汇总!P134&gt;0,INDEX(装备!$AP$11:$AP$16,新属性汇总!$P134)*2,0)</f>
        <v>7284</v>
      </c>
      <c r="AH134" s="37">
        <v>0</v>
      </c>
      <c r="AI134" s="37">
        <f>IF(新属性汇总!P134&gt;0,INDEX(装备!$AP$11:$AP$16,新属性汇总!$P134)*2,0)</f>
        <v>7284</v>
      </c>
      <c r="AJ134" s="37">
        <v>29</v>
      </c>
      <c r="AK134" s="37">
        <f>IF($AJ134&gt;0,INDEX(专属武器!H$4:H$53,新属性汇总!$AJ134),0)</f>
        <v>5803</v>
      </c>
      <c r="AL134" s="37">
        <f>IF($AJ134&gt;0,INDEX(专属武器!I$4:I$53,新属性汇总!$AJ134),0)</f>
        <v>2896</v>
      </c>
      <c r="AM134" s="37">
        <f>IF($AJ134&gt;0,INDEX(专属武器!J$4:J$53,新属性汇总!$AJ134),0)</f>
        <v>26141</v>
      </c>
      <c r="AQ134" s="13">
        <v>130</v>
      </c>
      <c r="AR134" s="13">
        <f t="shared" si="71"/>
        <v>10936.614999999998</v>
      </c>
      <c r="AS134" s="13">
        <f t="shared" si="72"/>
        <v>5466.5824999999986</v>
      </c>
      <c r="AT134" s="13">
        <f t="shared" si="73"/>
        <v>58316.499999999993</v>
      </c>
      <c r="AU134" s="13">
        <f t="shared" si="74"/>
        <v>5930</v>
      </c>
      <c r="AV134" s="13">
        <f t="shared" si="75"/>
        <v>3030</v>
      </c>
      <c r="AW134" s="13">
        <f t="shared" si="76"/>
        <v>33380</v>
      </c>
      <c r="AX134" s="13">
        <f t="shared" si="77"/>
        <v>1679.6000000000001</v>
      </c>
      <c r="AY134" s="13">
        <f t="shared" si="78"/>
        <v>837.2</v>
      </c>
      <c r="AZ134" s="13">
        <f t="shared" si="79"/>
        <v>8959.6</v>
      </c>
      <c r="BA134" s="13">
        <f t="shared" si="80"/>
        <v>7284</v>
      </c>
      <c r="BB134" s="13">
        <f t="shared" si="81"/>
        <v>0</v>
      </c>
      <c r="BC134" s="13">
        <f t="shared" si="82"/>
        <v>7284</v>
      </c>
      <c r="BD134" s="13">
        <f t="shared" si="83"/>
        <v>5803</v>
      </c>
      <c r="BE134" s="13">
        <f t="shared" si="84"/>
        <v>2896</v>
      </c>
      <c r="BF134" s="13">
        <f t="shared" si="85"/>
        <v>26141</v>
      </c>
      <c r="BG134" s="13">
        <f t="shared" si="86"/>
        <v>167665</v>
      </c>
      <c r="BH134" s="13">
        <f t="shared" si="87"/>
        <v>93330</v>
      </c>
      <c r="BI134" s="13">
        <f t="shared" si="88"/>
        <v>25729</v>
      </c>
      <c r="BJ134" s="13">
        <f t="shared" si="89"/>
        <v>43704</v>
      </c>
      <c r="BK134" s="13">
        <f t="shared" si="90"/>
        <v>84116</v>
      </c>
      <c r="BL134" s="13">
        <f t="shared" si="91"/>
        <v>414544</v>
      </c>
      <c r="BM134" s="31">
        <f t="shared" si="92"/>
        <v>0.40450000000000003</v>
      </c>
      <c r="BN134" s="31">
        <f t="shared" si="93"/>
        <v>0.22509999999999999</v>
      </c>
      <c r="BO134" s="31">
        <f t="shared" si="94"/>
        <v>6.2100000000000002E-2</v>
      </c>
      <c r="BP134" s="31">
        <f t="shared" si="95"/>
        <v>0.10539999999999999</v>
      </c>
      <c r="BQ134" s="31">
        <f t="shared" si="96"/>
        <v>0.2029</v>
      </c>
    </row>
    <row r="135" spans="1:69" ht="16.5" x14ac:dyDescent="0.2">
      <c r="A135" s="37">
        <v>132</v>
      </c>
      <c r="B135" s="37">
        <v>14</v>
      </c>
      <c r="C135" s="37">
        <v>1</v>
      </c>
      <c r="D135" s="37">
        <v>3</v>
      </c>
      <c r="E135" s="37">
        <v>132</v>
      </c>
      <c r="F135" s="37">
        <f>INDEX(新属性投放!$L$6:$L$10,新属性汇总!D135)</f>
        <v>1.1499999999999999</v>
      </c>
      <c r="G135" s="37">
        <f>INDEX(新属性投放!J$42:J$62,新属性汇总!$B135)</f>
        <v>9510.0999999999985</v>
      </c>
      <c r="H135" s="37">
        <f>INDEX(新属性投放!K$42:K$62,新属性汇总!$B135)</f>
        <v>4753.5499999999993</v>
      </c>
      <c r="I135" s="37">
        <f>INDEX(新属性投放!L$42:L$62,新属性汇总!$B135)</f>
        <v>50710</v>
      </c>
      <c r="J135" s="37">
        <f>($A135-INDEX(新属性投放!$B$42:$B$62,新属性汇总!$B135))*INDEX(新属性投放!D$42:D$62,新属性汇总!$B135)</f>
        <v>467.26</v>
      </c>
      <c r="K135" s="37">
        <f>($A135-INDEX(新属性投放!$B$42:$B$62,新属性汇总!$B135))*INDEX(新属性投放!E$42:E$62,新属性汇总!$B135)</f>
        <v>233.63</v>
      </c>
      <c r="L135" s="37">
        <f>($A135-INDEX(新属性投放!$B$42:$B$62,新属性汇总!$B135))*INDEX(新属性投放!F$42:F$62,新属性汇总!$B135)</f>
        <v>2102</v>
      </c>
      <c r="M135" s="37">
        <f t="shared" si="65"/>
        <v>11473.963999999998</v>
      </c>
      <c r="N135" s="37">
        <f t="shared" si="66"/>
        <v>5735.2569999999987</v>
      </c>
      <c r="O135" s="37">
        <f t="shared" si="67"/>
        <v>60733.799999999996</v>
      </c>
      <c r="P135" s="37">
        <v>4</v>
      </c>
      <c r="Q135" s="37">
        <v>4</v>
      </c>
      <c r="R135">
        <v>132</v>
      </c>
      <c r="S135" s="37">
        <f>IF($P135&gt;0,INDEX(装备!L$11:L$16,新属性汇总!$P135),0)</f>
        <v>1380</v>
      </c>
      <c r="T135" s="37">
        <f>IF($P135&gt;0,INDEX(装备!M$11:M$16,新属性汇总!$P135),0)</f>
        <v>690</v>
      </c>
      <c r="U135" s="37">
        <f>IF($P135&gt;0,INDEX(装备!N$11:N$16,新属性汇总!$P135),0)</f>
        <v>7380</v>
      </c>
      <c r="V135" s="37">
        <f>IF($P135&gt;0,INDEX(装备!H$11:H$16,新属性汇总!$P135),0)</f>
        <v>35</v>
      </c>
      <c r="W135" s="37">
        <f>IF($P135&gt;0,INDEX(装备!I$11:I$16,新属性汇总!$P135),0)</f>
        <v>18</v>
      </c>
      <c r="X135" s="37">
        <f>IF($P135&gt;0,INDEX(装备!J$11:J$16,新属性汇总!$P135),0)</f>
        <v>200</v>
      </c>
      <c r="Y135" s="37">
        <f t="shared" si="68"/>
        <v>6000</v>
      </c>
      <c r="Z135" s="37">
        <f t="shared" si="69"/>
        <v>3066</v>
      </c>
      <c r="AA135" s="37">
        <f t="shared" si="70"/>
        <v>33780</v>
      </c>
      <c r="AB135" s="37">
        <v>0.65</v>
      </c>
      <c r="AC135" s="37">
        <f>IF(P135&gt;0,INDEX(装备!$BP$5:$BP$16,新属性汇总!P135),0)</f>
        <v>4</v>
      </c>
      <c r="AD135" s="37">
        <f>IF($P135&gt;0,ROUND(INDEX(装备!AY$11:AY$16,新属性汇总!$P135)*$AC135/3,0)*8*AB135,0)</f>
        <v>1679.6000000000001</v>
      </c>
      <c r="AE135" s="37">
        <f>IF($P135&gt;0,ROUND(INDEX(装备!AZ$11:AZ$16,新属性汇总!$P135)*$AC135/3,0)*8*AB135,0)</f>
        <v>837.2</v>
      </c>
      <c r="AF135" s="37">
        <f>IF($P135&gt;0,ROUND(INDEX(装备!BA$11:BA$16,新属性汇总!$P135)*$AC135/3,0)*8*AB135,0)</f>
        <v>8959.6</v>
      </c>
      <c r="AG135" s="37">
        <f>IF(新属性汇总!P135&gt;0,INDEX(装备!$AP$11:$AP$16,新属性汇总!$P135)*2,0)</f>
        <v>7284</v>
      </c>
      <c r="AH135" s="37">
        <v>0</v>
      </c>
      <c r="AI135" s="37">
        <f>IF(新属性汇总!P135&gt;0,INDEX(装备!$AP$11:$AP$16,新属性汇总!$P135)*2,0)</f>
        <v>7284</v>
      </c>
      <c r="AJ135" s="37">
        <v>29</v>
      </c>
      <c r="AK135" s="37">
        <f>IF($AJ135&gt;0,INDEX(专属武器!H$4:H$53,新属性汇总!$AJ135),0)</f>
        <v>5803</v>
      </c>
      <c r="AL135" s="37">
        <f>IF($AJ135&gt;0,INDEX(专属武器!I$4:I$53,新属性汇总!$AJ135),0)</f>
        <v>2896</v>
      </c>
      <c r="AM135" s="37">
        <f>IF($AJ135&gt;0,INDEX(专属武器!J$4:J$53,新属性汇总!$AJ135),0)</f>
        <v>26141</v>
      </c>
      <c r="AQ135" s="13">
        <v>131</v>
      </c>
      <c r="AR135" s="13">
        <f t="shared" si="71"/>
        <v>11205.289499999997</v>
      </c>
      <c r="AS135" s="13">
        <f t="shared" si="72"/>
        <v>5600.9197499999982</v>
      </c>
      <c r="AT135" s="13">
        <f t="shared" si="73"/>
        <v>59525.149999999994</v>
      </c>
      <c r="AU135" s="13">
        <f t="shared" si="74"/>
        <v>5965</v>
      </c>
      <c r="AV135" s="13">
        <f t="shared" si="75"/>
        <v>3048</v>
      </c>
      <c r="AW135" s="13">
        <f t="shared" si="76"/>
        <v>33580</v>
      </c>
      <c r="AX135" s="13">
        <f t="shared" si="77"/>
        <v>1679.6000000000001</v>
      </c>
      <c r="AY135" s="13">
        <f t="shared" si="78"/>
        <v>837.2</v>
      </c>
      <c r="AZ135" s="13">
        <f t="shared" si="79"/>
        <v>8959.6</v>
      </c>
      <c r="BA135" s="13">
        <f t="shared" si="80"/>
        <v>7284</v>
      </c>
      <c r="BB135" s="13">
        <f t="shared" si="81"/>
        <v>0</v>
      </c>
      <c r="BC135" s="13">
        <f t="shared" si="82"/>
        <v>7284</v>
      </c>
      <c r="BD135" s="13">
        <f t="shared" si="83"/>
        <v>5803</v>
      </c>
      <c r="BE135" s="13">
        <f t="shared" si="84"/>
        <v>2896</v>
      </c>
      <c r="BF135" s="13">
        <f t="shared" si="85"/>
        <v>26141</v>
      </c>
      <c r="BG135" s="13">
        <f t="shared" si="86"/>
        <v>171560</v>
      </c>
      <c r="BH135" s="13">
        <f t="shared" si="87"/>
        <v>93885</v>
      </c>
      <c r="BI135" s="13">
        <f t="shared" si="88"/>
        <v>25729</v>
      </c>
      <c r="BJ135" s="13">
        <f t="shared" si="89"/>
        <v>43704</v>
      </c>
      <c r="BK135" s="13">
        <f t="shared" si="90"/>
        <v>84116</v>
      </c>
      <c r="BL135" s="13">
        <f t="shared" si="91"/>
        <v>418994</v>
      </c>
      <c r="BM135" s="31">
        <f t="shared" si="92"/>
        <v>0.40949999999999998</v>
      </c>
      <c r="BN135" s="31">
        <f t="shared" si="93"/>
        <v>0.22409999999999999</v>
      </c>
      <c r="BO135" s="31">
        <f t="shared" si="94"/>
        <v>6.1400000000000003E-2</v>
      </c>
      <c r="BP135" s="31">
        <f t="shared" si="95"/>
        <v>0.1043</v>
      </c>
      <c r="BQ135" s="31">
        <f t="shared" si="96"/>
        <v>0.20080000000000001</v>
      </c>
    </row>
    <row r="136" spans="1:69" ht="16.5" x14ac:dyDescent="0.2">
      <c r="A136" s="37">
        <v>133</v>
      </c>
      <c r="B136" s="37">
        <v>14</v>
      </c>
      <c r="C136" s="37">
        <v>1</v>
      </c>
      <c r="D136" s="37">
        <v>3</v>
      </c>
      <c r="E136" s="37">
        <v>133</v>
      </c>
      <c r="F136" s="37">
        <f>INDEX(新属性投放!$L$6:$L$10,新属性汇总!D136)</f>
        <v>1.1499999999999999</v>
      </c>
      <c r="G136" s="37">
        <f>INDEX(新属性投放!J$42:J$62,新属性汇总!$B136)</f>
        <v>9510.0999999999985</v>
      </c>
      <c r="H136" s="37">
        <f>INDEX(新属性投放!K$42:K$62,新属性汇总!$B136)</f>
        <v>4753.5499999999993</v>
      </c>
      <c r="I136" s="37">
        <f>INDEX(新属性投放!L$42:L$62,新属性汇总!$B136)</f>
        <v>50710</v>
      </c>
      <c r="J136" s="37">
        <f>($A136-INDEX(新属性投放!$B$42:$B$62,新属性汇总!$B136))*INDEX(新属性投放!D$42:D$62,新属性汇总!$B136)</f>
        <v>700.89</v>
      </c>
      <c r="K136" s="37">
        <f>($A136-INDEX(新属性投放!$B$42:$B$62,新属性汇总!$B136))*INDEX(新属性投放!E$42:E$62,新属性汇总!$B136)</f>
        <v>350.44499999999999</v>
      </c>
      <c r="L136" s="37">
        <f>($A136-INDEX(新属性投放!$B$42:$B$62,新属性汇总!$B136))*INDEX(新属性投放!F$42:F$62,新属性汇总!$B136)</f>
        <v>3153</v>
      </c>
      <c r="M136" s="37">
        <f t="shared" si="65"/>
        <v>11742.638499999997</v>
      </c>
      <c r="N136" s="37">
        <f t="shared" si="66"/>
        <v>5869.5942499999983</v>
      </c>
      <c r="O136" s="37">
        <f t="shared" si="67"/>
        <v>61942.45</v>
      </c>
      <c r="P136" s="37">
        <v>4</v>
      </c>
      <c r="Q136" s="37">
        <v>4</v>
      </c>
      <c r="R136">
        <v>133</v>
      </c>
      <c r="S136" s="37">
        <f>IF($P136&gt;0,INDEX(装备!L$11:L$16,新属性汇总!$P136),0)</f>
        <v>1380</v>
      </c>
      <c r="T136" s="37">
        <f>IF($P136&gt;0,INDEX(装备!M$11:M$16,新属性汇总!$P136),0)</f>
        <v>690</v>
      </c>
      <c r="U136" s="37">
        <f>IF($P136&gt;0,INDEX(装备!N$11:N$16,新属性汇总!$P136),0)</f>
        <v>7380</v>
      </c>
      <c r="V136" s="37">
        <f>IF($P136&gt;0,INDEX(装备!H$11:H$16,新属性汇总!$P136),0)</f>
        <v>35</v>
      </c>
      <c r="W136" s="37">
        <f>IF($P136&gt;0,INDEX(装备!I$11:I$16,新属性汇总!$P136),0)</f>
        <v>18</v>
      </c>
      <c r="X136" s="37">
        <f>IF($P136&gt;0,INDEX(装备!J$11:J$16,新属性汇总!$P136),0)</f>
        <v>200</v>
      </c>
      <c r="Y136" s="37">
        <f t="shared" si="68"/>
        <v>6035</v>
      </c>
      <c r="Z136" s="37">
        <f t="shared" si="69"/>
        <v>3084</v>
      </c>
      <c r="AA136" s="37">
        <f t="shared" si="70"/>
        <v>33980</v>
      </c>
      <c r="AB136" s="37">
        <v>0.65</v>
      </c>
      <c r="AC136" s="37">
        <f>IF(P136&gt;0,INDEX(装备!$BP$5:$BP$16,新属性汇总!P136),0)</f>
        <v>4</v>
      </c>
      <c r="AD136" s="37">
        <f>IF($P136&gt;0,ROUND(INDEX(装备!AY$11:AY$16,新属性汇总!$P136)*$AC136/3,0)*8*AB136,0)</f>
        <v>1679.6000000000001</v>
      </c>
      <c r="AE136" s="37">
        <f>IF($P136&gt;0,ROUND(INDEX(装备!AZ$11:AZ$16,新属性汇总!$P136)*$AC136/3,0)*8*AB136,0)</f>
        <v>837.2</v>
      </c>
      <c r="AF136" s="37">
        <f>IF($P136&gt;0,ROUND(INDEX(装备!BA$11:BA$16,新属性汇总!$P136)*$AC136/3,0)*8*AB136,0)</f>
        <v>8959.6</v>
      </c>
      <c r="AG136" s="37">
        <f>IF(新属性汇总!P136&gt;0,INDEX(装备!$AP$11:$AP$16,新属性汇总!$P136)*2,0)</f>
        <v>7284</v>
      </c>
      <c r="AH136" s="37">
        <v>0</v>
      </c>
      <c r="AI136" s="37">
        <f>IF(新属性汇总!P136&gt;0,INDEX(装备!$AP$11:$AP$16,新属性汇总!$P136)*2,0)</f>
        <v>7284</v>
      </c>
      <c r="AJ136" s="37">
        <v>29</v>
      </c>
      <c r="AK136" s="37">
        <f>IF($AJ136&gt;0,INDEX(专属武器!H$4:H$53,新属性汇总!$AJ136),0)</f>
        <v>5803</v>
      </c>
      <c r="AL136" s="37">
        <f>IF($AJ136&gt;0,INDEX(专属武器!I$4:I$53,新属性汇总!$AJ136),0)</f>
        <v>2896</v>
      </c>
      <c r="AM136" s="37">
        <f>IF($AJ136&gt;0,INDEX(专属武器!J$4:J$53,新属性汇总!$AJ136),0)</f>
        <v>26141</v>
      </c>
      <c r="AQ136" s="13">
        <v>132</v>
      </c>
      <c r="AR136" s="13">
        <f t="shared" si="71"/>
        <v>11473.963999999998</v>
      </c>
      <c r="AS136" s="13">
        <f t="shared" si="72"/>
        <v>5735.2569999999987</v>
      </c>
      <c r="AT136" s="13">
        <f t="shared" si="73"/>
        <v>60733.799999999996</v>
      </c>
      <c r="AU136" s="13">
        <f t="shared" si="74"/>
        <v>6000</v>
      </c>
      <c r="AV136" s="13">
        <f t="shared" si="75"/>
        <v>3066</v>
      </c>
      <c r="AW136" s="13">
        <f t="shared" si="76"/>
        <v>33780</v>
      </c>
      <c r="AX136" s="13">
        <f t="shared" si="77"/>
        <v>1679.6000000000001</v>
      </c>
      <c r="AY136" s="13">
        <f t="shared" si="78"/>
        <v>837.2</v>
      </c>
      <c r="AZ136" s="13">
        <f t="shared" si="79"/>
        <v>8959.6</v>
      </c>
      <c r="BA136" s="13">
        <f t="shared" si="80"/>
        <v>7284</v>
      </c>
      <c r="BB136" s="13">
        <f t="shared" si="81"/>
        <v>0</v>
      </c>
      <c r="BC136" s="13">
        <f t="shared" si="82"/>
        <v>7284</v>
      </c>
      <c r="BD136" s="13">
        <f t="shared" si="83"/>
        <v>5803</v>
      </c>
      <c r="BE136" s="13">
        <f t="shared" si="84"/>
        <v>2896</v>
      </c>
      <c r="BF136" s="13">
        <f t="shared" si="85"/>
        <v>26141</v>
      </c>
      <c r="BG136" s="13">
        <f t="shared" si="86"/>
        <v>175456</v>
      </c>
      <c r="BH136" s="13">
        <f t="shared" si="87"/>
        <v>94440</v>
      </c>
      <c r="BI136" s="13">
        <f t="shared" si="88"/>
        <v>25729</v>
      </c>
      <c r="BJ136" s="13">
        <f t="shared" si="89"/>
        <v>43704</v>
      </c>
      <c r="BK136" s="13">
        <f t="shared" si="90"/>
        <v>84116</v>
      </c>
      <c r="BL136" s="13">
        <f t="shared" si="91"/>
        <v>423445</v>
      </c>
      <c r="BM136" s="31">
        <f t="shared" si="92"/>
        <v>0.41439999999999999</v>
      </c>
      <c r="BN136" s="31">
        <f t="shared" si="93"/>
        <v>0.223</v>
      </c>
      <c r="BO136" s="31">
        <f t="shared" si="94"/>
        <v>6.08E-2</v>
      </c>
      <c r="BP136" s="31">
        <f t="shared" si="95"/>
        <v>0.1032</v>
      </c>
      <c r="BQ136" s="31">
        <f t="shared" si="96"/>
        <v>0.1986</v>
      </c>
    </row>
    <row r="137" spans="1:69" ht="16.5" x14ac:dyDescent="0.2">
      <c r="A137" s="37">
        <v>134</v>
      </c>
      <c r="B137" s="37">
        <v>14</v>
      </c>
      <c r="C137" s="37">
        <v>1</v>
      </c>
      <c r="D137" s="37">
        <v>3</v>
      </c>
      <c r="E137" s="37">
        <v>134</v>
      </c>
      <c r="F137" s="37">
        <f>INDEX(新属性投放!$L$6:$L$10,新属性汇总!D137)</f>
        <v>1.1499999999999999</v>
      </c>
      <c r="G137" s="37">
        <f>INDEX(新属性投放!J$42:J$62,新属性汇总!$B137)</f>
        <v>9510.0999999999985</v>
      </c>
      <c r="H137" s="37">
        <f>INDEX(新属性投放!K$42:K$62,新属性汇总!$B137)</f>
        <v>4753.5499999999993</v>
      </c>
      <c r="I137" s="37">
        <f>INDEX(新属性投放!L$42:L$62,新属性汇总!$B137)</f>
        <v>50710</v>
      </c>
      <c r="J137" s="37">
        <f>($A137-INDEX(新属性投放!$B$42:$B$62,新属性汇总!$B137))*INDEX(新属性投放!D$42:D$62,新属性汇总!$B137)</f>
        <v>934.52</v>
      </c>
      <c r="K137" s="37">
        <f>($A137-INDEX(新属性投放!$B$42:$B$62,新属性汇总!$B137))*INDEX(新属性投放!E$42:E$62,新属性汇总!$B137)</f>
        <v>467.26</v>
      </c>
      <c r="L137" s="37">
        <f>($A137-INDEX(新属性投放!$B$42:$B$62,新属性汇总!$B137))*INDEX(新属性投放!F$42:F$62,新属性汇总!$B137)</f>
        <v>4204</v>
      </c>
      <c r="M137" s="37">
        <f t="shared" si="65"/>
        <v>12011.312999999998</v>
      </c>
      <c r="N137" s="37">
        <f t="shared" si="66"/>
        <v>6003.9314999999988</v>
      </c>
      <c r="O137" s="37">
        <f t="shared" si="67"/>
        <v>63151.1</v>
      </c>
      <c r="P137" s="37">
        <v>4</v>
      </c>
      <c r="Q137" s="37">
        <v>4</v>
      </c>
      <c r="R137">
        <v>134</v>
      </c>
      <c r="S137" s="37">
        <f>IF($P137&gt;0,INDEX(装备!L$11:L$16,新属性汇总!$P137),0)</f>
        <v>1380</v>
      </c>
      <c r="T137" s="37">
        <f>IF($P137&gt;0,INDEX(装备!M$11:M$16,新属性汇总!$P137),0)</f>
        <v>690</v>
      </c>
      <c r="U137" s="37">
        <f>IF($P137&gt;0,INDEX(装备!N$11:N$16,新属性汇总!$P137),0)</f>
        <v>7380</v>
      </c>
      <c r="V137" s="37">
        <f>IF($P137&gt;0,INDEX(装备!H$11:H$16,新属性汇总!$P137),0)</f>
        <v>35</v>
      </c>
      <c r="W137" s="37">
        <f>IF($P137&gt;0,INDEX(装备!I$11:I$16,新属性汇总!$P137),0)</f>
        <v>18</v>
      </c>
      <c r="X137" s="37">
        <f>IF($P137&gt;0,INDEX(装备!J$11:J$16,新属性汇总!$P137),0)</f>
        <v>200</v>
      </c>
      <c r="Y137" s="37">
        <f t="shared" si="68"/>
        <v>6070</v>
      </c>
      <c r="Z137" s="37">
        <f t="shared" si="69"/>
        <v>3102</v>
      </c>
      <c r="AA137" s="37">
        <f t="shared" si="70"/>
        <v>34180</v>
      </c>
      <c r="AB137" s="37">
        <v>0.65</v>
      </c>
      <c r="AC137" s="37">
        <f>IF(P137&gt;0,INDEX(装备!$BP$5:$BP$16,新属性汇总!P137),0)</f>
        <v>4</v>
      </c>
      <c r="AD137" s="37">
        <f>IF($P137&gt;0,ROUND(INDEX(装备!AY$11:AY$16,新属性汇总!$P137)*$AC137/3,0)*8*AB137,0)</f>
        <v>1679.6000000000001</v>
      </c>
      <c r="AE137" s="37">
        <f>IF($P137&gt;0,ROUND(INDEX(装备!AZ$11:AZ$16,新属性汇总!$P137)*$AC137/3,0)*8*AB137,0)</f>
        <v>837.2</v>
      </c>
      <c r="AF137" s="37">
        <f>IF($P137&gt;0,ROUND(INDEX(装备!BA$11:BA$16,新属性汇总!$P137)*$AC137/3,0)*8*AB137,0)</f>
        <v>8959.6</v>
      </c>
      <c r="AG137" s="37">
        <f>IF(新属性汇总!P137&gt;0,INDEX(装备!$AP$11:$AP$16,新属性汇总!$P137)*2,0)</f>
        <v>7284</v>
      </c>
      <c r="AH137" s="37">
        <v>0</v>
      </c>
      <c r="AI137" s="37">
        <f>IF(新属性汇总!P137&gt;0,INDEX(装备!$AP$11:$AP$16,新属性汇总!$P137)*2,0)</f>
        <v>7284</v>
      </c>
      <c r="AJ137" s="37">
        <v>30</v>
      </c>
      <c r="AK137" s="37">
        <f>IF($AJ137&gt;0,INDEX(专属武器!H$4:H$53,新属性汇总!$AJ137),0)</f>
        <v>6457</v>
      </c>
      <c r="AL137" s="37">
        <f>IF($AJ137&gt;0,INDEX(专属武器!I$4:I$53,新属性汇总!$AJ137),0)</f>
        <v>3223</v>
      </c>
      <c r="AM137" s="37">
        <f>IF($AJ137&gt;0,INDEX(专属武器!J$4:J$53,新属性汇总!$AJ137),0)</f>
        <v>29083</v>
      </c>
      <c r="AQ137" s="13">
        <v>133</v>
      </c>
      <c r="AR137" s="13">
        <f t="shared" si="71"/>
        <v>11742.638499999997</v>
      </c>
      <c r="AS137" s="13">
        <f t="shared" si="72"/>
        <v>5869.5942499999983</v>
      </c>
      <c r="AT137" s="13">
        <f t="shared" si="73"/>
        <v>61942.45</v>
      </c>
      <c r="AU137" s="13">
        <f t="shared" si="74"/>
        <v>6035</v>
      </c>
      <c r="AV137" s="13">
        <f t="shared" si="75"/>
        <v>3084</v>
      </c>
      <c r="AW137" s="13">
        <f t="shared" si="76"/>
        <v>33980</v>
      </c>
      <c r="AX137" s="13">
        <f t="shared" si="77"/>
        <v>1679.6000000000001</v>
      </c>
      <c r="AY137" s="13">
        <f t="shared" si="78"/>
        <v>837.2</v>
      </c>
      <c r="AZ137" s="13">
        <f t="shared" si="79"/>
        <v>8959.6</v>
      </c>
      <c r="BA137" s="13">
        <f t="shared" si="80"/>
        <v>7284</v>
      </c>
      <c r="BB137" s="13">
        <f t="shared" si="81"/>
        <v>0</v>
      </c>
      <c r="BC137" s="13">
        <f t="shared" si="82"/>
        <v>7284</v>
      </c>
      <c r="BD137" s="13">
        <f t="shared" si="83"/>
        <v>5803</v>
      </c>
      <c r="BE137" s="13">
        <f t="shared" si="84"/>
        <v>2896</v>
      </c>
      <c r="BF137" s="13">
        <f t="shared" si="85"/>
        <v>26141</v>
      </c>
      <c r="BG137" s="13">
        <f t="shared" si="86"/>
        <v>179351</v>
      </c>
      <c r="BH137" s="13">
        <f t="shared" si="87"/>
        <v>94995</v>
      </c>
      <c r="BI137" s="13">
        <f t="shared" si="88"/>
        <v>25729</v>
      </c>
      <c r="BJ137" s="13">
        <f t="shared" si="89"/>
        <v>43704</v>
      </c>
      <c r="BK137" s="13">
        <f t="shared" si="90"/>
        <v>84116</v>
      </c>
      <c r="BL137" s="13">
        <f t="shared" si="91"/>
        <v>427895</v>
      </c>
      <c r="BM137" s="31">
        <f t="shared" si="92"/>
        <v>0.41909999999999997</v>
      </c>
      <c r="BN137" s="31">
        <f t="shared" si="93"/>
        <v>0.222</v>
      </c>
      <c r="BO137" s="31">
        <f t="shared" si="94"/>
        <v>6.0100000000000001E-2</v>
      </c>
      <c r="BP137" s="31">
        <f t="shared" si="95"/>
        <v>0.1021</v>
      </c>
      <c r="BQ137" s="31">
        <f t="shared" si="96"/>
        <v>0.1966</v>
      </c>
    </row>
    <row r="138" spans="1:69" ht="16.5" x14ac:dyDescent="0.2">
      <c r="A138" s="37">
        <v>135</v>
      </c>
      <c r="B138" s="37">
        <v>14</v>
      </c>
      <c r="C138" s="37">
        <v>1</v>
      </c>
      <c r="D138" s="37">
        <v>3</v>
      </c>
      <c r="E138" s="37">
        <v>135</v>
      </c>
      <c r="F138" s="37">
        <f>INDEX(新属性投放!$L$6:$L$10,新属性汇总!D138)</f>
        <v>1.1499999999999999</v>
      </c>
      <c r="G138" s="37">
        <f>INDEX(新属性投放!J$42:J$62,新属性汇总!$B138)</f>
        <v>9510.0999999999985</v>
      </c>
      <c r="H138" s="37">
        <f>INDEX(新属性投放!K$42:K$62,新属性汇总!$B138)</f>
        <v>4753.5499999999993</v>
      </c>
      <c r="I138" s="37">
        <f>INDEX(新属性投放!L$42:L$62,新属性汇总!$B138)</f>
        <v>50710</v>
      </c>
      <c r="J138" s="37">
        <f>($A138-INDEX(新属性投放!$B$42:$B$62,新属性汇总!$B138))*INDEX(新属性投放!D$42:D$62,新属性汇总!$B138)</f>
        <v>1168.1500000000001</v>
      </c>
      <c r="K138" s="37">
        <f>($A138-INDEX(新属性投放!$B$42:$B$62,新属性汇总!$B138))*INDEX(新属性投放!E$42:E$62,新属性汇总!$B138)</f>
        <v>584.07500000000005</v>
      </c>
      <c r="L138" s="37">
        <f>($A138-INDEX(新属性投放!$B$42:$B$62,新属性汇总!$B138))*INDEX(新属性投放!F$42:F$62,新属性汇总!$B138)</f>
        <v>5255</v>
      </c>
      <c r="M138" s="37">
        <f t="shared" si="65"/>
        <v>12279.987499999997</v>
      </c>
      <c r="N138" s="37">
        <f t="shared" si="66"/>
        <v>6138.2687499999984</v>
      </c>
      <c r="O138" s="37">
        <f t="shared" si="67"/>
        <v>64359.749999999993</v>
      </c>
      <c r="P138" s="37">
        <v>4</v>
      </c>
      <c r="Q138" s="37">
        <v>4</v>
      </c>
      <c r="R138">
        <v>135</v>
      </c>
      <c r="S138" s="37">
        <f>IF($P138&gt;0,INDEX(装备!L$11:L$16,新属性汇总!$P138),0)</f>
        <v>1380</v>
      </c>
      <c r="T138" s="37">
        <f>IF($P138&gt;0,INDEX(装备!M$11:M$16,新属性汇总!$P138),0)</f>
        <v>690</v>
      </c>
      <c r="U138" s="37">
        <f>IF($P138&gt;0,INDEX(装备!N$11:N$16,新属性汇总!$P138),0)</f>
        <v>7380</v>
      </c>
      <c r="V138" s="37">
        <f>IF($P138&gt;0,INDEX(装备!H$11:H$16,新属性汇总!$P138),0)</f>
        <v>35</v>
      </c>
      <c r="W138" s="37">
        <f>IF($P138&gt;0,INDEX(装备!I$11:I$16,新属性汇总!$P138),0)</f>
        <v>18</v>
      </c>
      <c r="X138" s="37">
        <f>IF($P138&gt;0,INDEX(装备!J$11:J$16,新属性汇总!$P138),0)</f>
        <v>200</v>
      </c>
      <c r="Y138" s="37">
        <f t="shared" si="68"/>
        <v>6105</v>
      </c>
      <c r="Z138" s="37">
        <f t="shared" si="69"/>
        <v>3120</v>
      </c>
      <c r="AA138" s="37">
        <f t="shared" si="70"/>
        <v>34380</v>
      </c>
      <c r="AB138" s="37">
        <v>0.65</v>
      </c>
      <c r="AC138" s="37">
        <f>IF(P138&gt;0,INDEX(装备!$BP$5:$BP$16,新属性汇总!P138),0)</f>
        <v>4</v>
      </c>
      <c r="AD138" s="37">
        <f>IF($P138&gt;0,ROUND(INDEX(装备!AY$11:AY$16,新属性汇总!$P138)*$AC138/3,0)*8*AB138,0)</f>
        <v>1679.6000000000001</v>
      </c>
      <c r="AE138" s="37">
        <f>IF($P138&gt;0,ROUND(INDEX(装备!AZ$11:AZ$16,新属性汇总!$P138)*$AC138/3,0)*8*AB138,0)</f>
        <v>837.2</v>
      </c>
      <c r="AF138" s="37">
        <f>IF($P138&gt;0,ROUND(INDEX(装备!BA$11:BA$16,新属性汇总!$P138)*$AC138/3,0)*8*AB138,0)</f>
        <v>8959.6</v>
      </c>
      <c r="AG138" s="37">
        <f>IF(新属性汇总!P138&gt;0,INDEX(装备!$AP$11:$AP$16,新属性汇总!$P138)*2,0)</f>
        <v>7284</v>
      </c>
      <c r="AH138" s="37">
        <v>0</v>
      </c>
      <c r="AI138" s="37">
        <f>IF(新属性汇总!P138&gt;0,INDEX(装备!$AP$11:$AP$16,新属性汇总!$P138)*2,0)</f>
        <v>7284</v>
      </c>
      <c r="AJ138" s="37">
        <v>30</v>
      </c>
      <c r="AK138" s="37">
        <f>IF($AJ138&gt;0,INDEX(专属武器!H$4:H$53,新属性汇总!$AJ138),0)</f>
        <v>6457</v>
      </c>
      <c r="AL138" s="37">
        <f>IF($AJ138&gt;0,INDEX(专属武器!I$4:I$53,新属性汇总!$AJ138),0)</f>
        <v>3223</v>
      </c>
      <c r="AM138" s="37">
        <f>IF($AJ138&gt;0,INDEX(专属武器!J$4:J$53,新属性汇总!$AJ138),0)</f>
        <v>29083</v>
      </c>
      <c r="AQ138" s="13">
        <v>134</v>
      </c>
      <c r="AR138" s="13">
        <f t="shared" si="71"/>
        <v>12011.312999999998</v>
      </c>
      <c r="AS138" s="13">
        <f t="shared" si="72"/>
        <v>6003.9314999999988</v>
      </c>
      <c r="AT138" s="13">
        <f t="shared" si="73"/>
        <v>63151.1</v>
      </c>
      <c r="AU138" s="13">
        <f t="shared" si="74"/>
        <v>6070</v>
      </c>
      <c r="AV138" s="13">
        <f t="shared" si="75"/>
        <v>3102</v>
      </c>
      <c r="AW138" s="13">
        <f t="shared" si="76"/>
        <v>34180</v>
      </c>
      <c r="AX138" s="13">
        <f t="shared" si="77"/>
        <v>1679.6000000000001</v>
      </c>
      <c r="AY138" s="13">
        <f t="shared" si="78"/>
        <v>837.2</v>
      </c>
      <c r="AZ138" s="13">
        <f t="shared" si="79"/>
        <v>8959.6</v>
      </c>
      <c r="BA138" s="13">
        <f t="shared" si="80"/>
        <v>7284</v>
      </c>
      <c r="BB138" s="13">
        <f t="shared" si="81"/>
        <v>0</v>
      </c>
      <c r="BC138" s="13">
        <f t="shared" si="82"/>
        <v>7284</v>
      </c>
      <c r="BD138" s="13">
        <f t="shared" si="83"/>
        <v>6457</v>
      </c>
      <c r="BE138" s="13">
        <f t="shared" si="84"/>
        <v>3223</v>
      </c>
      <c r="BF138" s="13">
        <f t="shared" si="85"/>
        <v>29083</v>
      </c>
      <c r="BG138" s="13">
        <f t="shared" si="86"/>
        <v>183246</v>
      </c>
      <c r="BH138" s="13">
        <f t="shared" si="87"/>
        <v>95550</v>
      </c>
      <c r="BI138" s="13">
        <f t="shared" si="88"/>
        <v>25729</v>
      </c>
      <c r="BJ138" s="13">
        <f t="shared" si="89"/>
        <v>43704</v>
      </c>
      <c r="BK138" s="13">
        <f t="shared" si="90"/>
        <v>93598</v>
      </c>
      <c r="BL138" s="13">
        <f t="shared" si="91"/>
        <v>441827</v>
      </c>
      <c r="BM138" s="31">
        <f t="shared" si="92"/>
        <v>0.41470000000000001</v>
      </c>
      <c r="BN138" s="31">
        <f t="shared" si="93"/>
        <v>0.21629999999999999</v>
      </c>
      <c r="BO138" s="31">
        <f t="shared" si="94"/>
        <v>5.8200000000000002E-2</v>
      </c>
      <c r="BP138" s="31">
        <f t="shared" si="95"/>
        <v>9.8900000000000002E-2</v>
      </c>
      <c r="BQ138" s="31">
        <f t="shared" si="96"/>
        <v>0.21179999999999999</v>
      </c>
    </row>
    <row r="139" spans="1:69" ht="16.5" x14ac:dyDescent="0.2">
      <c r="A139" s="37">
        <v>136</v>
      </c>
      <c r="B139" s="37">
        <v>14</v>
      </c>
      <c r="C139" s="37">
        <v>1</v>
      </c>
      <c r="D139" s="37">
        <v>3</v>
      </c>
      <c r="E139" s="37">
        <v>136</v>
      </c>
      <c r="F139" s="37">
        <f>INDEX(新属性投放!$L$6:$L$10,新属性汇总!D139)</f>
        <v>1.1499999999999999</v>
      </c>
      <c r="G139" s="37">
        <f>INDEX(新属性投放!J$42:J$62,新属性汇总!$B139)</f>
        <v>9510.0999999999985</v>
      </c>
      <c r="H139" s="37">
        <f>INDEX(新属性投放!K$42:K$62,新属性汇总!$B139)</f>
        <v>4753.5499999999993</v>
      </c>
      <c r="I139" s="37">
        <f>INDEX(新属性投放!L$42:L$62,新属性汇总!$B139)</f>
        <v>50710</v>
      </c>
      <c r="J139" s="37">
        <f>($A139-INDEX(新属性投放!$B$42:$B$62,新属性汇总!$B139))*INDEX(新属性投放!D$42:D$62,新属性汇总!$B139)</f>
        <v>1401.78</v>
      </c>
      <c r="K139" s="37">
        <f>($A139-INDEX(新属性投放!$B$42:$B$62,新属性汇总!$B139))*INDEX(新属性投放!E$42:E$62,新属性汇总!$B139)</f>
        <v>700.89</v>
      </c>
      <c r="L139" s="37">
        <f>($A139-INDEX(新属性投放!$B$42:$B$62,新属性汇总!$B139))*INDEX(新属性投放!F$42:F$62,新属性汇总!$B139)</f>
        <v>6306</v>
      </c>
      <c r="M139" s="37">
        <f t="shared" si="65"/>
        <v>12548.661999999998</v>
      </c>
      <c r="N139" s="37">
        <f t="shared" si="66"/>
        <v>6272.6059999999989</v>
      </c>
      <c r="O139" s="37">
        <f t="shared" si="67"/>
        <v>65568.399999999994</v>
      </c>
      <c r="P139" s="37">
        <v>4</v>
      </c>
      <c r="Q139" s="37">
        <v>4</v>
      </c>
      <c r="R139">
        <v>136</v>
      </c>
      <c r="S139" s="37">
        <f>IF($P139&gt;0,INDEX(装备!L$11:L$16,新属性汇总!$P139),0)</f>
        <v>1380</v>
      </c>
      <c r="T139" s="37">
        <f>IF($P139&gt;0,INDEX(装备!M$11:M$16,新属性汇总!$P139),0)</f>
        <v>690</v>
      </c>
      <c r="U139" s="37">
        <f>IF($P139&gt;0,INDEX(装备!N$11:N$16,新属性汇总!$P139),0)</f>
        <v>7380</v>
      </c>
      <c r="V139" s="37">
        <f>IF($P139&gt;0,INDEX(装备!H$11:H$16,新属性汇总!$P139),0)</f>
        <v>35</v>
      </c>
      <c r="W139" s="37">
        <f>IF($P139&gt;0,INDEX(装备!I$11:I$16,新属性汇总!$P139),0)</f>
        <v>18</v>
      </c>
      <c r="X139" s="37">
        <f>IF($P139&gt;0,INDEX(装备!J$11:J$16,新属性汇总!$P139),0)</f>
        <v>200</v>
      </c>
      <c r="Y139" s="37">
        <f t="shared" si="68"/>
        <v>6140</v>
      </c>
      <c r="Z139" s="37">
        <f t="shared" si="69"/>
        <v>3138</v>
      </c>
      <c r="AA139" s="37">
        <f t="shared" si="70"/>
        <v>34580</v>
      </c>
      <c r="AB139" s="37">
        <v>0.65</v>
      </c>
      <c r="AC139" s="37">
        <f>IF(P139&gt;0,INDEX(装备!$BP$5:$BP$16,新属性汇总!P139),0)</f>
        <v>4</v>
      </c>
      <c r="AD139" s="37">
        <f>IF($P139&gt;0,ROUND(INDEX(装备!AY$11:AY$16,新属性汇总!$P139)*$AC139/3,0)*8*AB139,0)</f>
        <v>1679.6000000000001</v>
      </c>
      <c r="AE139" s="37">
        <f>IF($P139&gt;0,ROUND(INDEX(装备!AZ$11:AZ$16,新属性汇总!$P139)*$AC139/3,0)*8*AB139,0)</f>
        <v>837.2</v>
      </c>
      <c r="AF139" s="37">
        <f>IF($P139&gt;0,ROUND(INDEX(装备!BA$11:BA$16,新属性汇总!$P139)*$AC139/3,0)*8*AB139,0)</f>
        <v>8959.6</v>
      </c>
      <c r="AG139" s="37">
        <f>IF(新属性汇总!P139&gt;0,INDEX(装备!$AP$11:$AP$16,新属性汇总!$P139)*2,0)</f>
        <v>7284</v>
      </c>
      <c r="AH139" s="37">
        <v>0</v>
      </c>
      <c r="AI139" s="37">
        <f>IF(新属性汇总!P139&gt;0,INDEX(装备!$AP$11:$AP$16,新属性汇总!$P139)*2,0)</f>
        <v>7284</v>
      </c>
      <c r="AJ139" s="37">
        <v>30</v>
      </c>
      <c r="AK139" s="37">
        <f>IF($AJ139&gt;0,INDEX(专属武器!H$4:H$53,新属性汇总!$AJ139),0)</f>
        <v>6457</v>
      </c>
      <c r="AL139" s="37">
        <f>IF($AJ139&gt;0,INDEX(专属武器!I$4:I$53,新属性汇总!$AJ139),0)</f>
        <v>3223</v>
      </c>
      <c r="AM139" s="37">
        <f>IF($AJ139&gt;0,INDEX(专属武器!J$4:J$53,新属性汇总!$AJ139),0)</f>
        <v>29083</v>
      </c>
      <c r="AQ139" s="13">
        <v>135</v>
      </c>
      <c r="AR139" s="13">
        <f t="shared" si="71"/>
        <v>12279.987499999997</v>
      </c>
      <c r="AS139" s="13">
        <f t="shared" si="72"/>
        <v>6138.2687499999984</v>
      </c>
      <c r="AT139" s="13">
        <f t="shared" si="73"/>
        <v>64359.749999999993</v>
      </c>
      <c r="AU139" s="13">
        <f t="shared" si="74"/>
        <v>6105</v>
      </c>
      <c r="AV139" s="13">
        <f t="shared" si="75"/>
        <v>3120</v>
      </c>
      <c r="AW139" s="13">
        <f t="shared" si="76"/>
        <v>34380</v>
      </c>
      <c r="AX139" s="13">
        <f t="shared" si="77"/>
        <v>1679.6000000000001</v>
      </c>
      <c r="AY139" s="13">
        <f t="shared" si="78"/>
        <v>837.2</v>
      </c>
      <c r="AZ139" s="13">
        <f t="shared" si="79"/>
        <v>8959.6</v>
      </c>
      <c r="BA139" s="13">
        <f t="shared" si="80"/>
        <v>7284</v>
      </c>
      <c r="BB139" s="13">
        <f t="shared" si="81"/>
        <v>0</v>
      </c>
      <c r="BC139" s="13">
        <f t="shared" si="82"/>
        <v>7284</v>
      </c>
      <c r="BD139" s="13">
        <f t="shared" si="83"/>
        <v>6457</v>
      </c>
      <c r="BE139" s="13">
        <f t="shared" si="84"/>
        <v>3223</v>
      </c>
      <c r="BF139" s="13">
        <f t="shared" si="85"/>
        <v>29083</v>
      </c>
      <c r="BG139" s="13">
        <f t="shared" si="86"/>
        <v>187142</v>
      </c>
      <c r="BH139" s="13">
        <f t="shared" si="87"/>
        <v>96105</v>
      </c>
      <c r="BI139" s="13">
        <f t="shared" si="88"/>
        <v>25729</v>
      </c>
      <c r="BJ139" s="13">
        <f t="shared" si="89"/>
        <v>43704</v>
      </c>
      <c r="BK139" s="13">
        <f t="shared" si="90"/>
        <v>93598</v>
      </c>
      <c r="BL139" s="13">
        <f t="shared" si="91"/>
        <v>446278</v>
      </c>
      <c r="BM139" s="31">
        <f t="shared" si="92"/>
        <v>0.41930000000000001</v>
      </c>
      <c r="BN139" s="31">
        <f t="shared" si="93"/>
        <v>0.21529999999999999</v>
      </c>
      <c r="BO139" s="31">
        <f t="shared" si="94"/>
        <v>5.7700000000000001E-2</v>
      </c>
      <c r="BP139" s="31">
        <f t="shared" si="95"/>
        <v>9.7900000000000001E-2</v>
      </c>
      <c r="BQ139" s="31">
        <f t="shared" si="96"/>
        <v>0.2097</v>
      </c>
    </row>
    <row r="140" spans="1:69" ht="16.5" x14ac:dyDescent="0.2">
      <c r="A140" s="37">
        <v>137</v>
      </c>
      <c r="B140" s="37">
        <v>14</v>
      </c>
      <c r="C140" s="37">
        <v>1</v>
      </c>
      <c r="D140" s="37">
        <v>3</v>
      </c>
      <c r="E140" s="37">
        <v>137</v>
      </c>
      <c r="F140" s="37">
        <f>INDEX(新属性投放!$L$6:$L$10,新属性汇总!D140)</f>
        <v>1.1499999999999999</v>
      </c>
      <c r="G140" s="37">
        <f>INDEX(新属性投放!J$42:J$62,新属性汇总!$B140)</f>
        <v>9510.0999999999985</v>
      </c>
      <c r="H140" s="37">
        <f>INDEX(新属性投放!K$42:K$62,新属性汇总!$B140)</f>
        <v>4753.5499999999993</v>
      </c>
      <c r="I140" s="37">
        <f>INDEX(新属性投放!L$42:L$62,新属性汇总!$B140)</f>
        <v>50710</v>
      </c>
      <c r="J140" s="37">
        <f>($A140-INDEX(新属性投放!$B$42:$B$62,新属性汇总!$B140))*INDEX(新属性投放!D$42:D$62,新属性汇总!$B140)</f>
        <v>1635.4099999999999</v>
      </c>
      <c r="K140" s="37">
        <f>($A140-INDEX(新属性投放!$B$42:$B$62,新属性汇总!$B140))*INDEX(新属性投放!E$42:E$62,新属性汇总!$B140)</f>
        <v>817.70499999999993</v>
      </c>
      <c r="L140" s="37">
        <f>($A140-INDEX(新属性投放!$B$42:$B$62,新属性汇总!$B140))*INDEX(新属性投放!F$42:F$62,新属性汇总!$B140)</f>
        <v>7357</v>
      </c>
      <c r="M140" s="37">
        <f t="shared" si="65"/>
        <v>12817.336499999998</v>
      </c>
      <c r="N140" s="37">
        <f t="shared" si="66"/>
        <v>6406.9432499999984</v>
      </c>
      <c r="O140" s="37">
        <f t="shared" si="67"/>
        <v>66777.049999999988</v>
      </c>
      <c r="P140" s="37">
        <v>4</v>
      </c>
      <c r="Q140" s="37">
        <v>4</v>
      </c>
      <c r="R140">
        <v>137</v>
      </c>
      <c r="S140" s="37">
        <f>IF($P140&gt;0,INDEX(装备!L$11:L$16,新属性汇总!$P140),0)</f>
        <v>1380</v>
      </c>
      <c r="T140" s="37">
        <f>IF($P140&gt;0,INDEX(装备!M$11:M$16,新属性汇总!$P140),0)</f>
        <v>690</v>
      </c>
      <c r="U140" s="37">
        <f>IF($P140&gt;0,INDEX(装备!N$11:N$16,新属性汇总!$P140),0)</f>
        <v>7380</v>
      </c>
      <c r="V140" s="37">
        <f>IF($P140&gt;0,INDEX(装备!H$11:H$16,新属性汇总!$P140),0)</f>
        <v>35</v>
      </c>
      <c r="W140" s="37">
        <f>IF($P140&gt;0,INDEX(装备!I$11:I$16,新属性汇总!$P140),0)</f>
        <v>18</v>
      </c>
      <c r="X140" s="37">
        <f>IF($P140&gt;0,INDEX(装备!J$11:J$16,新属性汇总!$P140),0)</f>
        <v>200</v>
      </c>
      <c r="Y140" s="37">
        <f t="shared" si="68"/>
        <v>6175</v>
      </c>
      <c r="Z140" s="37">
        <f t="shared" si="69"/>
        <v>3156</v>
      </c>
      <c r="AA140" s="37">
        <f t="shared" si="70"/>
        <v>34780</v>
      </c>
      <c r="AB140" s="37">
        <v>0.65</v>
      </c>
      <c r="AC140" s="37">
        <f>IF(P140&gt;0,INDEX(装备!$BP$5:$BP$16,新属性汇总!P140),0)</f>
        <v>4</v>
      </c>
      <c r="AD140" s="37">
        <f>IF($P140&gt;0,ROUND(INDEX(装备!AY$11:AY$16,新属性汇总!$P140)*$AC140/3,0)*8*AB140,0)</f>
        <v>1679.6000000000001</v>
      </c>
      <c r="AE140" s="37">
        <f>IF($P140&gt;0,ROUND(INDEX(装备!AZ$11:AZ$16,新属性汇总!$P140)*$AC140/3,0)*8*AB140,0)</f>
        <v>837.2</v>
      </c>
      <c r="AF140" s="37">
        <f>IF($P140&gt;0,ROUND(INDEX(装备!BA$11:BA$16,新属性汇总!$P140)*$AC140/3,0)*8*AB140,0)</f>
        <v>8959.6</v>
      </c>
      <c r="AG140" s="37">
        <f>IF(新属性汇总!P140&gt;0,INDEX(装备!$AP$11:$AP$16,新属性汇总!$P140)*2,0)</f>
        <v>7284</v>
      </c>
      <c r="AH140" s="37">
        <v>0</v>
      </c>
      <c r="AI140" s="37">
        <f>IF(新属性汇总!P140&gt;0,INDEX(装备!$AP$11:$AP$16,新属性汇总!$P140)*2,0)</f>
        <v>7284</v>
      </c>
      <c r="AJ140" s="37">
        <v>30</v>
      </c>
      <c r="AK140" s="37">
        <f>IF($AJ140&gt;0,INDEX(专属武器!H$4:H$53,新属性汇总!$AJ140),0)</f>
        <v>6457</v>
      </c>
      <c r="AL140" s="37">
        <f>IF($AJ140&gt;0,INDEX(专属武器!I$4:I$53,新属性汇总!$AJ140),0)</f>
        <v>3223</v>
      </c>
      <c r="AM140" s="37">
        <f>IF($AJ140&gt;0,INDEX(专属武器!J$4:J$53,新属性汇总!$AJ140),0)</f>
        <v>29083</v>
      </c>
      <c r="AQ140" s="13">
        <v>136</v>
      </c>
      <c r="AR140" s="13">
        <f t="shared" si="71"/>
        <v>12548.661999999998</v>
      </c>
      <c r="AS140" s="13">
        <f t="shared" si="72"/>
        <v>6272.6059999999989</v>
      </c>
      <c r="AT140" s="13">
        <f t="shared" si="73"/>
        <v>65568.399999999994</v>
      </c>
      <c r="AU140" s="13">
        <f t="shared" si="74"/>
        <v>6140</v>
      </c>
      <c r="AV140" s="13">
        <f t="shared" si="75"/>
        <v>3138</v>
      </c>
      <c r="AW140" s="13">
        <f t="shared" si="76"/>
        <v>34580</v>
      </c>
      <c r="AX140" s="13">
        <f t="shared" si="77"/>
        <v>1679.6000000000001</v>
      </c>
      <c r="AY140" s="13">
        <f t="shared" si="78"/>
        <v>837.2</v>
      </c>
      <c r="AZ140" s="13">
        <f t="shared" si="79"/>
        <v>8959.6</v>
      </c>
      <c r="BA140" s="13">
        <f t="shared" si="80"/>
        <v>7284</v>
      </c>
      <c r="BB140" s="13">
        <f t="shared" si="81"/>
        <v>0</v>
      </c>
      <c r="BC140" s="13">
        <f t="shared" si="82"/>
        <v>7284</v>
      </c>
      <c r="BD140" s="13">
        <f t="shared" si="83"/>
        <v>6457</v>
      </c>
      <c r="BE140" s="13">
        <f t="shared" si="84"/>
        <v>3223</v>
      </c>
      <c r="BF140" s="13">
        <f t="shared" si="85"/>
        <v>29083</v>
      </c>
      <c r="BG140" s="13">
        <f t="shared" si="86"/>
        <v>191037</v>
      </c>
      <c r="BH140" s="13">
        <f t="shared" si="87"/>
        <v>96660</v>
      </c>
      <c r="BI140" s="13">
        <f t="shared" si="88"/>
        <v>25729</v>
      </c>
      <c r="BJ140" s="13">
        <f t="shared" si="89"/>
        <v>43704</v>
      </c>
      <c r="BK140" s="13">
        <f t="shared" si="90"/>
        <v>93598</v>
      </c>
      <c r="BL140" s="13">
        <f t="shared" si="91"/>
        <v>450728</v>
      </c>
      <c r="BM140" s="31">
        <f t="shared" si="92"/>
        <v>0.42380000000000001</v>
      </c>
      <c r="BN140" s="31">
        <f t="shared" si="93"/>
        <v>0.2145</v>
      </c>
      <c r="BO140" s="31">
        <f t="shared" si="94"/>
        <v>5.7099999999999998E-2</v>
      </c>
      <c r="BP140" s="31">
        <f t="shared" si="95"/>
        <v>9.7000000000000003E-2</v>
      </c>
      <c r="BQ140" s="31">
        <f t="shared" si="96"/>
        <v>0.2077</v>
      </c>
    </row>
    <row r="141" spans="1:69" ht="16.5" x14ac:dyDescent="0.2">
      <c r="A141" s="37">
        <v>138</v>
      </c>
      <c r="B141" s="37">
        <v>14</v>
      </c>
      <c r="C141" s="37">
        <v>1</v>
      </c>
      <c r="D141" s="37">
        <v>3</v>
      </c>
      <c r="E141" s="37">
        <v>138</v>
      </c>
      <c r="F141" s="37">
        <f>INDEX(新属性投放!$L$6:$L$10,新属性汇总!D141)</f>
        <v>1.1499999999999999</v>
      </c>
      <c r="G141" s="37">
        <f>INDEX(新属性投放!J$42:J$62,新属性汇总!$B141)</f>
        <v>9510.0999999999985</v>
      </c>
      <c r="H141" s="37">
        <f>INDEX(新属性投放!K$42:K$62,新属性汇总!$B141)</f>
        <v>4753.5499999999993</v>
      </c>
      <c r="I141" s="37">
        <f>INDEX(新属性投放!L$42:L$62,新属性汇总!$B141)</f>
        <v>50710</v>
      </c>
      <c r="J141" s="37">
        <f>($A141-INDEX(新属性投放!$B$42:$B$62,新属性汇总!$B141))*INDEX(新属性投放!D$42:D$62,新属性汇总!$B141)</f>
        <v>1869.04</v>
      </c>
      <c r="K141" s="37">
        <f>($A141-INDEX(新属性投放!$B$42:$B$62,新属性汇总!$B141))*INDEX(新属性投放!E$42:E$62,新属性汇总!$B141)</f>
        <v>934.52</v>
      </c>
      <c r="L141" s="37">
        <f>($A141-INDEX(新属性投放!$B$42:$B$62,新属性汇总!$B141))*INDEX(新属性投放!F$42:F$62,新属性汇总!$B141)</f>
        <v>8408</v>
      </c>
      <c r="M141" s="37">
        <f t="shared" si="65"/>
        <v>13086.010999999999</v>
      </c>
      <c r="N141" s="37">
        <f t="shared" si="66"/>
        <v>6541.2804999999989</v>
      </c>
      <c r="O141" s="37">
        <f t="shared" si="67"/>
        <v>67985.7</v>
      </c>
      <c r="P141" s="37">
        <v>4</v>
      </c>
      <c r="Q141" s="37">
        <v>4</v>
      </c>
      <c r="R141">
        <v>138</v>
      </c>
      <c r="S141" s="37">
        <f>IF($P141&gt;0,INDEX(装备!L$11:L$16,新属性汇总!$P141),0)</f>
        <v>1380</v>
      </c>
      <c r="T141" s="37">
        <f>IF($P141&gt;0,INDEX(装备!M$11:M$16,新属性汇总!$P141),0)</f>
        <v>690</v>
      </c>
      <c r="U141" s="37">
        <f>IF($P141&gt;0,INDEX(装备!N$11:N$16,新属性汇总!$P141),0)</f>
        <v>7380</v>
      </c>
      <c r="V141" s="37">
        <f>IF($P141&gt;0,INDEX(装备!H$11:H$16,新属性汇总!$P141),0)</f>
        <v>35</v>
      </c>
      <c r="W141" s="37">
        <f>IF($P141&gt;0,INDEX(装备!I$11:I$16,新属性汇总!$P141),0)</f>
        <v>18</v>
      </c>
      <c r="X141" s="37">
        <f>IF($P141&gt;0,INDEX(装备!J$11:J$16,新属性汇总!$P141),0)</f>
        <v>200</v>
      </c>
      <c r="Y141" s="37">
        <f t="shared" si="68"/>
        <v>6210</v>
      </c>
      <c r="Z141" s="37">
        <f t="shared" si="69"/>
        <v>3174</v>
      </c>
      <c r="AA141" s="37">
        <f t="shared" si="70"/>
        <v>34980</v>
      </c>
      <c r="AB141" s="37">
        <v>0.65</v>
      </c>
      <c r="AC141" s="37">
        <f>IF(P141&gt;0,INDEX(装备!$BP$5:$BP$16,新属性汇总!P141),0)</f>
        <v>4</v>
      </c>
      <c r="AD141" s="37">
        <f>IF($P141&gt;0,ROUND(INDEX(装备!AY$11:AY$16,新属性汇总!$P141)*$AC141/3,0)*8*AB141,0)</f>
        <v>1679.6000000000001</v>
      </c>
      <c r="AE141" s="37">
        <f>IF($P141&gt;0,ROUND(INDEX(装备!AZ$11:AZ$16,新属性汇总!$P141)*$AC141/3,0)*8*AB141,0)</f>
        <v>837.2</v>
      </c>
      <c r="AF141" s="37">
        <f>IF($P141&gt;0,ROUND(INDEX(装备!BA$11:BA$16,新属性汇总!$P141)*$AC141/3,0)*8*AB141,0)</f>
        <v>8959.6</v>
      </c>
      <c r="AG141" s="37">
        <f>IF(新属性汇总!P141&gt;0,INDEX(装备!$AP$11:$AP$16,新属性汇总!$P141)*2,0)</f>
        <v>7284</v>
      </c>
      <c r="AH141" s="37">
        <v>0</v>
      </c>
      <c r="AI141" s="37">
        <f>IF(新属性汇总!P141&gt;0,INDEX(装备!$AP$11:$AP$16,新属性汇总!$P141)*2,0)</f>
        <v>7284</v>
      </c>
      <c r="AJ141" s="37">
        <v>31</v>
      </c>
      <c r="AK141" s="37">
        <f>IF($AJ141&gt;0,INDEX(专属武器!H$4:H$53,新属性汇总!$AJ141),0)</f>
        <v>7100</v>
      </c>
      <c r="AL141" s="37">
        <f>IF($AJ141&gt;0,INDEX(专属武器!I$4:I$53,新属性汇总!$AJ141),0)</f>
        <v>3544</v>
      </c>
      <c r="AM141" s="37">
        <f>IF($AJ141&gt;0,INDEX(专属武器!J$4:J$53,新属性汇总!$AJ141),0)</f>
        <v>31978</v>
      </c>
      <c r="AQ141" s="13">
        <v>137</v>
      </c>
      <c r="AR141" s="13">
        <f t="shared" si="71"/>
        <v>12817.336499999998</v>
      </c>
      <c r="AS141" s="13">
        <f t="shared" si="72"/>
        <v>6406.9432499999984</v>
      </c>
      <c r="AT141" s="13">
        <f t="shared" si="73"/>
        <v>66777.049999999988</v>
      </c>
      <c r="AU141" s="13">
        <f t="shared" si="74"/>
        <v>6175</v>
      </c>
      <c r="AV141" s="13">
        <f t="shared" si="75"/>
        <v>3156</v>
      </c>
      <c r="AW141" s="13">
        <f t="shared" si="76"/>
        <v>34780</v>
      </c>
      <c r="AX141" s="13">
        <f t="shared" si="77"/>
        <v>1679.6000000000001</v>
      </c>
      <c r="AY141" s="13">
        <f t="shared" si="78"/>
        <v>837.2</v>
      </c>
      <c r="AZ141" s="13">
        <f t="shared" si="79"/>
        <v>8959.6</v>
      </c>
      <c r="BA141" s="13">
        <f t="shared" si="80"/>
        <v>7284</v>
      </c>
      <c r="BB141" s="13">
        <f t="shared" si="81"/>
        <v>0</v>
      </c>
      <c r="BC141" s="13">
        <f t="shared" si="82"/>
        <v>7284</v>
      </c>
      <c r="BD141" s="13">
        <f t="shared" si="83"/>
        <v>6457</v>
      </c>
      <c r="BE141" s="13">
        <f t="shared" si="84"/>
        <v>3223</v>
      </c>
      <c r="BF141" s="13">
        <f t="shared" si="85"/>
        <v>29083</v>
      </c>
      <c r="BG141" s="13">
        <f t="shared" si="86"/>
        <v>194933</v>
      </c>
      <c r="BH141" s="13">
        <f t="shared" si="87"/>
        <v>97215</v>
      </c>
      <c r="BI141" s="13">
        <f t="shared" si="88"/>
        <v>25729</v>
      </c>
      <c r="BJ141" s="13">
        <f t="shared" si="89"/>
        <v>43704</v>
      </c>
      <c r="BK141" s="13">
        <f t="shared" si="90"/>
        <v>93598</v>
      </c>
      <c r="BL141" s="13">
        <f t="shared" si="91"/>
        <v>455179</v>
      </c>
      <c r="BM141" s="31">
        <f t="shared" si="92"/>
        <v>0.42830000000000001</v>
      </c>
      <c r="BN141" s="31">
        <f t="shared" si="93"/>
        <v>0.21360000000000001</v>
      </c>
      <c r="BO141" s="31">
        <f t="shared" si="94"/>
        <v>5.6500000000000002E-2</v>
      </c>
      <c r="BP141" s="31">
        <f t="shared" si="95"/>
        <v>9.6000000000000002E-2</v>
      </c>
      <c r="BQ141" s="31">
        <f t="shared" si="96"/>
        <v>0.2056</v>
      </c>
    </row>
    <row r="142" spans="1:69" ht="16.5" x14ac:dyDescent="0.2">
      <c r="A142" s="37">
        <v>139</v>
      </c>
      <c r="B142" s="37">
        <v>14</v>
      </c>
      <c r="C142" s="37">
        <v>1</v>
      </c>
      <c r="D142" s="37">
        <v>3</v>
      </c>
      <c r="E142" s="37">
        <v>139</v>
      </c>
      <c r="F142" s="37">
        <f>INDEX(新属性投放!$L$6:$L$10,新属性汇总!D142)</f>
        <v>1.1499999999999999</v>
      </c>
      <c r="G142" s="37">
        <f>INDEX(新属性投放!J$42:J$62,新属性汇总!$B142)</f>
        <v>9510.0999999999985</v>
      </c>
      <c r="H142" s="37">
        <f>INDEX(新属性投放!K$42:K$62,新属性汇总!$B142)</f>
        <v>4753.5499999999993</v>
      </c>
      <c r="I142" s="37">
        <f>INDEX(新属性投放!L$42:L$62,新属性汇总!$B142)</f>
        <v>50710</v>
      </c>
      <c r="J142" s="37">
        <f>($A142-INDEX(新属性投放!$B$42:$B$62,新属性汇总!$B142))*INDEX(新属性投放!D$42:D$62,新属性汇总!$B142)</f>
        <v>2102.67</v>
      </c>
      <c r="K142" s="37">
        <f>($A142-INDEX(新属性投放!$B$42:$B$62,新属性汇总!$B142))*INDEX(新属性投放!E$42:E$62,新属性汇总!$B142)</f>
        <v>1051.335</v>
      </c>
      <c r="L142" s="37">
        <f>($A142-INDEX(新属性投放!$B$42:$B$62,新属性汇总!$B142))*INDEX(新属性投放!F$42:F$62,新属性汇总!$B142)</f>
        <v>9459</v>
      </c>
      <c r="M142" s="37">
        <f t="shared" si="65"/>
        <v>13354.685499999998</v>
      </c>
      <c r="N142" s="37">
        <f t="shared" si="66"/>
        <v>6675.6177499999985</v>
      </c>
      <c r="O142" s="37">
        <f t="shared" si="67"/>
        <v>69194.349999999991</v>
      </c>
      <c r="P142" s="37">
        <v>4</v>
      </c>
      <c r="Q142" s="37">
        <v>4</v>
      </c>
      <c r="R142">
        <v>139</v>
      </c>
      <c r="S142" s="37">
        <f>IF($P142&gt;0,INDEX(装备!L$11:L$16,新属性汇总!$P142),0)</f>
        <v>1380</v>
      </c>
      <c r="T142" s="37">
        <f>IF($P142&gt;0,INDEX(装备!M$11:M$16,新属性汇总!$P142),0)</f>
        <v>690</v>
      </c>
      <c r="U142" s="37">
        <f>IF($P142&gt;0,INDEX(装备!N$11:N$16,新属性汇总!$P142),0)</f>
        <v>7380</v>
      </c>
      <c r="V142" s="37">
        <f>IF($P142&gt;0,INDEX(装备!H$11:H$16,新属性汇总!$P142),0)</f>
        <v>35</v>
      </c>
      <c r="W142" s="37">
        <f>IF($P142&gt;0,INDEX(装备!I$11:I$16,新属性汇总!$P142),0)</f>
        <v>18</v>
      </c>
      <c r="X142" s="37">
        <f>IF($P142&gt;0,INDEX(装备!J$11:J$16,新属性汇总!$P142),0)</f>
        <v>200</v>
      </c>
      <c r="Y142" s="37">
        <f t="shared" si="68"/>
        <v>6245</v>
      </c>
      <c r="Z142" s="37">
        <f t="shared" si="69"/>
        <v>3192</v>
      </c>
      <c r="AA142" s="37">
        <f t="shared" si="70"/>
        <v>35180</v>
      </c>
      <c r="AB142" s="37">
        <v>0.65</v>
      </c>
      <c r="AC142" s="37">
        <f>IF(P142&gt;0,INDEX(装备!$BP$5:$BP$16,新属性汇总!P142),0)</f>
        <v>4</v>
      </c>
      <c r="AD142" s="37">
        <f>IF($P142&gt;0,ROUND(INDEX(装备!AY$11:AY$16,新属性汇总!$P142)*$AC142/3,0)*8*AB142,0)</f>
        <v>1679.6000000000001</v>
      </c>
      <c r="AE142" s="37">
        <f>IF($P142&gt;0,ROUND(INDEX(装备!AZ$11:AZ$16,新属性汇总!$P142)*$AC142/3,0)*8*AB142,0)</f>
        <v>837.2</v>
      </c>
      <c r="AF142" s="37">
        <f>IF($P142&gt;0,ROUND(INDEX(装备!BA$11:BA$16,新属性汇总!$P142)*$AC142/3,0)*8*AB142,0)</f>
        <v>8959.6</v>
      </c>
      <c r="AG142" s="37">
        <f>IF(新属性汇总!P142&gt;0,INDEX(装备!$AP$11:$AP$16,新属性汇总!$P142)*2,0)</f>
        <v>7284</v>
      </c>
      <c r="AH142" s="37">
        <v>0</v>
      </c>
      <c r="AI142" s="37">
        <f>IF(新属性汇总!P142&gt;0,INDEX(装备!$AP$11:$AP$16,新属性汇总!$P142)*2,0)</f>
        <v>7284</v>
      </c>
      <c r="AJ142" s="37">
        <v>31</v>
      </c>
      <c r="AK142" s="37">
        <f>IF($AJ142&gt;0,INDEX(专属武器!H$4:H$53,新属性汇总!$AJ142),0)</f>
        <v>7100</v>
      </c>
      <c r="AL142" s="37">
        <f>IF($AJ142&gt;0,INDEX(专属武器!I$4:I$53,新属性汇总!$AJ142),0)</f>
        <v>3544</v>
      </c>
      <c r="AM142" s="37">
        <f>IF($AJ142&gt;0,INDEX(专属武器!J$4:J$53,新属性汇总!$AJ142),0)</f>
        <v>31978</v>
      </c>
      <c r="AQ142" s="13">
        <v>138</v>
      </c>
      <c r="AR142" s="13">
        <f t="shared" si="71"/>
        <v>13086.010999999999</v>
      </c>
      <c r="AS142" s="13">
        <f t="shared" si="72"/>
        <v>6541.2804999999989</v>
      </c>
      <c r="AT142" s="13">
        <f t="shared" si="73"/>
        <v>67985.7</v>
      </c>
      <c r="AU142" s="13">
        <f t="shared" si="74"/>
        <v>6210</v>
      </c>
      <c r="AV142" s="13">
        <f t="shared" si="75"/>
        <v>3174</v>
      </c>
      <c r="AW142" s="13">
        <f t="shared" si="76"/>
        <v>34980</v>
      </c>
      <c r="AX142" s="13">
        <f t="shared" si="77"/>
        <v>1679.6000000000001</v>
      </c>
      <c r="AY142" s="13">
        <f t="shared" si="78"/>
        <v>837.2</v>
      </c>
      <c r="AZ142" s="13">
        <f t="shared" si="79"/>
        <v>8959.6</v>
      </c>
      <c r="BA142" s="13">
        <f t="shared" si="80"/>
        <v>7284</v>
      </c>
      <c r="BB142" s="13">
        <f t="shared" si="81"/>
        <v>0</v>
      </c>
      <c r="BC142" s="13">
        <f t="shared" si="82"/>
        <v>7284</v>
      </c>
      <c r="BD142" s="13">
        <f t="shared" si="83"/>
        <v>7100</v>
      </c>
      <c r="BE142" s="13">
        <f t="shared" si="84"/>
        <v>3544</v>
      </c>
      <c r="BF142" s="13">
        <f t="shared" si="85"/>
        <v>31978</v>
      </c>
      <c r="BG142" s="13">
        <f t="shared" si="86"/>
        <v>198828</v>
      </c>
      <c r="BH142" s="13">
        <f t="shared" si="87"/>
        <v>97770</v>
      </c>
      <c r="BI142" s="13">
        <f t="shared" si="88"/>
        <v>25729</v>
      </c>
      <c r="BJ142" s="13">
        <f t="shared" si="89"/>
        <v>43704</v>
      </c>
      <c r="BK142" s="13">
        <f t="shared" si="90"/>
        <v>102918</v>
      </c>
      <c r="BL142" s="13">
        <f t="shared" si="91"/>
        <v>468949</v>
      </c>
      <c r="BM142" s="31">
        <f t="shared" si="92"/>
        <v>0.42399999999999999</v>
      </c>
      <c r="BN142" s="31">
        <f t="shared" si="93"/>
        <v>0.20849999999999999</v>
      </c>
      <c r="BO142" s="31">
        <f t="shared" si="94"/>
        <v>5.4899999999999997E-2</v>
      </c>
      <c r="BP142" s="31">
        <f t="shared" si="95"/>
        <v>9.3200000000000005E-2</v>
      </c>
      <c r="BQ142" s="31">
        <f t="shared" si="96"/>
        <v>0.2195</v>
      </c>
    </row>
    <row r="143" spans="1:69" ht="16.5" x14ac:dyDescent="0.2">
      <c r="A143" s="37">
        <v>140</v>
      </c>
      <c r="B143" s="37">
        <v>15</v>
      </c>
      <c r="C143" s="37">
        <v>1</v>
      </c>
      <c r="D143" s="37">
        <v>3</v>
      </c>
      <c r="E143" s="37">
        <v>140</v>
      </c>
      <c r="F143" s="37">
        <f>INDEX(新属性投放!$L$6:$L$10,新属性汇总!D143)</f>
        <v>1.1499999999999999</v>
      </c>
      <c r="G143" s="37">
        <f>INDEX(新属性投放!J$42:J$62,新属性汇总!$B143)</f>
        <v>12430.399999999998</v>
      </c>
      <c r="H143" s="37">
        <f>INDEX(新属性投放!K$42:K$62,新属性汇总!$B143)</f>
        <v>6213.6999999999989</v>
      </c>
      <c r="I143" s="37">
        <f>INDEX(新属性投放!L$42:L$62,新属性汇总!$B143)</f>
        <v>66476</v>
      </c>
      <c r="J143" s="37">
        <f>($A143-INDEX(新属性投放!$B$42:$B$62,新属性汇总!$B143))*INDEX(新属性投放!D$42:D$62,新属性汇总!$B143)</f>
        <v>0</v>
      </c>
      <c r="K143" s="37">
        <f>($A143-INDEX(新属性投放!$B$42:$B$62,新属性汇总!$B143))*INDEX(新属性投放!E$42:E$62,新属性汇总!$B143)</f>
        <v>0</v>
      </c>
      <c r="L143" s="37">
        <f>($A143-INDEX(新属性投放!$B$42:$B$62,新属性汇总!$B143))*INDEX(新属性投放!F$42:F$62,新属性汇总!$B143)</f>
        <v>0</v>
      </c>
      <c r="M143" s="37">
        <f t="shared" si="65"/>
        <v>14294.959999999995</v>
      </c>
      <c r="N143" s="37">
        <f t="shared" si="66"/>
        <v>7145.7549999999983</v>
      </c>
      <c r="O143" s="37">
        <f t="shared" si="67"/>
        <v>76447.399999999994</v>
      </c>
      <c r="P143" s="37">
        <v>4</v>
      </c>
      <c r="Q143" s="37">
        <v>4</v>
      </c>
      <c r="R143">
        <v>140</v>
      </c>
      <c r="S143" s="37">
        <f>IF($P143&gt;0,INDEX(装备!L$11:L$16,新属性汇总!$P143),0)</f>
        <v>1380</v>
      </c>
      <c r="T143" s="37">
        <f>IF($P143&gt;0,INDEX(装备!M$11:M$16,新属性汇总!$P143),0)</f>
        <v>690</v>
      </c>
      <c r="U143" s="37">
        <f>IF($P143&gt;0,INDEX(装备!N$11:N$16,新属性汇总!$P143),0)</f>
        <v>7380</v>
      </c>
      <c r="V143" s="37">
        <f>IF($P143&gt;0,INDEX(装备!H$11:H$16,新属性汇总!$P143),0)</f>
        <v>35</v>
      </c>
      <c r="W143" s="37">
        <f>IF($P143&gt;0,INDEX(装备!I$11:I$16,新属性汇总!$P143),0)</f>
        <v>18</v>
      </c>
      <c r="X143" s="37">
        <f>IF($P143&gt;0,INDEX(装备!J$11:J$16,新属性汇总!$P143),0)</f>
        <v>200</v>
      </c>
      <c r="Y143" s="37">
        <f t="shared" si="68"/>
        <v>6280</v>
      </c>
      <c r="Z143" s="37">
        <f t="shared" si="69"/>
        <v>3210</v>
      </c>
      <c r="AA143" s="37">
        <f t="shared" si="70"/>
        <v>35380</v>
      </c>
      <c r="AB143" s="37">
        <v>0.65</v>
      </c>
      <c r="AC143" s="37">
        <f>IF(P143&gt;0,INDEX(装备!$BP$5:$BP$16,新属性汇总!P143),0)</f>
        <v>4</v>
      </c>
      <c r="AD143" s="37">
        <f>IF($P143&gt;0,ROUND(INDEX(装备!AY$11:AY$16,新属性汇总!$P143)*$AC143/3,0)*8*AB143,0)</f>
        <v>1679.6000000000001</v>
      </c>
      <c r="AE143" s="37">
        <f>IF($P143&gt;0,ROUND(INDEX(装备!AZ$11:AZ$16,新属性汇总!$P143)*$AC143/3,0)*8*AB143,0)</f>
        <v>837.2</v>
      </c>
      <c r="AF143" s="37">
        <f>IF($P143&gt;0,ROUND(INDEX(装备!BA$11:BA$16,新属性汇总!$P143)*$AC143/3,0)*8*AB143,0)</f>
        <v>8959.6</v>
      </c>
      <c r="AG143" s="37">
        <f>IF(新属性汇总!P143&gt;0,INDEX(装备!$AP$11:$AP$16,新属性汇总!$P143)*2,0)</f>
        <v>7284</v>
      </c>
      <c r="AH143" s="37">
        <v>0</v>
      </c>
      <c r="AI143" s="37">
        <f>IF(新属性汇总!P143&gt;0,INDEX(装备!$AP$11:$AP$16,新属性汇总!$P143)*2,0)</f>
        <v>7284</v>
      </c>
      <c r="AJ143" s="37">
        <v>31</v>
      </c>
      <c r="AK143" s="37">
        <f>IF($AJ143&gt;0,INDEX(专属武器!H$4:H$53,新属性汇总!$AJ143),0)</f>
        <v>7100</v>
      </c>
      <c r="AL143" s="37">
        <f>IF($AJ143&gt;0,INDEX(专属武器!I$4:I$53,新属性汇总!$AJ143),0)</f>
        <v>3544</v>
      </c>
      <c r="AM143" s="37">
        <f>IF($AJ143&gt;0,INDEX(专属武器!J$4:J$53,新属性汇总!$AJ143),0)</f>
        <v>31978</v>
      </c>
      <c r="AQ143" s="13">
        <v>139</v>
      </c>
      <c r="AR143" s="13">
        <f t="shared" si="71"/>
        <v>13354.685499999998</v>
      </c>
      <c r="AS143" s="13">
        <f t="shared" si="72"/>
        <v>6675.6177499999985</v>
      </c>
      <c r="AT143" s="13">
        <f t="shared" si="73"/>
        <v>69194.349999999991</v>
      </c>
      <c r="AU143" s="13">
        <f t="shared" si="74"/>
        <v>6245</v>
      </c>
      <c r="AV143" s="13">
        <f t="shared" si="75"/>
        <v>3192</v>
      </c>
      <c r="AW143" s="13">
        <f t="shared" si="76"/>
        <v>35180</v>
      </c>
      <c r="AX143" s="13">
        <f t="shared" si="77"/>
        <v>1679.6000000000001</v>
      </c>
      <c r="AY143" s="13">
        <f t="shared" si="78"/>
        <v>837.2</v>
      </c>
      <c r="AZ143" s="13">
        <f t="shared" si="79"/>
        <v>8959.6</v>
      </c>
      <c r="BA143" s="13">
        <f t="shared" si="80"/>
        <v>7284</v>
      </c>
      <c r="BB143" s="13">
        <f t="shared" si="81"/>
        <v>0</v>
      </c>
      <c r="BC143" s="13">
        <f t="shared" si="82"/>
        <v>7284</v>
      </c>
      <c r="BD143" s="13">
        <f t="shared" si="83"/>
        <v>7100</v>
      </c>
      <c r="BE143" s="13">
        <f t="shared" si="84"/>
        <v>3544</v>
      </c>
      <c r="BF143" s="13">
        <f t="shared" si="85"/>
        <v>31978</v>
      </c>
      <c r="BG143" s="13">
        <f t="shared" si="86"/>
        <v>202723</v>
      </c>
      <c r="BH143" s="13">
        <f t="shared" si="87"/>
        <v>98325</v>
      </c>
      <c r="BI143" s="13">
        <f t="shared" si="88"/>
        <v>25729</v>
      </c>
      <c r="BJ143" s="13">
        <f t="shared" si="89"/>
        <v>43704</v>
      </c>
      <c r="BK143" s="13">
        <f t="shared" si="90"/>
        <v>102918</v>
      </c>
      <c r="BL143" s="13">
        <f t="shared" si="91"/>
        <v>473399</v>
      </c>
      <c r="BM143" s="31">
        <f t="shared" si="92"/>
        <v>0.42820000000000003</v>
      </c>
      <c r="BN143" s="31">
        <f t="shared" si="93"/>
        <v>0.2077</v>
      </c>
      <c r="BO143" s="31">
        <f t="shared" si="94"/>
        <v>5.4300000000000001E-2</v>
      </c>
      <c r="BP143" s="31">
        <f t="shared" si="95"/>
        <v>9.2299999999999993E-2</v>
      </c>
      <c r="BQ143" s="31">
        <f t="shared" si="96"/>
        <v>0.21740000000000001</v>
      </c>
    </row>
    <row r="144" spans="1:69" ht="16.5" x14ac:dyDescent="0.2">
      <c r="A144" s="37">
        <v>141</v>
      </c>
      <c r="B144" s="37">
        <v>15</v>
      </c>
      <c r="C144" s="37">
        <v>1</v>
      </c>
      <c r="D144" s="37">
        <v>3</v>
      </c>
      <c r="E144" s="37">
        <v>141</v>
      </c>
      <c r="F144" s="37">
        <f>INDEX(新属性投放!$L$6:$L$10,新属性汇总!D144)</f>
        <v>1.1499999999999999</v>
      </c>
      <c r="G144" s="37">
        <f>INDEX(新属性投放!J$42:J$62,新属性汇总!$B144)</f>
        <v>12430.399999999998</v>
      </c>
      <c r="H144" s="37">
        <f>INDEX(新属性投放!K$42:K$62,新属性汇总!$B144)</f>
        <v>6213.6999999999989</v>
      </c>
      <c r="I144" s="37">
        <f>INDEX(新属性投放!L$42:L$62,新属性汇总!$B144)</f>
        <v>66476</v>
      </c>
      <c r="J144" s="37">
        <f>($A144-INDEX(新属性投放!$B$42:$B$62,新属性汇总!$B144))*INDEX(新属性投放!D$42:D$62,新属性汇总!$B144)</f>
        <v>306.64</v>
      </c>
      <c r="K144" s="37">
        <f>($A144-INDEX(新属性投放!$B$42:$B$62,新属性汇总!$B144))*INDEX(新属性投放!E$42:E$62,新属性汇总!$B144)</f>
        <v>153.32</v>
      </c>
      <c r="L144" s="37">
        <f>($A144-INDEX(新属性投放!$B$42:$B$62,新属性汇总!$B144))*INDEX(新属性投放!F$42:F$62,新属性汇总!$B144)</f>
        <v>1379</v>
      </c>
      <c r="M144" s="37">
        <f t="shared" si="65"/>
        <v>14647.595999999996</v>
      </c>
      <c r="N144" s="37">
        <f t="shared" si="66"/>
        <v>7322.0729999999976</v>
      </c>
      <c r="O144" s="37">
        <f t="shared" si="67"/>
        <v>78033.25</v>
      </c>
      <c r="P144" s="37">
        <v>4</v>
      </c>
      <c r="Q144" s="37">
        <v>4</v>
      </c>
      <c r="R144">
        <v>141</v>
      </c>
      <c r="S144" s="37">
        <f>IF($P144&gt;0,INDEX(装备!L$11:L$16,新属性汇总!$P144),0)</f>
        <v>1380</v>
      </c>
      <c r="T144" s="37">
        <f>IF($P144&gt;0,INDEX(装备!M$11:M$16,新属性汇总!$P144),0)</f>
        <v>690</v>
      </c>
      <c r="U144" s="37">
        <f>IF($P144&gt;0,INDEX(装备!N$11:N$16,新属性汇总!$P144),0)</f>
        <v>7380</v>
      </c>
      <c r="V144" s="37">
        <f>IF($P144&gt;0,INDEX(装备!H$11:H$16,新属性汇总!$P144),0)</f>
        <v>35</v>
      </c>
      <c r="W144" s="37">
        <f>IF($P144&gt;0,INDEX(装备!I$11:I$16,新属性汇总!$P144),0)</f>
        <v>18</v>
      </c>
      <c r="X144" s="37">
        <f>IF($P144&gt;0,INDEX(装备!J$11:J$16,新属性汇总!$P144),0)</f>
        <v>200</v>
      </c>
      <c r="Y144" s="37">
        <f t="shared" si="68"/>
        <v>6315</v>
      </c>
      <c r="Z144" s="37">
        <f t="shared" si="69"/>
        <v>3228</v>
      </c>
      <c r="AA144" s="37">
        <f t="shared" si="70"/>
        <v>35580</v>
      </c>
      <c r="AB144" s="37">
        <v>0.65</v>
      </c>
      <c r="AC144" s="37">
        <f>IF(P144&gt;0,INDEX(装备!$BP$5:$BP$16,新属性汇总!P144),0)</f>
        <v>4</v>
      </c>
      <c r="AD144" s="37">
        <f>IF($P144&gt;0,ROUND(INDEX(装备!AY$11:AY$16,新属性汇总!$P144)*$AC144/3,0)*8*AB144,0)</f>
        <v>1679.6000000000001</v>
      </c>
      <c r="AE144" s="37">
        <f>IF($P144&gt;0,ROUND(INDEX(装备!AZ$11:AZ$16,新属性汇总!$P144)*$AC144/3,0)*8*AB144,0)</f>
        <v>837.2</v>
      </c>
      <c r="AF144" s="37">
        <f>IF($P144&gt;0,ROUND(INDEX(装备!BA$11:BA$16,新属性汇总!$P144)*$AC144/3,0)*8*AB144,0)</f>
        <v>8959.6</v>
      </c>
      <c r="AG144" s="37">
        <f>IF(新属性汇总!P144&gt;0,INDEX(装备!$AP$11:$AP$16,新属性汇总!$P144)*2,0)</f>
        <v>7284</v>
      </c>
      <c r="AH144" s="37">
        <v>0</v>
      </c>
      <c r="AI144" s="37">
        <f>IF(新属性汇总!P144&gt;0,INDEX(装备!$AP$11:$AP$16,新属性汇总!$P144)*2,0)</f>
        <v>7284</v>
      </c>
      <c r="AJ144" s="37">
        <v>31</v>
      </c>
      <c r="AK144" s="37">
        <f>IF($AJ144&gt;0,INDEX(专属武器!H$4:H$53,新属性汇总!$AJ144),0)</f>
        <v>7100</v>
      </c>
      <c r="AL144" s="37">
        <f>IF($AJ144&gt;0,INDEX(专属武器!I$4:I$53,新属性汇总!$AJ144),0)</f>
        <v>3544</v>
      </c>
      <c r="AM144" s="37">
        <f>IF($AJ144&gt;0,INDEX(专属武器!J$4:J$53,新属性汇总!$AJ144),0)</f>
        <v>31978</v>
      </c>
      <c r="AQ144" s="13">
        <v>140</v>
      </c>
      <c r="AR144" s="13">
        <f t="shared" si="71"/>
        <v>14294.959999999995</v>
      </c>
      <c r="AS144" s="13">
        <f t="shared" si="72"/>
        <v>7145.7549999999983</v>
      </c>
      <c r="AT144" s="13">
        <f t="shared" si="73"/>
        <v>76447.399999999994</v>
      </c>
      <c r="AU144" s="13">
        <f t="shared" si="74"/>
        <v>6280</v>
      </c>
      <c r="AV144" s="13">
        <f t="shared" si="75"/>
        <v>3210</v>
      </c>
      <c r="AW144" s="13">
        <f t="shared" si="76"/>
        <v>35380</v>
      </c>
      <c r="AX144" s="13">
        <f t="shared" si="77"/>
        <v>1679.6000000000001</v>
      </c>
      <c r="AY144" s="13">
        <f t="shared" si="78"/>
        <v>837.2</v>
      </c>
      <c r="AZ144" s="13">
        <f t="shared" si="79"/>
        <v>8959.6</v>
      </c>
      <c r="BA144" s="13">
        <f t="shared" si="80"/>
        <v>7284</v>
      </c>
      <c r="BB144" s="13">
        <f t="shared" si="81"/>
        <v>0</v>
      </c>
      <c r="BC144" s="13">
        <f t="shared" si="82"/>
        <v>7284</v>
      </c>
      <c r="BD144" s="13">
        <f t="shared" si="83"/>
        <v>7100</v>
      </c>
      <c r="BE144" s="13">
        <f t="shared" si="84"/>
        <v>3544</v>
      </c>
      <c r="BF144" s="13">
        <f t="shared" si="85"/>
        <v>31978</v>
      </c>
      <c r="BG144" s="13">
        <f t="shared" si="86"/>
        <v>219379</v>
      </c>
      <c r="BH144" s="13">
        <f t="shared" si="87"/>
        <v>98880</v>
      </c>
      <c r="BI144" s="13">
        <f t="shared" si="88"/>
        <v>25729</v>
      </c>
      <c r="BJ144" s="13">
        <f t="shared" si="89"/>
        <v>43704</v>
      </c>
      <c r="BK144" s="13">
        <f t="shared" si="90"/>
        <v>102918</v>
      </c>
      <c r="BL144" s="13">
        <f t="shared" si="91"/>
        <v>490610</v>
      </c>
      <c r="BM144" s="31">
        <f t="shared" si="92"/>
        <v>0.44719999999999999</v>
      </c>
      <c r="BN144" s="31">
        <f t="shared" si="93"/>
        <v>0.20150000000000001</v>
      </c>
      <c r="BO144" s="31">
        <f t="shared" si="94"/>
        <v>5.2400000000000002E-2</v>
      </c>
      <c r="BP144" s="31">
        <f t="shared" si="95"/>
        <v>8.9099999999999999E-2</v>
      </c>
      <c r="BQ144" s="31">
        <f t="shared" si="96"/>
        <v>0.20979999999999999</v>
      </c>
    </row>
    <row r="145" spans="1:69" ht="16.5" x14ac:dyDescent="0.2">
      <c r="A145" s="37">
        <v>142</v>
      </c>
      <c r="B145" s="37">
        <v>15</v>
      </c>
      <c r="C145" s="37">
        <v>1</v>
      </c>
      <c r="D145" s="37">
        <v>3</v>
      </c>
      <c r="E145" s="37">
        <v>142</v>
      </c>
      <c r="F145" s="37">
        <f>INDEX(新属性投放!$L$6:$L$10,新属性汇总!D145)</f>
        <v>1.1499999999999999</v>
      </c>
      <c r="G145" s="37">
        <f>INDEX(新属性投放!J$42:J$62,新属性汇总!$B145)</f>
        <v>12430.399999999998</v>
      </c>
      <c r="H145" s="37">
        <f>INDEX(新属性投放!K$42:K$62,新属性汇总!$B145)</f>
        <v>6213.6999999999989</v>
      </c>
      <c r="I145" s="37">
        <f>INDEX(新属性投放!L$42:L$62,新属性汇总!$B145)</f>
        <v>66476</v>
      </c>
      <c r="J145" s="37">
        <f>($A145-INDEX(新属性投放!$B$42:$B$62,新属性汇总!$B145))*INDEX(新属性投放!D$42:D$62,新属性汇总!$B145)</f>
        <v>613.28</v>
      </c>
      <c r="K145" s="37">
        <f>($A145-INDEX(新属性投放!$B$42:$B$62,新属性汇总!$B145))*INDEX(新属性投放!E$42:E$62,新属性汇总!$B145)</f>
        <v>306.64</v>
      </c>
      <c r="L145" s="37">
        <f>($A145-INDEX(新属性投放!$B$42:$B$62,新属性汇总!$B145))*INDEX(新属性投放!F$42:F$62,新属性汇总!$B145)</f>
        <v>2758</v>
      </c>
      <c r="M145" s="37">
        <f t="shared" si="65"/>
        <v>15000.231999999996</v>
      </c>
      <c r="N145" s="37">
        <f t="shared" si="66"/>
        <v>7498.3909999999987</v>
      </c>
      <c r="O145" s="37">
        <f t="shared" si="67"/>
        <v>79619.099999999991</v>
      </c>
      <c r="P145" s="37">
        <v>4</v>
      </c>
      <c r="Q145" s="37">
        <v>4</v>
      </c>
      <c r="R145">
        <v>142</v>
      </c>
      <c r="S145" s="37">
        <f>IF($P145&gt;0,INDEX(装备!L$11:L$16,新属性汇总!$P145),0)</f>
        <v>1380</v>
      </c>
      <c r="T145" s="37">
        <f>IF($P145&gt;0,INDEX(装备!M$11:M$16,新属性汇总!$P145),0)</f>
        <v>690</v>
      </c>
      <c r="U145" s="37">
        <f>IF($P145&gt;0,INDEX(装备!N$11:N$16,新属性汇总!$P145),0)</f>
        <v>7380</v>
      </c>
      <c r="V145" s="37">
        <f>IF($P145&gt;0,INDEX(装备!H$11:H$16,新属性汇总!$P145),0)</f>
        <v>35</v>
      </c>
      <c r="W145" s="37">
        <f>IF($P145&gt;0,INDEX(装备!I$11:I$16,新属性汇总!$P145),0)</f>
        <v>18</v>
      </c>
      <c r="X145" s="37">
        <f>IF($P145&gt;0,INDEX(装备!J$11:J$16,新属性汇总!$P145),0)</f>
        <v>200</v>
      </c>
      <c r="Y145" s="37">
        <f t="shared" si="68"/>
        <v>6350</v>
      </c>
      <c r="Z145" s="37">
        <f t="shared" si="69"/>
        <v>3246</v>
      </c>
      <c r="AA145" s="37">
        <f t="shared" si="70"/>
        <v>35780</v>
      </c>
      <c r="AB145" s="37">
        <v>0.65</v>
      </c>
      <c r="AC145" s="37">
        <f>IF(P145&gt;0,INDEX(装备!$BP$5:$BP$16,新属性汇总!P145),0)</f>
        <v>4</v>
      </c>
      <c r="AD145" s="37">
        <f>IF($P145&gt;0,ROUND(INDEX(装备!AY$11:AY$16,新属性汇总!$P145)*$AC145/3,0)*8*AB145,0)</f>
        <v>1679.6000000000001</v>
      </c>
      <c r="AE145" s="37">
        <f>IF($P145&gt;0,ROUND(INDEX(装备!AZ$11:AZ$16,新属性汇总!$P145)*$AC145/3,0)*8*AB145,0)</f>
        <v>837.2</v>
      </c>
      <c r="AF145" s="37">
        <f>IF($P145&gt;0,ROUND(INDEX(装备!BA$11:BA$16,新属性汇总!$P145)*$AC145/3,0)*8*AB145,0)</f>
        <v>8959.6</v>
      </c>
      <c r="AG145" s="37">
        <f>IF(新属性汇总!P145&gt;0,INDEX(装备!$AP$11:$AP$16,新属性汇总!$P145)*2,0)</f>
        <v>7284</v>
      </c>
      <c r="AH145" s="37">
        <v>0</v>
      </c>
      <c r="AI145" s="37">
        <f>IF(新属性汇总!P145&gt;0,INDEX(装备!$AP$11:$AP$16,新属性汇总!$P145)*2,0)</f>
        <v>7284</v>
      </c>
      <c r="AJ145" s="37">
        <v>32</v>
      </c>
      <c r="AK145" s="37">
        <f>IF($AJ145&gt;0,INDEX(专属武器!H$4:H$53,新属性汇总!$AJ145),0)</f>
        <v>7743</v>
      </c>
      <c r="AL145" s="37">
        <f>IF($AJ145&gt;0,INDEX(专属武器!I$4:I$53,新属性汇总!$AJ145),0)</f>
        <v>3865</v>
      </c>
      <c r="AM145" s="37">
        <f>IF($AJ145&gt;0,INDEX(专属武器!J$4:J$53,新属性汇总!$AJ145),0)</f>
        <v>34873</v>
      </c>
      <c r="AQ145" s="13">
        <v>141</v>
      </c>
      <c r="AR145" s="13">
        <f t="shared" si="71"/>
        <v>14647.595999999996</v>
      </c>
      <c r="AS145" s="13">
        <f t="shared" si="72"/>
        <v>7322.0729999999976</v>
      </c>
      <c r="AT145" s="13">
        <f t="shared" si="73"/>
        <v>78033.25</v>
      </c>
      <c r="AU145" s="13">
        <f t="shared" si="74"/>
        <v>6315</v>
      </c>
      <c r="AV145" s="13">
        <f t="shared" si="75"/>
        <v>3228</v>
      </c>
      <c r="AW145" s="13">
        <f t="shared" si="76"/>
        <v>35580</v>
      </c>
      <c r="AX145" s="13">
        <f t="shared" si="77"/>
        <v>1679.6000000000001</v>
      </c>
      <c r="AY145" s="13">
        <f t="shared" si="78"/>
        <v>837.2</v>
      </c>
      <c r="AZ145" s="13">
        <f t="shared" si="79"/>
        <v>8959.6</v>
      </c>
      <c r="BA145" s="13">
        <f t="shared" si="80"/>
        <v>7284</v>
      </c>
      <c r="BB145" s="13">
        <f t="shared" si="81"/>
        <v>0</v>
      </c>
      <c r="BC145" s="13">
        <f t="shared" si="82"/>
        <v>7284</v>
      </c>
      <c r="BD145" s="13">
        <f t="shared" si="83"/>
        <v>7100</v>
      </c>
      <c r="BE145" s="13">
        <f t="shared" si="84"/>
        <v>3544</v>
      </c>
      <c r="BF145" s="13">
        <f t="shared" si="85"/>
        <v>31978</v>
      </c>
      <c r="BG145" s="13">
        <f t="shared" si="86"/>
        <v>224491</v>
      </c>
      <c r="BH145" s="13">
        <f t="shared" si="87"/>
        <v>99435</v>
      </c>
      <c r="BI145" s="13">
        <f t="shared" si="88"/>
        <v>25729</v>
      </c>
      <c r="BJ145" s="13">
        <f t="shared" si="89"/>
        <v>43704</v>
      </c>
      <c r="BK145" s="13">
        <f t="shared" si="90"/>
        <v>102918</v>
      </c>
      <c r="BL145" s="13">
        <f t="shared" si="91"/>
        <v>496277</v>
      </c>
      <c r="BM145" s="31">
        <f t="shared" si="92"/>
        <v>0.45240000000000002</v>
      </c>
      <c r="BN145" s="31">
        <f t="shared" si="93"/>
        <v>0.20039999999999999</v>
      </c>
      <c r="BO145" s="31">
        <f t="shared" si="94"/>
        <v>5.1799999999999999E-2</v>
      </c>
      <c r="BP145" s="31">
        <f t="shared" si="95"/>
        <v>8.8099999999999998E-2</v>
      </c>
      <c r="BQ145" s="31">
        <f t="shared" si="96"/>
        <v>0.2074</v>
      </c>
    </row>
    <row r="146" spans="1:69" ht="16.5" x14ac:dyDescent="0.2">
      <c r="A146" s="37">
        <v>143</v>
      </c>
      <c r="B146" s="37">
        <v>15</v>
      </c>
      <c r="C146" s="37">
        <v>1</v>
      </c>
      <c r="D146" s="37">
        <v>3</v>
      </c>
      <c r="E146" s="37">
        <v>143</v>
      </c>
      <c r="F146" s="37">
        <f>INDEX(新属性投放!$L$6:$L$10,新属性汇总!D146)</f>
        <v>1.1499999999999999</v>
      </c>
      <c r="G146" s="37">
        <f>INDEX(新属性投放!J$42:J$62,新属性汇总!$B146)</f>
        <v>12430.399999999998</v>
      </c>
      <c r="H146" s="37">
        <f>INDEX(新属性投放!K$42:K$62,新属性汇总!$B146)</f>
        <v>6213.6999999999989</v>
      </c>
      <c r="I146" s="37">
        <f>INDEX(新属性投放!L$42:L$62,新属性汇总!$B146)</f>
        <v>66476</v>
      </c>
      <c r="J146" s="37">
        <f>($A146-INDEX(新属性投放!$B$42:$B$62,新属性汇总!$B146))*INDEX(新属性投放!D$42:D$62,新属性汇总!$B146)</f>
        <v>919.92</v>
      </c>
      <c r="K146" s="37">
        <f>($A146-INDEX(新属性投放!$B$42:$B$62,新属性汇总!$B146))*INDEX(新属性投放!E$42:E$62,新属性汇总!$B146)</f>
        <v>459.96</v>
      </c>
      <c r="L146" s="37">
        <f>($A146-INDEX(新属性投放!$B$42:$B$62,新属性汇总!$B146))*INDEX(新属性投放!F$42:F$62,新属性汇总!$B146)</f>
        <v>4137</v>
      </c>
      <c r="M146" s="37">
        <f t="shared" si="65"/>
        <v>15352.867999999997</v>
      </c>
      <c r="N146" s="37">
        <f t="shared" si="66"/>
        <v>7674.708999999998</v>
      </c>
      <c r="O146" s="37">
        <f t="shared" si="67"/>
        <v>81204.95</v>
      </c>
      <c r="P146" s="37">
        <v>4</v>
      </c>
      <c r="Q146" s="37">
        <v>4</v>
      </c>
      <c r="R146">
        <v>143</v>
      </c>
      <c r="S146" s="37">
        <f>IF($P146&gt;0,INDEX(装备!L$11:L$16,新属性汇总!$P146),0)</f>
        <v>1380</v>
      </c>
      <c r="T146" s="37">
        <f>IF($P146&gt;0,INDEX(装备!M$11:M$16,新属性汇总!$P146),0)</f>
        <v>690</v>
      </c>
      <c r="U146" s="37">
        <f>IF($P146&gt;0,INDEX(装备!N$11:N$16,新属性汇总!$P146),0)</f>
        <v>7380</v>
      </c>
      <c r="V146" s="37">
        <f>IF($P146&gt;0,INDEX(装备!H$11:H$16,新属性汇总!$P146),0)</f>
        <v>35</v>
      </c>
      <c r="W146" s="37">
        <f>IF($P146&gt;0,INDEX(装备!I$11:I$16,新属性汇总!$P146),0)</f>
        <v>18</v>
      </c>
      <c r="X146" s="37">
        <f>IF($P146&gt;0,INDEX(装备!J$11:J$16,新属性汇总!$P146),0)</f>
        <v>200</v>
      </c>
      <c r="Y146" s="37">
        <f t="shared" si="68"/>
        <v>6385</v>
      </c>
      <c r="Z146" s="37">
        <f t="shared" si="69"/>
        <v>3264</v>
      </c>
      <c r="AA146" s="37">
        <f t="shared" si="70"/>
        <v>35980</v>
      </c>
      <c r="AB146" s="37">
        <v>0.65</v>
      </c>
      <c r="AC146" s="37">
        <f>IF(P146&gt;0,INDEX(装备!$BP$5:$BP$16,新属性汇总!P146),0)</f>
        <v>4</v>
      </c>
      <c r="AD146" s="37">
        <f>IF($P146&gt;0,ROUND(INDEX(装备!AY$11:AY$16,新属性汇总!$P146)*$AC146/3,0)*8*AB146,0)</f>
        <v>1679.6000000000001</v>
      </c>
      <c r="AE146" s="37">
        <f>IF($P146&gt;0,ROUND(INDEX(装备!AZ$11:AZ$16,新属性汇总!$P146)*$AC146/3,0)*8*AB146,0)</f>
        <v>837.2</v>
      </c>
      <c r="AF146" s="37">
        <f>IF($P146&gt;0,ROUND(INDEX(装备!BA$11:BA$16,新属性汇总!$P146)*$AC146/3,0)*8*AB146,0)</f>
        <v>8959.6</v>
      </c>
      <c r="AG146" s="37">
        <f>IF(新属性汇总!P146&gt;0,INDEX(装备!$AP$11:$AP$16,新属性汇总!$P146)*2,0)</f>
        <v>7284</v>
      </c>
      <c r="AH146" s="37">
        <v>0</v>
      </c>
      <c r="AI146" s="37">
        <f>IF(新属性汇总!P146&gt;0,INDEX(装备!$AP$11:$AP$16,新属性汇总!$P146)*2,0)</f>
        <v>7284</v>
      </c>
      <c r="AJ146" s="37">
        <v>32</v>
      </c>
      <c r="AK146" s="37">
        <f>IF($AJ146&gt;0,INDEX(专属武器!H$4:H$53,新属性汇总!$AJ146),0)</f>
        <v>7743</v>
      </c>
      <c r="AL146" s="37">
        <f>IF($AJ146&gt;0,INDEX(专属武器!I$4:I$53,新属性汇总!$AJ146),0)</f>
        <v>3865</v>
      </c>
      <c r="AM146" s="37">
        <f>IF($AJ146&gt;0,INDEX(专属武器!J$4:J$53,新属性汇总!$AJ146),0)</f>
        <v>34873</v>
      </c>
      <c r="AQ146" s="13">
        <v>142</v>
      </c>
      <c r="AR146" s="13">
        <f t="shared" si="71"/>
        <v>15000.231999999996</v>
      </c>
      <c r="AS146" s="13">
        <f t="shared" si="72"/>
        <v>7498.3909999999987</v>
      </c>
      <c r="AT146" s="13">
        <f t="shared" si="73"/>
        <v>79619.099999999991</v>
      </c>
      <c r="AU146" s="13">
        <f t="shared" si="74"/>
        <v>6350</v>
      </c>
      <c r="AV146" s="13">
        <f t="shared" si="75"/>
        <v>3246</v>
      </c>
      <c r="AW146" s="13">
        <f t="shared" si="76"/>
        <v>35780</v>
      </c>
      <c r="AX146" s="13">
        <f t="shared" si="77"/>
        <v>1679.6000000000001</v>
      </c>
      <c r="AY146" s="13">
        <f t="shared" si="78"/>
        <v>837.2</v>
      </c>
      <c r="AZ146" s="13">
        <f t="shared" si="79"/>
        <v>8959.6</v>
      </c>
      <c r="BA146" s="13">
        <f t="shared" si="80"/>
        <v>7284</v>
      </c>
      <c r="BB146" s="13">
        <f t="shared" si="81"/>
        <v>0</v>
      </c>
      <c r="BC146" s="13">
        <f t="shared" si="82"/>
        <v>7284</v>
      </c>
      <c r="BD146" s="13">
        <f t="shared" si="83"/>
        <v>7743</v>
      </c>
      <c r="BE146" s="13">
        <f t="shared" si="84"/>
        <v>3865</v>
      </c>
      <c r="BF146" s="13">
        <f t="shared" si="85"/>
        <v>34873</v>
      </c>
      <c r="BG146" s="13">
        <f t="shared" si="86"/>
        <v>229604</v>
      </c>
      <c r="BH146" s="13">
        <f t="shared" si="87"/>
        <v>99990</v>
      </c>
      <c r="BI146" s="13">
        <f t="shared" si="88"/>
        <v>25729</v>
      </c>
      <c r="BJ146" s="13">
        <f t="shared" si="89"/>
        <v>43704</v>
      </c>
      <c r="BK146" s="13">
        <f t="shared" si="90"/>
        <v>112238</v>
      </c>
      <c r="BL146" s="13">
        <f t="shared" si="91"/>
        <v>511265</v>
      </c>
      <c r="BM146" s="31">
        <f t="shared" si="92"/>
        <v>0.4491</v>
      </c>
      <c r="BN146" s="31">
        <f t="shared" si="93"/>
        <v>0.1956</v>
      </c>
      <c r="BO146" s="31">
        <f t="shared" si="94"/>
        <v>5.0299999999999997E-2</v>
      </c>
      <c r="BP146" s="31">
        <f t="shared" si="95"/>
        <v>8.5500000000000007E-2</v>
      </c>
      <c r="BQ146" s="31">
        <f t="shared" si="96"/>
        <v>0.2195</v>
      </c>
    </row>
    <row r="147" spans="1:69" ht="16.5" x14ac:dyDescent="0.2">
      <c r="A147" s="37">
        <v>144</v>
      </c>
      <c r="B147" s="37">
        <v>15</v>
      </c>
      <c r="C147" s="37">
        <v>1</v>
      </c>
      <c r="D147" s="37">
        <v>3</v>
      </c>
      <c r="E147" s="37">
        <v>144</v>
      </c>
      <c r="F147" s="37">
        <f>INDEX(新属性投放!$L$6:$L$10,新属性汇总!D147)</f>
        <v>1.1499999999999999</v>
      </c>
      <c r="G147" s="37">
        <f>INDEX(新属性投放!J$42:J$62,新属性汇总!$B147)</f>
        <v>12430.399999999998</v>
      </c>
      <c r="H147" s="37">
        <f>INDEX(新属性投放!K$42:K$62,新属性汇总!$B147)</f>
        <v>6213.6999999999989</v>
      </c>
      <c r="I147" s="37">
        <f>INDEX(新属性投放!L$42:L$62,新属性汇总!$B147)</f>
        <v>66476</v>
      </c>
      <c r="J147" s="37">
        <f>($A147-INDEX(新属性投放!$B$42:$B$62,新属性汇总!$B147))*INDEX(新属性投放!D$42:D$62,新属性汇总!$B147)</f>
        <v>1226.56</v>
      </c>
      <c r="K147" s="37">
        <f>($A147-INDEX(新属性投放!$B$42:$B$62,新属性汇总!$B147))*INDEX(新属性投放!E$42:E$62,新属性汇总!$B147)</f>
        <v>613.28</v>
      </c>
      <c r="L147" s="37">
        <f>($A147-INDEX(新属性投放!$B$42:$B$62,新属性汇总!$B147))*INDEX(新属性投放!F$42:F$62,新属性汇总!$B147)</f>
        <v>5516</v>
      </c>
      <c r="M147" s="37">
        <f t="shared" si="65"/>
        <v>15705.503999999995</v>
      </c>
      <c r="N147" s="37">
        <f t="shared" si="66"/>
        <v>7851.0269999999982</v>
      </c>
      <c r="O147" s="37">
        <f t="shared" si="67"/>
        <v>82790.799999999988</v>
      </c>
      <c r="P147" s="37">
        <v>4</v>
      </c>
      <c r="Q147" s="37">
        <v>4</v>
      </c>
      <c r="R147">
        <v>144</v>
      </c>
      <c r="S147" s="37">
        <f>IF($P147&gt;0,INDEX(装备!L$11:L$16,新属性汇总!$P147),0)</f>
        <v>1380</v>
      </c>
      <c r="T147" s="37">
        <f>IF($P147&gt;0,INDEX(装备!M$11:M$16,新属性汇总!$P147),0)</f>
        <v>690</v>
      </c>
      <c r="U147" s="37">
        <f>IF($P147&gt;0,INDEX(装备!N$11:N$16,新属性汇总!$P147),0)</f>
        <v>7380</v>
      </c>
      <c r="V147" s="37">
        <f>IF($P147&gt;0,INDEX(装备!H$11:H$16,新属性汇总!$P147),0)</f>
        <v>35</v>
      </c>
      <c r="W147" s="37">
        <f>IF($P147&gt;0,INDEX(装备!I$11:I$16,新属性汇总!$P147),0)</f>
        <v>18</v>
      </c>
      <c r="X147" s="37">
        <f>IF($P147&gt;0,INDEX(装备!J$11:J$16,新属性汇总!$P147),0)</f>
        <v>200</v>
      </c>
      <c r="Y147" s="37">
        <f t="shared" si="68"/>
        <v>6420</v>
      </c>
      <c r="Z147" s="37">
        <f t="shared" si="69"/>
        <v>3282</v>
      </c>
      <c r="AA147" s="37">
        <f t="shared" si="70"/>
        <v>36180</v>
      </c>
      <c r="AB147" s="37">
        <v>0.65</v>
      </c>
      <c r="AC147" s="37">
        <f>IF(P147&gt;0,INDEX(装备!$BP$5:$BP$16,新属性汇总!P147),0)</f>
        <v>4</v>
      </c>
      <c r="AD147" s="37">
        <f>IF($P147&gt;0,ROUND(INDEX(装备!AY$11:AY$16,新属性汇总!$P147)*$AC147/3,0)*8*AB147,0)</f>
        <v>1679.6000000000001</v>
      </c>
      <c r="AE147" s="37">
        <f>IF($P147&gt;0,ROUND(INDEX(装备!AZ$11:AZ$16,新属性汇总!$P147)*$AC147/3,0)*8*AB147,0)</f>
        <v>837.2</v>
      </c>
      <c r="AF147" s="37">
        <f>IF($P147&gt;0,ROUND(INDEX(装备!BA$11:BA$16,新属性汇总!$P147)*$AC147/3,0)*8*AB147,0)</f>
        <v>8959.6</v>
      </c>
      <c r="AG147" s="37">
        <f>IF(新属性汇总!P147&gt;0,INDEX(装备!$AP$11:$AP$16,新属性汇总!$P147)*2,0)</f>
        <v>7284</v>
      </c>
      <c r="AH147" s="37">
        <v>0</v>
      </c>
      <c r="AI147" s="37">
        <f>IF(新属性汇总!P147&gt;0,INDEX(装备!$AP$11:$AP$16,新属性汇总!$P147)*2,0)</f>
        <v>7284</v>
      </c>
      <c r="AJ147" s="37">
        <v>32</v>
      </c>
      <c r="AK147" s="37">
        <f>IF($AJ147&gt;0,INDEX(专属武器!H$4:H$53,新属性汇总!$AJ147),0)</f>
        <v>7743</v>
      </c>
      <c r="AL147" s="37">
        <f>IF($AJ147&gt;0,INDEX(专属武器!I$4:I$53,新属性汇总!$AJ147),0)</f>
        <v>3865</v>
      </c>
      <c r="AM147" s="37">
        <f>IF($AJ147&gt;0,INDEX(专属武器!J$4:J$53,新属性汇总!$AJ147),0)</f>
        <v>34873</v>
      </c>
      <c r="AQ147" s="13">
        <v>143</v>
      </c>
      <c r="AR147" s="13">
        <f t="shared" si="71"/>
        <v>15352.867999999997</v>
      </c>
      <c r="AS147" s="13">
        <f t="shared" si="72"/>
        <v>7674.708999999998</v>
      </c>
      <c r="AT147" s="13">
        <f t="shared" si="73"/>
        <v>81204.95</v>
      </c>
      <c r="AU147" s="13">
        <f t="shared" si="74"/>
        <v>6385</v>
      </c>
      <c r="AV147" s="13">
        <f t="shared" si="75"/>
        <v>3264</v>
      </c>
      <c r="AW147" s="13">
        <f t="shared" si="76"/>
        <v>35980</v>
      </c>
      <c r="AX147" s="13">
        <f t="shared" si="77"/>
        <v>1679.6000000000001</v>
      </c>
      <c r="AY147" s="13">
        <f t="shared" si="78"/>
        <v>837.2</v>
      </c>
      <c r="AZ147" s="13">
        <f t="shared" si="79"/>
        <v>8959.6</v>
      </c>
      <c r="BA147" s="13">
        <f t="shared" si="80"/>
        <v>7284</v>
      </c>
      <c r="BB147" s="13">
        <f t="shared" si="81"/>
        <v>0</v>
      </c>
      <c r="BC147" s="13">
        <f t="shared" si="82"/>
        <v>7284</v>
      </c>
      <c r="BD147" s="13">
        <f t="shared" si="83"/>
        <v>7743</v>
      </c>
      <c r="BE147" s="13">
        <f t="shared" si="84"/>
        <v>3865</v>
      </c>
      <c r="BF147" s="13">
        <f t="shared" si="85"/>
        <v>34873</v>
      </c>
      <c r="BG147" s="13">
        <f t="shared" si="86"/>
        <v>234716</v>
      </c>
      <c r="BH147" s="13">
        <f t="shared" si="87"/>
        <v>100545</v>
      </c>
      <c r="BI147" s="13">
        <f t="shared" si="88"/>
        <v>25729</v>
      </c>
      <c r="BJ147" s="13">
        <f t="shared" si="89"/>
        <v>43704</v>
      </c>
      <c r="BK147" s="13">
        <f t="shared" si="90"/>
        <v>112238</v>
      </c>
      <c r="BL147" s="13">
        <f t="shared" si="91"/>
        <v>516932</v>
      </c>
      <c r="BM147" s="31">
        <f t="shared" si="92"/>
        <v>0.4541</v>
      </c>
      <c r="BN147" s="31">
        <f t="shared" si="93"/>
        <v>0.19450000000000001</v>
      </c>
      <c r="BO147" s="31">
        <f t="shared" si="94"/>
        <v>4.9799999999999997E-2</v>
      </c>
      <c r="BP147" s="31">
        <f t="shared" si="95"/>
        <v>8.4500000000000006E-2</v>
      </c>
      <c r="BQ147" s="31">
        <f t="shared" si="96"/>
        <v>0.21709999999999999</v>
      </c>
    </row>
    <row r="148" spans="1:69" ht="16.5" x14ac:dyDescent="0.2">
      <c r="A148" s="37">
        <v>145</v>
      </c>
      <c r="B148" s="37">
        <v>15</v>
      </c>
      <c r="C148" s="37">
        <v>1</v>
      </c>
      <c r="D148" s="37">
        <v>3</v>
      </c>
      <c r="E148" s="37">
        <v>145</v>
      </c>
      <c r="F148" s="37">
        <f>INDEX(新属性投放!$L$6:$L$10,新属性汇总!D148)</f>
        <v>1.1499999999999999</v>
      </c>
      <c r="G148" s="37">
        <f>INDEX(新属性投放!J$42:J$62,新属性汇总!$B148)</f>
        <v>12430.399999999998</v>
      </c>
      <c r="H148" s="37">
        <f>INDEX(新属性投放!K$42:K$62,新属性汇总!$B148)</f>
        <v>6213.6999999999989</v>
      </c>
      <c r="I148" s="37">
        <f>INDEX(新属性投放!L$42:L$62,新属性汇总!$B148)</f>
        <v>66476</v>
      </c>
      <c r="J148" s="37">
        <f>($A148-INDEX(新属性投放!$B$42:$B$62,新属性汇总!$B148))*INDEX(新属性投放!D$42:D$62,新属性汇总!$B148)</f>
        <v>1533.1999999999998</v>
      </c>
      <c r="K148" s="37">
        <f>($A148-INDEX(新属性投放!$B$42:$B$62,新属性汇总!$B148))*INDEX(新属性投放!E$42:E$62,新属性汇总!$B148)</f>
        <v>766.59999999999991</v>
      </c>
      <c r="L148" s="37">
        <f>($A148-INDEX(新属性投放!$B$42:$B$62,新属性汇总!$B148))*INDEX(新属性投放!F$42:F$62,新属性汇总!$B148)</f>
        <v>6895</v>
      </c>
      <c r="M148" s="37">
        <f t="shared" si="65"/>
        <v>16058.139999999998</v>
      </c>
      <c r="N148" s="37">
        <f t="shared" si="66"/>
        <v>8027.3449999999984</v>
      </c>
      <c r="O148" s="37">
        <f t="shared" si="67"/>
        <v>84376.65</v>
      </c>
      <c r="P148" s="37">
        <v>4</v>
      </c>
      <c r="Q148" s="37">
        <v>4</v>
      </c>
      <c r="R148">
        <v>145</v>
      </c>
      <c r="S148" s="37">
        <f>IF($P148&gt;0,INDEX(装备!L$11:L$16,新属性汇总!$P148),0)</f>
        <v>1380</v>
      </c>
      <c r="T148" s="37">
        <f>IF($P148&gt;0,INDEX(装备!M$11:M$16,新属性汇总!$P148),0)</f>
        <v>690</v>
      </c>
      <c r="U148" s="37">
        <f>IF($P148&gt;0,INDEX(装备!N$11:N$16,新属性汇总!$P148),0)</f>
        <v>7380</v>
      </c>
      <c r="V148" s="37">
        <f>IF($P148&gt;0,INDEX(装备!H$11:H$16,新属性汇总!$P148),0)</f>
        <v>35</v>
      </c>
      <c r="W148" s="37">
        <f>IF($P148&gt;0,INDEX(装备!I$11:I$16,新属性汇总!$P148),0)</f>
        <v>18</v>
      </c>
      <c r="X148" s="37">
        <f>IF($P148&gt;0,INDEX(装备!J$11:J$16,新属性汇总!$P148),0)</f>
        <v>200</v>
      </c>
      <c r="Y148" s="37">
        <f t="shared" si="68"/>
        <v>6455</v>
      </c>
      <c r="Z148" s="37">
        <f t="shared" si="69"/>
        <v>3300</v>
      </c>
      <c r="AA148" s="37">
        <f t="shared" si="70"/>
        <v>36380</v>
      </c>
      <c r="AB148" s="37">
        <v>0.65</v>
      </c>
      <c r="AC148" s="37">
        <f>IF(P148&gt;0,INDEX(装备!$BP$5:$BP$16,新属性汇总!P148),0)</f>
        <v>4</v>
      </c>
      <c r="AD148" s="37">
        <f>IF($P148&gt;0,ROUND(INDEX(装备!AY$11:AY$16,新属性汇总!$P148)*$AC148/3,0)*8*AB148,0)</f>
        <v>1679.6000000000001</v>
      </c>
      <c r="AE148" s="37">
        <f>IF($P148&gt;0,ROUND(INDEX(装备!AZ$11:AZ$16,新属性汇总!$P148)*$AC148/3,0)*8*AB148,0)</f>
        <v>837.2</v>
      </c>
      <c r="AF148" s="37">
        <f>IF($P148&gt;0,ROUND(INDEX(装备!BA$11:BA$16,新属性汇总!$P148)*$AC148/3,0)*8*AB148,0)</f>
        <v>8959.6</v>
      </c>
      <c r="AG148" s="37">
        <f>IF(新属性汇总!P148&gt;0,INDEX(装备!$AP$11:$AP$16,新属性汇总!$P148)*2,0)</f>
        <v>7284</v>
      </c>
      <c r="AH148" s="37">
        <v>0</v>
      </c>
      <c r="AI148" s="37">
        <f>IF(新属性汇总!P148&gt;0,INDEX(装备!$AP$11:$AP$16,新属性汇总!$P148)*2,0)</f>
        <v>7284</v>
      </c>
      <c r="AJ148" s="37">
        <v>32</v>
      </c>
      <c r="AK148" s="37">
        <f>IF($AJ148&gt;0,INDEX(专属武器!H$4:H$53,新属性汇总!$AJ148),0)</f>
        <v>7743</v>
      </c>
      <c r="AL148" s="37">
        <f>IF($AJ148&gt;0,INDEX(专属武器!I$4:I$53,新属性汇总!$AJ148),0)</f>
        <v>3865</v>
      </c>
      <c r="AM148" s="37">
        <f>IF($AJ148&gt;0,INDEX(专属武器!J$4:J$53,新属性汇总!$AJ148),0)</f>
        <v>34873</v>
      </c>
      <c r="AQ148" s="13">
        <v>144</v>
      </c>
      <c r="AR148" s="13">
        <f t="shared" si="71"/>
        <v>15705.503999999995</v>
      </c>
      <c r="AS148" s="13">
        <f t="shared" si="72"/>
        <v>7851.0269999999982</v>
      </c>
      <c r="AT148" s="13">
        <f t="shared" si="73"/>
        <v>82790.799999999988</v>
      </c>
      <c r="AU148" s="13">
        <f t="shared" si="74"/>
        <v>6420</v>
      </c>
      <c r="AV148" s="13">
        <f t="shared" si="75"/>
        <v>3282</v>
      </c>
      <c r="AW148" s="13">
        <f t="shared" si="76"/>
        <v>36180</v>
      </c>
      <c r="AX148" s="13">
        <f t="shared" si="77"/>
        <v>1679.6000000000001</v>
      </c>
      <c r="AY148" s="13">
        <f t="shared" si="78"/>
        <v>837.2</v>
      </c>
      <c r="AZ148" s="13">
        <f t="shared" si="79"/>
        <v>8959.6</v>
      </c>
      <c r="BA148" s="13">
        <f t="shared" si="80"/>
        <v>7284</v>
      </c>
      <c r="BB148" s="13">
        <f t="shared" si="81"/>
        <v>0</v>
      </c>
      <c r="BC148" s="13">
        <f t="shared" si="82"/>
        <v>7284</v>
      </c>
      <c r="BD148" s="13">
        <f t="shared" si="83"/>
        <v>7743</v>
      </c>
      <c r="BE148" s="13">
        <f t="shared" si="84"/>
        <v>3865</v>
      </c>
      <c r="BF148" s="13">
        <f t="shared" si="85"/>
        <v>34873</v>
      </c>
      <c r="BG148" s="13">
        <f t="shared" si="86"/>
        <v>239828</v>
      </c>
      <c r="BH148" s="13">
        <f t="shared" si="87"/>
        <v>101100</v>
      </c>
      <c r="BI148" s="13">
        <f t="shared" si="88"/>
        <v>25729</v>
      </c>
      <c r="BJ148" s="13">
        <f t="shared" si="89"/>
        <v>43704</v>
      </c>
      <c r="BK148" s="13">
        <f t="shared" si="90"/>
        <v>112238</v>
      </c>
      <c r="BL148" s="13">
        <f t="shared" si="91"/>
        <v>522599</v>
      </c>
      <c r="BM148" s="31">
        <f t="shared" si="92"/>
        <v>0.45889999999999997</v>
      </c>
      <c r="BN148" s="31">
        <f t="shared" si="93"/>
        <v>0.19350000000000001</v>
      </c>
      <c r="BO148" s="31">
        <f t="shared" si="94"/>
        <v>4.9200000000000001E-2</v>
      </c>
      <c r="BP148" s="31">
        <f t="shared" si="95"/>
        <v>8.3599999999999994E-2</v>
      </c>
      <c r="BQ148" s="31">
        <f t="shared" si="96"/>
        <v>0.21479999999999999</v>
      </c>
    </row>
    <row r="149" spans="1:69" ht="16.5" x14ac:dyDescent="0.2">
      <c r="A149" s="37">
        <v>146</v>
      </c>
      <c r="B149" s="37">
        <v>15</v>
      </c>
      <c r="C149" s="37">
        <v>1</v>
      </c>
      <c r="D149" s="37">
        <v>3</v>
      </c>
      <c r="E149" s="37">
        <v>146</v>
      </c>
      <c r="F149" s="37">
        <f>INDEX(新属性投放!$L$6:$L$10,新属性汇总!D149)</f>
        <v>1.1499999999999999</v>
      </c>
      <c r="G149" s="37">
        <f>INDEX(新属性投放!J$42:J$62,新属性汇总!$B149)</f>
        <v>12430.399999999998</v>
      </c>
      <c r="H149" s="37">
        <f>INDEX(新属性投放!K$42:K$62,新属性汇总!$B149)</f>
        <v>6213.6999999999989</v>
      </c>
      <c r="I149" s="37">
        <f>INDEX(新属性投放!L$42:L$62,新属性汇总!$B149)</f>
        <v>66476</v>
      </c>
      <c r="J149" s="37">
        <f>($A149-INDEX(新属性投放!$B$42:$B$62,新属性汇总!$B149))*INDEX(新属性投放!D$42:D$62,新属性汇总!$B149)</f>
        <v>1839.84</v>
      </c>
      <c r="K149" s="37">
        <f>($A149-INDEX(新属性投放!$B$42:$B$62,新属性汇总!$B149))*INDEX(新属性投放!E$42:E$62,新属性汇总!$B149)</f>
        <v>919.92</v>
      </c>
      <c r="L149" s="37">
        <f>($A149-INDEX(新属性投放!$B$42:$B$62,新属性汇总!$B149))*INDEX(新属性投放!F$42:F$62,新属性汇总!$B149)</f>
        <v>8274</v>
      </c>
      <c r="M149" s="37">
        <f t="shared" si="65"/>
        <v>16410.775999999998</v>
      </c>
      <c r="N149" s="37">
        <f t="shared" si="66"/>
        <v>8203.6629999999986</v>
      </c>
      <c r="O149" s="37">
        <f t="shared" si="67"/>
        <v>85962.5</v>
      </c>
      <c r="P149" s="37">
        <v>4</v>
      </c>
      <c r="Q149" s="37">
        <v>4</v>
      </c>
      <c r="R149">
        <v>146</v>
      </c>
      <c r="S149" s="37">
        <f>IF($P149&gt;0,INDEX(装备!L$11:L$16,新属性汇总!$P149),0)</f>
        <v>1380</v>
      </c>
      <c r="T149" s="37">
        <f>IF($P149&gt;0,INDEX(装备!M$11:M$16,新属性汇总!$P149),0)</f>
        <v>690</v>
      </c>
      <c r="U149" s="37">
        <f>IF($P149&gt;0,INDEX(装备!N$11:N$16,新属性汇总!$P149),0)</f>
        <v>7380</v>
      </c>
      <c r="V149" s="37">
        <f>IF($P149&gt;0,INDEX(装备!H$11:H$16,新属性汇总!$P149),0)</f>
        <v>35</v>
      </c>
      <c r="W149" s="37">
        <f>IF($P149&gt;0,INDEX(装备!I$11:I$16,新属性汇总!$P149),0)</f>
        <v>18</v>
      </c>
      <c r="X149" s="37">
        <f>IF($P149&gt;0,INDEX(装备!J$11:J$16,新属性汇总!$P149),0)</f>
        <v>200</v>
      </c>
      <c r="Y149" s="37">
        <f t="shared" si="68"/>
        <v>6490</v>
      </c>
      <c r="Z149" s="37">
        <f t="shared" si="69"/>
        <v>3318</v>
      </c>
      <c r="AA149" s="37">
        <f t="shared" si="70"/>
        <v>36580</v>
      </c>
      <c r="AB149" s="37">
        <v>0.65</v>
      </c>
      <c r="AC149" s="37">
        <f>IF(P149&gt;0,INDEX(装备!$BP$5:$BP$16,新属性汇总!P149),0)</f>
        <v>4</v>
      </c>
      <c r="AD149" s="37">
        <f>IF($P149&gt;0,ROUND(INDEX(装备!AY$11:AY$16,新属性汇总!$P149)*$AC149/3,0)*8*AB149,0)</f>
        <v>1679.6000000000001</v>
      </c>
      <c r="AE149" s="37">
        <f>IF($P149&gt;0,ROUND(INDEX(装备!AZ$11:AZ$16,新属性汇总!$P149)*$AC149/3,0)*8*AB149,0)</f>
        <v>837.2</v>
      </c>
      <c r="AF149" s="37">
        <f>IF($P149&gt;0,ROUND(INDEX(装备!BA$11:BA$16,新属性汇总!$P149)*$AC149/3,0)*8*AB149,0)</f>
        <v>8959.6</v>
      </c>
      <c r="AG149" s="37">
        <f>IF(新属性汇总!P149&gt;0,INDEX(装备!$AP$11:$AP$16,新属性汇总!$P149)*2,0)</f>
        <v>7284</v>
      </c>
      <c r="AH149" s="37">
        <v>0</v>
      </c>
      <c r="AI149" s="37">
        <f>IF(新属性汇总!P149&gt;0,INDEX(装备!$AP$11:$AP$16,新属性汇总!$P149)*2,0)</f>
        <v>7284</v>
      </c>
      <c r="AJ149" s="37">
        <v>33</v>
      </c>
      <c r="AK149" s="37">
        <f>IF($AJ149&gt;0,INDEX(专属武器!H$4:H$53,新属性汇总!$AJ149),0)</f>
        <v>8601</v>
      </c>
      <c r="AL149" s="37">
        <f>IF($AJ149&gt;0,INDEX(专属武器!I$4:I$53,新属性汇总!$AJ149),0)</f>
        <v>4294</v>
      </c>
      <c r="AM149" s="37">
        <f>IF($AJ149&gt;0,INDEX(专属武器!J$4:J$53,新属性汇总!$AJ149),0)</f>
        <v>38734</v>
      </c>
      <c r="AQ149" s="13">
        <v>145</v>
      </c>
      <c r="AR149" s="13">
        <f t="shared" si="71"/>
        <v>16058.139999999998</v>
      </c>
      <c r="AS149" s="13">
        <f t="shared" si="72"/>
        <v>8027.3449999999984</v>
      </c>
      <c r="AT149" s="13">
        <f t="shared" si="73"/>
        <v>84376.65</v>
      </c>
      <c r="AU149" s="13">
        <f t="shared" si="74"/>
        <v>6455</v>
      </c>
      <c r="AV149" s="13">
        <f t="shared" si="75"/>
        <v>3300</v>
      </c>
      <c r="AW149" s="13">
        <f t="shared" si="76"/>
        <v>36380</v>
      </c>
      <c r="AX149" s="13">
        <f t="shared" si="77"/>
        <v>1679.6000000000001</v>
      </c>
      <c r="AY149" s="13">
        <f t="shared" si="78"/>
        <v>837.2</v>
      </c>
      <c r="AZ149" s="13">
        <f t="shared" si="79"/>
        <v>8959.6</v>
      </c>
      <c r="BA149" s="13">
        <f t="shared" si="80"/>
        <v>7284</v>
      </c>
      <c r="BB149" s="13">
        <f t="shared" si="81"/>
        <v>0</v>
      </c>
      <c r="BC149" s="13">
        <f t="shared" si="82"/>
        <v>7284</v>
      </c>
      <c r="BD149" s="13">
        <f t="shared" si="83"/>
        <v>7743</v>
      </c>
      <c r="BE149" s="13">
        <f t="shared" si="84"/>
        <v>3865</v>
      </c>
      <c r="BF149" s="13">
        <f t="shared" si="85"/>
        <v>34873</v>
      </c>
      <c r="BG149" s="13">
        <f t="shared" si="86"/>
        <v>244940</v>
      </c>
      <c r="BH149" s="13">
        <f t="shared" si="87"/>
        <v>101655</v>
      </c>
      <c r="BI149" s="13">
        <f t="shared" si="88"/>
        <v>25729</v>
      </c>
      <c r="BJ149" s="13">
        <f t="shared" si="89"/>
        <v>43704</v>
      </c>
      <c r="BK149" s="13">
        <f t="shared" si="90"/>
        <v>112238</v>
      </c>
      <c r="BL149" s="13">
        <f t="shared" si="91"/>
        <v>528266</v>
      </c>
      <c r="BM149" s="31">
        <f t="shared" si="92"/>
        <v>0.4637</v>
      </c>
      <c r="BN149" s="31">
        <f t="shared" si="93"/>
        <v>0.19239999999999999</v>
      </c>
      <c r="BO149" s="31">
        <f t="shared" si="94"/>
        <v>4.87E-2</v>
      </c>
      <c r="BP149" s="31">
        <f t="shared" si="95"/>
        <v>8.2699999999999996E-2</v>
      </c>
      <c r="BQ149" s="31">
        <f t="shared" si="96"/>
        <v>0.21249999999999999</v>
      </c>
    </row>
    <row r="150" spans="1:69" ht="16.5" x14ac:dyDescent="0.2">
      <c r="A150" s="37">
        <v>147</v>
      </c>
      <c r="B150" s="37">
        <v>15</v>
      </c>
      <c r="C150" s="37">
        <v>1</v>
      </c>
      <c r="D150" s="37">
        <v>3</v>
      </c>
      <c r="E150" s="37">
        <v>147</v>
      </c>
      <c r="F150" s="37">
        <f>INDEX(新属性投放!$L$6:$L$10,新属性汇总!D150)</f>
        <v>1.1499999999999999</v>
      </c>
      <c r="G150" s="37">
        <f>INDEX(新属性投放!J$42:J$62,新属性汇总!$B150)</f>
        <v>12430.399999999998</v>
      </c>
      <c r="H150" s="37">
        <f>INDEX(新属性投放!K$42:K$62,新属性汇总!$B150)</f>
        <v>6213.6999999999989</v>
      </c>
      <c r="I150" s="37">
        <f>INDEX(新属性投放!L$42:L$62,新属性汇总!$B150)</f>
        <v>66476</v>
      </c>
      <c r="J150" s="37">
        <f>($A150-INDEX(新属性投放!$B$42:$B$62,新属性汇总!$B150))*INDEX(新属性投放!D$42:D$62,新属性汇总!$B150)</f>
        <v>2146.48</v>
      </c>
      <c r="K150" s="37">
        <f>($A150-INDEX(新属性投放!$B$42:$B$62,新属性汇总!$B150))*INDEX(新属性投放!E$42:E$62,新属性汇总!$B150)</f>
        <v>1073.24</v>
      </c>
      <c r="L150" s="37">
        <f>($A150-INDEX(新属性投放!$B$42:$B$62,新属性汇总!$B150))*INDEX(新属性投放!F$42:F$62,新属性汇总!$B150)</f>
        <v>9653</v>
      </c>
      <c r="M150" s="37">
        <f t="shared" si="65"/>
        <v>16763.411999999997</v>
      </c>
      <c r="N150" s="37">
        <f t="shared" si="66"/>
        <v>8379.9809999999979</v>
      </c>
      <c r="O150" s="37">
        <f t="shared" si="67"/>
        <v>87548.349999999991</v>
      </c>
      <c r="P150" s="37">
        <v>4</v>
      </c>
      <c r="Q150" s="37">
        <v>4</v>
      </c>
      <c r="R150">
        <v>147</v>
      </c>
      <c r="S150" s="37">
        <f>IF($P150&gt;0,INDEX(装备!L$11:L$16,新属性汇总!$P150),0)</f>
        <v>1380</v>
      </c>
      <c r="T150" s="37">
        <f>IF($P150&gt;0,INDEX(装备!M$11:M$16,新属性汇总!$P150),0)</f>
        <v>690</v>
      </c>
      <c r="U150" s="37">
        <f>IF($P150&gt;0,INDEX(装备!N$11:N$16,新属性汇总!$P150),0)</f>
        <v>7380</v>
      </c>
      <c r="V150" s="37">
        <f>IF($P150&gt;0,INDEX(装备!H$11:H$16,新属性汇总!$P150),0)</f>
        <v>35</v>
      </c>
      <c r="W150" s="37">
        <f>IF($P150&gt;0,INDEX(装备!I$11:I$16,新属性汇总!$P150),0)</f>
        <v>18</v>
      </c>
      <c r="X150" s="37">
        <f>IF($P150&gt;0,INDEX(装备!J$11:J$16,新属性汇总!$P150),0)</f>
        <v>200</v>
      </c>
      <c r="Y150" s="37">
        <f t="shared" si="68"/>
        <v>6525</v>
      </c>
      <c r="Z150" s="37">
        <f t="shared" si="69"/>
        <v>3336</v>
      </c>
      <c r="AA150" s="37">
        <f t="shared" si="70"/>
        <v>36780</v>
      </c>
      <c r="AB150" s="37">
        <v>0.65</v>
      </c>
      <c r="AC150" s="37">
        <f>IF(P150&gt;0,INDEX(装备!$BP$5:$BP$16,新属性汇总!P150),0)</f>
        <v>4</v>
      </c>
      <c r="AD150" s="37">
        <f>IF($P150&gt;0,ROUND(INDEX(装备!AY$11:AY$16,新属性汇总!$P150)*$AC150/3,0)*8*AB150,0)</f>
        <v>1679.6000000000001</v>
      </c>
      <c r="AE150" s="37">
        <f>IF($P150&gt;0,ROUND(INDEX(装备!AZ$11:AZ$16,新属性汇总!$P150)*$AC150/3,0)*8*AB150,0)</f>
        <v>837.2</v>
      </c>
      <c r="AF150" s="37">
        <f>IF($P150&gt;0,ROUND(INDEX(装备!BA$11:BA$16,新属性汇总!$P150)*$AC150/3,0)*8*AB150,0)</f>
        <v>8959.6</v>
      </c>
      <c r="AG150" s="37">
        <f>IF(新属性汇总!P150&gt;0,INDEX(装备!$AP$11:$AP$16,新属性汇总!$P150)*2,0)</f>
        <v>7284</v>
      </c>
      <c r="AH150" s="37">
        <v>0</v>
      </c>
      <c r="AI150" s="37">
        <f>IF(新属性汇总!P150&gt;0,INDEX(装备!$AP$11:$AP$16,新属性汇总!$P150)*2,0)</f>
        <v>7284</v>
      </c>
      <c r="AJ150" s="37">
        <v>33</v>
      </c>
      <c r="AK150" s="37">
        <f>IF($AJ150&gt;0,INDEX(专属武器!H$4:H$53,新属性汇总!$AJ150),0)</f>
        <v>8601</v>
      </c>
      <c r="AL150" s="37">
        <f>IF($AJ150&gt;0,INDEX(专属武器!I$4:I$53,新属性汇总!$AJ150),0)</f>
        <v>4294</v>
      </c>
      <c r="AM150" s="37">
        <f>IF($AJ150&gt;0,INDEX(专属武器!J$4:J$53,新属性汇总!$AJ150),0)</f>
        <v>38734</v>
      </c>
      <c r="AQ150" s="13">
        <v>146</v>
      </c>
      <c r="AR150" s="13">
        <f t="shared" si="71"/>
        <v>16410.775999999998</v>
      </c>
      <c r="AS150" s="13">
        <f t="shared" si="72"/>
        <v>8203.6629999999986</v>
      </c>
      <c r="AT150" s="13">
        <f t="shared" si="73"/>
        <v>85962.5</v>
      </c>
      <c r="AU150" s="13">
        <f t="shared" si="74"/>
        <v>6490</v>
      </c>
      <c r="AV150" s="13">
        <f t="shared" si="75"/>
        <v>3318</v>
      </c>
      <c r="AW150" s="13">
        <f t="shared" si="76"/>
        <v>36580</v>
      </c>
      <c r="AX150" s="13">
        <f t="shared" si="77"/>
        <v>1679.6000000000001</v>
      </c>
      <c r="AY150" s="13">
        <f t="shared" si="78"/>
        <v>837.2</v>
      </c>
      <c r="AZ150" s="13">
        <f t="shared" si="79"/>
        <v>8959.6</v>
      </c>
      <c r="BA150" s="13">
        <f t="shared" si="80"/>
        <v>7284</v>
      </c>
      <c r="BB150" s="13">
        <f t="shared" si="81"/>
        <v>0</v>
      </c>
      <c r="BC150" s="13">
        <f t="shared" si="82"/>
        <v>7284</v>
      </c>
      <c r="BD150" s="13">
        <f t="shared" si="83"/>
        <v>8601</v>
      </c>
      <c r="BE150" s="13">
        <f t="shared" si="84"/>
        <v>4294</v>
      </c>
      <c r="BF150" s="13">
        <f t="shared" si="85"/>
        <v>38734</v>
      </c>
      <c r="BG150" s="13">
        <f t="shared" si="86"/>
        <v>250053</v>
      </c>
      <c r="BH150" s="13">
        <f t="shared" si="87"/>
        <v>102210</v>
      </c>
      <c r="BI150" s="13">
        <f t="shared" si="88"/>
        <v>25729</v>
      </c>
      <c r="BJ150" s="13">
        <f t="shared" si="89"/>
        <v>43704</v>
      </c>
      <c r="BK150" s="13">
        <f t="shared" si="90"/>
        <v>124679</v>
      </c>
      <c r="BL150" s="13">
        <f t="shared" si="91"/>
        <v>546375</v>
      </c>
      <c r="BM150" s="31">
        <f t="shared" si="92"/>
        <v>0.4577</v>
      </c>
      <c r="BN150" s="31">
        <f t="shared" si="93"/>
        <v>0.18709999999999999</v>
      </c>
      <c r="BO150" s="31">
        <f t="shared" si="94"/>
        <v>4.7100000000000003E-2</v>
      </c>
      <c r="BP150" s="31">
        <f t="shared" si="95"/>
        <v>0.08</v>
      </c>
      <c r="BQ150" s="31">
        <f t="shared" si="96"/>
        <v>0.22819999999999999</v>
      </c>
    </row>
    <row r="151" spans="1:69" ht="16.5" x14ac:dyDescent="0.2">
      <c r="A151" s="37">
        <v>148</v>
      </c>
      <c r="B151" s="37">
        <v>15</v>
      </c>
      <c r="C151" s="37">
        <v>1</v>
      </c>
      <c r="D151" s="37">
        <v>3</v>
      </c>
      <c r="E151" s="37">
        <v>148</v>
      </c>
      <c r="F151" s="37">
        <f>INDEX(新属性投放!$L$6:$L$10,新属性汇总!D151)</f>
        <v>1.1499999999999999</v>
      </c>
      <c r="G151" s="37">
        <f>INDEX(新属性投放!J$42:J$62,新属性汇总!$B151)</f>
        <v>12430.399999999998</v>
      </c>
      <c r="H151" s="37">
        <f>INDEX(新属性投放!K$42:K$62,新属性汇总!$B151)</f>
        <v>6213.6999999999989</v>
      </c>
      <c r="I151" s="37">
        <f>INDEX(新属性投放!L$42:L$62,新属性汇总!$B151)</f>
        <v>66476</v>
      </c>
      <c r="J151" s="37">
        <f>($A151-INDEX(新属性投放!$B$42:$B$62,新属性汇总!$B151))*INDEX(新属性投放!D$42:D$62,新属性汇总!$B151)</f>
        <v>2453.12</v>
      </c>
      <c r="K151" s="37">
        <f>($A151-INDEX(新属性投放!$B$42:$B$62,新属性汇总!$B151))*INDEX(新属性投放!E$42:E$62,新属性汇总!$B151)</f>
        <v>1226.56</v>
      </c>
      <c r="L151" s="37">
        <f>($A151-INDEX(新属性投放!$B$42:$B$62,新属性汇总!$B151))*INDEX(新属性投放!F$42:F$62,新属性汇总!$B151)</f>
        <v>11032</v>
      </c>
      <c r="M151" s="37">
        <f t="shared" si="65"/>
        <v>17116.047999999995</v>
      </c>
      <c r="N151" s="37">
        <f t="shared" si="66"/>
        <v>8556.2989999999972</v>
      </c>
      <c r="O151" s="37">
        <f t="shared" si="67"/>
        <v>89134.2</v>
      </c>
      <c r="P151" s="37">
        <v>4</v>
      </c>
      <c r="Q151" s="37">
        <v>4</v>
      </c>
      <c r="R151">
        <v>148</v>
      </c>
      <c r="S151" s="37">
        <f>IF($P151&gt;0,INDEX(装备!L$11:L$16,新属性汇总!$P151),0)</f>
        <v>1380</v>
      </c>
      <c r="T151" s="37">
        <f>IF($P151&gt;0,INDEX(装备!M$11:M$16,新属性汇总!$P151),0)</f>
        <v>690</v>
      </c>
      <c r="U151" s="37">
        <f>IF($P151&gt;0,INDEX(装备!N$11:N$16,新属性汇总!$P151),0)</f>
        <v>7380</v>
      </c>
      <c r="V151" s="37">
        <f>IF($P151&gt;0,INDEX(装备!H$11:H$16,新属性汇总!$P151),0)</f>
        <v>35</v>
      </c>
      <c r="W151" s="37">
        <f>IF($P151&gt;0,INDEX(装备!I$11:I$16,新属性汇总!$P151),0)</f>
        <v>18</v>
      </c>
      <c r="X151" s="37">
        <f>IF($P151&gt;0,INDEX(装备!J$11:J$16,新属性汇总!$P151),0)</f>
        <v>200</v>
      </c>
      <c r="Y151" s="37">
        <f t="shared" si="68"/>
        <v>6560</v>
      </c>
      <c r="Z151" s="37">
        <f t="shared" si="69"/>
        <v>3354</v>
      </c>
      <c r="AA151" s="37">
        <f t="shared" si="70"/>
        <v>36980</v>
      </c>
      <c r="AB151" s="37">
        <v>0.65</v>
      </c>
      <c r="AC151" s="37">
        <f>IF(P151&gt;0,INDEX(装备!$BP$5:$BP$16,新属性汇总!P151),0)</f>
        <v>4</v>
      </c>
      <c r="AD151" s="37">
        <f>IF($P151&gt;0,ROUND(INDEX(装备!AY$11:AY$16,新属性汇总!$P151)*$AC151/3,0)*8*AB151,0)</f>
        <v>1679.6000000000001</v>
      </c>
      <c r="AE151" s="37">
        <f>IF($P151&gt;0,ROUND(INDEX(装备!AZ$11:AZ$16,新属性汇总!$P151)*$AC151/3,0)*8*AB151,0)</f>
        <v>837.2</v>
      </c>
      <c r="AF151" s="37">
        <f>IF($P151&gt;0,ROUND(INDEX(装备!BA$11:BA$16,新属性汇总!$P151)*$AC151/3,0)*8*AB151,0)</f>
        <v>8959.6</v>
      </c>
      <c r="AG151" s="37">
        <f>IF(新属性汇总!P151&gt;0,INDEX(装备!$AP$11:$AP$16,新属性汇总!$P151)*2,0)</f>
        <v>7284</v>
      </c>
      <c r="AH151" s="37">
        <v>0</v>
      </c>
      <c r="AI151" s="37">
        <f>IF(新属性汇总!P151&gt;0,INDEX(装备!$AP$11:$AP$16,新属性汇总!$P151)*2,0)</f>
        <v>7284</v>
      </c>
      <c r="AJ151" s="37">
        <v>33</v>
      </c>
      <c r="AK151" s="37">
        <f>IF($AJ151&gt;0,INDEX(专属武器!H$4:H$53,新属性汇总!$AJ151),0)</f>
        <v>8601</v>
      </c>
      <c r="AL151" s="37">
        <f>IF($AJ151&gt;0,INDEX(专属武器!I$4:I$53,新属性汇总!$AJ151),0)</f>
        <v>4294</v>
      </c>
      <c r="AM151" s="37">
        <f>IF($AJ151&gt;0,INDEX(专属武器!J$4:J$53,新属性汇总!$AJ151),0)</f>
        <v>38734</v>
      </c>
      <c r="AQ151" s="13">
        <v>147</v>
      </c>
      <c r="AR151" s="13">
        <f t="shared" si="71"/>
        <v>16763.411999999997</v>
      </c>
      <c r="AS151" s="13">
        <f t="shared" si="72"/>
        <v>8379.9809999999979</v>
      </c>
      <c r="AT151" s="13">
        <f t="shared" si="73"/>
        <v>87548.349999999991</v>
      </c>
      <c r="AU151" s="13">
        <f t="shared" si="74"/>
        <v>6525</v>
      </c>
      <c r="AV151" s="13">
        <f t="shared" si="75"/>
        <v>3336</v>
      </c>
      <c r="AW151" s="13">
        <f t="shared" si="76"/>
        <v>36780</v>
      </c>
      <c r="AX151" s="13">
        <f t="shared" si="77"/>
        <v>1679.6000000000001</v>
      </c>
      <c r="AY151" s="13">
        <f t="shared" si="78"/>
        <v>837.2</v>
      </c>
      <c r="AZ151" s="13">
        <f t="shared" si="79"/>
        <v>8959.6</v>
      </c>
      <c r="BA151" s="13">
        <f t="shared" si="80"/>
        <v>7284</v>
      </c>
      <c r="BB151" s="13">
        <f t="shared" si="81"/>
        <v>0</v>
      </c>
      <c r="BC151" s="13">
        <f t="shared" si="82"/>
        <v>7284</v>
      </c>
      <c r="BD151" s="13">
        <f t="shared" si="83"/>
        <v>8601</v>
      </c>
      <c r="BE151" s="13">
        <f t="shared" si="84"/>
        <v>4294</v>
      </c>
      <c r="BF151" s="13">
        <f t="shared" si="85"/>
        <v>38734</v>
      </c>
      <c r="BG151" s="13">
        <f t="shared" si="86"/>
        <v>255165</v>
      </c>
      <c r="BH151" s="13">
        <f t="shared" si="87"/>
        <v>102765</v>
      </c>
      <c r="BI151" s="13">
        <f t="shared" si="88"/>
        <v>25729</v>
      </c>
      <c r="BJ151" s="13">
        <f t="shared" si="89"/>
        <v>43704</v>
      </c>
      <c r="BK151" s="13">
        <f t="shared" si="90"/>
        <v>124679</v>
      </c>
      <c r="BL151" s="13">
        <f t="shared" si="91"/>
        <v>552042</v>
      </c>
      <c r="BM151" s="31">
        <f t="shared" si="92"/>
        <v>0.4622</v>
      </c>
      <c r="BN151" s="31">
        <f t="shared" si="93"/>
        <v>0.1862</v>
      </c>
      <c r="BO151" s="31">
        <f t="shared" si="94"/>
        <v>4.6600000000000003E-2</v>
      </c>
      <c r="BP151" s="31">
        <f t="shared" si="95"/>
        <v>7.9200000000000007E-2</v>
      </c>
      <c r="BQ151" s="31">
        <f t="shared" si="96"/>
        <v>0.22589999999999999</v>
      </c>
    </row>
    <row r="152" spans="1:69" ht="16.5" x14ac:dyDescent="0.2">
      <c r="A152" s="37">
        <v>149</v>
      </c>
      <c r="B152" s="37">
        <v>15</v>
      </c>
      <c r="C152" s="37">
        <v>1</v>
      </c>
      <c r="D152" s="37">
        <v>3</v>
      </c>
      <c r="E152" s="37">
        <v>149</v>
      </c>
      <c r="F152" s="37">
        <f>INDEX(新属性投放!$L$6:$L$10,新属性汇总!D152)</f>
        <v>1.1499999999999999</v>
      </c>
      <c r="G152" s="37">
        <f>INDEX(新属性投放!J$42:J$62,新属性汇总!$B152)</f>
        <v>12430.399999999998</v>
      </c>
      <c r="H152" s="37">
        <f>INDEX(新属性投放!K$42:K$62,新属性汇总!$B152)</f>
        <v>6213.6999999999989</v>
      </c>
      <c r="I152" s="37">
        <f>INDEX(新属性投放!L$42:L$62,新属性汇总!$B152)</f>
        <v>66476</v>
      </c>
      <c r="J152" s="37">
        <f>($A152-INDEX(新属性投放!$B$42:$B$62,新属性汇总!$B152))*INDEX(新属性投放!D$42:D$62,新属性汇总!$B152)</f>
        <v>2759.7599999999998</v>
      </c>
      <c r="K152" s="37">
        <f>($A152-INDEX(新属性投放!$B$42:$B$62,新属性汇总!$B152))*INDEX(新属性投放!E$42:E$62,新属性汇总!$B152)</f>
        <v>1379.8799999999999</v>
      </c>
      <c r="L152" s="37">
        <f>($A152-INDEX(新属性投放!$B$42:$B$62,新属性汇总!$B152))*INDEX(新属性投放!F$42:F$62,新属性汇总!$B152)</f>
        <v>12411</v>
      </c>
      <c r="M152" s="37">
        <f t="shared" si="65"/>
        <v>17468.683999999997</v>
      </c>
      <c r="N152" s="37">
        <f t="shared" si="66"/>
        <v>8732.6169999999984</v>
      </c>
      <c r="O152" s="37">
        <f t="shared" si="67"/>
        <v>90720.049999999988</v>
      </c>
      <c r="P152" s="37">
        <v>4</v>
      </c>
      <c r="Q152" s="37">
        <v>4</v>
      </c>
      <c r="R152">
        <v>149</v>
      </c>
      <c r="S152" s="37">
        <f>IF($P152&gt;0,INDEX(装备!L$11:L$16,新属性汇总!$P152),0)</f>
        <v>1380</v>
      </c>
      <c r="T152" s="37">
        <f>IF($P152&gt;0,INDEX(装备!M$11:M$16,新属性汇总!$P152),0)</f>
        <v>690</v>
      </c>
      <c r="U152" s="37">
        <f>IF($P152&gt;0,INDEX(装备!N$11:N$16,新属性汇总!$P152),0)</f>
        <v>7380</v>
      </c>
      <c r="V152" s="37">
        <f>IF($P152&gt;0,INDEX(装备!H$11:H$16,新属性汇总!$P152),0)</f>
        <v>35</v>
      </c>
      <c r="W152" s="37">
        <f>IF($P152&gt;0,INDEX(装备!I$11:I$16,新属性汇总!$P152),0)</f>
        <v>18</v>
      </c>
      <c r="X152" s="37">
        <f>IF($P152&gt;0,INDEX(装备!J$11:J$16,新属性汇总!$P152),0)</f>
        <v>200</v>
      </c>
      <c r="Y152" s="37">
        <f t="shared" si="68"/>
        <v>6595</v>
      </c>
      <c r="Z152" s="37">
        <f t="shared" si="69"/>
        <v>3372</v>
      </c>
      <c r="AA152" s="37">
        <f t="shared" si="70"/>
        <v>37180</v>
      </c>
      <c r="AB152" s="37">
        <v>0.65</v>
      </c>
      <c r="AC152" s="37">
        <f>IF(P152&gt;0,INDEX(装备!$BP$5:$BP$16,新属性汇总!P152),0)</f>
        <v>4</v>
      </c>
      <c r="AD152" s="37">
        <f>IF($P152&gt;0,ROUND(INDEX(装备!AY$11:AY$16,新属性汇总!$P152)*$AC152/3,0)*8*AB152,0)</f>
        <v>1679.6000000000001</v>
      </c>
      <c r="AE152" s="37">
        <f>IF($P152&gt;0,ROUND(INDEX(装备!AZ$11:AZ$16,新属性汇总!$P152)*$AC152/3,0)*8*AB152,0)</f>
        <v>837.2</v>
      </c>
      <c r="AF152" s="37">
        <f>IF($P152&gt;0,ROUND(INDEX(装备!BA$11:BA$16,新属性汇总!$P152)*$AC152/3,0)*8*AB152,0)</f>
        <v>8959.6</v>
      </c>
      <c r="AG152" s="37">
        <f>IF(新属性汇总!P152&gt;0,INDEX(装备!$AP$11:$AP$16,新属性汇总!$P152)*2,0)</f>
        <v>7284</v>
      </c>
      <c r="AH152" s="37">
        <v>0</v>
      </c>
      <c r="AI152" s="37">
        <f>IF(新属性汇总!P152&gt;0,INDEX(装备!$AP$11:$AP$16,新属性汇总!$P152)*2,0)</f>
        <v>7284</v>
      </c>
      <c r="AJ152" s="37">
        <v>33</v>
      </c>
      <c r="AK152" s="37">
        <f>IF($AJ152&gt;0,INDEX(专属武器!H$4:H$53,新属性汇总!$AJ152),0)</f>
        <v>8601</v>
      </c>
      <c r="AL152" s="37">
        <f>IF($AJ152&gt;0,INDEX(专属武器!I$4:I$53,新属性汇总!$AJ152),0)</f>
        <v>4294</v>
      </c>
      <c r="AM152" s="37">
        <f>IF($AJ152&gt;0,INDEX(专属武器!J$4:J$53,新属性汇总!$AJ152),0)</f>
        <v>38734</v>
      </c>
      <c r="AQ152" s="13">
        <v>148</v>
      </c>
      <c r="AR152" s="13">
        <f t="shared" si="71"/>
        <v>17116.047999999995</v>
      </c>
      <c r="AS152" s="13">
        <f t="shared" si="72"/>
        <v>8556.2989999999972</v>
      </c>
      <c r="AT152" s="13">
        <f t="shared" si="73"/>
        <v>89134.2</v>
      </c>
      <c r="AU152" s="13">
        <f t="shared" si="74"/>
        <v>6560</v>
      </c>
      <c r="AV152" s="13">
        <f t="shared" si="75"/>
        <v>3354</v>
      </c>
      <c r="AW152" s="13">
        <f t="shared" si="76"/>
        <v>36980</v>
      </c>
      <c r="AX152" s="13">
        <f t="shared" si="77"/>
        <v>1679.6000000000001</v>
      </c>
      <c r="AY152" s="13">
        <f t="shared" si="78"/>
        <v>837.2</v>
      </c>
      <c r="AZ152" s="13">
        <f t="shared" si="79"/>
        <v>8959.6</v>
      </c>
      <c r="BA152" s="13">
        <f t="shared" si="80"/>
        <v>7284</v>
      </c>
      <c r="BB152" s="13">
        <f t="shared" si="81"/>
        <v>0</v>
      </c>
      <c r="BC152" s="13">
        <f t="shared" si="82"/>
        <v>7284</v>
      </c>
      <c r="BD152" s="13">
        <f t="shared" si="83"/>
        <v>8601</v>
      </c>
      <c r="BE152" s="13">
        <f t="shared" si="84"/>
        <v>4294</v>
      </c>
      <c r="BF152" s="13">
        <f t="shared" si="85"/>
        <v>38734</v>
      </c>
      <c r="BG152" s="13">
        <f t="shared" si="86"/>
        <v>260277</v>
      </c>
      <c r="BH152" s="13">
        <f t="shared" si="87"/>
        <v>103320</v>
      </c>
      <c r="BI152" s="13">
        <f t="shared" si="88"/>
        <v>25729</v>
      </c>
      <c r="BJ152" s="13">
        <f t="shared" si="89"/>
        <v>43704</v>
      </c>
      <c r="BK152" s="13">
        <f t="shared" si="90"/>
        <v>124679</v>
      </c>
      <c r="BL152" s="13">
        <f t="shared" si="91"/>
        <v>557709</v>
      </c>
      <c r="BM152" s="31">
        <f t="shared" si="92"/>
        <v>0.4667</v>
      </c>
      <c r="BN152" s="31">
        <f t="shared" si="93"/>
        <v>0.18529999999999999</v>
      </c>
      <c r="BO152" s="31">
        <f t="shared" si="94"/>
        <v>4.6100000000000002E-2</v>
      </c>
      <c r="BP152" s="31">
        <f t="shared" si="95"/>
        <v>7.8399999999999997E-2</v>
      </c>
      <c r="BQ152" s="31">
        <f t="shared" si="96"/>
        <v>0.22359999999999999</v>
      </c>
    </row>
    <row r="153" spans="1:69" ht="16.5" x14ac:dyDescent="0.2">
      <c r="A153" s="37">
        <v>150</v>
      </c>
      <c r="B153" s="37">
        <v>16</v>
      </c>
      <c r="C153" s="37">
        <v>1</v>
      </c>
      <c r="D153" s="37">
        <v>3</v>
      </c>
      <c r="E153" s="37">
        <v>150</v>
      </c>
      <c r="F153" s="37">
        <f>INDEX(新属性投放!$L$6:$L$10,新属性汇总!D153)</f>
        <v>1.1499999999999999</v>
      </c>
      <c r="G153" s="37">
        <f>INDEX(新属性投放!J$42:J$62,新属性汇总!$B153)</f>
        <v>16263.799999999997</v>
      </c>
      <c r="H153" s="37">
        <f>INDEX(新属性投放!K$42:K$62,新属性汇总!$B153)</f>
        <v>8129.8999999999987</v>
      </c>
      <c r="I153" s="37">
        <f>INDEX(新属性投放!L$42:L$62,新属性汇总!$B153)</f>
        <v>87169</v>
      </c>
      <c r="J153" s="37">
        <f>($A153-INDEX(新属性投放!$B$42:$B$62,新属性汇总!$B153))*INDEX(新属性投放!D$42:D$62,新属性汇总!$B153)</f>
        <v>0</v>
      </c>
      <c r="K153" s="37">
        <f>($A153-INDEX(新属性投放!$B$42:$B$62,新属性汇总!$B153))*INDEX(新属性投放!E$42:E$62,新属性汇总!$B153)</f>
        <v>0</v>
      </c>
      <c r="L153" s="37">
        <f>($A153-INDEX(新属性投放!$B$42:$B$62,新属性汇总!$B153))*INDEX(新属性投放!F$42:F$62,新属性汇总!$B153)</f>
        <v>0</v>
      </c>
      <c r="M153" s="37">
        <f t="shared" si="65"/>
        <v>18703.369999999995</v>
      </c>
      <c r="N153" s="37">
        <f t="shared" si="66"/>
        <v>9349.3849999999984</v>
      </c>
      <c r="O153" s="37">
        <f t="shared" si="67"/>
        <v>100244.34999999999</v>
      </c>
      <c r="P153" s="37">
        <v>5</v>
      </c>
      <c r="Q153" s="37">
        <v>4</v>
      </c>
      <c r="R153">
        <v>150</v>
      </c>
      <c r="S153" s="37">
        <f>IF($P153&gt;0,INDEX(装备!L$11:L$16,新属性汇总!$P153),0)</f>
        <v>3112.5</v>
      </c>
      <c r="T153" s="37">
        <f>IF($P153&gt;0,INDEX(装备!M$11:M$16,新属性汇总!$P153),0)</f>
        <v>1556.25</v>
      </c>
      <c r="U153" s="37">
        <f>IF($P153&gt;0,INDEX(装备!N$11:N$16,新属性汇总!$P153),0)</f>
        <v>16612.5</v>
      </c>
      <c r="V153" s="37">
        <f>IF($P153&gt;0,INDEX(装备!H$11:H$16,新属性汇总!$P153),0)</f>
        <v>65</v>
      </c>
      <c r="W153" s="37">
        <f>IF($P153&gt;0,INDEX(装备!I$11:I$16,新属性汇总!$P153),0)</f>
        <v>32</v>
      </c>
      <c r="X153" s="37">
        <f>IF($P153&gt;0,INDEX(装备!J$11:J$16,新属性汇总!$P153),0)</f>
        <v>350</v>
      </c>
      <c r="Y153" s="37">
        <f t="shared" si="68"/>
        <v>12862.5</v>
      </c>
      <c r="Z153" s="37">
        <f t="shared" si="69"/>
        <v>6356.25</v>
      </c>
      <c r="AA153" s="37">
        <f t="shared" si="70"/>
        <v>69112.5</v>
      </c>
      <c r="AB153" s="37">
        <v>0.65</v>
      </c>
      <c r="AC153" s="37">
        <f>IF(P153&gt;0,INDEX(装备!$BP$5:$BP$16,新属性汇总!P153),0)</f>
        <v>5</v>
      </c>
      <c r="AD153" s="37">
        <f>IF($P153&gt;0,ROUND(INDEX(装备!AY$11:AY$16,新属性汇总!$P153)*$AC153/3,0)*8*AB153,0)</f>
        <v>5668</v>
      </c>
      <c r="AE153" s="37">
        <f>IF($P153&gt;0,ROUND(INDEX(装备!AZ$11:AZ$16,新属性汇总!$P153)*$AC153/3,0)*8*AB153,0)</f>
        <v>2355.6</v>
      </c>
      <c r="AF153" s="37">
        <f>IF($P153&gt;0,ROUND(INDEX(装备!BA$11:BA$16,新属性汇总!$P153)*$AC153/3,0)*8*AB153,0)</f>
        <v>25194</v>
      </c>
      <c r="AG153" s="37">
        <f>IF(新属性汇总!P153&gt;0,INDEX(装备!$AP$11:$AP$16,新属性汇总!$P153)*2,0)</f>
        <v>16262</v>
      </c>
      <c r="AH153" s="37">
        <v>0</v>
      </c>
      <c r="AI153" s="37">
        <f>IF(新属性汇总!P153&gt;0,INDEX(装备!$AP$11:$AP$16,新属性汇总!$P153)*2,0)</f>
        <v>16262</v>
      </c>
      <c r="AJ153" s="37">
        <v>35</v>
      </c>
      <c r="AK153" s="37">
        <f>IF($AJ153&gt;0,INDEX(专属武器!H$4:H$53,新属性汇总!$AJ153),0)</f>
        <v>10291</v>
      </c>
      <c r="AL153" s="37">
        <f>IF($AJ153&gt;0,INDEX(专属武器!I$4:I$53,新属性汇总!$AJ153),0)</f>
        <v>5138</v>
      </c>
      <c r="AM153" s="37">
        <f>IF($AJ153&gt;0,INDEX(专属武器!J$4:J$53,新属性汇总!$AJ153),0)</f>
        <v>46340</v>
      </c>
      <c r="AQ153" s="13">
        <v>149</v>
      </c>
      <c r="AR153" s="13">
        <f t="shared" si="71"/>
        <v>17468.683999999997</v>
      </c>
      <c r="AS153" s="13">
        <f t="shared" si="72"/>
        <v>8732.6169999999984</v>
      </c>
      <c r="AT153" s="13">
        <f t="shared" si="73"/>
        <v>90720.049999999988</v>
      </c>
      <c r="AU153" s="13">
        <f t="shared" si="74"/>
        <v>6595</v>
      </c>
      <c r="AV153" s="13">
        <f t="shared" si="75"/>
        <v>3372</v>
      </c>
      <c r="AW153" s="13">
        <f t="shared" si="76"/>
        <v>37180</v>
      </c>
      <c r="AX153" s="13">
        <f t="shared" si="77"/>
        <v>1679.6000000000001</v>
      </c>
      <c r="AY153" s="13">
        <f t="shared" si="78"/>
        <v>837.2</v>
      </c>
      <c r="AZ153" s="13">
        <f t="shared" si="79"/>
        <v>8959.6</v>
      </c>
      <c r="BA153" s="13">
        <f t="shared" si="80"/>
        <v>7284</v>
      </c>
      <c r="BB153" s="13">
        <f t="shared" si="81"/>
        <v>0</v>
      </c>
      <c r="BC153" s="13">
        <f t="shared" si="82"/>
        <v>7284</v>
      </c>
      <c r="BD153" s="13">
        <f t="shared" si="83"/>
        <v>8601</v>
      </c>
      <c r="BE153" s="13">
        <f t="shared" si="84"/>
        <v>4294</v>
      </c>
      <c r="BF153" s="13">
        <f t="shared" si="85"/>
        <v>38734</v>
      </c>
      <c r="BG153" s="13">
        <f t="shared" si="86"/>
        <v>265389</v>
      </c>
      <c r="BH153" s="13">
        <f t="shared" si="87"/>
        <v>103875</v>
      </c>
      <c r="BI153" s="13">
        <f t="shared" si="88"/>
        <v>25729</v>
      </c>
      <c r="BJ153" s="13">
        <f t="shared" si="89"/>
        <v>43704</v>
      </c>
      <c r="BK153" s="13">
        <f t="shared" si="90"/>
        <v>124679</v>
      </c>
      <c r="BL153" s="13">
        <f t="shared" si="91"/>
        <v>563376</v>
      </c>
      <c r="BM153" s="31">
        <f t="shared" si="92"/>
        <v>0.47110000000000002</v>
      </c>
      <c r="BN153" s="31">
        <f t="shared" si="93"/>
        <v>0.18440000000000001</v>
      </c>
      <c r="BO153" s="31">
        <f t="shared" si="94"/>
        <v>4.5699999999999998E-2</v>
      </c>
      <c r="BP153" s="31">
        <f t="shared" si="95"/>
        <v>7.7600000000000002E-2</v>
      </c>
      <c r="BQ153" s="31">
        <f t="shared" si="96"/>
        <v>0.2213</v>
      </c>
    </row>
    <row r="154" spans="1:69" ht="16.5" x14ac:dyDescent="0.2">
      <c r="A154" s="37">
        <v>151</v>
      </c>
      <c r="B154" s="37">
        <v>16</v>
      </c>
      <c r="C154" s="37">
        <v>1</v>
      </c>
      <c r="D154" s="37">
        <v>3</v>
      </c>
      <c r="E154" s="37">
        <v>151</v>
      </c>
      <c r="F154" s="37">
        <f>INDEX(新属性投放!$L$6:$L$10,新属性汇总!D154)</f>
        <v>1.1499999999999999</v>
      </c>
      <c r="G154" s="37">
        <f>INDEX(新属性投放!J$42:J$62,新属性汇总!$B154)</f>
        <v>16263.799999999997</v>
      </c>
      <c r="H154" s="37">
        <f>INDEX(新属性投放!K$42:K$62,新属性汇总!$B154)</f>
        <v>8129.8999999999987</v>
      </c>
      <c r="I154" s="37">
        <f>INDEX(新属性投放!L$42:L$62,新属性汇总!$B154)</f>
        <v>87169</v>
      </c>
      <c r="J154" s="37">
        <f>($A154-INDEX(新属性投放!$B$42:$B$62,新属性汇总!$B154))*INDEX(新属性投放!D$42:D$62,新属性汇总!$B154)</f>
        <v>402.47</v>
      </c>
      <c r="K154" s="37">
        <f>($A154-INDEX(新属性投放!$B$42:$B$62,新属性汇总!$B154))*INDEX(新属性投放!E$42:E$62,新属性汇总!$B154)</f>
        <v>201.23500000000001</v>
      </c>
      <c r="L154" s="37">
        <f>($A154-INDEX(新属性投放!$B$42:$B$62,新属性汇总!$B154))*INDEX(新属性投放!F$42:F$62,新属性汇总!$B154)</f>
        <v>1811</v>
      </c>
      <c r="M154" s="37">
        <f t="shared" si="65"/>
        <v>19166.210499999994</v>
      </c>
      <c r="N154" s="37">
        <f t="shared" si="66"/>
        <v>9580.8052499999976</v>
      </c>
      <c r="O154" s="37">
        <f t="shared" si="67"/>
        <v>102326.99999999999</v>
      </c>
      <c r="P154" s="37">
        <v>5</v>
      </c>
      <c r="Q154" s="37">
        <v>4</v>
      </c>
      <c r="R154">
        <v>151</v>
      </c>
      <c r="S154" s="37">
        <f>IF($P154&gt;0,INDEX(装备!L$11:L$16,新属性汇总!$P154),0)</f>
        <v>3112.5</v>
      </c>
      <c r="T154" s="37">
        <f>IF($P154&gt;0,INDEX(装备!M$11:M$16,新属性汇总!$P154),0)</f>
        <v>1556.25</v>
      </c>
      <c r="U154" s="37">
        <f>IF($P154&gt;0,INDEX(装备!N$11:N$16,新属性汇总!$P154),0)</f>
        <v>16612.5</v>
      </c>
      <c r="V154" s="37">
        <f>IF($P154&gt;0,INDEX(装备!H$11:H$16,新属性汇总!$P154),0)</f>
        <v>65</v>
      </c>
      <c r="W154" s="37">
        <f>IF($P154&gt;0,INDEX(装备!I$11:I$16,新属性汇总!$P154),0)</f>
        <v>32</v>
      </c>
      <c r="X154" s="37">
        <f>IF($P154&gt;0,INDEX(装备!J$11:J$16,新属性汇总!$P154),0)</f>
        <v>350</v>
      </c>
      <c r="Y154" s="37">
        <f t="shared" si="68"/>
        <v>12927.5</v>
      </c>
      <c r="Z154" s="37">
        <f t="shared" si="69"/>
        <v>6388.25</v>
      </c>
      <c r="AA154" s="37">
        <f t="shared" si="70"/>
        <v>69462.5</v>
      </c>
      <c r="AB154" s="37">
        <v>0.65</v>
      </c>
      <c r="AC154" s="37">
        <f>IF(P154&gt;0,INDEX(装备!$BP$5:$BP$16,新属性汇总!P154),0)</f>
        <v>5</v>
      </c>
      <c r="AD154" s="37">
        <f>IF($P154&gt;0,ROUND(INDEX(装备!AY$11:AY$16,新属性汇总!$P154)*$AC154/3,0)*8*AB154,0)</f>
        <v>5668</v>
      </c>
      <c r="AE154" s="37">
        <f>IF($P154&gt;0,ROUND(INDEX(装备!AZ$11:AZ$16,新属性汇总!$P154)*$AC154/3,0)*8*AB154,0)</f>
        <v>2355.6</v>
      </c>
      <c r="AF154" s="37">
        <f>IF($P154&gt;0,ROUND(INDEX(装备!BA$11:BA$16,新属性汇总!$P154)*$AC154/3,0)*8*AB154,0)</f>
        <v>25194</v>
      </c>
      <c r="AG154" s="37">
        <f>IF(新属性汇总!P154&gt;0,INDEX(装备!$AP$11:$AP$16,新属性汇总!$P154)*2,0)</f>
        <v>16262</v>
      </c>
      <c r="AH154" s="37">
        <v>0</v>
      </c>
      <c r="AI154" s="37">
        <f>IF(新属性汇总!P154&gt;0,INDEX(装备!$AP$11:$AP$16,新属性汇总!$P154)*2,0)</f>
        <v>16262</v>
      </c>
      <c r="AJ154" s="37">
        <v>35</v>
      </c>
      <c r="AK154" s="37">
        <f>IF($AJ154&gt;0,INDEX(专属武器!H$4:H$53,新属性汇总!$AJ154),0)</f>
        <v>10291</v>
      </c>
      <c r="AL154" s="37">
        <f>IF($AJ154&gt;0,INDEX(专属武器!I$4:I$53,新属性汇总!$AJ154),0)</f>
        <v>5138</v>
      </c>
      <c r="AM154" s="37">
        <f>IF($AJ154&gt;0,INDEX(专属武器!J$4:J$53,新属性汇总!$AJ154),0)</f>
        <v>46340</v>
      </c>
      <c r="AQ154" s="13">
        <v>150</v>
      </c>
      <c r="AR154" s="13">
        <f t="shared" si="71"/>
        <v>18703.369999999995</v>
      </c>
      <c r="AS154" s="13">
        <f t="shared" si="72"/>
        <v>9349.3849999999984</v>
      </c>
      <c r="AT154" s="13">
        <f t="shared" si="73"/>
        <v>100244.34999999999</v>
      </c>
      <c r="AU154" s="13">
        <f t="shared" si="74"/>
        <v>12862.5</v>
      </c>
      <c r="AV154" s="13">
        <f t="shared" si="75"/>
        <v>6356.25</v>
      </c>
      <c r="AW154" s="13">
        <f t="shared" si="76"/>
        <v>69112.5</v>
      </c>
      <c r="AX154" s="13">
        <f t="shared" si="77"/>
        <v>5668</v>
      </c>
      <c r="AY154" s="13">
        <f t="shared" si="78"/>
        <v>2355.6</v>
      </c>
      <c r="AZ154" s="13">
        <f t="shared" si="79"/>
        <v>25194</v>
      </c>
      <c r="BA154" s="13">
        <f t="shared" si="80"/>
        <v>16262</v>
      </c>
      <c r="BB154" s="13">
        <f t="shared" si="81"/>
        <v>0</v>
      </c>
      <c r="BC154" s="13">
        <f t="shared" si="82"/>
        <v>16262</v>
      </c>
      <c r="BD154" s="13">
        <f t="shared" si="83"/>
        <v>10291</v>
      </c>
      <c r="BE154" s="13">
        <f t="shared" si="84"/>
        <v>5138</v>
      </c>
      <c r="BF154" s="13">
        <f t="shared" si="85"/>
        <v>46340</v>
      </c>
      <c r="BG154" s="13">
        <f t="shared" si="86"/>
        <v>287255</v>
      </c>
      <c r="BH154" s="13">
        <f t="shared" si="87"/>
        <v>196987</v>
      </c>
      <c r="BI154" s="13">
        <f t="shared" si="88"/>
        <v>77090</v>
      </c>
      <c r="BJ154" s="13">
        <f t="shared" si="89"/>
        <v>97572</v>
      </c>
      <c r="BK154" s="13">
        <f t="shared" si="90"/>
        <v>149175</v>
      </c>
      <c r="BL154" s="13">
        <f t="shared" si="91"/>
        <v>808079</v>
      </c>
      <c r="BM154" s="31">
        <f t="shared" si="92"/>
        <v>0.35549999999999998</v>
      </c>
      <c r="BN154" s="31">
        <f t="shared" si="93"/>
        <v>0.24379999999999999</v>
      </c>
      <c r="BO154" s="31">
        <f t="shared" si="94"/>
        <v>9.5399999999999999E-2</v>
      </c>
      <c r="BP154" s="31">
        <f t="shared" si="95"/>
        <v>0.1207</v>
      </c>
      <c r="BQ154" s="31">
        <f t="shared" si="96"/>
        <v>0.18459999999999999</v>
      </c>
    </row>
    <row r="155" spans="1:69" ht="16.5" x14ac:dyDescent="0.2">
      <c r="A155" s="37">
        <v>152</v>
      </c>
      <c r="B155" s="37">
        <v>16</v>
      </c>
      <c r="C155" s="37">
        <v>1</v>
      </c>
      <c r="D155" s="37">
        <v>3</v>
      </c>
      <c r="E155" s="37">
        <v>152</v>
      </c>
      <c r="F155" s="37">
        <f>INDEX(新属性投放!$L$6:$L$10,新属性汇总!D155)</f>
        <v>1.1499999999999999</v>
      </c>
      <c r="G155" s="37">
        <f>INDEX(新属性投放!J$42:J$62,新属性汇总!$B155)</f>
        <v>16263.799999999997</v>
      </c>
      <c r="H155" s="37">
        <f>INDEX(新属性投放!K$42:K$62,新属性汇总!$B155)</f>
        <v>8129.8999999999987</v>
      </c>
      <c r="I155" s="37">
        <f>INDEX(新属性投放!L$42:L$62,新属性汇总!$B155)</f>
        <v>87169</v>
      </c>
      <c r="J155" s="37">
        <f>($A155-INDEX(新属性投放!$B$42:$B$62,新属性汇总!$B155))*INDEX(新属性投放!D$42:D$62,新属性汇总!$B155)</f>
        <v>804.94</v>
      </c>
      <c r="K155" s="37">
        <f>($A155-INDEX(新属性投放!$B$42:$B$62,新属性汇总!$B155))*INDEX(新属性投放!E$42:E$62,新属性汇总!$B155)</f>
        <v>402.47</v>
      </c>
      <c r="L155" s="37">
        <f>($A155-INDEX(新属性投放!$B$42:$B$62,新属性汇总!$B155))*INDEX(新属性投放!F$42:F$62,新属性汇总!$B155)</f>
        <v>3622</v>
      </c>
      <c r="M155" s="37">
        <f t="shared" si="65"/>
        <v>19629.050999999996</v>
      </c>
      <c r="N155" s="37">
        <f t="shared" si="66"/>
        <v>9812.2254999999986</v>
      </c>
      <c r="O155" s="37">
        <f t="shared" si="67"/>
        <v>104409.65</v>
      </c>
      <c r="P155" s="37">
        <v>5</v>
      </c>
      <c r="Q155" s="37">
        <v>4</v>
      </c>
      <c r="R155">
        <v>152</v>
      </c>
      <c r="S155" s="37">
        <f>IF($P155&gt;0,INDEX(装备!L$11:L$16,新属性汇总!$P155),0)</f>
        <v>3112.5</v>
      </c>
      <c r="T155" s="37">
        <f>IF($P155&gt;0,INDEX(装备!M$11:M$16,新属性汇总!$P155),0)</f>
        <v>1556.25</v>
      </c>
      <c r="U155" s="37">
        <f>IF($P155&gt;0,INDEX(装备!N$11:N$16,新属性汇总!$P155),0)</f>
        <v>16612.5</v>
      </c>
      <c r="V155" s="37">
        <f>IF($P155&gt;0,INDEX(装备!H$11:H$16,新属性汇总!$P155),0)</f>
        <v>65</v>
      </c>
      <c r="W155" s="37">
        <f>IF($P155&gt;0,INDEX(装备!I$11:I$16,新属性汇总!$P155),0)</f>
        <v>32</v>
      </c>
      <c r="X155" s="37">
        <f>IF($P155&gt;0,INDEX(装备!J$11:J$16,新属性汇总!$P155),0)</f>
        <v>350</v>
      </c>
      <c r="Y155" s="37">
        <f t="shared" si="68"/>
        <v>12992.5</v>
      </c>
      <c r="Z155" s="37">
        <f t="shared" si="69"/>
        <v>6420.25</v>
      </c>
      <c r="AA155" s="37">
        <f t="shared" si="70"/>
        <v>69812.5</v>
      </c>
      <c r="AB155" s="37">
        <v>0.65</v>
      </c>
      <c r="AC155" s="37">
        <f>IF(P155&gt;0,INDEX(装备!$BP$5:$BP$16,新属性汇总!P155),0)</f>
        <v>5</v>
      </c>
      <c r="AD155" s="37">
        <f>IF($P155&gt;0,ROUND(INDEX(装备!AY$11:AY$16,新属性汇总!$P155)*$AC155/3,0)*8*AB155,0)</f>
        <v>5668</v>
      </c>
      <c r="AE155" s="37">
        <f>IF($P155&gt;0,ROUND(INDEX(装备!AZ$11:AZ$16,新属性汇总!$P155)*$AC155/3,0)*8*AB155,0)</f>
        <v>2355.6</v>
      </c>
      <c r="AF155" s="37">
        <f>IF($P155&gt;0,ROUND(INDEX(装备!BA$11:BA$16,新属性汇总!$P155)*$AC155/3,0)*8*AB155,0)</f>
        <v>25194</v>
      </c>
      <c r="AG155" s="37">
        <f>IF(新属性汇总!P155&gt;0,INDEX(装备!$AP$11:$AP$16,新属性汇总!$P155)*2,0)</f>
        <v>16262</v>
      </c>
      <c r="AH155" s="37">
        <v>0</v>
      </c>
      <c r="AI155" s="37">
        <f>IF(新属性汇总!P155&gt;0,INDEX(装备!$AP$11:$AP$16,新属性汇总!$P155)*2,0)</f>
        <v>16262</v>
      </c>
      <c r="AJ155" s="37">
        <v>35</v>
      </c>
      <c r="AK155" s="37">
        <f>IF($AJ155&gt;0,INDEX(专属武器!H$4:H$53,新属性汇总!$AJ155),0)</f>
        <v>10291</v>
      </c>
      <c r="AL155" s="37">
        <f>IF($AJ155&gt;0,INDEX(专属武器!I$4:I$53,新属性汇总!$AJ155),0)</f>
        <v>5138</v>
      </c>
      <c r="AM155" s="37">
        <f>IF($AJ155&gt;0,INDEX(专属武器!J$4:J$53,新属性汇总!$AJ155),0)</f>
        <v>46340</v>
      </c>
      <c r="AQ155" s="13">
        <v>151</v>
      </c>
      <c r="AR155" s="13">
        <f t="shared" si="71"/>
        <v>19166.210499999994</v>
      </c>
      <c r="AS155" s="13">
        <f t="shared" si="72"/>
        <v>9580.8052499999976</v>
      </c>
      <c r="AT155" s="13">
        <f t="shared" si="73"/>
        <v>102326.99999999999</v>
      </c>
      <c r="AU155" s="13">
        <f t="shared" si="74"/>
        <v>12927.5</v>
      </c>
      <c r="AV155" s="13">
        <f t="shared" si="75"/>
        <v>6388.25</v>
      </c>
      <c r="AW155" s="13">
        <f t="shared" si="76"/>
        <v>69462.5</v>
      </c>
      <c r="AX155" s="13">
        <f t="shared" si="77"/>
        <v>5668</v>
      </c>
      <c r="AY155" s="13">
        <f t="shared" si="78"/>
        <v>2355.6</v>
      </c>
      <c r="AZ155" s="13">
        <f t="shared" si="79"/>
        <v>25194</v>
      </c>
      <c r="BA155" s="13">
        <f t="shared" si="80"/>
        <v>16262</v>
      </c>
      <c r="BB155" s="13">
        <f t="shared" si="81"/>
        <v>0</v>
      </c>
      <c r="BC155" s="13">
        <f t="shared" si="82"/>
        <v>16262</v>
      </c>
      <c r="BD155" s="13">
        <f t="shared" si="83"/>
        <v>10291</v>
      </c>
      <c r="BE155" s="13">
        <f t="shared" si="84"/>
        <v>5138</v>
      </c>
      <c r="BF155" s="13">
        <f t="shared" si="85"/>
        <v>46340</v>
      </c>
      <c r="BG155" s="13">
        <f t="shared" si="86"/>
        <v>293966</v>
      </c>
      <c r="BH155" s="13">
        <f t="shared" si="87"/>
        <v>197982</v>
      </c>
      <c r="BI155" s="13">
        <f t="shared" si="88"/>
        <v>77090</v>
      </c>
      <c r="BJ155" s="13">
        <f t="shared" si="89"/>
        <v>97572</v>
      </c>
      <c r="BK155" s="13">
        <f t="shared" si="90"/>
        <v>149175</v>
      </c>
      <c r="BL155" s="13">
        <f t="shared" si="91"/>
        <v>815785</v>
      </c>
      <c r="BM155" s="31">
        <f t="shared" si="92"/>
        <v>0.36030000000000001</v>
      </c>
      <c r="BN155" s="31">
        <f t="shared" si="93"/>
        <v>0.2427</v>
      </c>
      <c r="BO155" s="31">
        <f t="shared" si="94"/>
        <v>9.4500000000000001E-2</v>
      </c>
      <c r="BP155" s="31">
        <f t="shared" si="95"/>
        <v>0.1196</v>
      </c>
      <c r="BQ155" s="31">
        <f t="shared" si="96"/>
        <v>0.18290000000000001</v>
      </c>
    </row>
    <row r="156" spans="1:69" ht="16.5" x14ac:dyDescent="0.2">
      <c r="A156" s="37">
        <v>153</v>
      </c>
      <c r="B156" s="37">
        <v>16</v>
      </c>
      <c r="C156" s="37">
        <v>1</v>
      </c>
      <c r="D156" s="37">
        <v>3</v>
      </c>
      <c r="E156" s="37">
        <v>153</v>
      </c>
      <c r="F156" s="37">
        <f>INDEX(新属性投放!$L$6:$L$10,新属性汇总!D156)</f>
        <v>1.1499999999999999</v>
      </c>
      <c r="G156" s="37">
        <f>INDEX(新属性投放!J$42:J$62,新属性汇总!$B156)</f>
        <v>16263.799999999997</v>
      </c>
      <c r="H156" s="37">
        <f>INDEX(新属性投放!K$42:K$62,新属性汇总!$B156)</f>
        <v>8129.8999999999987</v>
      </c>
      <c r="I156" s="37">
        <f>INDEX(新属性投放!L$42:L$62,新属性汇总!$B156)</f>
        <v>87169</v>
      </c>
      <c r="J156" s="37">
        <f>($A156-INDEX(新属性投放!$B$42:$B$62,新属性汇总!$B156))*INDEX(新属性投放!D$42:D$62,新属性汇总!$B156)</f>
        <v>1207.4100000000001</v>
      </c>
      <c r="K156" s="37">
        <f>($A156-INDEX(新属性投放!$B$42:$B$62,新属性汇总!$B156))*INDEX(新属性投放!E$42:E$62,新属性汇总!$B156)</f>
        <v>603.70500000000004</v>
      </c>
      <c r="L156" s="37">
        <f>($A156-INDEX(新属性投放!$B$42:$B$62,新属性汇总!$B156))*INDEX(新属性投放!F$42:F$62,新属性汇总!$B156)</f>
        <v>5433</v>
      </c>
      <c r="M156" s="37">
        <f t="shared" si="65"/>
        <v>20091.891499999998</v>
      </c>
      <c r="N156" s="37">
        <f t="shared" si="66"/>
        <v>10043.645749999998</v>
      </c>
      <c r="O156" s="37">
        <f t="shared" si="67"/>
        <v>106492.29999999999</v>
      </c>
      <c r="P156" s="37">
        <v>5</v>
      </c>
      <c r="Q156" s="37">
        <v>4</v>
      </c>
      <c r="R156">
        <v>153</v>
      </c>
      <c r="S156" s="37">
        <f>IF($P156&gt;0,INDEX(装备!L$11:L$16,新属性汇总!$P156),0)</f>
        <v>3112.5</v>
      </c>
      <c r="T156" s="37">
        <f>IF($P156&gt;0,INDEX(装备!M$11:M$16,新属性汇总!$P156),0)</f>
        <v>1556.25</v>
      </c>
      <c r="U156" s="37">
        <f>IF($P156&gt;0,INDEX(装备!N$11:N$16,新属性汇总!$P156),0)</f>
        <v>16612.5</v>
      </c>
      <c r="V156" s="37">
        <f>IF($P156&gt;0,INDEX(装备!H$11:H$16,新属性汇总!$P156),0)</f>
        <v>65</v>
      </c>
      <c r="W156" s="37">
        <f>IF($P156&gt;0,INDEX(装备!I$11:I$16,新属性汇总!$P156),0)</f>
        <v>32</v>
      </c>
      <c r="X156" s="37">
        <f>IF($P156&gt;0,INDEX(装备!J$11:J$16,新属性汇总!$P156),0)</f>
        <v>350</v>
      </c>
      <c r="Y156" s="37">
        <f t="shared" si="68"/>
        <v>13057.5</v>
      </c>
      <c r="Z156" s="37">
        <f t="shared" si="69"/>
        <v>6452.25</v>
      </c>
      <c r="AA156" s="37">
        <f t="shared" si="70"/>
        <v>70162.5</v>
      </c>
      <c r="AB156" s="37">
        <v>0.65</v>
      </c>
      <c r="AC156" s="37">
        <f>IF(P156&gt;0,INDEX(装备!$BP$5:$BP$16,新属性汇总!P156),0)</f>
        <v>5</v>
      </c>
      <c r="AD156" s="37">
        <f>IF($P156&gt;0,ROUND(INDEX(装备!AY$11:AY$16,新属性汇总!$P156)*$AC156/3,0)*8*AB156,0)</f>
        <v>5668</v>
      </c>
      <c r="AE156" s="37">
        <f>IF($P156&gt;0,ROUND(INDEX(装备!AZ$11:AZ$16,新属性汇总!$P156)*$AC156/3,0)*8*AB156,0)</f>
        <v>2355.6</v>
      </c>
      <c r="AF156" s="37">
        <f>IF($P156&gt;0,ROUND(INDEX(装备!BA$11:BA$16,新属性汇总!$P156)*$AC156/3,0)*8*AB156,0)</f>
        <v>25194</v>
      </c>
      <c r="AG156" s="37">
        <f>IF(新属性汇总!P156&gt;0,INDEX(装备!$AP$11:$AP$16,新属性汇总!$P156)*2,0)</f>
        <v>16262</v>
      </c>
      <c r="AH156" s="37">
        <v>0</v>
      </c>
      <c r="AI156" s="37">
        <f>IF(新属性汇总!P156&gt;0,INDEX(装备!$AP$11:$AP$16,新属性汇总!$P156)*2,0)</f>
        <v>16262</v>
      </c>
      <c r="AJ156" s="37">
        <v>35</v>
      </c>
      <c r="AK156" s="37">
        <f>IF($AJ156&gt;0,INDEX(专属武器!H$4:H$53,新属性汇总!$AJ156),0)</f>
        <v>10291</v>
      </c>
      <c r="AL156" s="37">
        <f>IF($AJ156&gt;0,INDEX(专属武器!I$4:I$53,新属性汇总!$AJ156),0)</f>
        <v>5138</v>
      </c>
      <c r="AM156" s="37">
        <f>IF($AJ156&gt;0,INDEX(专属武器!J$4:J$53,新属性汇总!$AJ156),0)</f>
        <v>46340</v>
      </c>
      <c r="AQ156" s="13">
        <v>152</v>
      </c>
      <c r="AR156" s="13">
        <f t="shared" si="71"/>
        <v>19629.050999999996</v>
      </c>
      <c r="AS156" s="13">
        <f t="shared" si="72"/>
        <v>9812.2254999999986</v>
      </c>
      <c r="AT156" s="13">
        <f t="shared" si="73"/>
        <v>104409.65</v>
      </c>
      <c r="AU156" s="13">
        <f t="shared" si="74"/>
        <v>12992.5</v>
      </c>
      <c r="AV156" s="13">
        <f t="shared" si="75"/>
        <v>6420.25</v>
      </c>
      <c r="AW156" s="13">
        <f t="shared" si="76"/>
        <v>69812.5</v>
      </c>
      <c r="AX156" s="13">
        <f t="shared" si="77"/>
        <v>5668</v>
      </c>
      <c r="AY156" s="13">
        <f t="shared" si="78"/>
        <v>2355.6</v>
      </c>
      <c r="AZ156" s="13">
        <f t="shared" si="79"/>
        <v>25194</v>
      </c>
      <c r="BA156" s="13">
        <f t="shared" si="80"/>
        <v>16262</v>
      </c>
      <c r="BB156" s="13">
        <f t="shared" si="81"/>
        <v>0</v>
      </c>
      <c r="BC156" s="13">
        <f t="shared" si="82"/>
        <v>16262</v>
      </c>
      <c r="BD156" s="13">
        <f t="shared" si="83"/>
        <v>10291</v>
      </c>
      <c r="BE156" s="13">
        <f t="shared" si="84"/>
        <v>5138</v>
      </c>
      <c r="BF156" s="13">
        <f t="shared" si="85"/>
        <v>46340</v>
      </c>
      <c r="BG156" s="13">
        <f t="shared" si="86"/>
        <v>300677</v>
      </c>
      <c r="BH156" s="13">
        <f t="shared" si="87"/>
        <v>198977</v>
      </c>
      <c r="BI156" s="13">
        <f t="shared" si="88"/>
        <v>77090</v>
      </c>
      <c r="BJ156" s="13">
        <f t="shared" si="89"/>
        <v>97572</v>
      </c>
      <c r="BK156" s="13">
        <f t="shared" si="90"/>
        <v>149175</v>
      </c>
      <c r="BL156" s="13">
        <f t="shared" si="91"/>
        <v>823491</v>
      </c>
      <c r="BM156" s="31">
        <f t="shared" si="92"/>
        <v>0.36509999999999998</v>
      </c>
      <c r="BN156" s="31">
        <f t="shared" si="93"/>
        <v>0.24160000000000001</v>
      </c>
      <c r="BO156" s="31">
        <f t="shared" si="94"/>
        <v>9.3600000000000003E-2</v>
      </c>
      <c r="BP156" s="31">
        <f t="shared" si="95"/>
        <v>0.11849999999999999</v>
      </c>
      <c r="BQ156" s="31">
        <f t="shared" si="96"/>
        <v>0.18110000000000001</v>
      </c>
    </row>
    <row r="157" spans="1:69" ht="16.5" x14ac:dyDescent="0.2">
      <c r="A157" s="37">
        <v>154</v>
      </c>
      <c r="B157" s="37">
        <v>16</v>
      </c>
      <c r="C157" s="37">
        <v>1</v>
      </c>
      <c r="D157" s="37">
        <v>3</v>
      </c>
      <c r="E157" s="37">
        <v>154</v>
      </c>
      <c r="F157" s="37">
        <f>INDEX(新属性投放!$L$6:$L$10,新属性汇总!D157)</f>
        <v>1.1499999999999999</v>
      </c>
      <c r="G157" s="37">
        <f>INDEX(新属性投放!J$42:J$62,新属性汇总!$B157)</f>
        <v>16263.799999999997</v>
      </c>
      <c r="H157" s="37">
        <f>INDEX(新属性投放!K$42:K$62,新属性汇总!$B157)</f>
        <v>8129.8999999999987</v>
      </c>
      <c r="I157" s="37">
        <f>INDEX(新属性投放!L$42:L$62,新属性汇总!$B157)</f>
        <v>87169</v>
      </c>
      <c r="J157" s="37">
        <f>($A157-INDEX(新属性投放!$B$42:$B$62,新属性汇总!$B157))*INDEX(新属性投放!D$42:D$62,新属性汇总!$B157)</f>
        <v>1609.88</v>
      </c>
      <c r="K157" s="37">
        <f>($A157-INDEX(新属性投放!$B$42:$B$62,新属性汇总!$B157))*INDEX(新属性投放!E$42:E$62,新属性汇总!$B157)</f>
        <v>804.94</v>
      </c>
      <c r="L157" s="37">
        <f>($A157-INDEX(新属性投放!$B$42:$B$62,新属性汇总!$B157))*INDEX(新属性投放!F$42:F$62,新属性汇总!$B157)</f>
        <v>7244</v>
      </c>
      <c r="M157" s="37">
        <f t="shared" si="65"/>
        <v>20554.731999999996</v>
      </c>
      <c r="N157" s="37">
        <f t="shared" si="66"/>
        <v>10275.065999999997</v>
      </c>
      <c r="O157" s="37">
        <f t="shared" si="67"/>
        <v>108574.95</v>
      </c>
      <c r="P157" s="37">
        <v>5</v>
      </c>
      <c r="Q157" s="37">
        <v>4</v>
      </c>
      <c r="R157">
        <v>154</v>
      </c>
      <c r="S157" s="37">
        <f>IF($P157&gt;0,INDEX(装备!L$11:L$16,新属性汇总!$P157),0)</f>
        <v>3112.5</v>
      </c>
      <c r="T157" s="37">
        <f>IF($P157&gt;0,INDEX(装备!M$11:M$16,新属性汇总!$P157),0)</f>
        <v>1556.25</v>
      </c>
      <c r="U157" s="37">
        <f>IF($P157&gt;0,INDEX(装备!N$11:N$16,新属性汇总!$P157),0)</f>
        <v>16612.5</v>
      </c>
      <c r="V157" s="37">
        <f>IF($P157&gt;0,INDEX(装备!H$11:H$16,新属性汇总!$P157),0)</f>
        <v>65</v>
      </c>
      <c r="W157" s="37">
        <f>IF($P157&gt;0,INDEX(装备!I$11:I$16,新属性汇总!$P157),0)</f>
        <v>32</v>
      </c>
      <c r="X157" s="37">
        <f>IF($P157&gt;0,INDEX(装备!J$11:J$16,新属性汇总!$P157),0)</f>
        <v>350</v>
      </c>
      <c r="Y157" s="37">
        <f t="shared" si="68"/>
        <v>13122.5</v>
      </c>
      <c r="Z157" s="37">
        <f t="shared" si="69"/>
        <v>6484.25</v>
      </c>
      <c r="AA157" s="37">
        <f t="shared" si="70"/>
        <v>70512.5</v>
      </c>
      <c r="AB157" s="37">
        <v>0.65</v>
      </c>
      <c r="AC157" s="37">
        <f>IF(P157&gt;0,INDEX(装备!$BP$5:$BP$16,新属性汇总!P157),0)</f>
        <v>5</v>
      </c>
      <c r="AD157" s="37">
        <f>IF($P157&gt;0,ROUND(INDEX(装备!AY$11:AY$16,新属性汇总!$P157)*$AC157/3,0)*8*AB157,0)</f>
        <v>5668</v>
      </c>
      <c r="AE157" s="37">
        <f>IF($P157&gt;0,ROUND(INDEX(装备!AZ$11:AZ$16,新属性汇总!$P157)*$AC157/3,0)*8*AB157,0)</f>
        <v>2355.6</v>
      </c>
      <c r="AF157" s="37">
        <f>IF($P157&gt;0,ROUND(INDEX(装备!BA$11:BA$16,新属性汇总!$P157)*$AC157/3,0)*8*AB157,0)</f>
        <v>25194</v>
      </c>
      <c r="AG157" s="37">
        <f>IF(新属性汇总!P157&gt;0,INDEX(装备!$AP$11:$AP$16,新属性汇总!$P157)*2,0)</f>
        <v>16262</v>
      </c>
      <c r="AH157" s="37">
        <v>0</v>
      </c>
      <c r="AI157" s="37">
        <f>IF(新属性汇总!P157&gt;0,INDEX(装备!$AP$11:$AP$16,新属性汇总!$P157)*2,0)</f>
        <v>16262</v>
      </c>
      <c r="AJ157" s="37">
        <v>36</v>
      </c>
      <c r="AK157" s="37">
        <f>IF($AJ157&gt;0,INDEX(专属武器!H$4:H$53,新属性汇总!$AJ157),0)</f>
        <v>11417</v>
      </c>
      <c r="AL157" s="37">
        <f>IF($AJ157&gt;0,INDEX(专属武器!I$4:I$53,新属性汇总!$AJ157),0)</f>
        <v>5701</v>
      </c>
      <c r="AM157" s="37">
        <f>IF($AJ157&gt;0,INDEX(专属武器!J$4:J$53,新属性汇总!$AJ157),0)</f>
        <v>51410</v>
      </c>
      <c r="AQ157" s="13">
        <v>153</v>
      </c>
      <c r="AR157" s="13">
        <f t="shared" si="71"/>
        <v>20091.891499999998</v>
      </c>
      <c r="AS157" s="13">
        <f t="shared" si="72"/>
        <v>10043.645749999998</v>
      </c>
      <c r="AT157" s="13">
        <f t="shared" si="73"/>
        <v>106492.29999999999</v>
      </c>
      <c r="AU157" s="13">
        <f t="shared" si="74"/>
        <v>13057.5</v>
      </c>
      <c r="AV157" s="13">
        <f t="shared" si="75"/>
        <v>6452.25</v>
      </c>
      <c r="AW157" s="13">
        <f t="shared" si="76"/>
        <v>70162.5</v>
      </c>
      <c r="AX157" s="13">
        <f t="shared" si="77"/>
        <v>5668</v>
      </c>
      <c r="AY157" s="13">
        <f t="shared" si="78"/>
        <v>2355.6</v>
      </c>
      <c r="AZ157" s="13">
        <f t="shared" si="79"/>
        <v>25194</v>
      </c>
      <c r="BA157" s="13">
        <f t="shared" si="80"/>
        <v>16262</v>
      </c>
      <c r="BB157" s="13">
        <f t="shared" si="81"/>
        <v>0</v>
      </c>
      <c r="BC157" s="13">
        <f t="shared" si="82"/>
        <v>16262</v>
      </c>
      <c r="BD157" s="13">
        <f t="shared" si="83"/>
        <v>10291</v>
      </c>
      <c r="BE157" s="13">
        <f t="shared" si="84"/>
        <v>5138</v>
      </c>
      <c r="BF157" s="13">
        <f t="shared" si="85"/>
        <v>46340</v>
      </c>
      <c r="BG157" s="13">
        <f t="shared" si="86"/>
        <v>307388</v>
      </c>
      <c r="BH157" s="13">
        <f t="shared" si="87"/>
        <v>199972</v>
      </c>
      <c r="BI157" s="13">
        <f t="shared" si="88"/>
        <v>77090</v>
      </c>
      <c r="BJ157" s="13">
        <f t="shared" si="89"/>
        <v>97572</v>
      </c>
      <c r="BK157" s="13">
        <f t="shared" si="90"/>
        <v>149175</v>
      </c>
      <c r="BL157" s="13">
        <f t="shared" si="91"/>
        <v>831197</v>
      </c>
      <c r="BM157" s="31">
        <f t="shared" si="92"/>
        <v>0.36980000000000002</v>
      </c>
      <c r="BN157" s="31">
        <f t="shared" si="93"/>
        <v>0.24060000000000001</v>
      </c>
      <c r="BO157" s="31">
        <f t="shared" si="94"/>
        <v>9.2700000000000005E-2</v>
      </c>
      <c r="BP157" s="31">
        <f t="shared" si="95"/>
        <v>0.1174</v>
      </c>
      <c r="BQ157" s="31">
        <f t="shared" si="96"/>
        <v>0.17949999999999999</v>
      </c>
    </row>
    <row r="158" spans="1:69" ht="16.5" x14ac:dyDescent="0.2">
      <c r="A158" s="37">
        <v>155</v>
      </c>
      <c r="B158" s="37">
        <v>16</v>
      </c>
      <c r="C158" s="37">
        <v>1</v>
      </c>
      <c r="D158" s="37">
        <v>3</v>
      </c>
      <c r="E158" s="37">
        <v>155</v>
      </c>
      <c r="F158" s="37">
        <f>INDEX(新属性投放!$L$6:$L$10,新属性汇总!D158)</f>
        <v>1.1499999999999999</v>
      </c>
      <c r="G158" s="37">
        <f>INDEX(新属性投放!J$42:J$62,新属性汇总!$B158)</f>
        <v>16263.799999999997</v>
      </c>
      <c r="H158" s="37">
        <f>INDEX(新属性投放!K$42:K$62,新属性汇总!$B158)</f>
        <v>8129.8999999999987</v>
      </c>
      <c r="I158" s="37">
        <f>INDEX(新属性投放!L$42:L$62,新属性汇总!$B158)</f>
        <v>87169</v>
      </c>
      <c r="J158" s="37">
        <f>($A158-INDEX(新属性投放!$B$42:$B$62,新属性汇总!$B158))*INDEX(新属性投放!D$42:D$62,新属性汇总!$B158)</f>
        <v>2012.3500000000001</v>
      </c>
      <c r="K158" s="37">
        <f>($A158-INDEX(新属性投放!$B$42:$B$62,新属性汇总!$B158))*INDEX(新属性投放!E$42:E$62,新属性汇总!$B158)</f>
        <v>1006.1750000000001</v>
      </c>
      <c r="L158" s="37">
        <f>($A158-INDEX(新属性投放!$B$42:$B$62,新属性汇总!$B158))*INDEX(新属性投放!F$42:F$62,新属性汇总!$B158)</f>
        <v>9055</v>
      </c>
      <c r="M158" s="37">
        <f t="shared" si="65"/>
        <v>21017.572499999995</v>
      </c>
      <c r="N158" s="37">
        <f t="shared" si="66"/>
        <v>10506.486249999998</v>
      </c>
      <c r="O158" s="37">
        <f t="shared" si="67"/>
        <v>110657.59999999999</v>
      </c>
      <c r="P158" s="37">
        <v>5</v>
      </c>
      <c r="Q158" s="37">
        <v>4</v>
      </c>
      <c r="R158">
        <v>155</v>
      </c>
      <c r="S158" s="37">
        <f>IF($P158&gt;0,INDEX(装备!L$11:L$16,新属性汇总!$P158),0)</f>
        <v>3112.5</v>
      </c>
      <c r="T158" s="37">
        <f>IF($P158&gt;0,INDEX(装备!M$11:M$16,新属性汇总!$P158),0)</f>
        <v>1556.25</v>
      </c>
      <c r="U158" s="37">
        <f>IF($P158&gt;0,INDEX(装备!N$11:N$16,新属性汇总!$P158),0)</f>
        <v>16612.5</v>
      </c>
      <c r="V158" s="37">
        <f>IF($P158&gt;0,INDEX(装备!H$11:H$16,新属性汇总!$P158),0)</f>
        <v>65</v>
      </c>
      <c r="W158" s="37">
        <f>IF($P158&gt;0,INDEX(装备!I$11:I$16,新属性汇总!$P158),0)</f>
        <v>32</v>
      </c>
      <c r="X158" s="37">
        <f>IF($P158&gt;0,INDEX(装备!J$11:J$16,新属性汇总!$P158),0)</f>
        <v>350</v>
      </c>
      <c r="Y158" s="37">
        <f t="shared" si="68"/>
        <v>13187.5</v>
      </c>
      <c r="Z158" s="37">
        <f t="shared" si="69"/>
        <v>6516.25</v>
      </c>
      <c r="AA158" s="37">
        <f t="shared" si="70"/>
        <v>70862.5</v>
      </c>
      <c r="AB158" s="37">
        <v>0.65</v>
      </c>
      <c r="AC158" s="37">
        <f>IF(P158&gt;0,INDEX(装备!$BP$5:$BP$16,新属性汇总!P158),0)</f>
        <v>5</v>
      </c>
      <c r="AD158" s="37">
        <f>IF($P158&gt;0,ROUND(INDEX(装备!AY$11:AY$16,新属性汇总!$P158)*$AC158/3,0)*8*AB158,0)</f>
        <v>5668</v>
      </c>
      <c r="AE158" s="37">
        <f>IF($P158&gt;0,ROUND(INDEX(装备!AZ$11:AZ$16,新属性汇总!$P158)*$AC158/3,0)*8*AB158,0)</f>
        <v>2355.6</v>
      </c>
      <c r="AF158" s="37">
        <f>IF($P158&gt;0,ROUND(INDEX(装备!BA$11:BA$16,新属性汇总!$P158)*$AC158/3,0)*8*AB158,0)</f>
        <v>25194</v>
      </c>
      <c r="AG158" s="37">
        <f>IF(新属性汇总!P158&gt;0,INDEX(装备!$AP$11:$AP$16,新属性汇总!$P158)*2,0)</f>
        <v>16262</v>
      </c>
      <c r="AH158" s="37">
        <v>0</v>
      </c>
      <c r="AI158" s="37">
        <f>IF(新属性汇总!P158&gt;0,INDEX(装备!$AP$11:$AP$16,新属性汇总!$P158)*2,0)</f>
        <v>16262</v>
      </c>
      <c r="AJ158" s="37">
        <v>36</v>
      </c>
      <c r="AK158" s="37">
        <f>IF($AJ158&gt;0,INDEX(专属武器!H$4:H$53,新属性汇总!$AJ158),0)</f>
        <v>11417</v>
      </c>
      <c r="AL158" s="37">
        <f>IF($AJ158&gt;0,INDEX(专属武器!I$4:I$53,新属性汇总!$AJ158),0)</f>
        <v>5701</v>
      </c>
      <c r="AM158" s="37">
        <f>IF($AJ158&gt;0,INDEX(专属武器!J$4:J$53,新属性汇总!$AJ158),0)</f>
        <v>51410</v>
      </c>
      <c r="AQ158" s="13">
        <v>154</v>
      </c>
      <c r="AR158" s="13">
        <f t="shared" si="71"/>
        <v>20554.731999999996</v>
      </c>
      <c r="AS158" s="13">
        <f t="shared" si="72"/>
        <v>10275.065999999997</v>
      </c>
      <c r="AT158" s="13">
        <f t="shared" si="73"/>
        <v>108574.95</v>
      </c>
      <c r="AU158" s="13">
        <f t="shared" si="74"/>
        <v>13122.5</v>
      </c>
      <c r="AV158" s="13">
        <f t="shared" si="75"/>
        <v>6484.25</v>
      </c>
      <c r="AW158" s="13">
        <f t="shared" si="76"/>
        <v>70512.5</v>
      </c>
      <c r="AX158" s="13">
        <f t="shared" si="77"/>
        <v>5668</v>
      </c>
      <c r="AY158" s="13">
        <f t="shared" si="78"/>
        <v>2355.6</v>
      </c>
      <c r="AZ158" s="13">
        <f t="shared" si="79"/>
        <v>25194</v>
      </c>
      <c r="BA158" s="13">
        <f t="shared" si="80"/>
        <v>16262</v>
      </c>
      <c r="BB158" s="13">
        <f t="shared" si="81"/>
        <v>0</v>
      </c>
      <c r="BC158" s="13">
        <f t="shared" si="82"/>
        <v>16262</v>
      </c>
      <c r="BD158" s="13">
        <f t="shared" si="83"/>
        <v>11417</v>
      </c>
      <c r="BE158" s="13">
        <f t="shared" si="84"/>
        <v>5701</v>
      </c>
      <c r="BF158" s="13">
        <f t="shared" si="85"/>
        <v>51410</v>
      </c>
      <c r="BG158" s="13">
        <f t="shared" si="86"/>
        <v>314099</v>
      </c>
      <c r="BH158" s="13">
        <f t="shared" si="87"/>
        <v>200967</v>
      </c>
      <c r="BI158" s="13">
        <f t="shared" si="88"/>
        <v>77090</v>
      </c>
      <c r="BJ158" s="13">
        <f t="shared" si="89"/>
        <v>97572</v>
      </c>
      <c r="BK158" s="13">
        <f t="shared" si="90"/>
        <v>165505</v>
      </c>
      <c r="BL158" s="13">
        <f t="shared" si="91"/>
        <v>855233</v>
      </c>
      <c r="BM158" s="31">
        <f t="shared" si="92"/>
        <v>0.36730000000000002</v>
      </c>
      <c r="BN158" s="31">
        <f t="shared" si="93"/>
        <v>0.23499999999999999</v>
      </c>
      <c r="BO158" s="31">
        <f t="shared" si="94"/>
        <v>9.01E-2</v>
      </c>
      <c r="BP158" s="31">
        <f t="shared" si="95"/>
        <v>0.11409999999999999</v>
      </c>
      <c r="BQ158" s="31">
        <f t="shared" si="96"/>
        <v>0.19350000000000001</v>
      </c>
    </row>
    <row r="159" spans="1:69" ht="16.5" x14ac:dyDescent="0.2">
      <c r="A159" s="37">
        <v>156</v>
      </c>
      <c r="B159" s="37">
        <v>16</v>
      </c>
      <c r="C159" s="37">
        <v>1</v>
      </c>
      <c r="D159" s="37">
        <v>3</v>
      </c>
      <c r="E159" s="37">
        <v>156</v>
      </c>
      <c r="F159" s="37">
        <f>INDEX(新属性投放!$L$6:$L$10,新属性汇总!D159)</f>
        <v>1.1499999999999999</v>
      </c>
      <c r="G159" s="37">
        <f>INDEX(新属性投放!J$42:J$62,新属性汇总!$B159)</f>
        <v>16263.799999999997</v>
      </c>
      <c r="H159" s="37">
        <f>INDEX(新属性投放!K$42:K$62,新属性汇总!$B159)</f>
        <v>8129.8999999999987</v>
      </c>
      <c r="I159" s="37">
        <f>INDEX(新属性投放!L$42:L$62,新属性汇总!$B159)</f>
        <v>87169</v>
      </c>
      <c r="J159" s="37">
        <f>($A159-INDEX(新属性投放!$B$42:$B$62,新属性汇总!$B159))*INDEX(新属性投放!D$42:D$62,新属性汇总!$B159)</f>
        <v>2414.8200000000002</v>
      </c>
      <c r="K159" s="37">
        <f>($A159-INDEX(新属性投放!$B$42:$B$62,新属性汇总!$B159))*INDEX(新属性投放!E$42:E$62,新属性汇总!$B159)</f>
        <v>1207.4100000000001</v>
      </c>
      <c r="L159" s="37">
        <f>($A159-INDEX(新属性投放!$B$42:$B$62,新属性汇总!$B159))*INDEX(新属性投放!F$42:F$62,新属性汇总!$B159)</f>
        <v>10866</v>
      </c>
      <c r="M159" s="37">
        <f t="shared" si="65"/>
        <v>21480.412999999997</v>
      </c>
      <c r="N159" s="37">
        <f t="shared" si="66"/>
        <v>10737.906499999999</v>
      </c>
      <c r="O159" s="37">
        <f t="shared" si="67"/>
        <v>112740.24999999999</v>
      </c>
      <c r="P159" s="37">
        <v>5</v>
      </c>
      <c r="Q159" s="37">
        <v>4</v>
      </c>
      <c r="R159">
        <v>156</v>
      </c>
      <c r="S159" s="37">
        <f>IF($P159&gt;0,INDEX(装备!L$11:L$16,新属性汇总!$P159),0)</f>
        <v>3112.5</v>
      </c>
      <c r="T159" s="37">
        <f>IF($P159&gt;0,INDEX(装备!M$11:M$16,新属性汇总!$P159),0)</f>
        <v>1556.25</v>
      </c>
      <c r="U159" s="37">
        <f>IF($P159&gt;0,INDEX(装备!N$11:N$16,新属性汇总!$P159),0)</f>
        <v>16612.5</v>
      </c>
      <c r="V159" s="37">
        <f>IF($P159&gt;0,INDEX(装备!H$11:H$16,新属性汇总!$P159),0)</f>
        <v>65</v>
      </c>
      <c r="W159" s="37">
        <f>IF($P159&gt;0,INDEX(装备!I$11:I$16,新属性汇总!$P159),0)</f>
        <v>32</v>
      </c>
      <c r="X159" s="37">
        <f>IF($P159&gt;0,INDEX(装备!J$11:J$16,新属性汇总!$P159),0)</f>
        <v>350</v>
      </c>
      <c r="Y159" s="37">
        <f t="shared" si="68"/>
        <v>13252.5</v>
      </c>
      <c r="Z159" s="37">
        <f t="shared" si="69"/>
        <v>6548.25</v>
      </c>
      <c r="AA159" s="37">
        <f t="shared" si="70"/>
        <v>71212.5</v>
      </c>
      <c r="AB159" s="37">
        <v>0.65</v>
      </c>
      <c r="AC159" s="37">
        <f>IF(P159&gt;0,INDEX(装备!$BP$5:$BP$16,新属性汇总!P159),0)</f>
        <v>5</v>
      </c>
      <c r="AD159" s="37">
        <f>IF($P159&gt;0,ROUND(INDEX(装备!AY$11:AY$16,新属性汇总!$P159)*$AC159/3,0)*8*AB159,0)</f>
        <v>5668</v>
      </c>
      <c r="AE159" s="37">
        <f>IF($P159&gt;0,ROUND(INDEX(装备!AZ$11:AZ$16,新属性汇总!$P159)*$AC159/3,0)*8*AB159,0)</f>
        <v>2355.6</v>
      </c>
      <c r="AF159" s="37">
        <f>IF($P159&gt;0,ROUND(INDEX(装备!BA$11:BA$16,新属性汇总!$P159)*$AC159/3,0)*8*AB159,0)</f>
        <v>25194</v>
      </c>
      <c r="AG159" s="37">
        <f>IF(新属性汇总!P159&gt;0,INDEX(装备!$AP$11:$AP$16,新属性汇总!$P159)*2,0)</f>
        <v>16262</v>
      </c>
      <c r="AH159" s="37">
        <v>0</v>
      </c>
      <c r="AI159" s="37">
        <f>IF(新属性汇总!P159&gt;0,INDEX(装备!$AP$11:$AP$16,新属性汇总!$P159)*2,0)</f>
        <v>16262</v>
      </c>
      <c r="AJ159" s="37">
        <v>36</v>
      </c>
      <c r="AK159" s="37">
        <f>IF($AJ159&gt;0,INDEX(专属武器!H$4:H$53,新属性汇总!$AJ159),0)</f>
        <v>11417</v>
      </c>
      <c r="AL159" s="37">
        <f>IF($AJ159&gt;0,INDEX(专属武器!I$4:I$53,新属性汇总!$AJ159),0)</f>
        <v>5701</v>
      </c>
      <c r="AM159" s="37">
        <f>IF($AJ159&gt;0,INDEX(专属武器!J$4:J$53,新属性汇总!$AJ159),0)</f>
        <v>51410</v>
      </c>
      <c r="AQ159" s="13">
        <v>155</v>
      </c>
      <c r="AR159" s="13">
        <f t="shared" si="71"/>
        <v>21017.572499999995</v>
      </c>
      <c r="AS159" s="13">
        <f t="shared" si="72"/>
        <v>10506.486249999998</v>
      </c>
      <c r="AT159" s="13">
        <f t="shared" si="73"/>
        <v>110657.59999999999</v>
      </c>
      <c r="AU159" s="13">
        <f t="shared" si="74"/>
        <v>13187.5</v>
      </c>
      <c r="AV159" s="13">
        <f t="shared" si="75"/>
        <v>6516.25</v>
      </c>
      <c r="AW159" s="13">
        <f t="shared" si="76"/>
        <v>70862.5</v>
      </c>
      <c r="AX159" s="13">
        <f t="shared" si="77"/>
        <v>5668</v>
      </c>
      <c r="AY159" s="13">
        <f t="shared" si="78"/>
        <v>2355.6</v>
      </c>
      <c r="AZ159" s="13">
        <f t="shared" si="79"/>
        <v>25194</v>
      </c>
      <c r="BA159" s="13">
        <f t="shared" si="80"/>
        <v>16262</v>
      </c>
      <c r="BB159" s="13">
        <f t="shared" si="81"/>
        <v>0</v>
      </c>
      <c r="BC159" s="13">
        <f t="shared" si="82"/>
        <v>16262</v>
      </c>
      <c r="BD159" s="13">
        <f t="shared" si="83"/>
        <v>11417</v>
      </c>
      <c r="BE159" s="13">
        <f t="shared" si="84"/>
        <v>5701</v>
      </c>
      <c r="BF159" s="13">
        <f t="shared" si="85"/>
        <v>51410</v>
      </c>
      <c r="BG159" s="13">
        <f t="shared" si="86"/>
        <v>320810</v>
      </c>
      <c r="BH159" s="13">
        <f t="shared" si="87"/>
        <v>201962</v>
      </c>
      <c r="BI159" s="13">
        <f t="shared" si="88"/>
        <v>77090</v>
      </c>
      <c r="BJ159" s="13">
        <f t="shared" si="89"/>
        <v>97572</v>
      </c>
      <c r="BK159" s="13">
        <f t="shared" si="90"/>
        <v>165505</v>
      </c>
      <c r="BL159" s="13">
        <f t="shared" si="91"/>
        <v>862939</v>
      </c>
      <c r="BM159" s="31">
        <f t="shared" si="92"/>
        <v>0.37180000000000002</v>
      </c>
      <c r="BN159" s="31">
        <f t="shared" si="93"/>
        <v>0.23400000000000001</v>
      </c>
      <c r="BO159" s="31">
        <f t="shared" si="94"/>
        <v>8.9300000000000004E-2</v>
      </c>
      <c r="BP159" s="31">
        <f t="shared" si="95"/>
        <v>0.11310000000000001</v>
      </c>
      <c r="BQ159" s="31">
        <f t="shared" si="96"/>
        <v>0.1918</v>
      </c>
    </row>
    <row r="160" spans="1:69" ht="16.5" x14ac:dyDescent="0.2">
      <c r="A160" s="37">
        <v>157</v>
      </c>
      <c r="B160" s="37">
        <v>16</v>
      </c>
      <c r="C160" s="37">
        <v>1</v>
      </c>
      <c r="D160" s="37">
        <v>3</v>
      </c>
      <c r="E160" s="37">
        <v>157</v>
      </c>
      <c r="F160" s="37">
        <f>INDEX(新属性投放!$L$6:$L$10,新属性汇总!D160)</f>
        <v>1.1499999999999999</v>
      </c>
      <c r="G160" s="37">
        <f>INDEX(新属性投放!J$42:J$62,新属性汇总!$B160)</f>
        <v>16263.799999999997</v>
      </c>
      <c r="H160" s="37">
        <f>INDEX(新属性投放!K$42:K$62,新属性汇总!$B160)</f>
        <v>8129.8999999999987</v>
      </c>
      <c r="I160" s="37">
        <f>INDEX(新属性投放!L$42:L$62,新属性汇总!$B160)</f>
        <v>87169</v>
      </c>
      <c r="J160" s="37">
        <f>($A160-INDEX(新属性投放!$B$42:$B$62,新属性汇总!$B160))*INDEX(新属性投放!D$42:D$62,新属性汇总!$B160)</f>
        <v>2817.29</v>
      </c>
      <c r="K160" s="37">
        <f>($A160-INDEX(新属性投放!$B$42:$B$62,新属性汇总!$B160))*INDEX(新属性投放!E$42:E$62,新属性汇总!$B160)</f>
        <v>1408.645</v>
      </c>
      <c r="L160" s="37">
        <f>($A160-INDEX(新属性投放!$B$42:$B$62,新属性汇总!$B160))*INDEX(新属性投放!F$42:F$62,新属性汇总!$B160)</f>
        <v>12677</v>
      </c>
      <c r="M160" s="37">
        <f t="shared" si="65"/>
        <v>21943.253499999995</v>
      </c>
      <c r="N160" s="37">
        <f t="shared" si="66"/>
        <v>10969.326749999997</v>
      </c>
      <c r="O160" s="37">
        <f t="shared" si="67"/>
        <v>114822.9</v>
      </c>
      <c r="P160" s="37">
        <v>5</v>
      </c>
      <c r="Q160" s="37">
        <v>4</v>
      </c>
      <c r="R160">
        <v>157</v>
      </c>
      <c r="S160" s="37">
        <f>IF($P160&gt;0,INDEX(装备!L$11:L$16,新属性汇总!$P160),0)</f>
        <v>3112.5</v>
      </c>
      <c r="T160" s="37">
        <f>IF($P160&gt;0,INDEX(装备!M$11:M$16,新属性汇总!$P160),0)</f>
        <v>1556.25</v>
      </c>
      <c r="U160" s="37">
        <f>IF($P160&gt;0,INDEX(装备!N$11:N$16,新属性汇总!$P160),0)</f>
        <v>16612.5</v>
      </c>
      <c r="V160" s="37">
        <f>IF($P160&gt;0,INDEX(装备!H$11:H$16,新属性汇总!$P160),0)</f>
        <v>65</v>
      </c>
      <c r="W160" s="37">
        <f>IF($P160&gt;0,INDEX(装备!I$11:I$16,新属性汇总!$P160),0)</f>
        <v>32</v>
      </c>
      <c r="X160" s="37">
        <f>IF($P160&gt;0,INDEX(装备!J$11:J$16,新属性汇总!$P160),0)</f>
        <v>350</v>
      </c>
      <c r="Y160" s="37">
        <f t="shared" si="68"/>
        <v>13317.5</v>
      </c>
      <c r="Z160" s="37">
        <f t="shared" si="69"/>
        <v>6580.25</v>
      </c>
      <c r="AA160" s="37">
        <f t="shared" si="70"/>
        <v>71562.5</v>
      </c>
      <c r="AB160" s="37">
        <v>0.65</v>
      </c>
      <c r="AC160" s="37">
        <f>IF(P160&gt;0,INDEX(装备!$BP$5:$BP$16,新属性汇总!P160),0)</f>
        <v>5</v>
      </c>
      <c r="AD160" s="37">
        <f>IF($P160&gt;0,ROUND(INDEX(装备!AY$11:AY$16,新属性汇总!$P160)*$AC160/3,0)*8*AB160,0)</f>
        <v>5668</v>
      </c>
      <c r="AE160" s="37">
        <f>IF($P160&gt;0,ROUND(INDEX(装备!AZ$11:AZ$16,新属性汇总!$P160)*$AC160/3,0)*8*AB160,0)</f>
        <v>2355.6</v>
      </c>
      <c r="AF160" s="37">
        <f>IF($P160&gt;0,ROUND(INDEX(装备!BA$11:BA$16,新属性汇总!$P160)*$AC160/3,0)*8*AB160,0)</f>
        <v>25194</v>
      </c>
      <c r="AG160" s="37">
        <f>IF(新属性汇总!P160&gt;0,INDEX(装备!$AP$11:$AP$16,新属性汇总!$P160)*2,0)</f>
        <v>16262</v>
      </c>
      <c r="AH160" s="37">
        <v>0</v>
      </c>
      <c r="AI160" s="37">
        <f>IF(新属性汇总!P160&gt;0,INDEX(装备!$AP$11:$AP$16,新属性汇总!$P160)*2,0)</f>
        <v>16262</v>
      </c>
      <c r="AJ160" s="37">
        <v>36</v>
      </c>
      <c r="AK160" s="37">
        <f>IF($AJ160&gt;0,INDEX(专属武器!H$4:H$53,新属性汇总!$AJ160),0)</f>
        <v>11417</v>
      </c>
      <c r="AL160" s="37">
        <f>IF($AJ160&gt;0,INDEX(专属武器!I$4:I$53,新属性汇总!$AJ160),0)</f>
        <v>5701</v>
      </c>
      <c r="AM160" s="37">
        <f>IF($AJ160&gt;0,INDEX(专属武器!J$4:J$53,新属性汇总!$AJ160),0)</f>
        <v>51410</v>
      </c>
      <c r="AQ160" s="13">
        <v>156</v>
      </c>
      <c r="AR160" s="13">
        <f t="shared" si="71"/>
        <v>21480.412999999997</v>
      </c>
      <c r="AS160" s="13">
        <f t="shared" si="72"/>
        <v>10737.906499999999</v>
      </c>
      <c r="AT160" s="13">
        <f t="shared" si="73"/>
        <v>112740.24999999999</v>
      </c>
      <c r="AU160" s="13">
        <f t="shared" si="74"/>
        <v>13252.5</v>
      </c>
      <c r="AV160" s="13">
        <f t="shared" si="75"/>
        <v>6548.25</v>
      </c>
      <c r="AW160" s="13">
        <f t="shared" si="76"/>
        <v>71212.5</v>
      </c>
      <c r="AX160" s="13">
        <f t="shared" si="77"/>
        <v>5668</v>
      </c>
      <c r="AY160" s="13">
        <f t="shared" si="78"/>
        <v>2355.6</v>
      </c>
      <c r="AZ160" s="13">
        <f t="shared" si="79"/>
        <v>25194</v>
      </c>
      <c r="BA160" s="13">
        <f t="shared" si="80"/>
        <v>16262</v>
      </c>
      <c r="BB160" s="13">
        <f t="shared" si="81"/>
        <v>0</v>
      </c>
      <c r="BC160" s="13">
        <f t="shared" si="82"/>
        <v>16262</v>
      </c>
      <c r="BD160" s="13">
        <f t="shared" si="83"/>
        <v>11417</v>
      </c>
      <c r="BE160" s="13">
        <f t="shared" si="84"/>
        <v>5701</v>
      </c>
      <c r="BF160" s="13">
        <f t="shared" si="85"/>
        <v>51410</v>
      </c>
      <c r="BG160" s="13">
        <f t="shared" si="86"/>
        <v>327521</v>
      </c>
      <c r="BH160" s="13">
        <f t="shared" si="87"/>
        <v>202957</v>
      </c>
      <c r="BI160" s="13">
        <f t="shared" si="88"/>
        <v>77090</v>
      </c>
      <c r="BJ160" s="13">
        <f t="shared" si="89"/>
        <v>97572</v>
      </c>
      <c r="BK160" s="13">
        <f t="shared" si="90"/>
        <v>165505</v>
      </c>
      <c r="BL160" s="13">
        <f t="shared" si="91"/>
        <v>870645</v>
      </c>
      <c r="BM160" s="31">
        <f t="shared" si="92"/>
        <v>0.37619999999999998</v>
      </c>
      <c r="BN160" s="31">
        <f t="shared" si="93"/>
        <v>0.2331</v>
      </c>
      <c r="BO160" s="31">
        <f t="shared" si="94"/>
        <v>8.8499999999999995E-2</v>
      </c>
      <c r="BP160" s="31">
        <f t="shared" si="95"/>
        <v>0.11210000000000001</v>
      </c>
      <c r="BQ160" s="31">
        <f t="shared" si="96"/>
        <v>0.19009999999999999</v>
      </c>
    </row>
    <row r="161" spans="1:69" ht="16.5" x14ac:dyDescent="0.2">
      <c r="A161" s="37">
        <v>158</v>
      </c>
      <c r="B161" s="37">
        <v>16</v>
      </c>
      <c r="C161" s="37">
        <v>1</v>
      </c>
      <c r="D161" s="37">
        <v>3</v>
      </c>
      <c r="E161" s="37">
        <v>158</v>
      </c>
      <c r="F161" s="37">
        <f>INDEX(新属性投放!$L$6:$L$10,新属性汇总!D161)</f>
        <v>1.1499999999999999</v>
      </c>
      <c r="G161" s="37">
        <f>INDEX(新属性投放!J$42:J$62,新属性汇总!$B161)</f>
        <v>16263.799999999997</v>
      </c>
      <c r="H161" s="37">
        <f>INDEX(新属性投放!K$42:K$62,新属性汇总!$B161)</f>
        <v>8129.8999999999987</v>
      </c>
      <c r="I161" s="37">
        <f>INDEX(新属性投放!L$42:L$62,新属性汇总!$B161)</f>
        <v>87169</v>
      </c>
      <c r="J161" s="37">
        <f>($A161-INDEX(新属性投放!$B$42:$B$62,新属性汇总!$B161))*INDEX(新属性投放!D$42:D$62,新属性汇总!$B161)</f>
        <v>3219.76</v>
      </c>
      <c r="K161" s="37">
        <f>($A161-INDEX(新属性投放!$B$42:$B$62,新属性汇总!$B161))*INDEX(新属性投放!E$42:E$62,新属性汇总!$B161)</f>
        <v>1609.88</v>
      </c>
      <c r="L161" s="37">
        <f>($A161-INDEX(新属性投放!$B$42:$B$62,新属性汇总!$B161))*INDEX(新属性投放!F$42:F$62,新属性汇总!$B161)</f>
        <v>14488</v>
      </c>
      <c r="M161" s="37">
        <f t="shared" si="65"/>
        <v>22406.093999999997</v>
      </c>
      <c r="N161" s="37">
        <f t="shared" si="66"/>
        <v>11200.746999999998</v>
      </c>
      <c r="O161" s="37">
        <f t="shared" si="67"/>
        <v>116905.54999999999</v>
      </c>
      <c r="P161" s="37">
        <v>5</v>
      </c>
      <c r="Q161" s="37">
        <v>4</v>
      </c>
      <c r="R161">
        <v>158</v>
      </c>
      <c r="S161" s="37">
        <f>IF($P161&gt;0,INDEX(装备!L$11:L$16,新属性汇总!$P161),0)</f>
        <v>3112.5</v>
      </c>
      <c r="T161" s="37">
        <f>IF($P161&gt;0,INDEX(装备!M$11:M$16,新属性汇总!$P161),0)</f>
        <v>1556.25</v>
      </c>
      <c r="U161" s="37">
        <f>IF($P161&gt;0,INDEX(装备!N$11:N$16,新属性汇总!$P161),0)</f>
        <v>16612.5</v>
      </c>
      <c r="V161" s="37">
        <f>IF($P161&gt;0,INDEX(装备!H$11:H$16,新属性汇总!$P161),0)</f>
        <v>65</v>
      </c>
      <c r="W161" s="37">
        <f>IF($P161&gt;0,INDEX(装备!I$11:I$16,新属性汇总!$P161),0)</f>
        <v>32</v>
      </c>
      <c r="X161" s="37">
        <f>IF($P161&gt;0,INDEX(装备!J$11:J$16,新属性汇总!$P161),0)</f>
        <v>350</v>
      </c>
      <c r="Y161" s="37">
        <f t="shared" si="68"/>
        <v>13382.5</v>
      </c>
      <c r="Z161" s="37">
        <f t="shared" si="69"/>
        <v>6612.25</v>
      </c>
      <c r="AA161" s="37">
        <f t="shared" si="70"/>
        <v>71912.5</v>
      </c>
      <c r="AB161" s="37">
        <v>0.65</v>
      </c>
      <c r="AC161" s="37">
        <f>IF(P161&gt;0,INDEX(装备!$BP$5:$BP$16,新属性汇总!P161),0)</f>
        <v>5</v>
      </c>
      <c r="AD161" s="37">
        <f>IF($P161&gt;0,ROUND(INDEX(装备!AY$11:AY$16,新属性汇总!$P161)*$AC161/3,0)*8*AB161,0)</f>
        <v>5668</v>
      </c>
      <c r="AE161" s="37">
        <f>IF($P161&gt;0,ROUND(INDEX(装备!AZ$11:AZ$16,新属性汇总!$P161)*$AC161/3,0)*8*AB161,0)</f>
        <v>2355.6</v>
      </c>
      <c r="AF161" s="37">
        <f>IF($P161&gt;0,ROUND(INDEX(装备!BA$11:BA$16,新属性汇总!$P161)*$AC161/3,0)*8*AB161,0)</f>
        <v>25194</v>
      </c>
      <c r="AG161" s="37">
        <f>IF(新属性汇总!P161&gt;0,INDEX(装备!$AP$11:$AP$16,新属性汇总!$P161)*2,0)</f>
        <v>16262</v>
      </c>
      <c r="AH161" s="37">
        <v>0</v>
      </c>
      <c r="AI161" s="37">
        <f>IF(新属性汇总!P161&gt;0,INDEX(装备!$AP$11:$AP$16,新属性汇总!$P161)*2,0)</f>
        <v>16262</v>
      </c>
      <c r="AJ161" s="37">
        <v>37</v>
      </c>
      <c r="AK161" s="37">
        <f>IF($AJ161&gt;0,INDEX(专属武器!H$4:H$53,新属性汇总!$AJ161),0)</f>
        <v>12526</v>
      </c>
      <c r="AL161" s="37">
        <f>IF($AJ161&gt;0,INDEX(专属武器!I$4:I$53,新属性汇总!$AJ161),0)</f>
        <v>6255</v>
      </c>
      <c r="AM161" s="37">
        <f>IF($AJ161&gt;0,INDEX(专属武器!J$4:J$53,新属性汇总!$AJ161),0)</f>
        <v>56401</v>
      </c>
      <c r="AQ161" s="13">
        <v>157</v>
      </c>
      <c r="AR161" s="13">
        <f t="shared" si="71"/>
        <v>21943.253499999995</v>
      </c>
      <c r="AS161" s="13">
        <f t="shared" si="72"/>
        <v>10969.326749999997</v>
      </c>
      <c r="AT161" s="13">
        <f t="shared" si="73"/>
        <v>114822.9</v>
      </c>
      <c r="AU161" s="13">
        <f t="shared" si="74"/>
        <v>13317.5</v>
      </c>
      <c r="AV161" s="13">
        <f t="shared" si="75"/>
        <v>6580.25</v>
      </c>
      <c r="AW161" s="13">
        <f t="shared" si="76"/>
        <v>71562.5</v>
      </c>
      <c r="AX161" s="13">
        <f t="shared" si="77"/>
        <v>5668</v>
      </c>
      <c r="AY161" s="13">
        <f t="shared" si="78"/>
        <v>2355.6</v>
      </c>
      <c r="AZ161" s="13">
        <f t="shared" si="79"/>
        <v>25194</v>
      </c>
      <c r="BA161" s="13">
        <f t="shared" si="80"/>
        <v>16262</v>
      </c>
      <c r="BB161" s="13">
        <f t="shared" si="81"/>
        <v>0</v>
      </c>
      <c r="BC161" s="13">
        <f t="shared" si="82"/>
        <v>16262</v>
      </c>
      <c r="BD161" s="13">
        <f t="shared" si="83"/>
        <v>11417</v>
      </c>
      <c r="BE161" s="13">
        <f t="shared" si="84"/>
        <v>5701</v>
      </c>
      <c r="BF161" s="13">
        <f t="shared" si="85"/>
        <v>51410</v>
      </c>
      <c r="BG161" s="13">
        <f t="shared" si="86"/>
        <v>334232</v>
      </c>
      <c r="BH161" s="13">
        <f t="shared" si="87"/>
        <v>203952</v>
      </c>
      <c r="BI161" s="13">
        <f t="shared" si="88"/>
        <v>77090</v>
      </c>
      <c r="BJ161" s="13">
        <f t="shared" si="89"/>
        <v>97572</v>
      </c>
      <c r="BK161" s="13">
        <f t="shared" si="90"/>
        <v>165505</v>
      </c>
      <c r="BL161" s="13">
        <f t="shared" si="91"/>
        <v>878351</v>
      </c>
      <c r="BM161" s="31">
        <f t="shared" si="92"/>
        <v>0.3805</v>
      </c>
      <c r="BN161" s="31">
        <f t="shared" si="93"/>
        <v>0.23219999999999999</v>
      </c>
      <c r="BO161" s="31">
        <f t="shared" si="94"/>
        <v>8.7800000000000003E-2</v>
      </c>
      <c r="BP161" s="31">
        <f t="shared" si="95"/>
        <v>0.1111</v>
      </c>
      <c r="BQ161" s="31">
        <f t="shared" si="96"/>
        <v>0.18840000000000001</v>
      </c>
    </row>
    <row r="162" spans="1:69" ht="16.5" x14ac:dyDescent="0.2">
      <c r="A162" s="37">
        <v>159</v>
      </c>
      <c r="B162" s="37">
        <v>16</v>
      </c>
      <c r="C162" s="37">
        <v>1</v>
      </c>
      <c r="D162" s="37">
        <v>3</v>
      </c>
      <c r="E162" s="37">
        <v>159</v>
      </c>
      <c r="F162" s="37">
        <f>INDEX(新属性投放!$L$6:$L$10,新属性汇总!D162)</f>
        <v>1.1499999999999999</v>
      </c>
      <c r="G162" s="37">
        <f>INDEX(新属性投放!J$42:J$62,新属性汇总!$B162)</f>
        <v>16263.799999999997</v>
      </c>
      <c r="H162" s="37">
        <f>INDEX(新属性投放!K$42:K$62,新属性汇总!$B162)</f>
        <v>8129.8999999999987</v>
      </c>
      <c r="I162" s="37">
        <f>INDEX(新属性投放!L$42:L$62,新属性汇总!$B162)</f>
        <v>87169</v>
      </c>
      <c r="J162" s="37">
        <f>($A162-INDEX(新属性投放!$B$42:$B$62,新属性汇总!$B162))*INDEX(新属性投放!D$42:D$62,新属性汇总!$B162)</f>
        <v>3622.2300000000005</v>
      </c>
      <c r="K162" s="37">
        <f>($A162-INDEX(新属性投放!$B$42:$B$62,新属性汇总!$B162))*INDEX(新属性投放!E$42:E$62,新属性汇总!$B162)</f>
        <v>1811.1150000000002</v>
      </c>
      <c r="L162" s="37">
        <f>($A162-INDEX(新属性投放!$B$42:$B$62,新属性汇总!$B162))*INDEX(新属性投放!F$42:F$62,新属性汇总!$B162)</f>
        <v>16299</v>
      </c>
      <c r="M162" s="37">
        <f t="shared" si="65"/>
        <v>22868.934499999996</v>
      </c>
      <c r="N162" s="37">
        <f t="shared" si="66"/>
        <v>11432.167249999999</v>
      </c>
      <c r="O162" s="37">
        <f t="shared" si="67"/>
        <v>118988.2</v>
      </c>
      <c r="P162" s="37">
        <v>5</v>
      </c>
      <c r="Q162" s="37">
        <v>4</v>
      </c>
      <c r="R162">
        <v>159</v>
      </c>
      <c r="S162" s="37">
        <f>IF($P162&gt;0,INDEX(装备!L$11:L$16,新属性汇总!$P162),0)</f>
        <v>3112.5</v>
      </c>
      <c r="T162" s="37">
        <f>IF($P162&gt;0,INDEX(装备!M$11:M$16,新属性汇总!$P162),0)</f>
        <v>1556.25</v>
      </c>
      <c r="U162" s="37">
        <f>IF($P162&gt;0,INDEX(装备!N$11:N$16,新属性汇总!$P162),0)</f>
        <v>16612.5</v>
      </c>
      <c r="V162" s="37">
        <f>IF($P162&gt;0,INDEX(装备!H$11:H$16,新属性汇总!$P162),0)</f>
        <v>65</v>
      </c>
      <c r="W162" s="37">
        <f>IF($P162&gt;0,INDEX(装备!I$11:I$16,新属性汇总!$P162),0)</f>
        <v>32</v>
      </c>
      <c r="X162" s="37">
        <f>IF($P162&gt;0,INDEX(装备!J$11:J$16,新属性汇总!$P162),0)</f>
        <v>350</v>
      </c>
      <c r="Y162" s="37">
        <f t="shared" si="68"/>
        <v>13447.5</v>
      </c>
      <c r="Z162" s="37">
        <f t="shared" si="69"/>
        <v>6644.25</v>
      </c>
      <c r="AA162" s="37">
        <f t="shared" si="70"/>
        <v>72262.5</v>
      </c>
      <c r="AB162" s="37">
        <v>0.65</v>
      </c>
      <c r="AC162" s="37">
        <f>IF(P162&gt;0,INDEX(装备!$BP$5:$BP$16,新属性汇总!P162),0)</f>
        <v>5</v>
      </c>
      <c r="AD162" s="37">
        <f>IF($P162&gt;0,ROUND(INDEX(装备!AY$11:AY$16,新属性汇总!$P162)*$AC162/3,0)*8*AB162,0)</f>
        <v>5668</v>
      </c>
      <c r="AE162" s="37">
        <f>IF($P162&gt;0,ROUND(INDEX(装备!AZ$11:AZ$16,新属性汇总!$P162)*$AC162/3,0)*8*AB162,0)</f>
        <v>2355.6</v>
      </c>
      <c r="AF162" s="37">
        <f>IF($P162&gt;0,ROUND(INDEX(装备!BA$11:BA$16,新属性汇总!$P162)*$AC162/3,0)*8*AB162,0)</f>
        <v>25194</v>
      </c>
      <c r="AG162" s="37">
        <f>IF(新属性汇总!P162&gt;0,INDEX(装备!$AP$11:$AP$16,新属性汇总!$P162)*2,0)</f>
        <v>16262</v>
      </c>
      <c r="AH162" s="37">
        <v>0</v>
      </c>
      <c r="AI162" s="37">
        <f>IF(新属性汇总!P162&gt;0,INDEX(装备!$AP$11:$AP$16,新属性汇总!$P162)*2,0)</f>
        <v>16262</v>
      </c>
      <c r="AJ162" s="37">
        <v>37</v>
      </c>
      <c r="AK162" s="37">
        <f>IF($AJ162&gt;0,INDEX(专属武器!H$4:H$53,新属性汇总!$AJ162),0)</f>
        <v>12526</v>
      </c>
      <c r="AL162" s="37">
        <f>IF($AJ162&gt;0,INDEX(专属武器!I$4:I$53,新属性汇总!$AJ162),0)</f>
        <v>6255</v>
      </c>
      <c r="AM162" s="37">
        <f>IF($AJ162&gt;0,INDEX(专属武器!J$4:J$53,新属性汇总!$AJ162),0)</f>
        <v>56401</v>
      </c>
      <c r="AQ162" s="13">
        <v>158</v>
      </c>
      <c r="AR162" s="13">
        <f t="shared" si="71"/>
        <v>22406.093999999997</v>
      </c>
      <c r="AS162" s="13">
        <f t="shared" si="72"/>
        <v>11200.746999999998</v>
      </c>
      <c r="AT162" s="13">
        <f t="shared" si="73"/>
        <v>116905.54999999999</v>
      </c>
      <c r="AU162" s="13">
        <f t="shared" si="74"/>
        <v>13382.5</v>
      </c>
      <c r="AV162" s="13">
        <f t="shared" si="75"/>
        <v>6612.25</v>
      </c>
      <c r="AW162" s="13">
        <f t="shared" si="76"/>
        <v>71912.5</v>
      </c>
      <c r="AX162" s="13">
        <f t="shared" si="77"/>
        <v>5668</v>
      </c>
      <c r="AY162" s="13">
        <f t="shared" si="78"/>
        <v>2355.6</v>
      </c>
      <c r="AZ162" s="13">
        <f t="shared" si="79"/>
        <v>25194</v>
      </c>
      <c r="BA162" s="13">
        <f t="shared" si="80"/>
        <v>16262</v>
      </c>
      <c r="BB162" s="13">
        <f t="shared" si="81"/>
        <v>0</v>
      </c>
      <c r="BC162" s="13">
        <f t="shared" si="82"/>
        <v>16262</v>
      </c>
      <c r="BD162" s="13">
        <f t="shared" si="83"/>
        <v>12526</v>
      </c>
      <c r="BE162" s="13">
        <f t="shared" si="84"/>
        <v>6255</v>
      </c>
      <c r="BF162" s="13">
        <f t="shared" si="85"/>
        <v>56401</v>
      </c>
      <c r="BG162" s="13">
        <f t="shared" si="86"/>
        <v>340943</v>
      </c>
      <c r="BH162" s="13">
        <f t="shared" si="87"/>
        <v>204947</v>
      </c>
      <c r="BI162" s="13">
        <f t="shared" si="88"/>
        <v>77090</v>
      </c>
      <c r="BJ162" s="13">
        <f t="shared" si="89"/>
        <v>97572</v>
      </c>
      <c r="BK162" s="13">
        <f t="shared" si="90"/>
        <v>181581</v>
      </c>
      <c r="BL162" s="13">
        <f t="shared" si="91"/>
        <v>902133</v>
      </c>
      <c r="BM162" s="31">
        <f t="shared" si="92"/>
        <v>0.37790000000000001</v>
      </c>
      <c r="BN162" s="31">
        <f t="shared" si="93"/>
        <v>0.22720000000000001</v>
      </c>
      <c r="BO162" s="31">
        <f t="shared" si="94"/>
        <v>8.5500000000000007E-2</v>
      </c>
      <c r="BP162" s="31">
        <f t="shared" si="95"/>
        <v>0.1082</v>
      </c>
      <c r="BQ162" s="31">
        <f t="shared" si="96"/>
        <v>0.20130000000000001</v>
      </c>
    </row>
    <row r="163" spans="1:69" ht="16.5" x14ac:dyDescent="0.2">
      <c r="A163" s="37">
        <v>160</v>
      </c>
      <c r="B163" s="37">
        <v>17</v>
      </c>
      <c r="C163" s="37">
        <v>1</v>
      </c>
      <c r="D163" s="37">
        <v>3</v>
      </c>
      <c r="E163" s="37">
        <v>160</v>
      </c>
      <c r="F163" s="37">
        <f>INDEX(新属性投放!$L$6:$L$10,新属性汇总!D163)</f>
        <v>1.1499999999999999</v>
      </c>
      <c r="G163" s="37">
        <f>INDEX(新属性投放!J$42:J$62,新属性汇总!$B163)</f>
        <v>21294.499999999996</v>
      </c>
      <c r="H163" s="37">
        <f>INDEX(新属性投放!K$42:K$62,新属性汇总!$B163)</f>
        <v>10645.249999999998</v>
      </c>
      <c r="I163" s="37">
        <f>INDEX(新属性投放!L$42:L$62,新属性汇总!$B163)</f>
        <v>114333</v>
      </c>
      <c r="J163" s="37">
        <f>($A163-INDEX(新属性投放!$B$42:$B$62,新属性汇总!$B163))*INDEX(新属性投放!D$42:D$62,新属性汇总!$B163)</f>
        <v>0</v>
      </c>
      <c r="K163" s="37">
        <f>($A163-INDEX(新属性投放!$B$42:$B$62,新属性汇总!$B163))*INDEX(新属性投放!E$42:E$62,新属性汇总!$B163)</f>
        <v>0</v>
      </c>
      <c r="L163" s="37">
        <f>($A163-INDEX(新属性投放!$B$42:$B$62,新属性汇总!$B163))*INDEX(新属性投放!F$42:F$62,新属性汇总!$B163)</f>
        <v>0</v>
      </c>
      <c r="M163" s="37">
        <f t="shared" si="65"/>
        <v>24488.674999999996</v>
      </c>
      <c r="N163" s="37">
        <f t="shared" si="66"/>
        <v>12242.037499999997</v>
      </c>
      <c r="O163" s="37">
        <f t="shared" si="67"/>
        <v>131482.94999999998</v>
      </c>
      <c r="P163" s="37">
        <v>5</v>
      </c>
      <c r="Q163" s="37">
        <v>4</v>
      </c>
      <c r="R163">
        <v>160</v>
      </c>
      <c r="S163" s="37">
        <f>IF($P163&gt;0,INDEX(装备!L$11:L$16,新属性汇总!$P163),0)</f>
        <v>3112.5</v>
      </c>
      <c r="T163" s="37">
        <f>IF($P163&gt;0,INDEX(装备!M$11:M$16,新属性汇总!$P163),0)</f>
        <v>1556.25</v>
      </c>
      <c r="U163" s="37">
        <f>IF($P163&gt;0,INDEX(装备!N$11:N$16,新属性汇总!$P163),0)</f>
        <v>16612.5</v>
      </c>
      <c r="V163" s="37">
        <f>IF($P163&gt;0,INDEX(装备!H$11:H$16,新属性汇总!$P163),0)</f>
        <v>65</v>
      </c>
      <c r="W163" s="37">
        <f>IF($P163&gt;0,INDEX(装备!I$11:I$16,新属性汇总!$P163),0)</f>
        <v>32</v>
      </c>
      <c r="X163" s="37">
        <f>IF($P163&gt;0,INDEX(装备!J$11:J$16,新属性汇总!$P163),0)</f>
        <v>350</v>
      </c>
      <c r="Y163" s="37">
        <f t="shared" si="68"/>
        <v>13512.5</v>
      </c>
      <c r="Z163" s="37">
        <f t="shared" si="69"/>
        <v>6676.25</v>
      </c>
      <c r="AA163" s="37">
        <f t="shared" si="70"/>
        <v>72612.5</v>
      </c>
      <c r="AB163" s="37">
        <v>0.65</v>
      </c>
      <c r="AC163" s="37">
        <f>IF(P163&gt;0,INDEX(装备!$BP$5:$BP$16,新属性汇总!P163),0)</f>
        <v>5</v>
      </c>
      <c r="AD163" s="37">
        <f>IF($P163&gt;0,ROUND(INDEX(装备!AY$11:AY$16,新属性汇总!$P163)*$AC163/3,0)*8*AB163,0)</f>
        <v>5668</v>
      </c>
      <c r="AE163" s="37">
        <f>IF($P163&gt;0,ROUND(INDEX(装备!AZ$11:AZ$16,新属性汇总!$P163)*$AC163/3,0)*8*AB163,0)</f>
        <v>2355.6</v>
      </c>
      <c r="AF163" s="37">
        <f>IF($P163&gt;0,ROUND(INDEX(装备!BA$11:BA$16,新属性汇总!$P163)*$AC163/3,0)*8*AB163,0)</f>
        <v>25194</v>
      </c>
      <c r="AG163" s="37">
        <f>IF(新属性汇总!P163&gt;0,INDEX(装备!$AP$11:$AP$16,新属性汇总!$P163)*2,0)</f>
        <v>16262</v>
      </c>
      <c r="AH163" s="37">
        <v>0</v>
      </c>
      <c r="AI163" s="37">
        <f>IF(新属性汇总!P163&gt;0,INDEX(装备!$AP$11:$AP$16,新属性汇总!$P163)*2,0)</f>
        <v>16262</v>
      </c>
      <c r="AJ163" s="37">
        <v>37</v>
      </c>
      <c r="AK163" s="37">
        <f>IF($AJ163&gt;0,INDEX(专属武器!H$4:H$53,新属性汇总!$AJ163),0)</f>
        <v>12526</v>
      </c>
      <c r="AL163" s="37">
        <f>IF($AJ163&gt;0,INDEX(专属武器!I$4:I$53,新属性汇总!$AJ163),0)</f>
        <v>6255</v>
      </c>
      <c r="AM163" s="37">
        <f>IF($AJ163&gt;0,INDEX(专属武器!J$4:J$53,新属性汇总!$AJ163),0)</f>
        <v>56401</v>
      </c>
      <c r="AQ163" s="13">
        <v>159</v>
      </c>
      <c r="AR163" s="13">
        <f t="shared" si="71"/>
        <v>22868.934499999996</v>
      </c>
      <c r="AS163" s="13">
        <f t="shared" si="72"/>
        <v>11432.167249999999</v>
      </c>
      <c r="AT163" s="13">
        <f t="shared" si="73"/>
        <v>118988.2</v>
      </c>
      <c r="AU163" s="13">
        <f t="shared" si="74"/>
        <v>13447.5</v>
      </c>
      <c r="AV163" s="13">
        <f t="shared" si="75"/>
        <v>6644.25</v>
      </c>
      <c r="AW163" s="13">
        <f t="shared" si="76"/>
        <v>72262.5</v>
      </c>
      <c r="AX163" s="13">
        <f t="shared" si="77"/>
        <v>5668</v>
      </c>
      <c r="AY163" s="13">
        <f t="shared" si="78"/>
        <v>2355.6</v>
      </c>
      <c r="AZ163" s="13">
        <f t="shared" si="79"/>
        <v>25194</v>
      </c>
      <c r="BA163" s="13">
        <f t="shared" si="80"/>
        <v>16262</v>
      </c>
      <c r="BB163" s="13">
        <f t="shared" si="81"/>
        <v>0</v>
      </c>
      <c r="BC163" s="13">
        <f t="shared" si="82"/>
        <v>16262</v>
      </c>
      <c r="BD163" s="13">
        <f t="shared" si="83"/>
        <v>12526</v>
      </c>
      <c r="BE163" s="13">
        <f t="shared" si="84"/>
        <v>6255</v>
      </c>
      <c r="BF163" s="13">
        <f t="shared" si="85"/>
        <v>56401</v>
      </c>
      <c r="BG163" s="13">
        <f t="shared" si="86"/>
        <v>347654</v>
      </c>
      <c r="BH163" s="13">
        <f t="shared" si="87"/>
        <v>205942</v>
      </c>
      <c r="BI163" s="13">
        <f t="shared" si="88"/>
        <v>77090</v>
      </c>
      <c r="BJ163" s="13">
        <f t="shared" si="89"/>
        <v>97572</v>
      </c>
      <c r="BK163" s="13">
        <f t="shared" si="90"/>
        <v>181581</v>
      </c>
      <c r="BL163" s="13">
        <f t="shared" si="91"/>
        <v>909839</v>
      </c>
      <c r="BM163" s="31">
        <f t="shared" si="92"/>
        <v>0.3821</v>
      </c>
      <c r="BN163" s="31">
        <f t="shared" si="93"/>
        <v>0.2263</v>
      </c>
      <c r="BO163" s="31">
        <f t="shared" si="94"/>
        <v>8.4699999999999998E-2</v>
      </c>
      <c r="BP163" s="31">
        <f t="shared" si="95"/>
        <v>0.1072</v>
      </c>
      <c r="BQ163" s="31">
        <f t="shared" si="96"/>
        <v>0.1996</v>
      </c>
    </row>
    <row r="164" spans="1:69" ht="16.5" x14ac:dyDescent="0.2">
      <c r="A164" s="37">
        <v>161</v>
      </c>
      <c r="B164" s="37">
        <v>17</v>
      </c>
      <c r="C164" s="37">
        <v>1</v>
      </c>
      <c r="D164" s="37">
        <v>3</v>
      </c>
      <c r="E164" s="37">
        <v>161</v>
      </c>
      <c r="F164" s="37">
        <f>INDEX(新属性投放!$L$6:$L$10,新属性汇总!D164)</f>
        <v>1.1499999999999999</v>
      </c>
      <c r="G164" s="37">
        <f>INDEX(新属性投放!J$42:J$62,新属性汇总!$B164)</f>
        <v>21294.499999999996</v>
      </c>
      <c r="H164" s="37">
        <f>INDEX(新属性投放!K$42:K$62,新属性汇总!$B164)</f>
        <v>10645.249999999998</v>
      </c>
      <c r="I164" s="37">
        <f>INDEX(新属性投放!L$42:L$62,新属性汇总!$B164)</f>
        <v>114333</v>
      </c>
      <c r="J164" s="37">
        <f>($A164-INDEX(新属性投放!$B$42:$B$62,新属性汇总!$B164))*INDEX(新属性投放!D$42:D$62,新属性汇总!$B164)</f>
        <v>528.24</v>
      </c>
      <c r="K164" s="37">
        <f>($A164-INDEX(新属性投放!$B$42:$B$62,新属性汇总!$B164))*INDEX(新属性投放!E$42:E$62,新属性汇总!$B164)</f>
        <v>264.12</v>
      </c>
      <c r="L164" s="37">
        <f>($A164-INDEX(新属性投放!$B$42:$B$62,新属性汇总!$B164))*INDEX(新属性投放!F$42:F$62,新属性汇总!$B164)</f>
        <v>2377</v>
      </c>
      <c r="M164" s="37">
        <f t="shared" si="65"/>
        <v>25096.150999999994</v>
      </c>
      <c r="N164" s="37">
        <f t="shared" si="66"/>
        <v>12545.775499999998</v>
      </c>
      <c r="O164" s="37">
        <f t="shared" si="67"/>
        <v>134216.5</v>
      </c>
      <c r="P164" s="37">
        <v>5</v>
      </c>
      <c r="Q164" s="37">
        <v>4</v>
      </c>
      <c r="R164">
        <v>161</v>
      </c>
      <c r="S164" s="37">
        <f>IF($P164&gt;0,INDEX(装备!L$11:L$16,新属性汇总!$P164),0)</f>
        <v>3112.5</v>
      </c>
      <c r="T164" s="37">
        <f>IF($P164&gt;0,INDEX(装备!M$11:M$16,新属性汇总!$P164),0)</f>
        <v>1556.25</v>
      </c>
      <c r="U164" s="37">
        <f>IF($P164&gt;0,INDEX(装备!N$11:N$16,新属性汇总!$P164),0)</f>
        <v>16612.5</v>
      </c>
      <c r="V164" s="37">
        <f>IF($P164&gt;0,INDEX(装备!H$11:H$16,新属性汇总!$P164),0)</f>
        <v>65</v>
      </c>
      <c r="W164" s="37">
        <f>IF($P164&gt;0,INDEX(装备!I$11:I$16,新属性汇总!$P164),0)</f>
        <v>32</v>
      </c>
      <c r="X164" s="37">
        <f>IF($P164&gt;0,INDEX(装备!J$11:J$16,新属性汇总!$P164),0)</f>
        <v>350</v>
      </c>
      <c r="Y164" s="37">
        <f t="shared" si="68"/>
        <v>13577.5</v>
      </c>
      <c r="Z164" s="37">
        <f t="shared" si="69"/>
        <v>6708.25</v>
      </c>
      <c r="AA164" s="37">
        <f t="shared" si="70"/>
        <v>72962.5</v>
      </c>
      <c r="AB164" s="37">
        <v>0.65</v>
      </c>
      <c r="AC164" s="37">
        <f>IF(P164&gt;0,INDEX(装备!$BP$5:$BP$16,新属性汇总!P164),0)</f>
        <v>5</v>
      </c>
      <c r="AD164" s="37">
        <f>IF($P164&gt;0,ROUND(INDEX(装备!AY$11:AY$16,新属性汇总!$P164)*$AC164/3,0)*8*AB164,0)</f>
        <v>5668</v>
      </c>
      <c r="AE164" s="37">
        <f>IF($P164&gt;0,ROUND(INDEX(装备!AZ$11:AZ$16,新属性汇总!$P164)*$AC164/3,0)*8*AB164,0)</f>
        <v>2355.6</v>
      </c>
      <c r="AF164" s="37">
        <f>IF($P164&gt;0,ROUND(INDEX(装备!BA$11:BA$16,新属性汇总!$P164)*$AC164/3,0)*8*AB164,0)</f>
        <v>25194</v>
      </c>
      <c r="AG164" s="37">
        <f>IF(新属性汇总!P164&gt;0,INDEX(装备!$AP$11:$AP$16,新属性汇总!$P164)*2,0)</f>
        <v>16262</v>
      </c>
      <c r="AH164" s="37">
        <v>0</v>
      </c>
      <c r="AI164" s="37">
        <f>IF(新属性汇总!P164&gt;0,INDEX(装备!$AP$11:$AP$16,新属性汇总!$P164)*2,0)</f>
        <v>16262</v>
      </c>
      <c r="AJ164" s="37">
        <v>37</v>
      </c>
      <c r="AK164" s="37">
        <f>IF($AJ164&gt;0,INDEX(专属武器!H$4:H$53,新属性汇总!$AJ164),0)</f>
        <v>12526</v>
      </c>
      <c r="AL164" s="37">
        <f>IF($AJ164&gt;0,INDEX(专属武器!I$4:I$53,新属性汇总!$AJ164),0)</f>
        <v>6255</v>
      </c>
      <c r="AM164" s="37">
        <f>IF($AJ164&gt;0,INDEX(专属武器!J$4:J$53,新属性汇总!$AJ164),0)</f>
        <v>56401</v>
      </c>
      <c r="AQ164" s="13">
        <v>160</v>
      </c>
      <c r="AR164" s="13">
        <f t="shared" si="71"/>
        <v>24488.674999999996</v>
      </c>
      <c r="AS164" s="13">
        <f t="shared" si="72"/>
        <v>12242.037499999997</v>
      </c>
      <c r="AT164" s="13">
        <f t="shared" si="73"/>
        <v>131482.94999999998</v>
      </c>
      <c r="AU164" s="13">
        <f t="shared" si="74"/>
        <v>13512.5</v>
      </c>
      <c r="AV164" s="13">
        <f t="shared" si="75"/>
        <v>6676.25</v>
      </c>
      <c r="AW164" s="13">
        <f t="shared" si="76"/>
        <v>72612.5</v>
      </c>
      <c r="AX164" s="13">
        <f t="shared" si="77"/>
        <v>5668</v>
      </c>
      <c r="AY164" s="13">
        <f t="shared" si="78"/>
        <v>2355.6</v>
      </c>
      <c r="AZ164" s="13">
        <f t="shared" si="79"/>
        <v>25194</v>
      </c>
      <c r="BA164" s="13">
        <f t="shared" si="80"/>
        <v>16262</v>
      </c>
      <c r="BB164" s="13">
        <f t="shared" si="81"/>
        <v>0</v>
      </c>
      <c r="BC164" s="13">
        <f t="shared" si="82"/>
        <v>16262</v>
      </c>
      <c r="BD164" s="13">
        <f t="shared" si="83"/>
        <v>12526</v>
      </c>
      <c r="BE164" s="13">
        <f t="shared" si="84"/>
        <v>6255</v>
      </c>
      <c r="BF164" s="13">
        <f t="shared" si="85"/>
        <v>56401</v>
      </c>
      <c r="BG164" s="13">
        <f t="shared" si="86"/>
        <v>376346</v>
      </c>
      <c r="BH164" s="13">
        <f t="shared" si="87"/>
        <v>206937</v>
      </c>
      <c r="BI164" s="13">
        <f t="shared" si="88"/>
        <v>77090</v>
      </c>
      <c r="BJ164" s="13">
        <f t="shared" si="89"/>
        <v>97572</v>
      </c>
      <c r="BK164" s="13">
        <f t="shared" si="90"/>
        <v>181581</v>
      </c>
      <c r="BL164" s="13">
        <f t="shared" si="91"/>
        <v>939526</v>
      </c>
      <c r="BM164" s="31">
        <f t="shared" si="92"/>
        <v>0.40060000000000001</v>
      </c>
      <c r="BN164" s="31">
        <f t="shared" si="93"/>
        <v>0.2203</v>
      </c>
      <c r="BO164" s="31">
        <f t="shared" si="94"/>
        <v>8.2100000000000006E-2</v>
      </c>
      <c r="BP164" s="31">
        <f t="shared" si="95"/>
        <v>0.10390000000000001</v>
      </c>
      <c r="BQ164" s="31">
        <f t="shared" si="96"/>
        <v>0.1933</v>
      </c>
    </row>
    <row r="165" spans="1:69" ht="16.5" x14ac:dyDescent="0.2">
      <c r="A165" s="37">
        <v>162</v>
      </c>
      <c r="B165" s="37">
        <v>17</v>
      </c>
      <c r="C165" s="37">
        <v>1</v>
      </c>
      <c r="D165" s="37">
        <v>3</v>
      </c>
      <c r="E165" s="37">
        <v>162</v>
      </c>
      <c r="F165" s="37">
        <f>INDEX(新属性投放!$L$6:$L$10,新属性汇总!D165)</f>
        <v>1.1499999999999999</v>
      </c>
      <c r="G165" s="37">
        <f>INDEX(新属性投放!J$42:J$62,新属性汇总!$B165)</f>
        <v>21294.499999999996</v>
      </c>
      <c r="H165" s="37">
        <f>INDEX(新属性投放!K$42:K$62,新属性汇总!$B165)</f>
        <v>10645.249999999998</v>
      </c>
      <c r="I165" s="37">
        <f>INDEX(新属性投放!L$42:L$62,新属性汇总!$B165)</f>
        <v>114333</v>
      </c>
      <c r="J165" s="37">
        <f>($A165-INDEX(新属性投放!$B$42:$B$62,新属性汇总!$B165))*INDEX(新属性投放!D$42:D$62,新属性汇总!$B165)</f>
        <v>1056.48</v>
      </c>
      <c r="K165" s="37">
        <f>($A165-INDEX(新属性投放!$B$42:$B$62,新属性汇总!$B165))*INDEX(新属性投放!E$42:E$62,新属性汇总!$B165)</f>
        <v>528.24</v>
      </c>
      <c r="L165" s="37">
        <f>($A165-INDEX(新属性投放!$B$42:$B$62,新属性汇总!$B165))*INDEX(新属性投放!F$42:F$62,新属性汇总!$B165)</f>
        <v>4754</v>
      </c>
      <c r="M165" s="37">
        <f t="shared" si="65"/>
        <v>25703.626999999993</v>
      </c>
      <c r="N165" s="37">
        <f t="shared" si="66"/>
        <v>12849.513499999997</v>
      </c>
      <c r="O165" s="37">
        <f t="shared" si="67"/>
        <v>136950.04999999999</v>
      </c>
      <c r="P165" s="37">
        <v>5</v>
      </c>
      <c r="Q165" s="37">
        <v>4</v>
      </c>
      <c r="R165">
        <v>162</v>
      </c>
      <c r="S165" s="37">
        <f>IF($P165&gt;0,INDEX(装备!L$11:L$16,新属性汇总!$P165),0)</f>
        <v>3112.5</v>
      </c>
      <c r="T165" s="37">
        <f>IF($P165&gt;0,INDEX(装备!M$11:M$16,新属性汇总!$P165),0)</f>
        <v>1556.25</v>
      </c>
      <c r="U165" s="37">
        <f>IF($P165&gt;0,INDEX(装备!N$11:N$16,新属性汇总!$P165),0)</f>
        <v>16612.5</v>
      </c>
      <c r="V165" s="37">
        <f>IF($P165&gt;0,INDEX(装备!H$11:H$16,新属性汇总!$P165),0)</f>
        <v>65</v>
      </c>
      <c r="W165" s="37">
        <f>IF($P165&gt;0,INDEX(装备!I$11:I$16,新属性汇总!$P165),0)</f>
        <v>32</v>
      </c>
      <c r="X165" s="37">
        <f>IF($P165&gt;0,INDEX(装备!J$11:J$16,新属性汇总!$P165),0)</f>
        <v>350</v>
      </c>
      <c r="Y165" s="37">
        <f t="shared" si="68"/>
        <v>13642.5</v>
      </c>
      <c r="Z165" s="37">
        <f t="shared" si="69"/>
        <v>6740.25</v>
      </c>
      <c r="AA165" s="37">
        <f t="shared" si="70"/>
        <v>73312.5</v>
      </c>
      <c r="AB165" s="37">
        <v>0.65</v>
      </c>
      <c r="AC165" s="37">
        <f>IF(P165&gt;0,INDEX(装备!$BP$5:$BP$16,新属性汇总!P165),0)</f>
        <v>5</v>
      </c>
      <c r="AD165" s="37">
        <f>IF($P165&gt;0,ROUND(INDEX(装备!AY$11:AY$16,新属性汇总!$P165)*$AC165/3,0)*8*AB165,0)</f>
        <v>5668</v>
      </c>
      <c r="AE165" s="37">
        <f>IF($P165&gt;0,ROUND(INDEX(装备!AZ$11:AZ$16,新属性汇总!$P165)*$AC165/3,0)*8*AB165,0)</f>
        <v>2355.6</v>
      </c>
      <c r="AF165" s="37">
        <f>IF($P165&gt;0,ROUND(INDEX(装备!BA$11:BA$16,新属性汇总!$P165)*$AC165/3,0)*8*AB165,0)</f>
        <v>25194</v>
      </c>
      <c r="AG165" s="37">
        <f>IF(新属性汇总!P165&gt;0,INDEX(装备!$AP$11:$AP$16,新属性汇总!$P165)*2,0)</f>
        <v>16262</v>
      </c>
      <c r="AH165" s="37">
        <v>0</v>
      </c>
      <c r="AI165" s="37">
        <f>IF(新属性汇总!P165&gt;0,INDEX(装备!$AP$11:$AP$16,新属性汇总!$P165)*2,0)</f>
        <v>16262</v>
      </c>
      <c r="AJ165" s="37">
        <v>38</v>
      </c>
      <c r="AK165" s="37">
        <f>IF($AJ165&gt;0,INDEX(专属武器!H$4:H$53,新属性汇总!$AJ165),0)</f>
        <v>13635</v>
      </c>
      <c r="AL165" s="37">
        <f>IF($AJ165&gt;0,INDEX(专属武器!I$4:I$53,新属性汇总!$AJ165),0)</f>
        <v>6809</v>
      </c>
      <c r="AM165" s="37">
        <f>IF($AJ165&gt;0,INDEX(专属武器!J$4:J$53,新属性汇总!$AJ165),0)</f>
        <v>61392</v>
      </c>
      <c r="AQ165" s="13">
        <v>161</v>
      </c>
      <c r="AR165" s="13">
        <f t="shared" si="71"/>
        <v>25096.150999999994</v>
      </c>
      <c r="AS165" s="13">
        <f t="shared" si="72"/>
        <v>12545.775499999998</v>
      </c>
      <c r="AT165" s="13">
        <f t="shared" si="73"/>
        <v>134216.5</v>
      </c>
      <c r="AU165" s="13">
        <f t="shared" si="74"/>
        <v>13577.5</v>
      </c>
      <c r="AV165" s="13">
        <f t="shared" si="75"/>
        <v>6708.25</v>
      </c>
      <c r="AW165" s="13">
        <f t="shared" si="76"/>
        <v>72962.5</v>
      </c>
      <c r="AX165" s="13">
        <f t="shared" si="77"/>
        <v>5668</v>
      </c>
      <c r="AY165" s="13">
        <f t="shared" si="78"/>
        <v>2355.6</v>
      </c>
      <c r="AZ165" s="13">
        <f t="shared" si="79"/>
        <v>25194</v>
      </c>
      <c r="BA165" s="13">
        <f t="shared" si="80"/>
        <v>16262</v>
      </c>
      <c r="BB165" s="13">
        <f t="shared" si="81"/>
        <v>0</v>
      </c>
      <c r="BC165" s="13">
        <f t="shared" si="82"/>
        <v>16262</v>
      </c>
      <c r="BD165" s="13">
        <f t="shared" si="83"/>
        <v>12526</v>
      </c>
      <c r="BE165" s="13">
        <f t="shared" si="84"/>
        <v>6255</v>
      </c>
      <c r="BF165" s="13">
        <f t="shared" si="85"/>
        <v>56401</v>
      </c>
      <c r="BG165" s="13">
        <f t="shared" si="86"/>
        <v>385155</v>
      </c>
      <c r="BH165" s="13">
        <f t="shared" si="87"/>
        <v>207932</v>
      </c>
      <c r="BI165" s="13">
        <f t="shared" si="88"/>
        <v>77090</v>
      </c>
      <c r="BJ165" s="13">
        <f t="shared" si="89"/>
        <v>97572</v>
      </c>
      <c r="BK165" s="13">
        <f t="shared" si="90"/>
        <v>181581</v>
      </c>
      <c r="BL165" s="13">
        <f t="shared" si="91"/>
        <v>949330</v>
      </c>
      <c r="BM165" s="31">
        <f t="shared" si="92"/>
        <v>0.40570000000000001</v>
      </c>
      <c r="BN165" s="31">
        <f t="shared" si="93"/>
        <v>0.219</v>
      </c>
      <c r="BO165" s="31">
        <f t="shared" si="94"/>
        <v>8.1199999999999994E-2</v>
      </c>
      <c r="BP165" s="31">
        <f t="shared" si="95"/>
        <v>0.1028</v>
      </c>
      <c r="BQ165" s="31">
        <f t="shared" si="96"/>
        <v>0.1913</v>
      </c>
    </row>
    <row r="166" spans="1:69" ht="16.5" x14ac:dyDescent="0.2">
      <c r="A166" s="37">
        <v>163</v>
      </c>
      <c r="B166" s="37">
        <v>17</v>
      </c>
      <c r="C166" s="37">
        <v>1</v>
      </c>
      <c r="D166" s="37">
        <v>3</v>
      </c>
      <c r="E166" s="37">
        <v>163</v>
      </c>
      <c r="F166" s="37">
        <f>INDEX(新属性投放!$L$6:$L$10,新属性汇总!D166)</f>
        <v>1.1499999999999999</v>
      </c>
      <c r="G166" s="37">
        <f>INDEX(新属性投放!J$42:J$62,新属性汇总!$B166)</f>
        <v>21294.499999999996</v>
      </c>
      <c r="H166" s="37">
        <f>INDEX(新属性投放!K$42:K$62,新属性汇总!$B166)</f>
        <v>10645.249999999998</v>
      </c>
      <c r="I166" s="37">
        <f>INDEX(新属性投放!L$42:L$62,新属性汇总!$B166)</f>
        <v>114333</v>
      </c>
      <c r="J166" s="37">
        <f>($A166-INDEX(新属性投放!$B$42:$B$62,新属性汇总!$B166))*INDEX(新属性投放!D$42:D$62,新属性汇总!$B166)</f>
        <v>1584.72</v>
      </c>
      <c r="K166" s="37">
        <f>($A166-INDEX(新属性投放!$B$42:$B$62,新属性汇总!$B166))*INDEX(新属性投放!E$42:E$62,新属性汇总!$B166)</f>
        <v>792.36</v>
      </c>
      <c r="L166" s="37">
        <f>($A166-INDEX(新属性投放!$B$42:$B$62,新属性汇总!$B166))*INDEX(新属性投放!F$42:F$62,新属性汇总!$B166)</f>
        <v>7131</v>
      </c>
      <c r="M166" s="37">
        <f t="shared" si="65"/>
        <v>26311.102999999996</v>
      </c>
      <c r="N166" s="37">
        <f t="shared" si="66"/>
        <v>13153.251499999997</v>
      </c>
      <c r="O166" s="37">
        <f t="shared" si="67"/>
        <v>139683.59999999998</v>
      </c>
      <c r="P166" s="37">
        <v>5</v>
      </c>
      <c r="Q166" s="37">
        <v>4</v>
      </c>
      <c r="R166">
        <v>163</v>
      </c>
      <c r="S166" s="37">
        <f>IF($P166&gt;0,INDEX(装备!L$11:L$16,新属性汇总!$P166),0)</f>
        <v>3112.5</v>
      </c>
      <c r="T166" s="37">
        <f>IF($P166&gt;0,INDEX(装备!M$11:M$16,新属性汇总!$P166),0)</f>
        <v>1556.25</v>
      </c>
      <c r="U166" s="37">
        <f>IF($P166&gt;0,INDEX(装备!N$11:N$16,新属性汇总!$P166),0)</f>
        <v>16612.5</v>
      </c>
      <c r="V166" s="37">
        <f>IF($P166&gt;0,INDEX(装备!H$11:H$16,新属性汇总!$P166),0)</f>
        <v>65</v>
      </c>
      <c r="W166" s="37">
        <f>IF($P166&gt;0,INDEX(装备!I$11:I$16,新属性汇总!$P166),0)</f>
        <v>32</v>
      </c>
      <c r="X166" s="37">
        <f>IF($P166&gt;0,INDEX(装备!J$11:J$16,新属性汇总!$P166),0)</f>
        <v>350</v>
      </c>
      <c r="Y166" s="37">
        <f t="shared" si="68"/>
        <v>13707.5</v>
      </c>
      <c r="Z166" s="37">
        <f t="shared" si="69"/>
        <v>6772.25</v>
      </c>
      <c r="AA166" s="37">
        <f t="shared" si="70"/>
        <v>73662.5</v>
      </c>
      <c r="AB166" s="37">
        <v>0.65</v>
      </c>
      <c r="AC166" s="37">
        <f>IF(P166&gt;0,INDEX(装备!$BP$5:$BP$16,新属性汇总!P166),0)</f>
        <v>5</v>
      </c>
      <c r="AD166" s="37">
        <f>IF($P166&gt;0,ROUND(INDEX(装备!AY$11:AY$16,新属性汇总!$P166)*$AC166/3,0)*8*AB166,0)</f>
        <v>5668</v>
      </c>
      <c r="AE166" s="37">
        <f>IF($P166&gt;0,ROUND(INDEX(装备!AZ$11:AZ$16,新属性汇总!$P166)*$AC166/3,0)*8*AB166,0)</f>
        <v>2355.6</v>
      </c>
      <c r="AF166" s="37">
        <f>IF($P166&gt;0,ROUND(INDEX(装备!BA$11:BA$16,新属性汇总!$P166)*$AC166/3,0)*8*AB166,0)</f>
        <v>25194</v>
      </c>
      <c r="AG166" s="37">
        <f>IF(新属性汇总!P166&gt;0,INDEX(装备!$AP$11:$AP$16,新属性汇总!$P166)*2,0)</f>
        <v>16262</v>
      </c>
      <c r="AH166" s="37">
        <v>0</v>
      </c>
      <c r="AI166" s="37">
        <f>IF(新属性汇总!P166&gt;0,INDEX(装备!$AP$11:$AP$16,新属性汇总!$P166)*2,0)</f>
        <v>16262</v>
      </c>
      <c r="AJ166" s="37">
        <v>38</v>
      </c>
      <c r="AK166" s="37">
        <f>IF($AJ166&gt;0,INDEX(专属武器!H$4:H$53,新属性汇总!$AJ166),0)</f>
        <v>13635</v>
      </c>
      <c r="AL166" s="37">
        <f>IF($AJ166&gt;0,INDEX(专属武器!I$4:I$53,新属性汇总!$AJ166),0)</f>
        <v>6809</v>
      </c>
      <c r="AM166" s="37">
        <f>IF($AJ166&gt;0,INDEX(专属武器!J$4:J$53,新属性汇总!$AJ166),0)</f>
        <v>61392</v>
      </c>
      <c r="AQ166" s="13">
        <v>162</v>
      </c>
      <c r="AR166" s="13">
        <f t="shared" si="71"/>
        <v>25703.626999999993</v>
      </c>
      <c r="AS166" s="13">
        <f t="shared" si="72"/>
        <v>12849.513499999997</v>
      </c>
      <c r="AT166" s="13">
        <f t="shared" si="73"/>
        <v>136950.04999999999</v>
      </c>
      <c r="AU166" s="13">
        <f t="shared" si="74"/>
        <v>13642.5</v>
      </c>
      <c r="AV166" s="13">
        <f t="shared" si="75"/>
        <v>6740.25</v>
      </c>
      <c r="AW166" s="13">
        <f t="shared" si="76"/>
        <v>73312.5</v>
      </c>
      <c r="AX166" s="13">
        <f t="shared" si="77"/>
        <v>5668</v>
      </c>
      <c r="AY166" s="13">
        <f t="shared" si="78"/>
        <v>2355.6</v>
      </c>
      <c r="AZ166" s="13">
        <f t="shared" si="79"/>
        <v>25194</v>
      </c>
      <c r="BA166" s="13">
        <f t="shared" si="80"/>
        <v>16262</v>
      </c>
      <c r="BB166" s="13">
        <f t="shared" si="81"/>
        <v>0</v>
      </c>
      <c r="BC166" s="13">
        <f t="shared" si="82"/>
        <v>16262</v>
      </c>
      <c r="BD166" s="13">
        <f t="shared" si="83"/>
        <v>13635</v>
      </c>
      <c r="BE166" s="13">
        <f t="shared" si="84"/>
        <v>6809</v>
      </c>
      <c r="BF166" s="13">
        <f t="shared" si="85"/>
        <v>61392</v>
      </c>
      <c r="BG166" s="13">
        <f t="shared" si="86"/>
        <v>393963</v>
      </c>
      <c r="BH166" s="13">
        <f t="shared" si="87"/>
        <v>208927</v>
      </c>
      <c r="BI166" s="13">
        <f t="shared" si="88"/>
        <v>77090</v>
      </c>
      <c r="BJ166" s="13">
        <f t="shared" si="89"/>
        <v>97572</v>
      </c>
      <c r="BK166" s="13">
        <f t="shared" si="90"/>
        <v>197657</v>
      </c>
      <c r="BL166" s="13">
        <f t="shared" si="91"/>
        <v>975209</v>
      </c>
      <c r="BM166" s="31">
        <f t="shared" si="92"/>
        <v>0.40400000000000003</v>
      </c>
      <c r="BN166" s="31">
        <f t="shared" si="93"/>
        <v>0.2142</v>
      </c>
      <c r="BO166" s="31">
        <f t="shared" si="94"/>
        <v>7.9000000000000001E-2</v>
      </c>
      <c r="BP166" s="31">
        <f t="shared" si="95"/>
        <v>0.10009999999999999</v>
      </c>
      <c r="BQ166" s="31">
        <f t="shared" si="96"/>
        <v>0.20269999999999999</v>
      </c>
    </row>
    <row r="167" spans="1:69" ht="16.5" x14ac:dyDescent="0.2">
      <c r="A167" s="37">
        <v>164</v>
      </c>
      <c r="B167" s="37">
        <v>17</v>
      </c>
      <c r="C167" s="37">
        <v>1</v>
      </c>
      <c r="D167" s="37">
        <v>3</v>
      </c>
      <c r="E167" s="37">
        <v>164</v>
      </c>
      <c r="F167" s="37">
        <f>INDEX(新属性投放!$L$6:$L$10,新属性汇总!D167)</f>
        <v>1.1499999999999999</v>
      </c>
      <c r="G167" s="37">
        <f>INDEX(新属性投放!J$42:J$62,新属性汇总!$B167)</f>
        <v>21294.499999999996</v>
      </c>
      <c r="H167" s="37">
        <f>INDEX(新属性投放!K$42:K$62,新属性汇总!$B167)</f>
        <v>10645.249999999998</v>
      </c>
      <c r="I167" s="37">
        <f>INDEX(新属性投放!L$42:L$62,新属性汇总!$B167)</f>
        <v>114333</v>
      </c>
      <c r="J167" s="37">
        <f>($A167-INDEX(新属性投放!$B$42:$B$62,新属性汇总!$B167))*INDEX(新属性投放!D$42:D$62,新属性汇总!$B167)</f>
        <v>2112.96</v>
      </c>
      <c r="K167" s="37">
        <f>($A167-INDEX(新属性投放!$B$42:$B$62,新属性汇总!$B167))*INDEX(新属性投放!E$42:E$62,新属性汇总!$B167)</f>
        <v>1056.48</v>
      </c>
      <c r="L167" s="37">
        <f>($A167-INDEX(新属性投放!$B$42:$B$62,新属性汇总!$B167))*INDEX(新属性投放!F$42:F$62,新属性汇总!$B167)</f>
        <v>9508</v>
      </c>
      <c r="M167" s="37">
        <f t="shared" si="65"/>
        <v>26918.578999999994</v>
      </c>
      <c r="N167" s="37">
        <f t="shared" si="66"/>
        <v>13456.989499999996</v>
      </c>
      <c r="O167" s="37">
        <f t="shared" si="67"/>
        <v>142417.15</v>
      </c>
      <c r="P167" s="37">
        <v>5</v>
      </c>
      <c r="Q167" s="37">
        <v>4</v>
      </c>
      <c r="R167">
        <v>164</v>
      </c>
      <c r="S167" s="37">
        <f>IF($P167&gt;0,INDEX(装备!L$11:L$16,新属性汇总!$P167),0)</f>
        <v>3112.5</v>
      </c>
      <c r="T167" s="37">
        <f>IF($P167&gt;0,INDEX(装备!M$11:M$16,新属性汇总!$P167),0)</f>
        <v>1556.25</v>
      </c>
      <c r="U167" s="37">
        <f>IF($P167&gt;0,INDEX(装备!N$11:N$16,新属性汇总!$P167),0)</f>
        <v>16612.5</v>
      </c>
      <c r="V167" s="37">
        <f>IF($P167&gt;0,INDEX(装备!H$11:H$16,新属性汇总!$P167),0)</f>
        <v>65</v>
      </c>
      <c r="W167" s="37">
        <f>IF($P167&gt;0,INDEX(装备!I$11:I$16,新属性汇总!$P167),0)</f>
        <v>32</v>
      </c>
      <c r="X167" s="37">
        <f>IF($P167&gt;0,INDEX(装备!J$11:J$16,新属性汇总!$P167),0)</f>
        <v>350</v>
      </c>
      <c r="Y167" s="37">
        <f t="shared" si="68"/>
        <v>13772.5</v>
      </c>
      <c r="Z167" s="37">
        <f t="shared" si="69"/>
        <v>6804.25</v>
      </c>
      <c r="AA167" s="37">
        <f t="shared" si="70"/>
        <v>74012.5</v>
      </c>
      <c r="AB167" s="37">
        <v>0.65</v>
      </c>
      <c r="AC167" s="37">
        <f>IF(P167&gt;0,INDEX(装备!$BP$5:$BP$16,新属性汇总!P167),0)</f>
        <v>5</v>
      </c>
      <c r="AD167" s="37">
        <f>IF($P167&gt;0,ROUND(INDEX(装备!AY$11:AY$16,新属性汇总!$P167)*$AC167/3,0)*8*AB167,0)</f>
        <v>5668</v>
      </c>
      <c r="AE167" s="37">
        <f>IF($P167&gt;0,ROUND(INDEX(装备!AZ$11:AZ$16,新属性汇总!$P167)*$AC167/3,0)*8*AB167,0)</f>
        <v>2355.6</v>
      </c>
      <c r="AF167" s="37">
        <f>IF($P167&gt;0,ROUND(INDEX(装备!BA$11:BA$16,新属性汇总!$P167)*$AC167/3,0)*8*AB167,0)</f>
        <v>25194</v>
      </c>
      <c r="AG167" s="37">
        <f>IF(新属性汇总!P167&gt;0,INDEX(装备!$AP$11:$AP$16,新属性汇总!$P167)*2,0)</f>
        <v>16262</v>
      </c>
      <c r="AH167" s="37">
        <v>0</v>
      </c>
      <c r="AI167" s="37">
        <f>IF(新属性汇总!P167&gt;0,INDEX(装备!$AP$11:$AP$16,新属性汇总!$P167)*2,0)</f>
        <v>16262</v>
      </c>
      <c r="AJ167" s="37">
        <v>38</v>
      </c>
      <c r="AK167" s="37">
        <f>IF($AJ167&gt;0,INDEX(专属武器!H$4:H$53,新属性汇总!$AJ167),0)</f>
        <v>13635</v>
      </c>
      <c r="AL167" s="37">
        <f>IF($AJ167&gt;0,INDEX(专属武器!I$4:I$53,新属性汇总!$AJ167),0)</f>
        <v>6809</v>
      </c>
      <c r="AM167" s="37">
        <f>IF($AJ167&gt;0,INDEX(专属武器!J$4:J$53,新属性汇总!$AJ167),0)</f>
        <v>61392</v>
      </c>
      <c r="AQ167" s="13">
        <v>163</v>
      </c>
      <c r="AR167" s="13">
        <f t="shared" si="71"/>
        <v>26311.102999999996</v>
      </c>
      <c r="AS167" s="13">
        <f t="shared" si="72"/>
        <v>13153.251499999997</v>
      </c>
      <c r="AT167" s="13">
        <f t="shared" si="73"/>
        <v>139683.59999999998</v>
      </c>
      <c r="AU167" s="13">
        <f t="shared" si="74"/>
        <v>13707.5</v>
      </c>
      <c r="AV167" s="13">
        <f t="shared" si="75"/>
        <v>6772.25</v>
      </c>
      <c r="AW167" s="13">
        <f t="shared" si="76"/>
        <v>73662.5</v>
      </c>
      <c r="AX167" s="13">
        <f t="shared" si="77"/>
        <v>5668</v>
      </c>
      <c r="AY167" s="13">
        <f t="shared" si="78"/>
        <v>2355.6</v>
      </c>
      <c r="AZ167" s="13">
        <f t="shared" si="79"/>
        <v>25194</v>
      </c>
      <c r="BA167" s="13">
        <f t="shared" si="80"/>
        <v>16262</v>
      </c>
      <c r="BB167" s="13">
        <f t="shared" si="81"/>
        <v>0</v>
      </c>
      <c r="BC167" s="13">
        <f t="shared" si="82"/>
        <v>16262</v>
      </c>
      <c r="BD167" s="13">
        <f t="shared" si="83"/>
        <v>13635</v>
      </c>
      <c r="BE167" s="13">
        <f t="shared" si="84"/>
        <v>6809</v>
      </c>
      <c r="BF167" s="13">
        <f t="shared" si="85"/>
        <v>61392</v>
      </c>
      <c r="BG167" s="13">
        <f t="shared" si="86"/>
        <v>402771</v>
      </c>
      <c r="BH167" s="13">
        <f t="shared" si="87"/>
        <v>209922</v>
      </c>
      <c r="BI167" s="13">
        <f t="shared" si="88"/>
        <v>77090</v>
      </c>
      <c r="BJ167" s="13">
        <f t="shared" si="89"/>
        <v>97572</v>
      </c>
      <c r="BK167" s="13">
        <f t="shared" si="90"/>
        <v>197657</v>
      </c>
      <c r="BL167" s="13">
        <f t="shared" si="91"/>
        <v>985012</v>
      </c>
      <c r="BM167" s="31">
        <f t="shared" si="92"/>
        <v>0.40889999999999999</v>
      </c>
      <c r="BN167" s="31">
        <f t="shared" si="93"/>
        <v>0.21310000000000001</v>
      </c>
      <c r="BO167" s="31">
        <f t="shared" si="94"/>
        <v>7.8299999999999995E-2</v>
      </c>
      <c r="BP167" s="31">
        <f t="shared" si="95"/>
        <v>9.9099999999999994E-2</v>
      </c>
      <c r="BQ167" s="31">
        <f t="shared" si="96"/>
        <v>0.20069999999999999</v>
      </c>
    </row>
    <row r="168" spans="1:69" ht="16.5" x14ac:dyDescent="0.2">
      <c r="A168" s="37">
        <v>165</v>
      </c>
      <c r="B168" s="37">
        <v>17</v>
      </c>
      <c r="C168" s="37">
        <v>1</v>
      </c>
      <c r="D168" s="37">
        <v>3</v>
      </c>
      <c r="E168" s="37">
        <v>165</v>
      </c>
      <c r="F168" s="37">
        <f>INDEX(新属性投放!$L$6:$L$10,新属性汇总!D168)</f>
        <v>1.1499999999999999</v>
      </c>
      <c r="G168" s="37">
        <f>INDEX(新属性投放!J$42:J$62,新属性汇总!$B168)</f>
        <v>21294.499999999996</v>
      </c>
      <c r="H168" s="37">
        <f>INDEX(新属性投放!K$42:K$62,新属性汇总!$B168)</f>
        <v>10645.249999999998</v>
      </c>
      <c r="I168" s="37">
        <f>INDEX(新属性投放!L$42:L$62,新属性汇总!$B168)</f>
        <v>114333</v>
      </c>
      <c r="J168" s="37">
        <f>($A168-INDEX(新属性投放!$B$42:$B$62,新属性汇总!$B168))*INDEX(新属性投放!D$42:D$62,新属性汇总!$B168)</f>
        <v>2641.2</v>
      </c>
      <c r="K168" s="37">
        <f>($A168-INDEX(新属性投放!$B$42:$B$62,新属性汇总!$B168))*INDEX(新属性投放!E$42:E$62,新属性汇总!$B168)</f>
        <v>1320.6</v>
      </c>
      <c r="L168" s="37">
        <f>($A168-INDEX(新属性投放!$B$42:$B$62,新属性汇总!$B168))*INDEX(新属性投放!F$42:F$62,新属性汇总!$B168)</f>
        <v>11885</v>
      </c>
      <c r="M168" s="37">
        <f t="shared" si="65"/>
        <v>27526.054999999993</v>
      </c>
      <c r="N168" s="37">
        <f t="shared" si="66"/>
        <v>13760.727499999997</v>
      </c>
      <c r="O168" s="37">
        <f t="shared" si="67"/>
        <v>145150.69999999998</v>
      </c>
      <c r="P168" s="37">
        <v>5</v>
      </c>
      <c r="Q168" s="37">
        <v>4</v>
      </c>
      <c r="R168">
        <v>165</v>
      </c>
      <c r="S168" s="37">
        <f>IF($P168&gt;0,INDEX(装备!L$11:L$16,新属性汇总!$P168),0)</f>
        <v>3112.5</v>
      </c>
      <c r="T168" s="37">
        <f>IF($P168&gt;0,INDEX(装备!M$11:M$16,新属性汇总!$P168),0)</f>
        <v>1556.25</v>
      </c>
      <c r="U168" s="37">
        <f>IF($P168&gt;0,INDEX(装备!N$11:N$16,新属性汇总!$P168),0)</f>
        <v>16612.5</v>
      </c>
      <c r="V168" s="37">
        <f>IF($P168&gt;0,INDEX(装备!H$11:H$16,新属性汇总!$P168),0)</f>
        <v>65</v>
      </c>
      <c r="W168" s="37">
        <f>IF($P168&gt;0,INDEX(装备!I$11:I$16,新属性汇总!$P168),0)</f>
        <v>32</v>
      </c>
      <c r="X168" s="37">
        <f>IF($P168&gt;0,INDEX(装备!J$11:J$16,新属性汇总!$P168),0)</f>
        <v>350</v>
      </c>
      <c r="Y168" s="37">
        <f t="shared" si="68"/>
        <v>13837.5</v>
      </c>
      <c r="Z168" s="37">
        <f t="shared" si="69"/>
        <v>6836.25</v>
      </c>
      <c r="AA168" s="37">
        <f t="shared" si="70"/>
        <v>74362.5</v>
      </c>
      <c r="AB168" s="37">
        <v>0.65</v>
      </c>
      <c r="AC168" s="37">
        <f>IF(P168&gt;0,INDEX(装备!$BP$5:$BP$16,新属性汇总!P168),0)</f>
        <v>5</v>
      </c>
      <c r="AD168" s="37">
        <f>IF($P168&gt;0,ROUND(INDEX(装备!AY$11:AY$16,新属性汇总!$P168)*$AC168/3,0)*8*AB168,0)</f>
        <v>5668</v>
      </c>
      <c r="AE168" s="37">
        <f>IF($P168&gt;0,ROUND(INDEX(装备!AZ$11:AZ$16,新属性汇总!$P168)*$AC168/3,0)*8*AB168,0)</f>
        <v>2355.6</v>
      </c>
      <c r="AF168" s="37">
        <f>IF($P168&gt;0,ROUND(INDEX(装备!BA$11:BA$16,新属性汇总!$P168)*$AC168/3,0)*8*AB168,0)</f>
        <v>25194</v>
      </c>
      <c r="AG168" s="37">
        <f>IF(新属性汇总!P168&gt;0,INDEX(装备!$AP$11:$AP$16,新属性汇总!$P168)*2,0)</f>
        <v>16262</v>
      </c>
      <c r="AH168" s="37">
        <v>0</v>
      </c>
      <c r="AI168" s="37">
        <f>IF(新属性汇总!P168&gt;0,INDEX(装备!$AP$11:$AP$16,新属性汇总!$P168)*2,0)</f>
        <v>16262</v>
      </c>
      <c r="AJ168" s="37">
        <v>38</v>
      </c>
      <c r="AK168" s="37">
        <f>IF($AJ168&gt;0,INDEX(专属武器!H$4:H$53,新属性汇总!$AJ168),0)</f>
        <v>13635</v>
      </c>
      <c r="AL168" s="37">
        <f>IF($AJ168&gt;0,INDEX(专属武器!I$4:I$53,新属性汇总!$AJ168),0)</f>
        <v>6809</v>
      </c>
      <c r="AM168" s="37">
        <f>IF($AJ168&gt;0,INDEX(专属武器!J$4:J$53,新属性汇总!$AJ168),0)</f>
        <v>61392</v>
      </c>
      <c r="AQ168" s="13">
        <v>164</v>
      </c>
      <c r="AR168" s="13">
        <f t="shared" si="71"/>
        <v>26918.578999999994</v>
      </c>
      <c r="AS168" s="13">
        <f t="shared" si="72"/>
        <v>13456.989499999996</v>
      </c>
      <c r="AT168" s="13">
        <f t="shared" si="73"/>
        <v>142417.15</v>
      </c>
      <c r="AU168" s="13">
        <f t="shared" si="74"/>
        <v>13772.5</v>
      </c>
      <c r="AV168" s="13">
        <f t="shared" si="75"/>
        <v>6804.25</v>
      </c>
      <c r="AW168" s="13">
        <f t="shared" si="76"/>
        <v>74012.5</v>
      </c>
      <c r="AX168" s="13">
        <f t="shared" si="77"/>
        <v>5668</v>
      </c>
      <c r="AY168" s="13">
        <f t="shared" si="78"/>
        <v>2355.6</v>
      </c>
      <c r="AZ168" s="13">
        <f t="shared" si="79"/>
        <v>25194</v>
      </c>
      <c r="BA168" s="13">
        <f t="shared" si="80"/>
        <v>16262</v>
      </c>
      <c r="BB168" s="13">
        <f t="shared" si="81"/>
        <v>0</v>
      </c>
      <c r="BC168" s="13">
        <f t="shared" si="82"/>
        <v>16262</v>
      </c>
      <c r="BD168" s="13">
        <f t="shared" si="83"/>
        <v>13635</v>
      </c>
      <c r="BE168" s="13">
        <f t="shared" si="84"/>
        <v>6809</v>
      </c>
      <c r="BF168" s="13">
        <f t="shared" si="85"/>
        <v>61392</v>
      </c>
      <c r="BG168" s="13">
        <f t="shared" si="86"/>
        <v>411579</v>
      </c>
      <c r="BH168" s="13">
        <f t="shared" si="87"/>
        <v>210917</v>
      </c>
      <c r="BI168" s="13">
        <f t="shared" si="88"/>
        <v>77090</v>
      </c>
      <c r="BJ168" s="13">
        <f t="shared" si="89"/>
        <v>97572</v>
      </c>
      <c r="BK168" s="13">
        <f t="shared" si="90"/>
        <v>197657</v>
      </c>
      <c r="BL168" s="13">
        <f t="shared" si="91"/>
        <v>994815</v>
      </c>
      <c r="BM168" s="31">
        <f t="shared" si="92"/>
        <v>0.41370000000000001</v>
      </c>
      <c r="BN168" s="31">
        <f t="shared" si="93"/>
        <v>0.21199999999999999</v>
      </c>
      <c r="BO168" s="31">
        <f t="shared" si="94"/>
        <v>7.7499999999999999E-2</v>
      </c>
      <c r="BP168" s="31">
        <f t="shared" si="95"/>
        <v>9.8100000000000007E-2</v>
      </c>
      <c r="BQ168" s="31">
        <f t="shared" si="96"/>
        <v>0.19869999999999999</v>
      </c>
    </row>
    <row r="169" spans="1:69" ht="16.5" x14ac:dyDescent="0.2">
      <c r="A169" s="37">
        <v>166</v>
      </c>
      <c r="B169" s="37">
        <v>17</v>
      </c>
      <c r="C169" s="37">
        <v>1</v>
      </c>
      <c r="D169" s="37">
        <v>3</v>
      </c>
      <c r="E169" s="37">
        <v>166</v>
      </c>
      <c r="F169" s="37">
        <f>INDEX(新属性投放!$L$6:$L$10,新属性汇总!D169)</f>
        <v>1.1499999999999999</v>
      </c>
      <c r="G169" s="37">
        <f>INDEX(新属性投放!J$42:J$62,新属性汇总!$B169)</f>
        <v>21294.499999999996</v>
      </c>
      <c r="H169" s="37">
        <f>INDEX(新属性投放!K$42:K$62,新属性汇总!$B169)</f>
        <v>10645.249999999998</v>
      </c>
      <c r="I169" s="37">
        <f>INDEX(新属性投放!L$42:L$62,新属性汇总!$B169)</f>
        <v>114333</v>
      </c>
      <c r="J169" s="37">
        <f>($A169-INDEX(新属性投放!$B$42:$B$62,新属性汇总!$B169))*INDEX(新属性投放!D$42:D$62,新属性汇总!$B169)</f>
        <v>3169.44</v>
      </c>
      <c r="K169" s="37">
        <f>($A169-INDEX(新属性投放!$B$42:$B$62,新属性汇总!$B169))*INDEX(新属性投放!E$42:E$62,新属性汇总!$B169)</f>
        <v>1584.72</v>
      </c>
      <c r="L169" s="37">
        <f>($A169-INDEX(新属性投放!$B$42:$B$62,新属性汇总!$B169))*INDEX(新属性投放!F$42:F$62,新属性汇总!$B169)</f>
        <v>14262</v>
      </c>
      <c r="M169" s="37">
        <f t="shared" si="65"/>
        <v>28133.530999999992</v>
      </c>
      <c r="N169" s="37">
        <f t="shared" si="66"/>
        <v>14064.465499999997</v>
      </c>
      <c r="O169" s="37">
        <f t="shared" si="67"/>
        <v>147884.25</v>
      </c>
      <c r="P169" s="37">
        <v>5</v>
      </c>
      <c r="Q169" s="37">
        <v>4</v>
      </c>
      <c r="R169">
        <v>166</v>
      </c>
      <c r="S169" s="37">
        <f>IF($P169&gt;0,INDEX(装备!L$11:L$16,新属性汇总!$P169),0)</f>
        <v>3112.5</v>
      </c>
      <c r="T169" s="37">
        <f>IF($P169&gt;0,INDEX(装备!M$11:M$16,新属性汇总!$P169),0)</f>
        <v>1556.25</v>
      </c>
      <c r="U169" s="37">
        <f>IF($P169&gt;0,INDEX(装备!N$11:N$16,新属性汇总!$P169),0)</f>
        <v>16612.5</v>
      </c>
      <c r="V169" s="37">
        <f>IF($P169&gt;0,INDEX(装备!H$11:H$16,新属性汇总!$P169),0)</f>
        <v>65</v>
      </c>
      <c r="W169" s="37">
        <f>IF($P169&gt;0,INDEX(装备!I$11:I$16,新属性汇总!$P169),0)</f>
        <v>32</v>
      </c>
      <c r="X169" s="37">
        <f>IF($P169&gt;0,INDEX(装备!J$11:J$16,新属性汇总!$P169),0)</f>
        <v>350</v>
      </c>
      <c r="Y169" s="37">
        <f t="shared" si="68"/>
        <v>13902.5</v>
      </c>
      <c r="Z169" s="37">
        <f t="shared" si="69"/>
        <v>6868.25</v>
      </c>
      <c r="AA169" s="37">
        <f t="shared" si="70"/>
        <v>74712.5</v>
      </c>
      <c r="AB169" s="37">
        <v>0.65</v>
      </c>
      <c r="AC169" s="37">
        <f>IF(P169&gt;0,INDEX(装备!$BP$5:$BP$16,新属性汇总!P169),0)</f>
        <v>5</v>
      </c>
      <c r="AD169" s="37">
        <f>IF($P169&gt;0,ROUND(INDEX(装备!AY$11:AY$16,新属性汇总!$P169)*$AC169/3,0)*8*AB169,0)</f>
        <v>5668</v>
      </c>
      <c r="AE169" s="37">
        <f>IF($P169&gt;0,ROUND(INDEX(装备!AZ$11:AZ$16,新属性汇总!$P169)*$AC169/3,0)*8*AB169,0)</f>
        <v>2355.6</v>
      </c>
      <c r="AF169" s="37">
        <f>IF($P169&gt;0,ROUND(INDEX(装备!BA$11:BA$16,新属性汇总!$P169)*$AC169/3,0)*8*AB169,0)</f>
        <v>25194</v>
      </c>
      <c r="AG169" s="37">
        <f>IF(新属性汇总!P169&gt;0,INDEX(装备!$AP$11:$AP$16,新属性汇总!$P169)*2,0)</f>
        <v>16262</v>
      </c>
      <c r="AH169" s="37">
        <v>0</v>
      </c>
      <c r="AI169" s="37">
        <f>IF(新属性汇总!P169&gt;0,INDEX(装备!$AP$11:$AP$16,新属性汇总!$P169)*2,0)</f>
        <v>16262</v>
      </c>
      <c r="AJ169" s="37">
        <v>39</v>
      </c>
      <c r="AK169" s="37">
        <f>IF($AJ169&gt;0,INDEX(专属武器!H$4:H$53,新属性汇总!$AJ169),0)</f>
        <v>15114</v>
      </c>
      <c r="AL169" s="37">
        <f>IF($AJ169&gt;0,INDEX(专属武器!I$4:I$53,新属性汇总!$AJ169),0)</f>
        <v>7548</v>
      </c>
      <c r="AM169" s="37">
        <f>IF($AJ169&gt;0,INDEX(专属武器!J$4:J$53,新属性汇总!$AJ169),0)</f>
        <v>68047</v>
      </c>
      <c r="AQ169" s="13">
        <v>165</v>
      </c>
      <c r="AR169" s="13">
        <f t="shared" si="71"/>
        <v>27526.054999999993</v>
      </c>
      <c r="AS169" s="13">
        <f t="shared" si="72"/>
        <v>13760.727499999997</v>
      </c>
      <c r="AT169" s="13">
        <f t="shared" si="73"/>
        <v>145150.69999999998</v>
      </c>
      <c r="AU169" s="13">
        <f t="shared" si="74"/>
        <v>13837.5</v>
      </c>
      <c r="AV169" s="13">
        <f t="shared" si="75"/>
        <v>6836.25</v>
      </c>
      <c r="AW169" s="13">
        <f t="shared" si="76"/>
        <v>74362.5</v>
      </c>
      <c r="AX169" s="13">
        <f t="shared" si="77"/>
        <v>5668</v>
      </c>
      <c r="AY169" s="13">
        <f t="shared" si="78"/>
        <v>2355.6</v>
      </c>
      <c r="AZ169" s="13">
        <f t="shared" si="79"/>
        <v>25194</v>
      </c>
      <c r="BA169" s="13">
        <f t="shared" si="80"/>
        <v>16262</v>
      </c>
      <c r="BB169" s="13">
        <f t="shared" si="81"/>
        <v>0</v>
      </c>
      <c r="BC169" s="13">
        <f t="shared" si="82"/>
        <v>16262</v>
      </c>
      <c r="BD169" s="13">
        <f t="shared" si="83"/>
        <v>13635</v>
      </c>
      <c r="BE169" s="13">
        <f t="shared" si="84"/>
        <v>6809</v>
      </c>
      <c r="BF169" s="13">
        <f t="shared" si="85"/>
        <v>61392</v>
      </c>
      <c r="BG169" s="13">
        <f t="shared" si="86"/>
        <v>420388</v>
      </c>
      <c r="BH169" s="13">
        <f t="shared" si="87"/>
        <v>211912</v>
      </c>
      <c r="BI169" s="13">
        <f t="shared" si="88"/>
        <v>77090</v>
      </c>
      <c r="BJ169" s="13">
        <f t="shared" si="89"/>
        <v>97572</v>
      </c>
      <c r="BK169" s="13">
        <f t="shared" si="90"/>
        <v>197657</v>
      </c>
      <c r="BL169" s="13">
        <f t="shared" si="91"/>
        <v>1004619</v>
      </c>
      <c r="BM169" s="31">
        <f t="shared" si="92"/>
        <v>0.41849999999999998</v>
      </c>
      <c r="BN169" s="31">
        <f t="shared" si="93"/>
        <v>0.2109</v>
      </c>
      <c r="BO169" s="31">
        <f t="shared" si="94"/>
        <v>7.6700000000000004E-2</v>
      </c>
      <c r="BP169" s="31">
        <f t="shared" si="95"/>
        <v>9.7100000000000006E-2</v>
      </c>
      <c r="BQ169" s="31">
        <f t="shared" si="96"/>
        <v>0.19670000000000001</v>
      </c>
    </row>
    <row r="170" spans="1:69" ht="16.5" x14ac:dyDescent="0.2">
      <c r="A170" s="37">
        <v>167</v>
      </c>
      <c r="B170" s="37">
        <v>17</v>
      </c>
      <c r="C170" s="37">
        <v>1</v>
      </c>
      <c r="D170" s="37">
        <v>3</v>
      </c>
      <c r="E170" s="37">
        <v>167</v>
      </c>
      <c r="F170" s="37">
        <f>INDEX(新属性投放!$L$6:$L$10,新属性汇总!D170)</f>
        <v>1.1499999999999999</v>
      </c>
      <c r="G170" s="37">
        <f>INDEX(新属性投放!J$42:J$62,新属性汇总!$B170)</f>
        <v>21294.499999999996</v>
      </c>
      <c r="H170" s="37">
        <f>INDEX(新属性投放!K$42:K$62,新属性汇总!$B170)</f>
        <v>10645.249999999998</v>
      </c>
      <c r="I170" s="37">
        <f>INDEX(新属性投放!L$42:L$62,新属性汇总!$B170)</f>
        <v>114333</v>
      </c>
      <c r="J170" s="37">
        <f>($A170-INDEX(新属性投放!$B$42:$B$62,新属性汇总!$B170))*INDEX(新属性投放!D$42:D$62,新属性汇总!$B170)</f>
        <v>3697.6800000000003</v>
      </c>
      <c r="K170" s="37">
        <f>($A170-INDEX(新属性投放!$B$42:$B$62,新属性汇总!$B170))*INDEX(新属性投放!E$42:E$62,新属性汇总!$B170)</f>
        <v>1848.8400000000001</v>
      </c>
      <c r="L170" s="37">
        <f>($A170-INDEX(新属性投放!$B$42:$B$62,新属性汇总!$B170))*INDEX(新属性投放!F$42:F$62,新属性汇总!$B170)</f>
        <v>16639</v>
      </c>
      <c r="M170" s="37">
        <f t="shared" si="65"/>
        <v>28741.006999999994</v>
      </c>
      <c r="N170" s="37">
        <f t="shared" si="66"/>
        <v>14368.203499999998</v>
      </c>
      <c r="O170" s="37">
        <f t="shared" si="67"/>
        <v>150617.79999999999</v>
      </c>
      <c r="P170" s="37">
        <v>5</v>
      </c>
      <c r="Q170" s="37">
        <v>4</v>
      </c>
      <c r="R170">
        <v>167</v>
      </c>
      <c r="S170" s="37">
        <f>IF($P170&gt;0,INDEX(装备!L$11:L$16,新属性汇总!$P170),0)</f>
        <v>3112.5</v>
      </c>
      <c r="T170" s="37">
        <f>IF($P170&gt;0,INDEX(装备!M$11:M$16,新属性汇总!$P170),0)</f>
        <v>1556.25</v>
      </c>
      <c r="U170" s="37">
        <f>IF($P170&gt;0,INDEX(装备!N$11:N$16,新属性汇总!$P170),0)</f>
        <v>16612.5</v>
      </c>
      <c r="V170" s="37">
        <f>IF($P170&gt;0,INDEX(装备!H$11:H$16,新属性汇总!$P170),0)</f>
        <v>65</v>
      </c>
      <c r="W170" s="37">
        <f>IF($P170&gt;0,INDEX(装备!I$11:I$16,新属性汇总!$P170),0)</f>
        <v>32</v>
      </c>
      <c r="X170" s="37">
        <f>IF($P170&gt;0,INDEX(装备!J$11:J$16,新属性汇总!$P170),0)</f>
        <v>350</v>
      </c>
      <c r="Y170" s="37">
        <f t="shared" si="68"/>
        <v>13967.5</v>
      </c>
      <c r="Z170" s="37">
        <f t="shared" si="69"/>
        <v>6900.25</v>
      </c>
      <c r="AA170" s="37">
        <f t="shared" si="70"/>
        <v>75062.5</v>
      </c>
      <c r="AB170" s="37">
        <v>0.65</v>
      </c>
      <c r="AC170" s="37">
        <f>IF(P170&gt;0,INDEX(装备!$BP$5:$BP$16,新属性汇总!P170),0)</f>
        <v>5</v>
      </c>
      <c r="AD170" s="37">
        <f>IF($P170&gt;0,ROUND(INDEX(装备!AY$11:AY$16,新属性汇总!$P170)*$AC170/3,0)*8*AB170,0)</f>
        <v>5668</v>
      </c>
      <c r="AE170" s="37">
        <f>IF($P170&gt;0,ROUND(INDEX(装备!AZ$11:AZ$16,新属性汇总!$P170)*$AC170/3,0)*8*AB170,0)</f>
        <v>2355.6</v>
      </c>
      <c r="AF170" s="37">
        <f>IF($P170&gt;0,ROUND(INDEX(装备!BA$11:BA$16,新属性汇总!$P170)*$AC170/3,0)*8*AB170,0)</f>
        <v>25194</v>
      </c>
      <c r="AG170" s="37">
        <f>IF(新属性汇总!P170&gt;0,INDEX(装备!$AP$11:$AP$16,新属性汇总!$P170)*2,0)</f>
        <v>16262</v>
      </c>
      <c r="AH170" s="37">
        <v>0</v>
      </c>
      <c r="AI170" s="37">
        <f>IF(新属性汇总!P170&gt;0,INDEX(装备!$AP$11:$AP$16,新属性汇总!$P170)*2,0)</f>
        <v>16262</v>
      </c>
      <c r="AJ170" s="37">
        <v>39</v>
      </c>
      <c r="AK170" s="37">
        <f>IF($AJ170&gt;0,INDEX(专属武器!H$4:H$53,新属性汇总!$AJ170),0)</f>
        <v>15114</v>
      </c>
      <c r="AL170" s="37">
        <f>IF($AJ170&gt;0,INDEX(专属武器!I$4:I$53,新属性汇总!$AJ170),0)</f>
        <v>7548</v>
      </c>
      <c r="AM170" s="37">
        <f>IF($AJ170&gt;0,INDEX(专属武器!J$4:J$53,新属性汇总!$AJ170),0)</f>
        <v>68047</v>
      </c>
      <c r="AQ170" s="13">
        <v>166</v>
      </c>
      <c r="AR170" s="13">
        <f t="shared" si="71"/>
        <v>28133.530999999992</v>
      </c>
      <c r="AS170" s="13">
        <f t="shared" si="72"/>
        <v>14064.465499999997</v>
      </c>
      <c r="AT170" s="13">
        <f t="shared" si="73"/>
        <v>147884.25</v>
      </c>
      <c r="AU170" s="13">
        <f t="shared" si="74"/>
        <v>13902.5</v>
      </c>
      <c r="AV170" s="13">
        <f t="shared" si="75"/>
        <v>6868.25</v>
      </c>
      <c r="AW170" s="13">
        <f t="shared" si="76"/>
        <v>74712.5</v>
      </c>
      <c r="AX170" s="13">
        <f t="shared" si="77"/>
        <v>5668</v>
      </c>
      <c r="AY170" s="13">
        <f t="shared" si="78"/>
        <v>2355.6</v>
      </c>
      <c r="AZ170" s="13">
        <f t="shared" si="79"/>
        <v>25194</v>
      </c>
      <c r="BA170" s="13">
        <f t="shared" si="80"/>
        <v>16262</v>
      </c>
      <c r="BB170" s="13">
        <f t="shared" si="81"/>
        <v>0</v>
      </c>
      <c r="BC170" s="13">
        <f t="shared" si="82"/>
        <v>16262</v>
      </c>
      <c r="BD170" s="13">
        <f t="shared" si="83"/>
        <v>15114</v>
      </c>
      <c r="BE170" s="13">
        <f t="shared" si="84"/>
        <v>7548</v>
      </c>
      <c r="BF170" s="13">
        <f t="shared" si="85"/>
        <v>68047</v>
      </c>
      <c r="BG170" s="13">
        <f t="shared" si="86"/>
        <v>429196</v>
      </c>
      <c r="BH170" s="13">
        <f t="shared" si="87"/>
        <v>212907</v>
      </c>
      <c r="BI170" s="13">
        <f t="shared" si="88"/>
        <v>77090</v>
      </c>
      <c r="BJ170" s="13">
        <f t="shared" si="89"/>
        <v>97572</v>
      </c>
      <c r="BK170" s="13">
        <f t="shared" si="90"/>
        <v>219097</v>
      </c>
      <c r="BL170" s="13">
        <f t="shared" si="91"/>
        <v>1035862</v>
      </c>
      <c r="BM170" s="31">
        <f t="shared" si="92"/>
        <v>0.4143</v>
      </c>
      <c r="BN170" s="31">
        <f t="shared" si="93"/>
        <v>0.20549999999999999</v>
      </c>
      <c r="BO170" s="31">
        <f t="shared" si="94"/>
        <v>7.4399999999999994E-2</v>
      </c>
      <c r="BP170" s="31">
        <f t="shared" si="95"/>
        <v>9.4200000000000006E-2</v>
      </c>
      <c r="BQ170" s="31">
        <f t="shared" si="96"/>
        <v>0.21149999999999999</v>
      </c>
    </row>
    <row r="171" spans="1:69" ht="16.5" x14ac:dyDescent="0.2">
      <c r="A171" s="37">
        <v>168</v>
      </c>
      <c r="B171" s="37">
        <v>17</v>
      </c>
      <c r="C171" s="37">
        <v>1</v>
      </c>
      <c r="D171" s="37">
        <v>3</v>
      </c>
      <c r="E171" s="37">
        <v>168</v>
      </c>
      <c r="F171" s="37">
        <f>INDEX(新属性投放!$L$6:$L$10,新属性汇总!D171)</f>
        <v>1.1499999999999999</v>
      </c>
      <c r="G171" s="37">
        <f>INDEX(新属性投放!J$42:J$62,新属性汇总!$B171)</f>
        <v>21294.499999999996</v>
      </c>
      <c r="H171" s="37">
        <f>INDEX(新属性投放!K$42:K$62,新属性汇总!$B171)</f>
        <v>10645.249999999998</v>
      </c>
      <c r="I171" s="37">
        <f>INDEX(新属性投放!L$42:L$62,新属性汇总!$B171)</f>
        <v>114333</v>
      </c>
      <c r="J171" s="37">
        <f>($A171-INDEX(新属性投放!$B$42:$B$62,新属性汇总!$B171))*INDEX(新属性投放!D$42:D$62,新属性汇总!$B171)</f>
        <v>4225.92</v>
      </c>
      <c r="K171" s="37">
        <f>($A171-INDEX(新属性投放!$B$42:$B$62,新属性汇总!$B171))*INDEX(新属性投放!E$42:E$62,新属性汇总!$B171)</f>
        <v>2112.96</v>
      </c>
      <c r="L171" s="37">
        <f>($A171-INDEX(新属性投放!$B$42:$B$62,新属性汇总!$B171))*INDEX(新属性投放!F$42:F$62,新属性汇总!$B171)</f>
        <v>19016</v>
      </c>
      <c r="M171" s="37">
        <f t="shared" si="65"/>
        <v>29348.482999999997</v>
      </c>
      <c r="N171" s="37">
        <f t="shared" si="66"/>
        <v>14671.941499999997</v>
      </c>
      <c r="O171" s="37">
        <f t="shared" si="67"/>
        <v>153351.34999999998</v>
      </c>
      <c r="P171" s="37">
        <v>5</v>
      </c>
      <c r="Q171" s="37">
        <v>4</v>
      </c>
      <c r="R171">
        <v>168</v>
      </c>
      <c r="S171" s="37">
        <f>IF($P171&gt;0,INDEX(装备!L$11:L$16,新属性汇总!$P171),0)</f>
        <v>3112.5</v>
      </c>
      <c r="T171" s="37">
        <f>IF($P171&gt;0,INDEX(装备!M$11:M$16,新属性汇总!$P171),0)</f>
        <v>1556.25</v>
      </c>
      <c r="U171" s="37">
        <f>IF($P171&gt;0,INDEX(装备!N$11:N$16,新属性汇总!$P171),0)</f>
        <v>16612.5</v>
      </c>
      <c r="V171" s="37">
        <f>IF($P171&gt;0,INDEX(装备!H$11:H$16,新属性汇总!$P171),0)</f>
        <v>65</v>
      </c>
      <c r="W171" s="37">
        <f>IF($P171&gt;0,INDEX(装备!I$11:I$16,新属性汇总!$P171),0)</f>
        <v>32</v>
      </c>
      <c r="X171" s="37">
        <f>IF($P171&gt;0,INDEX(装备!J$11:J$16,新属性汇总!$P171),0)</f>
        <v>350</v>
      </c>
      <c r="Y171" s="37">
        <f t="shared" si="68"/>
        <v>14032.5</v>
      </c>
      <c r="Z171" s="37">
        <f t="shared" si="69"/>
        <v>6932.25</v>
      </c>
      <c r="AA171" s="37">
        <f t="shared" si="70"/>
        <v>75412.5</v>
      </c>
      <c r="AB171" s="37">
        <v>0.65</v>
      </c>
      <c r="AC171" s="37">
        <f>IF(P171&gt;0,INDEX(装备!$BP$5:$BP$16,新属性汇总!P171),0)</f>
        <v>5</v>
      </c>
      <c r="AD171" s="37">
        <f>IF($P171&gt;0,ROUND(INDEX(装备!AY$11:AY$16,新属性汇总!$P171)*$AC171/3,0)*8*AB171,0)</f>
        <v>5668</v>
      </c>
      <c r="AE171" s="37">
        <f>IF($P171&gt;0,ROUND(INDEX(装备!AZ$11:AZ$16,新属性汇总!$P171)*$AC171/3,0)*8*AB171,0)</f>
        <v>2355.6</v>
      </c>
      <c r="AF171" s="37">
        <f>IF($P171&gt;0,ROUND(INDEX(装备!BA$11:BA$16,新属性汇总!$P171)*$AC171/3,0)*8*AB171,0)</f>
        <v>25194</v>
      </c>
      <c r="AG171" s="37">
        <f>IF(新属性汇总!P171&gt;0,INDEX(装备!$AP$11:$AP$16,新属性汇总!$P171)*2,0)</f>
        <v>16262</v>
      </c>
      <c r="AH171" s="37">
        <v>0</v>
      </c>
      <c r="AI171" s="37">
        <f>IF(新属性汇总!P171&gt;0,INDEX(装备!$AP$11:$AP$16,新属性汇总!$P171)*2,0)</f>
        <v>16262</v>
      </c>
      <c r="AJ171" s="37">
        <v>39</v>
      </c>
      <c r="AK171" s="37">
        <f>IF($AJ171&gt;0,INDEX(专属武器!H$4:H$53,新属性汇总!$AJ171),0)</f>
        <v>15114</v>
      </c>
      <c r="AL171" s="37">
        <f>IF($AJ171&gt;0,INDEX(专属武器!I$4:I$53,新属性汇总!$AJ171),0)</f>
        <v>7548</v>
      </c>
      <c r="AM171" s="37">
        <f>IF($AJ171&gt;0,INDEX(专属武器!J$4:J$53,新属性汇总!$AJ171),0)</f>
        <v>68047</v>
      </c>
      <c r="AQ171" s="13">
        <v>167</v>
      </c>
      <c r="AR171" s="13">
        <f t="shared" si="71"/>
        <v>28741.006999999994</v>
      </c>
      <c r="AS171" s="13">
        <f t="shared" si="72"/>
        <v>14368.203499999998</v>
      </c>
      <c r="AT171" s="13">
        <f t="shared" si="73"/>
        <v>150617.79999999999</v>
      </c>
      <c r="AU171" s="13">
        <f t="shared" si="74"/>
        <v>13967.5</v>
      </c>
      <c r="AV171" s="13">
        <f t="shared" si="75"/>
        <v>6900.25</v>
      </c>
      <c r="AW171" s="13">
        <f t="shared" si="76"/>
        <v>75062.5</v>
      </c>
      <c r="AX171" s="13">
        <f t="shared" si="77"/>
        <v>5668</v>
      </c>
      <c r="AY171" s="13">
        <f t="shared" si="78"/>
        <v>2355.6</v>
      </c>
      <c r="AZ171" s="13">
        <f t="shared" si="79"/>
        <v>25194</v>
      </c>
      <c r="BA171" s="13">
        <f t="shared" si="80"/>
        <v>16262</v>
      </c>
      <c r="BB171" s="13">
        <f t="shared" si="81"/>
        <v>0</v>
      </c>
      <c r="BC171" s="13">
        <f t="shared" si="82"/>
        <v>16262</v>
      </c>
      <c r="BD171" s="13">
        <f t="shared" si="83"/>
        <v>15114</v>
      </c>
      <c r="BE171" s="13">
        <f t="shared" si="84"/>
        <v>7548</v>
      </c>
      <c r="BF171" s="13">
        <f t="shared" si="85"/>
        <v>68047</v>
      </c>
      <c r="BG171" s="13">
        <f t="shared" si="86"/>
        <v>438004</v>
      </c>
      <c r="BH171" s="13">
        <f t="shared" si="87"/>
        <v>213902</v>
      </c>
      <c r="BI171" s="13">
        <f t="shared" si="88"/>
        <v>77090</v>
      </c>
      <c r="BJ171" s="13">
        <f t="shared" si="89"/>
        <v>97572</v>
      </c>
      <c r="BK171" s="13">
        <f t="shared" si="90"/>
        <v>219097</v>
      </c>
      <c r="BL171" s="13">
        <f t="shared" si="91"/>
        <v>1045665</v>
      </c>
      <c r="BM171" s="31">
        <f t="shared" si="92"/>
        <v>0.41889999999999999</v>
      </c>
      <c r="BN171" s="31">
        <f t="shared" si="93"/>
        <v>0.2046</v>
      </c>
      <c r="BO171" s="31">
        <f t="shared" si="94"/>
        <v>7.3700000000000002E-2</v>
      </c>
      <c r="BP171" s="31">
        <f t="shared" si="95"/>
        <v>9.3299999999999994E-2</v>
      </c>
      <c r="BQ171" s="31">
        <f t="shared" si="96"/>
        <v>0.20949999999999999</v>
      </c>
    </row>
    <row r="172" spans="1:69" ht="16.5" x14ac:dyDescent="0.2">
      <c r="A172" s="37">
        <v>169</v>
      </c>
      <c r="B172" s="37">
        <v>17</v>
      </c>
      <c r="C172" s="37">
        <v>1</v>
      </c>
      <c r="D172" s="37">
        <v>3</v>
      </c>
      <c r="E172" s="37">
        <v>169</v>
      </c>
      <c r="F172" s="37">
        <f>INDEX(新属性投放!$L$6:$L$10,新属性汇总!D172)</f>
        <v>1.1499999999999999</v>
      </c>
      <c r="G172" s="37">
        <f>INDEX(新属性投放!J$42:J$62,新属性汇总!$B172)</f>
        <v>21294.499999999996</v>
      </c>
      <c r="H172" s="37">
        <f>INDEX(新属性投放!K$42:K$62,新属性汇总!$B172)</f>
        <v>10645.249999999998</v>
      </c>
      <c r="I172" s="37">
        <f>INDEX(新属性投放!L$42:L$62,新属性汇总!$B172)</f>
        <v>114333</v>
      </c>
      <c r="J172" s="37">
        <f>($A172-INDEX(新属性投放!$B$42:$B$62,新属性汇总!$B172))*INDEX(新属性投放!D$42:D$62,新属性汇总!$B172)</f>
        <v>4754.16</v>
      </c>
      <c r="K172" s="37">
        <f>($A172-INDEX(新属性投放!$B$42:$B$62,新属性汇总!$B172))*INDEX(新属性投放!E$42:E$62,新属性汇总!$B172)</f>
        <v>2377.08</v>
      </c>
      <c r="L172" s="37">
        <f>($A172-INDEX(新属性投放!$B$42:$B$62,新属性汇总!$B172))*INDEX(新属性投放!F$42:F$62,新属性汇总!$B172)</f>
        <v>21393</v>
      </c>
      <c r="M172" s="37">
        <f t="shared" si="65"/>
        <v>29955.958999999992</v>
      </c>
      <c r="N172" s="37">
        <f t="shared" si="66"/>
        <v>14975.679499999997</v>
      </c>
      <c r="O172" s="37">
        <f t="shared" si="67"/>
        <v>156084.9</v>
      </c>
      <c r="P172" s="37">
        <v>5</v>
      </c>
      <c r="Q172" s="37">
        <v>4</v>
      </c>
      <c r="R172">
        <v>169</v>
      </c>
      <c r="S172" s="37">
        <f>IF($P172&gt;0,INDEX(装备!L$11:L$16,新属性汇总!$P172),0)</f>
        <v>3112.5</v>
      </c>
      <c r="T172" s="37">
        <f>IF($P172&gt;0,INDEX(装备!M$11:M$16,新属性汇总!$P172),0)</f>
        <v>1556.25</v>
      </c>
      <c r="U172" s="37">
        <f>IF($P172&gt;0,INDEX(装备!N$11:N$16,新属性汇总!$P172),0)</f>
        <v>16612.5</v>
      </c>
      <c r="V172" s="37">
        <f>IF($P172&gt;0,INDEX(装备!H$11:H$16,新属性汇总!$P172),0)</f>
        <v>65</v>
      </c>
      <c r="W172" s="37">
        <f>IF($P172&gt;0,INDEX(装备!I$11:I$16,新属性汇总!$P172),0)</f>
        <v>32</v>
      </c>
      <c r="X172" s="37">
        <f>IF($P172&gt;0,INDEX(装备!J$11:J$16,新属性汇总!$P172),0)</f>
        <v>350</v>
      </c>
      <c r="Y172" s="37">
        <f t="shared" si="68"/>
        <v>14097.5</v>
      </c>
      <c r="Z172" s="37">
        <f t="shared" si="69"/>
        <v>6964.25</v>
      </c>
      <c r="AA172" s="37">
        <f t="shared" si="70"/>
        <v>75762.5</v>
      </c>
      <c r="AB172" s="37">
        <v>0.65</v>
      </c>
      <c r="AC172" s="37">
        <f>IF(P172&gt;0,INDEX(装备!$BP$5:$BP$16,新属性汇总!P172),0)</f>
        <v>5</v>
      </c>
      <c r="AD172" s="37">
        <f>IF($P172&gt;0,ROUND(INDEX(装备!AY$11:AY$16,新属性汇总!$P172)*$AC172/3,0)*8*AB172,0)</f>
        <v>5668</v>
      </c>
      <c r="AE172" s="37">
        <f>IF($P172&gt;0,ROUND(INDEX(装备!AZ$11:AZ$16,新属性汇总!$P172)*$AC172/3,0)*8*AB172,0)</f>
        <v>2355.6</v>
      </c>
      <c r="AF172" s="37">
        <f>IF($P172&gt;0,ROUND(INDEX(装备!BA$11:BA$16,新属性汇总!$P172)*$AC172/3,0)*8*AB172,0)</f>
        <v>25194</v>
      </c>
      <c r="AG172" s="37">
        <f>IF(新属性汇总!P172&gt;0,INDEX(装备!$AP$11:$AP$16,新属性汇总!$P172)*2,0)</f>
        <v>16262</v>
      </c>
      <c r="AH172" s="37">
        <v>0</v>
      </c>
      <c r="AI172" s="37">
        <f>IF(新属性汇总!P172&gt;0,INDEX(装备!$AP$11:$AP$16,新属性汇总!$P172)*2,0)</f>
        <v>16262</v>
      </c>
      <c r="AJ172" s="37">
        <v>39</v>
      </c>
      <c r="AK172" s="37">
        <f>IF($AJ172&gt;0,INDEX(专属武器!H$4:H$53,新属性汇总!$AJ172),0)</f>
        <v>15114</v>
      </c>
      <c r="AL172" s="37">
        <f>IF($AJ172&gt;0,INDEX(专属武器!I$4:I$53,新属性汇总!$AJ172),0)</f>
        <v>7548</v>
      </c>
      <c r="AM172" s="37">
        <f>IF($AJ172&gt;0,INDEX(专属武器!J$4:J$53,新属性汇总!$AJ172),0)</f>
        <v>68047</v>
      </c>
      <c r="AQ172" s="13">
        <v>168</v>
      </c>
      <c r="AR172" s="13">
        <f t="shared" si="71"/>
        <v>29348.482999999997</v>
      </c>
      <c r="AS172" s="13">
        <f t="shared" si="72"/>
        <v>14671.941499999997</v>
      </c>
      <c r="AT172" s="13">
        <f t="shared" si="73"/>
        <v>153351.34999999998</v>
      </c>
      <c r="AU172" s="13">
        <f t="shared" si="74"/>
        <v>14032.5</v>
      </c>
      <c r="AV172" s="13">
        <f t="shared" si="75"/>
        <v>6932.25</v>
      </c>
      <c r="AW172" s="13">
        <f t="shared" si="76"/>
        <v>75412.5</v>
      </c>
      <c r="AX172" s="13">
        <f t="shared" si="77"/>
        <v>5668</v>
      </c>
      <c r="AY172" s="13">
        <f t="shared" si="78"/>
        <v>2355.6</v>
      </c>
      <c r="AZ172" s="13">
        <f t="shared" si="79"/>
        <v>25194</v>
      </c>
      <c r="BA172" s="13">
        <f t="shared" si="80"/>
        <v>16262</v>
      </c>
      <c r="BB172" s="13">
        <f t="shared" si="81"/>
        <v>0</v>
      </c>
      <c r="BC172" s="13">
        <f t="shared" si="82"/>
        <v>16262</v>
      </c>
      <c r="BD172" s="13">
        <f t="shared" si="83"/>
        <v>15114</v>
      </c>
      <c r="BE172" s="13">
        <f t="shared" si="84"/>
        <v>7548</v>
      </c>
      <c r="BF172" s="13">
        <f t="shared" si="85"/>
        <v>68047</v>
      </c>
      <c r="BG172" s="13">
        <f t="shared" si="86"/>
        <v>446813</v>
      </c>
      <c r="BH172" s="13">
        <f t="shared" si="87"/>
        <v>214897</v>
      </c>
      <c r="BI172" s="13">
        <f t="shared" si="88"/>
        <v>77090</v>
      </c>
      <c r="BJ172" s="13">
        <f t="shared" si="89"/>
        <v>97572</v>
      </c>
      <c r="BK172" s="13">
        <f t="shared" si="90"/>
        <v>219097</v>
      </c>
      <c r="BL172" s="13">
        <f t="shared" si="91"/>
        <v>1055469</v>
      </c>
      <c r="BM172" s="31">
        <f t="shared" si="92"/>
        <v>0.42330000000000001</v>
      </c>
      <c r="BN172" s="31">
        <f t="shared" si="93"/>
        <v>0.2036</v>
      </c>
      <c r="BO172" s="31">
        <f t="shared" si="94"/>
        <v>7.2999999999999995E-2</v>
      </c>
      <c r="BP172" s="31">
        <f t="shared" si="95"/>
        <v>9.2399999999999996E-2</v>
      </c>
      <c r="BQ172" s="31">
        <f t="shared" si="96"/>
        <v>0.20760000000000001</v>
      </c>
    </row>
    <row r="173" spans="1:69" ht="16.5" x14ac:dyDescent="0.2">
      <c r="A173" s="37">
        <v>170</v>
      </c>
      <c r="B173" s="37">
        <v>18</v>
      </c>
      <c r="C173" s="37">
        <v>1</v>
      </c>
      <c r="D173" s="37">
        <v>3</v>
      </c>
      <c r="E173" s="37">
        <v>170</v>
      </c>
      <c r="F173" s="37">
        <f>INDEX(新属性投放!$L$6:$L$10,新属性汇总!D173)</f>
        <v>1.1499999999999999</v>
      </c>
      <c r="G173" s="37">
        <f>INDEX(新属性投放!J$42:J$62,新属性汇总!$B173)</f>
        <v>27897.899999999994</v>
      </c>
      <c r="H173" s="37">
        <f>INDEX(新属性投放!K$42:K$62,新属性汇总!$B173)</f>
        <v>13946.449999999997</v>
      </c>
      <c r="I173" s="37">
        <f>INDEX(新属性投放!L$42:L$62,新属性汇总!$B173)</f>
        <v>149992</v>
      </c>
      <c r="J173" s="37">
        <f>($A173-INDEX(新属性投放!$B$42:$B$62,新属性汇总!$B173))*INDEX(新属性投放!D$42:D$62,新属性汇总!$B173)</f>
        <v>0</v>
      </c>
      <c r="K173" s="37">
        <f>($A173-INDEX(新属性投放!$B$42:$B$62,新属性汇总!$B173))*INDEX(新属性投放!E$42:E$62,新属性汇总!$B173)</f>
        <v>0</v>
      </c>
      <c r="L173" s="37">
        <f>($A173-INDEX(新属性投放!$B$42:$B$62,新属性汇总!$B173))*INDEX(新属性投放!F$42:F$62,新属性汇总!$B173)</f>
        <v>0</v>
      </c>
      <c r="M173" s="37">
        <f t="shared" si="65"/>
        <v>32082.584999999992</v>
      </c>
      <c r="N173" s="37">
        <f t="shared" si="66"/>
        <v>16038.417499999996</v>
      </c>
      <c r="O173" s="37">
        <f t="shared" si="67"/>
        <v>172490.8</v>
      </c>
      <c r="P173" s="37">
        <v>5</v>
      </c>
      <c r="Q173" s="37">
        <v>4</v>
      </c>
      <c r="R173">
        <v>170</v>
      </c>
      <c r="S173" s="37">
        <f>IF($P173&gt;0,INDEX(装备!L$11:L$16,新属性汇总!$P173),0)</f>
        <v>3112.5</v>
      </c>
      <c r="T173" s="37">
        <f>IF($P173&gt;0,INDEX(装备!M$11:M$16,新属性汇总!$P173),0)</f>
        <v>1556.25</v>
      </c>
      <c r="U173" s="37">
        <f>IF($P173&gt;0,INDEX(装备!N$11:N$16,新属性汇总!$P173),0)</f>
        <v>16612.5</v>
      </c>
      <c r="V173" s="37">
        <f>IF($P173&gt;0,INDEX(装备!H$11:H$16,新属性汇总!$P173),0)</f>
        <v>65</v>
      </c>
      <c r="W173" s="37">
        <f>IF($P173&gt;0,INDEX(装备!I$11:I$16,新属性汇总!$P173),0)</f>
        <v>32</v>
      </c>
      <c r="X173" s="37">
        <f>IF($P173&gt;0,INDEX(装备!J$11:J$16,新属性汇总!$P173),0)</f>
        <v>350</v>
      </c>
      <c r="Y173" s="37">
        <f t="shared" si="68"/>
        <v>14162.5</v>
      </c>
      <c r="Z173" s="37">
        <f t="shared" si="69"/>
        <v>6996.25</v>
      </c>
      <c r="AA173" s="37">
        <f t="shared" si="70"/>
        <v>76112.5</v>
      </c>
      <c r="AB173" s="37">
        <v>0.65</v>
      </c>
      <c r="AC173" s="37">
        <f>IF(P173&gt;0,INDEX(装备!$BP$5:$BP$16,新属性汇总!P173),0)</f>
        <v>5</v>
      </c>
      <c r="AD173" s="37">
        <f>IF($P173&gt;0,ROUND(INDEX(装备!AY$11:AY$16,新属性汇总!$P173)*$AC173/3,0)*8*AB173,0)</f>
        <v>5668</v>
      </c>
      <c r="AE173" s="37">
        <f>IF($P173&gt;0,ROUND(INDEX(装备!AZ$11:AZ$16,新属性汇总!$P173)*$AC173/3,0)*8*AB173,0)</f>
        <v>2355.6</v>
      </c>
      <c r="AF173" s="37">
        <f>IF($P173&gt;0,ROUND(INDEX(装备!BA$11:BA$16,新属性汇总!$P173)*$AC173/3,0)*8*AB173,0)</f>
        <v>25194</v>
      </c>
      <c r="AG173" s="37">
        <f>IF(新属性汇总!P173&gt;0,INDEX(装备!$AP$11:$AP$16,新属性汇总!$P173)*2,0)</f>
        <v>16262</v>
      </c>
      <c r="AH173" s="37">
        <v>0</v>
      </c>
      <c r="AI173" s="37">
        <f>IF(新属性汇总!P173&gt;0,INDEX(装备!$AP$11:$AP$16,新属性汇总!$P173)*2,0)</f>
        <v>16262</v>
      </c>
      <c r="AJ173" s="37">
        <v>40</v>
      </c>
      <c r="AK173" s="37">
        <f>IF($AJ173&gt;0,INDEX(专属武器!H$4:H$53,新属性汇总!$AJ173),0)</f>
        <v>16569</v>
      </c>
      <c r="AL173" s="37">
        <f>IF($AJ173&gt;0,INDEX(专属武器!I$4:I$53,新属性汇总!$AJ173),0)</f>
        <v>8275</v>
      </c>
      <c r="AM173" s="37">
        <f>IF($AJ173&gt;0,INDEX(专属武器!J$4:J$53,新属性汇总!$AJ173),0)</f>
        <v>74596</v>
      </c>
      <c r="AQ173" s="13">
        <v>169</v>
      </c>
      <c r="AR173" s="13">
        <f t="shared" si="71"/>
        <v>29955.958999999992</v>
      </c>
      <c r="AS173" s="13">
        <f t="shared" si="72"/>
        <v>14975.679499999997</v>
      </c>
      <c r="AT173" s="13">
        <f t="shared" si="73"/>
        <v>156084.9</v>
      </c>
      <c r="AU173" s="13">
        <f t="shared" si="74"/>
        <v>14097.5</v>
      </c>
      <c r="AV173" s="13">
        <f t="shared" si="75"/>
        <v>6964.25</v>
      </c>
      <c r="AW173" s="13">
        <f t="shared" si="76"/>
        <v>75762.5</v>
      </c>
      <c r="AX173" s="13">
        <f t="shared" si="77"/>
        <v>5668</v>
      </c>
      <c r="AY173" s="13">
        <f t="shared" si="78"/>
        <v>2355.6</v>
      </c>
      <c r="AZ173" s="13">
        <f t="shared" si="79"/>
        <v>25194</v>
      </c>
      <c r="BA173" s="13">
        <f t="shared" si="80"/>
        <v>16262</v>
      </c>
      <c r="BB173" s="13">
        <f t="shared" si="81"/>
        <v>0</v>
      </c>
      <c r="BC173" s="13">
        <f t="shared" si="82"/>
        <v>16262</v>
      </c>
      <c r="BD173" s="13">
        <f t="shared" si="83"/>
        <v>15114</v>
      </c>
      <c r="BE173" s="13">
        <f t="shared" si="84"/>
        <v>7548</v>
      </c>
      <c r="BF173" s="13">
        <f t="shared" si="85"/>
        <v>68047</v>
      </c>
      <c r="BG173" s="13">
        <f t="shared" si="86"/>
        <v>455621</v>
      </c>
      <c r="BH173" s="13">
        <f t="shared" si="87"/>
        <v>215892</v>
      </c>
      <c r="BI173" s="13">
        <f t="shared" si="88"/>
        <v>77090</v>
      </c>
      <c r="BJ173" s="13">
        <f t="shared" si="89"/>
        <v>97572</v>
      </c>
      <c r="BK173" s="13">
        <f t="shared" si="90"/>
        <v>219097</v>
      </c>
      <c r="BL173" s="13">
        <f t="shared" si="91"/>
        <v>1065272</v>
      </c>
      <c r="BM173" s="31">
        <f t="shared" si="92"/>
        <v>0.42770000000000002</v>
      </c>
      <c r="BN173" s="31">
        <f t="shared" si="93"/>
        <v>0.20269999999999999</v>
      </c>
      <c r="BO173" s="31">
        <f t="shared" si="94"/>
        <v>7.2400000000000006E-2</v>
      </c>
      <c r="BP173" s="31">
        <f t="shared" si="95"/>
        <v>9.1600000000000001E-2</v>
      </c>
      <c r="BQ173" s="31">
        <f t="shared" si="96"/>
        <v>0.20569999999999999</v>
      </c>
    </row>
    <row r="174" spans="1:69" ht="16.5" x14ac:dyDescent="0.2">
      <c r="A174" s="37">
        <v>171</v>
      </c>
      <c r="B174" s="37">
        <v>18</v>
      </c>
      <c r="C174" s="37">
        <v>1</v>
      </c>
      <c r="D174" s="37">
        <v>3</v>
      </c>
      <c r="E174" s="37">
        <v>171</v>
      </c>
      <c r="F174" s="37">
        <f>INDEX(新属性投放!$L$6:$L$10,新属性汇总!D174)</f>
        <v>1.1499999999999999</v>
      </c>
      <c r="G174" s="37">
        <f>INDEX(新属性投放!J$42:J$62,新属性汇总!$B174)</f>
        <v>27897.899999999994</v>
      </c>
      <c r="H174" s="37">
        <f>INDEX(新属性投放!K$42:K$62,新属性汇总!$B174)</f>
        <v>13946.449999999997</v>
      </c>
      <c r="I174" s="37">
        <f>INDEX(新属性投放!L$42:L$62,新属性汇总!$B174)</f>
        <v>149992</v>
      </c>
      <c r="J174" s="37">
        <f>($A174-INDEX(新属性投放!$B$42:$B$62,新属性汇总!$B174))*INDEX(新属性投放!D$42:D$62,新属性汇总!$B174)</f>
        <v>693.32</v>
      </c>
      <c r="K174" s="37">
        <f>($A174-INDEX(新属性投放!$B$42:$B$62,新属性汇总!$B174))*INDEX(新属性投放!E$42:E$62,新属性汇总!$B174)</f>
        <v>346.66</v>
      </c>
      <c r="L174" s="37">
        <f>($A174-INDEX(新属性投放!$B$42:$B$62,新属性汇总!$B174))*INDEX(新属性投放!F$42:F$62,新属性汇总!$B174)</f>
        <v>3119</v>
      </c>
      <c r="M174" s="37">
        <f t="shared" si="65"/>
        <v>32879.902999999991</v>
      </c>
      <c r="N174" s="37">
        <f t="shared" si="66"/>
        <v>16437.076499999996</v>
      </c>
      <c r="O174" s="37">
        <f t="shared" si="67"/>
        <v>176077.65</v>
      </c>
      <c r="P174" s="37">
        <v>5</v>
      </c>
      <c r="Q174" s="37">
        <v>4</v>
      </c>
      <c r="R174">
        <v>171</v>
      </c>
      <c r="S174" s="37">
        <f>IF($P174&gt;0,INDEX(装备!L$11:L$16,新属性汇总!$P174),0)</f>
        <v>3112.5</v>
      </c>
      <c r="T174" s="37">
        <f>IF($P174&gt;0,INDEX(装备!M$11:M$16,新属性汇总!$P174),0)</f>
        <v>1556.25</v>
      </c>
      <c r="U174" s="37">
        <f>IF($P174&gt;0,INDEX(装备!N$11:N$16,新属性汇总!$P174),0)</f>
        <v>16612.5</v>
      </c>
      <c r="V174" s="37">
        <f>IF($P174&gt;0,INDEX(装备!H$11:H$16,新属性汇总!$P174),0)</f>
        <v>65</v>
      </c>
      <c r="W174" s="37">
        <f>IF($P174&gt;0,INDEX(装备!I$11:I$16,新属性汇总!$P174),0)</f>
        <v>32</v>
      </c>
      <c r="X174" s="37">
        <f>IF($P174&gt;0,INDEX(装备!J$11:J$16,新属性汇总!$P174),0)</f>
        <v>350</v>
      </c>
      <c r="Y174" s="37">
        <f t="shared" si="68"/>
        <v>14227.5</v>
      </c>
      <c r="Z174" s="37">
        <f t="shared" si="69"/>
        <v>7028.25</v>
      </c>
      <c r="AA174" s="37">
        <f t="shared" si="70"/>
        <v>76462.5</v>
      </c>
      <c r="AB174" s="37">
        <v>0.65</v>
      </c>
      <c r="AC174" s="37">
        <f>IF(P174&gt;0,INDEX(装备!$BP$5:$BP$16,新属性汇总!P174),0)</f>
        <v>5</v>
      </c>
      <c r="AD174" s="37">
        <f>IF($P174&gt;0,ROUND(INDEX(装备!AY$11:AY$16,新属性汇总!$P174)*$AC174/3,0)*8*AB174,0)</f>
        <v>5668</v>
      </c>
      <c r="AE174" s="37">
        <f>IF($P174&gt;0,ROUND(INDEX(装备!AZ$11:AZ$16,新属性汇总!$P174)*$AC174/3,0)*8*AB174,0)</f>
        <v>2355.6</v>
      </c>
      <c r="AF174" s="37">
        <f>IF($P174&gt;0,ROUND(INDEX(装备!BA$11:BA$16,新属性汇总!$P174)*$AC174/3,0)*8*AB174,0)</f>
        <v>25194</v>
      </c>
      <c r="AG174" s="37">
        <f>IF(新属性汇总!P174&gt;0,INDEX(装备!$AP$11:$AP$16,新属性汇总!$P174)*2,0)</f>
        <v>16262</v>
      </c>
      <c r="AH174" s="37">
        <v>0</v>
      </c>
      <c r="AI174" s="37">
        <f>IF(新属性汇总!P174&gt;0,INDEX(装备!$AP$11:$AP$16,新属性汇总!$P174)*2,0)</f>
        <v>16262</v>
      </c>
      <c r="AJ174" s="37">
        <v>40</v>
      </c>
      <c r="AK174" s="37">
        <f>IF($AJ174&gt;0,INDEX(专属武器!H$4:H$53,新属性汇总!$AJ174),0)</f>
        <v>16569</v>
      </c>
      <c r="AL174" s="37">
        <f>IF($AJ174&gt;0,INDEX(专属武器!I$4:I$53,新属性汇总!$AJ174),0)</f>
        <v>8275</v>
      </c>
      <c r="AM174" s="37">
        <f>IF($AJ174&gt;0,INDEX(专属武器!J$4:J$53,新属性汇总!$AJ174),0)</f>
        <v>74596</v>
      </c>
      <c r="AQ174" s="13">
        <v>170</v>
      </c>
      <c r="AR174" s="13">
        <f t="shared" si="71"/>
        <v>32082.584999999992</v>
      </c>
      <c r="AS174" s="13">
        <f t="shared" si="72"/>
        <v>16038.417499999996</v>
      </c>
      <c r="AT174" s="13">
        <f t="shared" si="73"/>
        <v>172490.8</v>
      </c>
      <c r="AU174" s="13">
        <f t="shared" si="74"/>
        <v>14162.5</v>
      </c>
      <c r="AV174" s="13">
        <f t="shared" si="75"/>
        <v>6996.25</v>
      </c>
      <c r="AW174" s="13">
        <f t="shared" si="76"/>
        <v>76112.5</v>
      </c>
      <c r="AX174" s="13">
        <f t="shared" si="77"/>
        <v>5668</v>
      </c>
      <c r="AY174" s="13">
        <f t="shared" si="78"/>
        <v>2355.6</v>
      </c>
      <c r="AZ174" s="13">
        <f t="shared" si="79"/>
        <v>25194</v>
      </c>
      <c r="BA174" s="13">
        <f t="shared" si="80"/>
        <v>16262</v>
      </c>
      <c r="BB174" s="13">
        <f t="shared" si="81"/>
        <v>0</v>
      </c>
      <c r="BC174" s="13">
        <f t="shared" si="82"/>
        <v>16262</v>
      </c>
      <c r="BD174" s="13">
        <f t="shared" si="83"/>
        <v>16569</v>
      </c>
      <c r="BE174" s="13">
        <f t="shared" si="84"/>
        <v>8275</v>
      </c>
      <c r="BF174" s="13">
        <f t="shared" si="85"/>
        <v>74596</v>
      </c>
      <c r="BG174" s="13">
        <f t="shared" si="86"/>
        <v>493287</v>
      </c>
      <c r="BH174" s="13">
        <f t="shared" si="87"/>
        <v>216887</v>
      </c>
      <c r="BI174" s="13">
        <f t="shared" si="88"/>
        <v>77090</v>
      </c>
      <c r="BJ174" s="13">
        <f t="shared" si="89"/>
        <v>97572</v>
      </c>
      <c r="BK174" s="13">
        <f t="shared" si="90"/>
        <v>240191</v>
      </c>
      <c r="BL174" s="13">
        <f t="shared" si="91"/>
        <v>1125027</v>
      </c>
      <c r="BM174" s="31">
        <f t="shared" si="92"/>
        <v>0.4385</v>
      </c>
      <c r="BN174" s="31">
        <f t="shared" si="93"/>
        <v>0.1928</v>
      </c>
      <c r="BO174" s="31">
        <f t="shared" si="94"/>
        <v>6.8500000000000005E-2</v>
      </c>
      <c r="BP174" s="31">
        <f t="shared" si="95"/>
        <v>8.6699999999999999E-2</v>
      </c>
      <c r="BQ174" s="31">
        <f t="shared" si="96"/>
        <v>0.2135</v>
      </c>
    </row>
    <row r="175" spans="1:69" ht="16.5" x14ac:dyDescent="0.2">
      <c r="A175" s="37">
        <v>172</v>
      </c>
      <c r="B175" s="37">
        <v>18</v>
      </c>
      <c r="C175" s="37">
        <v>1</v>
      </c>
      <c r="D175" s="37">
        <v>3</v>
      </c>
      <c r="E175" s="37">
        <v>172</v>
      </c>
      <c r="F175" s="37">
        <f>INDEX(新属性投放!$L$6:$L$10,新属性汇总!D175)</f>
        <v>1.1499999999999999</v>
      </c>
      <c r="G175" s="37">
        <f>INDEX(新属性投放!J$42:J$62,新属性汇总!$B175)</f>
        <v>27897.899999999994</v>
      </c>
      <c r="H175" s="37">
        <f>INDEX(新属性投放!K$42:K$62,新属性汇总!$B175)</f>
        <v>13946.449999999997</v>
      </c>
      <c r="I175" s="37">
        <f>INDEX(新属性投放!L$42:L$62,新属性汇总!$B175)</f>
        <v>149992</v>
      </c>
      <c r="J175" s="37">
        <f>($A175-INDEX(新属性投放!$B$42:$B$62,新属性汇总!$B175))*INDEX(新属性投放!D$42:D$62,新属性汇总!$B175)</f>
        <v>1386.64</v>
      </c>
      <c r="K175" s="37">
        <f>($A175-INDEX(新属性投放!$B$42:$B$62,新属性汇总!$B175))*INDEX(新属性投放!E$42:E$62,新属性汇总!$B175)</f>
        <v>693.32</v>
      </c>
      <c r="L175" s="37">
        <f>($A175-INDEX(新属性投放!$B$42:$B$62,新属性汇总!$B175))*INDEX(新属性投放!F$42:F$62,新属性汇总!$B175)</f>
        <v>6238</v>
      </c>
      <c r="M175" s="37">
        <f t="shared" si="65"/>
        <v>33677.22099999999</v>
      </c>
      <c r="N175" s="37">
        <f t="shared" si="66"/>
        <v>16835.735499999995</v>
      </c>
      <c r="O175" s="37">
        <f t="shared" si="67"/>
        <v>179664.5</v>
      </c>
      <c r="P175" s="37">
        <v>5</v>
      </c>
      <c r="Q175" s="37">
        <v>4</v>
      </c>
      <c r="R175">
        <v>172</v>
      </c>
      <c r="S175" s="37">
        <f>IF($P175&gt;0,INDEX(装备!L$11:L$16,新属性汇总!$P175),0)</f>
        <v>3112.5</v>
      </c>
      <c r="T175" s="37">
        <f>IF($P175&gt;0,INDEX(装备!M$11:M$16,新属性汇总!$P175),0)</f>
        <v>1556.25</v>
      </c>
      <c r="U175" s="37">
        <f>IF($P175&gt;0,INDEX(装备!N$11:N$16,新属性汇总!$P175),0)</f>
        <v>16612.5</v>
      </c>
      <c r="V175" s="37">
        <f>IF($P175&gt;0,INDEX(装备!H$11:H$16,新属性汇总!$P175),0)</f>
        <v>65</v>
      </c>
      <c r="W175" s="37">
        <f>IF($P175&gt;0,INDEX(装备!I$11:I$16,新属性汇总!$P175),0)</f>
        <v>32</v>
      </c>
      <c r="X175" s="37">
        <f>IF($P175&gt;0,INDEX(装备!J$11:J$16,新属性汇总!$P175),0)</f>
        <v>350</v>
      </c>
      <c r="Y175" s="37">
        <f t="shared" si="68"/>
        <v>14292.5</v>
      </c>
      <c r="Z175" s="37">
        <f t="shared" si="69"/>
        <v>7060.25</v>
      </c>
      <c r="AA175" s="37">
        <f t="shared" si="70"/>
        <v>76812.5</v>
      </c>
      <c r="AB175" s="37">
        <v>0.65</v>
      </c>
      <c r="AC175" s="37">
        <f>IF(P175&gt;0,INDEX(装备!$BP$5:$BP$16,新属性汇总!P175),0)</f>
        <v>5</v>
      </c>
      <c r="AD175" s="37">
        <f>IF($P175&gt;0,ROUND(INDEX(装备!AY$11:AY$16,新属性汇总!$P175)*$AC175/3,0)*8*AB175,0)</f>
        <v>5668</v>
      </c>
      <c r="AE175" s="37">
        <f>IF($P175&gt;0,ROUND(INDEX(装备!AZ$11:AZ$16,新属性汇总!$P175)*$AC175/3,0)*8*AB175,0)</f>
        <v>2355.6</v>
      </c>
      <c r="AF175" s="37">
        <f>IF($P175&gt;0,ROUND(INDEX(装备!BA$11:BA$16,新属性汇总!$P175)*$AC175/3,0)*8*AB175,0)</f>
        <v>25194</v>
      </c>
      <c r="AG175" s="37">
        <f>IF(新属性汇总!P175&gt;0,INDEX(装备!$AP$11:$AP$16,新属性汇总!$P175)*2,0)</f>
        <v>16262</v>
      </c>
      <c r="AH175" s="37">
        <v>0</v>
      </c>
      <c r="AI175" s="37">
        <f>IF(新属性汇总!P175&gt;0,INDEX(装备!$AP$11:$AP$16,新属性汇总!$P175)*2,0)</f>
        <v>16262</v>
      </c>
      <c r="AJ175" s="37">
        <v>40</v>
      </c>
      <c r="AK175" s="37">
        <f>IF($AJ175&gt;0,INDEX(专属武器!H$4:H$53,新属性汇总!$AJ175),0)</f>
        <v>16569</v>
      </c>
      <c r="AL175" s="37">
        <f>IF($AJ175&gt;0,INDEX(专属武器!I$4:I$53,新属性汇总!$AJ175),0)</f>
        <v>8275</v>
      </c>
      <c r="AM175" s="37">
        <f>IF($AJ175&gt;0,INDEX(专属武器!J$4:J$53,新属性汇总!$AJ175),0)</f>
        <v>74596</v>
      </c>
      <c r="AQ175" s="13">
        <v>171</v>
      </c>
      <c r="AR175" s="13">
        <f t="shared" si="71"/>
        <v>32879.902999999991</v>
      </c>
      <c r="AS175" s="13">
        <f t="shared" si="72"/>
        <v>16437.076499999996</v>
      </c>
      <c r="AT175" s="13">
        <f t="shared" si="73"/>
        <v>176077.65</v>
      </c>
      <c r="AU175" s="13">
        <f t="shared" si="74"/>
        <v>14227.5</v>
      </c>
      <c r="AV175" s="13">
        <f t="shared" si="75"/>
        <v>7028.25</v>
      </c>
      <c r="AW175" s="13">
        <f t="shared" si="76"/>
        <v>76462.5</v>
      </c>
      <c r="AX175" s="13">
        <f t="shared" si="77"/>
        <v>5668</v>
      </c>
      <c r="AY175" s="13">
        <f t="shared" si="78"/>
        <v>2355.6</v>
      </c>
      <c r="AZ175" s="13">
        <f t="shared" si="79"/>
        <v>25194</v>
      </c>
      <c r="BA175" s="13">
        <f t="shared" si="80"/>
        <v>16262</v>
      </c>
      <c r="BB175" s="13">
        <f t="shared" si="81"/>
        <v>0</v>
      </c>
      <c r="BC175" s="13">
        <f t="shared" si="82"/>
        <v>16262</v>
      </c>
      <c r="BD175" s="13">
        <f t="shared" si="83"/>
        <v>16569</v>
      </c>
      <c r="BE175" s="13">
        <f t="shared" si="84"/>
        <v>8275</v>
      </c>
      <c r="BF175" s="13">
        <f t="shared" si="85"/>
        <v>74596</v>
      </c>
      <c r="BG175" s="13">
        <f t="shared" si="86"/>
        <v>504847</v>
      </c>
      <c r="BH175" s="13">
        <f t="shared" si="87"/>
        <v>217882</v>
      </c>
      <c r="BI175" s="13">
        <f t="shared" si="88"/>
        <v>77090</v>
      </c>
      <c r="BJ175" s="13">
        <f t="shared" si="89"/>
        <v>97572</v>
      </c>
      <c r="BK175" s="13">
        <f t="shared" si="90"/>
        <v>240191</v>
      </c>
      <c r="BL175" s="13">
        <f t="shared" si="91"/>
        <v>1137582</v>
      </c>
      <c r="BM175" s="31">
        <f t="shared" si="92"/>
        <v>0.44379999999999997</v>
      </c>
      <c r="BN175" s="31">
        <f t="shared" si="93"/>
        <v>0.1915</v>
      </c>
      <c r="BO175" s="31">
        <f t="shared" si="94"/>
        <v>6.7799999999999999E-2</v>
      </c>
      <c r="BP175" s="31">
        <f t="shared" si="95"/>
        <v>8.5800000000000001E-2</v>
      </c>
      <c r="BQ175" s="31">
        <f t="shared" si="96"/>
        <v>0.21110000000000001</v>
      </c>
    </row>
    <row r="176" spans="1:69" ht="16.5" x14ac:dyDescent="0.2">
      <c r="A176" s="37">
        <v>173</v>
      </c>
      <c r="B176" s="37">
        <v>18</v>
      </c>
      <c r="C176" s="37">
        <v>1</v>
      </c>
      <c r="D176" s="37">
        <v>3</v>
      </c>
      <c r="E176" s="37">
        <v>173</v>
      </c>
      <c r="F176" s="37">
        <f>INDEX(新属性投放!$L$6:$L$10,新属性汇总!D176)</f>
        <v>1.1499999999999999</v>
      </c>
      <c r="G176" s="37">
        <f>INDEX(新属性投放!J$42:J$62,新属性汇总!$B176)</f>
        <v>27897.899999999994</v>
      </c>
      <c r="H176" s="37">
        <f>INDEX(新属性投放!K$42:K$62,新属性汇总!$B176)</f>
        <v>13946.449999999997</v>
      </c>
      <c r="I176" s="37">
        <f>INDEX(新属性投放!L$42:L$62,新属性汇总!$B176)</f>
        <v>149992</v>
      </c>
      <c r="J176" s="37">
        <f>($A176-INDEX(新属性投放!$B$42:$B$62,新属性汇总!$B176))*INDEX(新属性投放!D$42:D$62,新属性汇总!$B176)</f>
        <v>2079.96</v>
      </c>
      <c r="K176" s="37">
        <f>($A176-INDEX(新属性投放!$B$42:$B$62,新属性汇总!$B176))*INDEX(新属性投放!E$42:E$62,新属性汇总!$B176)</f>
        <v>1039.98</v>
      </c>
      <c r="L176" s="37">
        <f>($A176-INDEX(新属性投放!$B$42:$B$62,新属性汇总!$B176))*INDEX(新属性投放!F$42:F$62,新属性汇总!$B176)</f>
        <v>9357</v>
      </c>
      <c r="M176" s="37">
        <f t="shared" si="65"/>
        <v>34474.53899999999</v>
      </c>
      <c r="N176" s="37">
        <f t="shared" si="66"/>
        <v>17234.394499999995</v>
      </c>
      <c r="O176" s="37">
        <f t="shared" si="67"/>
        <v>183251.34999999998</v>
      </c>
      <c r="P176" s="37">
        <v>5</v>
      </c>
      <c r="Q176" s="37">
        <v>4</v>
      </c>
      <c r="R176">
        <v>173</v>
      </c>
      <c r="S176" s="37">
        <f>IF($P176&gt;0,INDEX(装备!L$11:L$16,新属性汇总!$P176),0)</f>
        <v>3112.5</v>
      </c>
      <c r="T176" s="37">
        <f>IF($P176&gt;0,INDEX(装备!M$11:M$16,新属性汇总!$P176),0)</f>
        <v>1556.25</v>
      </c>
      <c r="U176" s="37">
        <f>IF($P176&gt;0,INDEX(装备!N$11:N$16,新属性汇总!$P176),0)</f>
        <v>16612.5</v>
      </c>
      <c r="V176" s="37">
        <f>IF($P176&gt;0,INDEX(装备!H$11:H$16,新属性汇总!$P176),0)</f>
        <v>65</v>
      </c>
      <c r="W176" s="37">
        <f>IF($P176&gt;0,INDEX(装备!I$11:I$16,新属性汇总!$P176),0)</f>
        <v>32</v>
      </c>
      <c r="X176" s="37">
        <f>IF($P176&gt;0,INDEX(装备!J$11:J$16,新属性汇总!$P176),0)</f>
        <v>350</v>
      </c>
      <c r="Y176" s="37">
        <f t="shared" si="68"/>
        <v>14357.5</v>
      </c>
      <c r="Z176" s="37">
        <f t="shared" si="69"/>
        <v>7092.25</v>
      </c>
      <c r="AA176" s="37">
        <f t="shared" si="70"/>
        <v>77162.5</v>
      </c>
      <c r="AB176" s="37">
        <v>0.65</v>
      </c>
      <c r="AC176" s="37">
        <f>IF(P176&gt;0,INDEX(装备!$BP$5:$BP$16,新属性汇总!P176),0)</f>
        <v>5</v>
      </c>
      <c r="AD176" s="37">
        <f>IF($P176&gt;0,ROUND(INDEX(装备!AY$11:AY$16,新属性汇总!$P176)*$AC176/3,0)*8*AB176,0)</f>
        <v>5668</v>
      </c>
      <c r="AE176" s="37">
        <f>IF($P176&gt;0,ROUND(INDEX(装备!AZ$11:AZ$16,新属性汇总!$P176)*$AC176/3,0)*8*AB176,0)</f>
        <v>2355.6</v>
      </c>
      <c r="AF176" s="37">
        <f>IF($P176&gt;0,ROUND(INDEX(装备!BA$11:BA$16,新属性汇总!$P176)*$AC176/3,0)*8*AB176,0)</f>
        <v>25194</v>
      </c>
      <c r="AG176" s="37">
        <f>IF(新属性汇总!P176&gt;0,INDEX(装备!$AP$11:$AP$16,新属性汇总!$P176)*2,0)</f>
        <v>16262</v>
      </c>
      <c r="AH176" s="37">
        <v>0</v>
      </c>
      <c r="AI176" s="37">
        <f>IF(新属性汇总!P176&gt;0,INDEX(装备!$AP$11:$AP$16,新属性汇总!$P176)*2,0)</f>
        <v>16262</v>
      </c>
      <c r="AJ176" s="37">
        <v>40</v>
      </c>
      <c r="AK176" s="37">
        <f>IF($AJ176&gt;0,INDEX(专属武器!H$4:H$53,新属性汇总!$AJ176),0)</f>
        <v>16569</v>
      </c>
      <c r="AL176" s="37">
        <f>IF($AJ176&gt;0,INDEX(专属武器!I$4:I$53,新属性汇总!$AJ176),0)</f>
        <v>8275</v>
      </c>
      <c r="AM176" s="37">
        <f>IF($AJ176&gt;0,INDEX(专属武器!J$4:J$53,新属性汇总!$AJ176),0)</f>
        <v>74596</v>
      </c>
      <c r="AQ176" s="13">
        <v>172</v>
      </c>
      <c r="AR176" s="13">
        <f t="shared" si="71"/>
        <v>33677.22099999999</v>
      </c>
      <c r="AS176" s="13">
        <f t="shared" si="72"/>
        <v>16835.735499999995</v>
      </c>
      <c r="AT176" s="13">
        <f t="shared" si="73"/>
        <v>179664.5</v>
      </c>
      <c r="AU176" s="13">
        <f t="shared" si="74"/>
        <v>14292.5</v>
      </c>
      <c r="AV176" s="13">
        <f t="shared" si="75"/>
        <v>7060.25</v>
      </c>
      <c r="AW176" s="13">
        <f t="shared" si="76"/>
        <v>76812.5</v>
      </c>
      <c r="AX176" s="13">
        <f t="shared" si="77"/>
        <v>5668</v>
      </c>
      <c r="AY176" s="13">
        <f t="shared" si="78"/>
        <v>2355.6</v>
      </c>
      <c r="AZ176" s="13">
        <f t="shared" si="79"/>
        <v>25194</v>
      </c>
      <c r="BA176" s="13">
        <f t="shared" si="80"/>
        <v>16262</v>
      </c>
      <c r="BB176" s="13">
        <f t="shared" si="81"/>
        <v>0</v>
      </c>
      <c r="BC176" s="13">
        <f t="shared" si="82"/>
        <v>16262</v>
      </c>
      <c r="BD176" s="13">
        <f t="shared" si="83"/>
        <v>16569</v>
      </c>
      <c r="BE176" s="13">
        <f t="shared" si="84"/>
        <v>8275</v>
      </c>
      <c r="BF176" s="13">
        <f t="shared" si="85"/>
        <v>74596</v>
      </c>
      <c r="BG176" s="13">
        <f t="shared" si="86"/>
        <v>516407</v>
      </c>
      <c r="BH176" s="13">
        <f t="shared" si="87"/>
        <v>218877</v>
      </c>
      <c r="BI176" s="13">
        <f t="shared" si="88"/>
        <v>77090</v>
      </c>
      <c r="BJ176" s="13">
        <f t="shared" si="89"/>
        <v>97572</v>
      </c>
      <c r="BK176" s="13">
        <f t="shared" si="90"/>
        <v>240191</v>
      </c>
      <c r="BL176" s="13">
        <f t="shared" si="91"/>
        <v>1150137</v>
      </c>
      <c r="BM176" s="31">
        <f t="shared" si="92"/>
        <v>0.44900000000000001</v>
      </c>
      <c r="BN176" s="31">
        <f t="shared" si="93"/>
        <v>0.1903</v>
      </c>
      <c r="BO176" s="31">
        <f t="shared" si="94"/>
        <v>6.7000000000000004E-2</v>
      </c>
      <c r="BP176" s="31">
        <f t="shared" si="95"/>
        <v>8.48E-2</v>
      </c>
      <c r="BQ176" s="31">
        <f t="shared" si="96"/>
        <v>0.20880000000000001</v>
      </c>
    </row>
    <row r="177" spans="1:69" ht="16.5" x14ac:dyDescent="0.2">
      <c r="A177" s="37">
        <v>174</v>
      </c>
      <c r="B177" s="37">
        <v>18</v>
      </c>
      <c r="C177" s="37">
        <v>1</v>
      </c>
      <c r="D177" s="37">
        <v>3</v>
      </c>
      <c r="E177" s="37">
        <v>174</v>
      </c>
      <c r="F177" s="37">
        <f>INDEX(新属性投放!$L$6:$L$10,新属性汇总!D177)</f>
        <v>1.1499999999999999</v>
      </c>
      <c r="G177" s="37">
        <f>INDEX(新属性投放!J$42:J$62,新属性汇总!$B177)</f>
        <v>27897.899999999994</v>
      </c>
      <c r="H177" s="37">
        <f>INDEX(新属性投放!K$42:K$62,新属性汇总!$B177)</f>
        <v>13946.449999999997</v>
      </c>
      <c r="I177" s="37">
        <f>INDEX(新属性投放!L$42:L$62,新属性汇总!$B177)</f>
        <v>149992</v>
      </c>
      <c r="J177" s="37">
        <f>($A177-INDEX(新属性投放!$B$42:$B$62,新属性汇总!$B177))*INDEX(新属性投放!D$42:D$62,新属性汇总!$B177)</f>
        <v>2773.28</v>
      </c>
      <c r="K177" s="37">
        <f>($A177-INDEX(新属性投放!$B$42:$B$62,新属性汇总!$B177))*INDEX(新属性投放!E$42:E$62,新属性汇总!$B177)</f>
        <v>1386.64</v>
      </c>
      <c r="L177" s="37">
        <f>($A177-INDEX(新属性投放!$B$42:$B$62,新属性汇总!$B177))*INDEX(新属性投放!F$42:F$62,新属性汇总!$B177)</f>
        <v>12476</v>
      </c>
      <c r="M177" s="37">
        <f t="shared" si="65"/>
        <v>35271.856999999989</v>
      </c>
      <c r="N177" s="37">
        <f t="shared" si="66"/>
        <v>17633.053499999995</v>
      </c>
      <c r="O177" s="37">
        <f t="shared" si="67"/>
        <v>186838.19999999998</v>
      </c>
      <c r="P177" s="37">
        <v>5</v>
      </c>
      <c r="Q177" s="37">
        <v>4</v>
      </c>
      <c r="R177">
        <v>174</v>
      </c>
      <c r="S177" s="37">
        <f>IF($P177&gt;0,INDEX(装备!L$11:L$16,新属性汇总!$P177),0)</f>
        <v>3112.5</v>
      </c>
      <c r="T177" s="37">
        <f>IF($P177&gt;0,INDEX(装备!M$11:M$16,新属性汇总!$P177),0)</f>
        <v>1556.25</v>
      </c>
      <c r="U177" s="37">
        <f>IF($P177&gt;0,INDEX(装备!N$11:N$16,新属性汇总!$P177),0)</f>
        <v>16612.5</v>
      </c>
      <c r="V177" s="37">
        <f>IF($P177&gt;0,INDEX(装备!H$11:H$16,新属性汇总!$P177),0)</f>
        <v>65</v>
      </c>
      <c r="W177" s="37">
        <f>IF($P177&gt;0,INDEX(装备!I$11:I$16,新属性汇总!$P177),0)</f>
        <v>32</v>
      </c>
      <c r="X177" s="37">
        <f>IF($P177&gt;0,INDEX(装备!J$11:J$16,新属性汇总!$P177),0)</f>
        <v>350</v>
      </c>
      <c r="Y177" s="37">
        <f t="shared" si="68"/>
        <v>14422.5</v>
      </c>
      <c r="Z177" s="37">
        <f t="shared" si="69"/>
        <v>7124.25</v>
      </c>
      <c r="AA177" s="37">
        <f t="shared" si="70"/>
        <v>77512.5</v>
      </c>
      <c r="AB177" s="37">
        <v>0.65</v>
      </c>
      <c r="AC177" s="37">
        <f>IF(P177&gt;0,INDEX(装备!$BP$5:$BP$16,新属性汇总!P177),0)</f>
        <v>5</v>
      </c>
      <c r="AD177" s="37">
        <f>IF($P177&gt;0,ROUND(INDEX(装备!AY$11:AY$16,新属性汇总!$P177)*$AC177/3,0)*8*AB177,0)</f>
        <v>5668</v>
      </c>
      <c r="AE177" s="37">
        <f>IF($P177&gt;0,ROUND(INDEX(装备!AZ$11:AZ$16,新属性汇总!$P177)*$AC177/3,0)*8*AB177,0)</f>
        <v>2355.6</v>
      </c>
      <c r="AF177" s="37">
        <f>IF($P177&gt;0,ROUND(INDEX(装备!BA$11:BA$16,新属性汇总!$P177)*$AC177/3,0)*8*AB177,0)</f>
        <v>25194</v>
      </c>
      <c r="AG177" s="37">
        <f>IF(新属性汇总!P177&gt;0,INDEX(装备!$AP$11:$AP$16,新属性汇总!$P177)*2,0)</f>
        <v>16262</v>
      </c>
      <c r="AH177" s="37">
        <v>0</v>
      </c>
      <c r="AI177" s="37">
        <f>IF(新属性汇总!P177&gt;0,INDEX(装备!$AP$11:$AP$16,新属性汇总!$P177)*2,0)</f>
        <v>16262</v>
      </c>
      <c r="AJ177" s="37">
        <v>41</v>
      </c>
      <c r="AK177" s="37">
        <f>IF($AJ177&gt;0,INDEX(专属武器!H$4:H$53,新属性汇总!$AJ177),0)</f>
        <v>18024</v>
      </c>
      <c r="AL177" s="37">
        <f>IF($AJ177&gt;0,INDEX(专属武器!I$4:I$53,新属性汇总!$AJ177),0)</f>
        <v>9002</v>
      </c>
      <c r="AM177" s="37">
        <f>IF($AJ177&gt;0,INDEX(专属武器!J$4:J$53,新属性汇总!$AJ177),0)</f>
        <v>81145</v>
      </c>
      <c r="AQ177" s="13">
        <v>173</v>
      </c>
      <c r="AR177" s="13">
        <f t="shared" si="71"/>
        <v>34474.53899999999</v>
      </c>
      <c r="AS177" s="13">
        <f t="shared" si="72"/>
        <v>17234.394499999995</v>
      </c>
      <c r="AT177" s="13">
        <f t="shared" si="73"/>
        <v>183251.34999999998</v>
      </c>
      <c r="AU177" s="13">
        <f t="shared" si="74"/>
        <v>14357.5</v>
      </c>
      <c r="AV177" s="13">
        <f t="shared" si="75"/>
        <v>7092.25</v>
      </c>
      <c r="AW177" s="13">
        <f t="shared" si="76"/>
        <v>77162.5</v>
      </c>
      <c r="AX177" s="13">
        <f t="shared" si="77"/>
        <v>5668</v>
      </c>
      <c r="AY177" s="13">
        <f t="shared" si="78"/>
        <v>2355.6</v>
      </c>
      <c r="AZ177" s="13">
        <f t="shared" si="79"/>
        <v>25194</v>
      </c>
      <c r="BA177" s="13">
        <f t="shared" si="80"/>
        <v>16262</v>
      </c>
      <c r="BB177" s="13">
        <f t="shared" si="81"/>
        <v>0</v>
      </c>
      <c r="BC177" s="13">
        <f t="shared" si="82"/>
        <v>16262</v>
      </c>
      <c r="BD177" s="13">
        <f t="shared" si="83"/>
        <v>16569</v>
      </c>
      <c r="BE177" s="13">
        <f t="shared" si="84"/>
        <v>8275</v>
      </c>
      <c r="BF177" s="13">
        <f t="shared" si="85"/>
        <v>74596</v>
      </c>
      <c r="BG177" s="13">
        <f t="shared" si="86"/>
        <v>527967</v>
      </c>
      <c r="BH177" s="13">
        <f t="shared" si="87"/>
        <v>219872</v>
      </c>
      <c r="BI177" s="13">
        <f t="shared" si="88"/>
        <v>77090</v>
      </c>
      <c r="BJ177" s="13">
        <f t="shared" si="89"/>
        <v>97572</v>
      </c>
      <c r="BK177" s="13">
        <f t="shared" si="90"/>
        <v>240191</v>
      </c>
      <c r="BL177" s="13">
        <f t="shared" si="91"/>
        <v>1162692</v>
      </c>
      <c r="BM177" s="31">
        <f t="shared" si="92"/>
        <v>0.4541</v>
      </c>
      <c r="BN177" s="31">
        <f t="shared" si="93"/>
        <v>0.18909999999999999</v>
      </c>
      <c r="BO177" s="31">
        <f t="shared" si="94"/>
        <v>6.6299999999999998E-2</v>
      </c>
      <c r="BP177" s="31">
        <f t="shared" si="95"/>
        <v>8.3900000000000002E-2</v>
      </c>
      <c r="BQ177" s="31">
        <f t="shared" si="96"/>
        <v>0.20660000000000001</v>
      </c>
    </row>
    <row r="178" spans="1:69" ht="16.5" x14ac:dyDescent="0.2">
      <c r="A178" s="37">
        <v>175</v>
      </c>
      <c r="B178" s="37">
        <v>18</v>
      </c>
      <c r="C178" s="37">
        <v>1</v>
      </c>
      <c r="D178" s="37">
        <v>3</v>
      </c>
      <c r="E178" s="37">
        <v>175</v>
      </c>
      <c r="F178" s="37">
        <f>INDEX(新属性投放!$L$6:$L$10,新属性汇总!D178)</f>
        <v>1.1499999999999999</v>
      </c>
      <c r="G178" s="37">
        <f>INDEX(新属性投放!J$42:J$62,新属性汇总!$B178)</f>
        <v>27897.899999999994</v>
      </c>
      <c r="H178" s="37">
        <f>INDEX(新属性投放!K$42:K$62,新属性汇总!$B178)</f>
        <v>13946.449999999997</v>
      </c>
      <c r="I178" s="37">
        <f>INDEX(新属性投放!L$42:L$62,新属性汇总!$B178)</f>
        <v>149992</v>
      </c>
      <c r="J178" s="37">
        <f>($A178-INDEX(新属性投放!$B$42:$B$62,新属性汇总!$B178))*INDEX(新属性投放!D$42:D$62,新属性汇总!$B178)</f>
        <v>3466.6000000000004</v>
      </c>
      <c r="K178" s="37">
        <f>($A178-INDEX(新属性投放!$B$42:$B$62,新属性汇总!$B178))*INDEX(新属性投放!E$42:E$62,新属性汇总!$B178)</f>
        <v>1733.3000000000002</v>
      </c>
      <c r="L178" s="37">
        <f>($A178-INDEX(新属性投放!$B$42:$B$62,新属性汇总!$B178))*INDEX(新属性投放!F$42:F$62,新属性汇总!$B178)</f>
        <v>15595</v>
      </c>
      <c r="M178" s="37">
        <f t="shared" si="65"/>
        <v>36069.174999999988</v>
      </c>
      <c r="N178" s="37">
        <f t="shared" si="66"/>
        <v>18031.712499999994</v>
      </c>
      <c r="O178" s="37">
        <f t="shared" si="67"/>
        <v>190425.05</v>
      </c>
      <c r="P178" s="37">
        <v>5</v>
      </c>
      <c r="Q178" s="37">
        <v>4</v>
      </c>
      <c r="R178">
        <v>175</v>
      </c>
      <c r="S178" s="37">
        <f>IF($P178&gt;0,INDEX(装备!L$11:L$16,新属性汇总!$P178),0)</f>
        <v>3112.5</v>
      </c>
      <c r="T178" s="37">
        <f>IF($P178&gt;0,INDEX(装备!M$11:M$16,新属性汇总!$P178),0)</f>
        <v>1556.25</v>
      </c>
      <c r="U178" s="37">
        <f>IF($P178&gt;0,INDEX(装备!N$11:N$16,新属性汇总!$P178),0)</f>
        <v>16612.5</v>
      </c>
      <c r="V178" s="37">
        <f>IF($P178&gt;0,INDEX(装备!H$11:H$16,新属性汇总!$P178),0)</f>
        <v>65</v>
      </c>
      <c r="W178" s="37">
        <f>IF($P178&gt;0,INDEX(装备!I$11:I$16,新属性汇总!$P178),0)</f>
        <v>32</v>
      </c>
      <c r="X178" s="37">
        <f>IF($P178&gt;0,INDEX(装备!J$11:J$16,新属性汇总!$P178),0)</f>
        <v>350</v>
      </c>
      <c r="Y178" s="37">
        <f t="shared" si="68"/>
        <v>14487.5</v>
      </c>
      <c r="Z178" s="37">
        <f t="shared" si="69"/>
        <v>7156.25</v>
      </c>
      <c r="AA178" s="37">
        <f t="shared" si="70"/>
        <v>77862.5</v>
      </c>
      <c r="AB178" s="37">
        <v>0.65</v>
      </c>
      <c r="AC178" s="37">
        <f>IF(P178&gt;0,INDEX(装备!$BP$5:$BP$16,新属性汇总!P178),0)</f>
        <v>5</v>
      </c>
      <c r="AD178" s="37">
        <f>IF($P178&gt;0,ROUND(INDEX(装备!AY$11:AY$16,新属性汇总!$P178)*$AC178/3,0)*8*AB178,0)</f>
        <v>5668</v>
      </c>
      <c r="AE178" s="37">
        <f>IF($P178&gt;0,ROUND(INDEX(装备!AZ$11:AZ$16,新属性汇总!$P178)*$AC178/3,0)*8*AB178,0)</f>
        <v>2355.6</v>
      </c>
      <c r="AF178" s="37">
        <f>IF($P178&gt;0,ROUND(INDEX(装备!BA$11:BA$16,新属性汇总!$P178)*$AC178/3,0)*8*AB178,0)</f>
        <v>25194</v>
      </c>
      <c r="AG178" s="37">
        <f>IF(新属性汇总!P178&gt;0,INDEX(装备!$AP$11:$AP$16,新属性汇总!$P178)*2,0)</f>
        <v>16262</v>
      </c>
      <c r="AH178" s="37">
        <v>0</v>
      </c>
      <c r="AI178" s="37">
        <f>IF(新属性汇总!P178&gt;0,INDEX(装备!$AP$11:$AP$16,新属性汇总!$P178)*2,0)</f>
        <v>16262</v>
      </c>
      <c r="AJ178" s="37">
        <v>41</v>
      </c>
      <c r="AK178" s="37">
        <f>IF($AJ178&gt;0,INDEX(专属武器!H$4:H$53,新属性汇总!$AJ178),0)</f>
        <v>18024</v>
      </c>
      <c r="AL178" s="37">
        <f>IF($AJ178&gt;0,INDEX(专属武器!I$4:I$53,新属性汇总!$AJ178),0)</f>
        <v>9002</v>
      </c>
      <c r="AM178" s="37">
        <f>IF($AJ178&gt;0,INDEX(专属武器!J$4:J$53,新属性汇总!$AJ178),0)</f>
        <v>81145</v>
      </c>
      <c r="AQ178" s="13">
        <v>174</v>
      </c>
      <c r="AR178" s="13">
        <f t="shared" si="71"/>
        <v>35271.856999999989</v>
      </c>
      <c r="AS178" s="13">
        <f t="shared" si="72"/>
        <v>17633.053499999995</v>
      </c>
      <c r="AT178" s="13">
        <f t="shared" si="73"/>
        <v>186838.19999999998</v>
      </c>
      <c r="AU178" s="13">
        <f t="shared" si="74"/>
        <v>14422.5</v>
      </c>
      <c r="AV178" s="13">
        <f t="shared" si="75"/>
        <v>7124.25</v>
      </c>
      <c r="AW178" s="13">
        <f t="shared" si="76"/>
        <v>77512.5</v>
      </c>
      <c r="AX178" s="13">
        <f t="shared" si="77"/>
        <v>5668</v>
      </c>
      <c r="AY178" s="13">
        <f t="shared" si="78"/>
        <v>2355.6</v>
      </c>
      <c r="AZ178" s="13">
        <f t="shared" si="79"/>
        <v>25194</v>
      </c>
      <c r="BA178" s="13">
        <f t="shared" si="80"/>
        <v>16262</v>
      </c>
      <c r="BB178" s="13">
        <f t="shared" si="81"/>
        <v>0</v>
      </c>
      <c r="BC178" s="13">
        <f t="shared" si="82"/>
        <v>16262</v>
      </c>
      <c r="BD178" s="13">
        <f t="shared" si="83"/>
        <v>18024</v>
      </c>
      <c r="BE178" s="13">
        <f t="shared" si="84"/>
        <v>9002</v>
      </c>
      <c r="BF178" s="13">
        <f t="shared" si="85"/>
        <v>81145</v>
      </c>
      <c r="BG178" s="13">
        <f t="shared" si="86"/>
        <v>539528</v>
      </c>
      <c r="BH178" s="13">
        <f t="shared" si="87"/>
        <v>220867</v>
      </c>
      <c r="BI178" s="13">
        <f t="shared" si="88"/>
        <v>77090</v>
      </c>
      <c r="BJ178" s="13">
        <f t="shared" si="89"/>
        <v>97572</v>
      </c>
      <c r="BK178" s="13">
        <f t="shared" si="90"/>
        <v>261285</v>
      </c>
      <c r="BL178" s="13">
        <f t="shared" si="91"/>
        <v>1196342</v>
      </c>
      <c r="BM178" s="31">
        <f t="shared" si="92"/>
        <v>0.45100000000000001</v>
      </c>
      <c r="BN178" s="31">
        <f t="shared" si="93"/>
        <v>0.18459999999999999</v>
      </c>
      <c r="BO178" s="31">
        <f t="shared" si="94"/>
        <v>6.4399999999999999E-2</v>
      </c>
      <c r="BP178" s="31">
        <f t="shared" si="95"/>
        <v>8.1600000000000006E-2</v>
      </c>
      <c r="BQ178" s="31">
        <f t="shared" si="96"/>
        <v>0.21840000000000001</v>
      </c>
    </row>
    <row r="179" spans="1:69" ht="16.5" x14ac:dyDescent="0.2">
      <c r="A179" s="37">
        <v>176</v>
      </c>
      <c r="B179" s="37">
        <v>18</v>
      </c>
      <c r="C179" s="37">
        <v>1</v>
      </c>
      <c r="D179" s="37">
        <v>3</v>
      </c>
      <c r="E179" s="37">
        <v>176</v>
      </c>
      <c r="F179" s="37">
        <f>INDEX(新属性投放!$L$6:$L$10,新属性汇总!D179)</f>
        <v>1.1499999999999999</v>
      </c>
      <c r="G179" s="37">
        <f>INDEX(新属性投放!J$42:J$62,新属性汇总!$B179)</f>
        <v>27897.899999999994</v>
      </c>
      <c r="H179" s="37">
        <f>INDEX(新属性投放!K$42:K$62,新属性汇总!$B179)</f>
        <v>13946.449999999997</v>
      </c>
      <c r="I179" s="37">
        <f>INDEX(新属性投放!L$42:L$62,新属性汇总!$B179)</f>
        <v>149992</v>
      </c>
      <c r="J179" s="37">
        <f>($A179-INDEX(新属性投放!$B$42:$B$62,新属性汇总!$B179))*INDEX(新属性投放!D$42:D$62,新属性汇总!$B179)</f>
        <v>4159.92</v>
      </c>
      <c r="K179" s="37">
        <f>($A179-INDEX(新属性投放!$B$42:$B$62,新属性汇总!$B179))*INDEX(新属性投放!E$42:E$62,新属性汇总!$B179)</f>
        <v>2079.96</v>
      </c>
      <c r="L179" s="37">
        <f>($A179-INDEX(新属性投放!$B$42:$B$62,新属性汇总!$B179))*INDEX(新属性投放!F$42:F$62,新属性汇总!$B179)</f>
        <v>18714</v>
      </c>
      <c r="M179" s="37">
        <f t="shared" si="65"/>
        <v>36866.492999999988</v>
      </c>
      <c r="N179" s="37">
        <f t="shared" si="66"/>
        <v>18430.371499999994</v>
      </c>
      <c r="O179" s="37">
        <f t="shared" si="67"/>
        <v>194011.9</v>
      </c>
      <c r="P179" s="37">
        <v>5</v>
      </c>
      <c r="Q179" s="37">
        <v>4</v>
      </c>
      <c r="R179">
        <v>176</v>
      </c>
      <c r="S179" s="37">
        <f>IF($P179&gt;0,INDEX(装备!L$11:L$16,新属性汇总!$P179),0)</f>
        <v>3112.5</v>
      </c>
      <c r="T179" s="37">
        <f>IF($P179&gt;0,INDEX(装备!M$11:M$16,新属性汇总!$P179),0)</f>
        <v>1556.25</v>
      </c>
      <c r="U179" s="37">
        <f>IF($P179&gt;0,INDEX(装备!N$11:N$16,新属性汇总!$P179),0)</f>
        <v>16612.5</v>
      </c>
      <c r="V179" s="37">
        <f>IF($P179&gt;0,INDEX(装备!H$11:H$16,新属性汇总!$P179),0)</f>
        <v>65</v>
      </c>
      <c r="W179" s="37">
        <f>IF($P179&gt;0,INDEX(装备!I$11:I$16,新属性汇总!$P179),0)</f>
        <v>32</v>
      </c>
      <c r="X179" s="37">
        <f>IF($P179&gt;0,INDEX(装备!J$11:J$16,新属性汇总!$P179),0)</f>
        <v>350</v>
      </c>
      <c r="Y179" s="37">
        <f t="shared" si="68"/>
        <v>14552.5</v>
      </c>
      <c r="Z179" s="37">
        <f t="shared" si="69"/>
        <v>7188.25</v>
      </c>
      <c r="AA179" s="37">
        <f t="shared" si="70"/>
        <v>78212.5</v>
      </c>
      <c r="AB179" s="37">
        <v>0.65</v>
      </c>
      <c r="AC179" s="37">
        <f>IF(P179&gt;0,INDEX(装备!$BP$5:$BP$16,新属性汇总!P179),0)</f>
        <v>5</v>
      </c>
      <c r="AD179" s="37">
        <f>IF($P179&gt;0,ROUND(INDEX(装备!AY$11:AY$16,新属性汇总!$P179)*$AC179/3,0)*8*AB179,0)</f>
        <v>5668</v>
      </c>
      <c r="AE179" s="37">
        <f>IF($P179&gt;0,ROUND(INDEX(装备!AZ$11:AZ$16,新属性汇总!$P179)*$AC179/3,0)*8*AB179,0)</f>
        <v>2355.6</v>
      </c>
      <c r="AF179" s="37">
        <f>IF($P179&gt;0,ROUND(INDEX(装备!BA$11:BA$16,新属性汇总!$P179)*$AC179/3,0)*8*AB179,0)</f>
        <v>25194</v>
      </c>
      <c r="AG179" s="37">
        <f>IF(新属性汇总!P179&gt;0,INDEX(装备!$AP$11:$AP$16,新属性汇总!$P179)*2,0)</f>
        <v>16262</v>
      </c>
      <c r="AH179" s="37">
        <v>0</v>
      </c>
      <c r="AI179" s="37">
        <f>IF(新属性汇总!P179&gt;0,INDEX(装备!$AP$11:$AP$16,新属性汇总!$P179)*2,0)</f>
        <v>16262</v>
      </c>
      <c r="AJ179" s="37">
        <v>41</v>
      </c>
      <c r="AK179" s="37">
        <f>IF($AJ179&gt;0,INDEX(专属武器!H$4:H$53,新属性汇总!$AJ179),0)</f>
        <v>18024</v>
      </c>
      <c r="AL179" s="37">
        <f>IF($AJ179&gt;0,INDEX(专属武器!I$4:I$53,新属性汇总!$AJ179),0)</f>
        <v>9002</v>
      </c>
      <c r="AM179" s="37">
        <f>IF($AJ179&gt;0,INDEX(专属武器!J$4:J$53,新属性汇总!$AJ179),0)</f>
        <v>81145</v>
      </c>
      <c r="AQ179" s="13">
        <v>175</v>
      </c>
      <c r="AR179" s="13">
        <f t="shared" si="71"/>
        <v>36069.174999999988</v>
      </c>
      <c r="AS179" s="13">
        <f t="shared" si="72"/>
        <v>18031.712499999994</v>
      </c>
      <c r="AT179" s="13">
        <f t="shared" si="73"/>
        <v>190425.05</v>
      </c>
      <c r="AU179" s="13">
        <f t="shared" si="74"/>
        <v>14487.5</v>
      </c>
      <c r="AV179" s="13">
        <f t="shared" si="75"/>
        <v>7156.25</v>
      </c>
      <c r="AW179" s="13">
        <f t="shared" si="76"/>
        <v>77862.5</v>
      </c>
      <c r="AX179" s="13">
        <f t="shared" si="77"/>
        <v>5668</v>
      </c>
      <c r="AY179" s="13">
        <f t="shared" si="78"/>
        <v>2355.6</v>
      </c>
      <c r="AZ179" s="13">
        <f t="shared" si="79"/>
        <v>25194</v>
      </c>
      <c r="BA179" s="13">
        <f t="shared" si="80"/>
        <v>16262</v>
      </c>
      <c r="BB179" s="13">
        <f t="shared" si="81"/>
        <v>0</v>
      </c>
      <c r="BC179" s="13">
        <f t="shared" si="82"/>
        <v>16262</v>
      </c>
      <c r="BD179" s="13">
        <f t="shared" si="83"/>
        <v>18024</v>
      </c>
      <c r="BE179" s="13">
        <f t="shared" si="84"/>
        <v>9002</v>
      </c>
      <c r="BF179" s="13">
        <f t="shared" si="85"/>
        <v>81145</v>
      </c>
      <c r="BG179" s="13">
        <f t="shared" si="86"/>
        <v>551088</v>
      </c>
      <c r="BH179" s="13">
        <f t="shared" si="87"/>
        <v>221862</v>
      </c>
      <c r="BI179" s="13">
        <f t="shared" si="88"/>
        <v>77090</v>
      </c>
      <c r="BJ179" s="13">
        <f t="shared" si="89"/>
        <v>97572</v>
      </c>
      <c r="BK179" s="13">
        <f t="shared" si="90"/>
        <v>261285</v>
      </c>
      <c r="BL179" s="13">
        <f t="shared" si="91"/>
        <v>1208897</v>
      </c>
      <c r="BM179" s="31">
        <f t="shared" si="92"/>
        <v>0.45590000000000003</v>
      </c>
      <c r="BN179" s="31">
        <f t="shared" si="93"/>
        <v>0.1835</v>
      </c>
      <c r="BO179" s="31">
        <f t="shared" si="94"/>
        <v>6.3799999999999996E-2</v>
      </c>
      <c r="BP179" s="31">
        <f t="shared" si="95"/>
        <v>8.0699999999999994E-2</v>
      </c>
      <c r="BQ179" s="31">
        <f t="shared" si="96"/>
        <v>0.21609999999999999</v>
      </c>
    </row>
    <row r="180" spans="1:69" ht="16.5" x14ac:dyDescent="0.2">
      <c r="A180" s="37">
        <v>177</v>
      </c>
      <c r="B180" s="37">
        <v>18</v>
      </c>
      <c r="C180" s="37">
        <v>1</v>
      </c>
      <c r="D180" s="37">
        <v>3</v>
      </c>
      <c r="E180" s="37">
        <v>177</v>
      </c>
      <c r="F180" s="37">
        <f>INDEX(新属性投放!$L$6:$L$10,新属性汇总!D180)</f>
        <v>1.1499999999999999</v>
      </c>
      <c r="G180" s="37">
        <f>INDEX(新属性投放!J$42:J$62,新属性汇总!$B180)</f>
        <v>27897.899999999994</v>
      </c>
      <c r="H180" s="37">
        <f>INDEX(新属性投放!K$42:K$62,新属性汇总!$B180)</f>
        <v>13946.449999999997</v>
      </c>
      <c r="I180" s="37">
        <f>INDEX(新属性投放!L$42:L$62,新属性汇总!$B180)</f>
        <v>149992</v>
      </c>
      <c r="J180" s="37">
        <f>($A180-INDEX(新属性投放!$B$42:$B$62,新属性汇总!$B180))*INDEX(新属性投放!D$42:D$62,新属性汇总!$B180)</f>
        <v>4853.2400000000007</v>
      </c>
      <c r="K180" s="37">
        <f>($A180-INDEX(新属性投放!$B$42:$B$62,新属性汇总!$B180))*INDEX(新属性投放!E$42:E$62,新属性汇总!$B180)</f>
        <v>2426.6200000000003</v>
      </c>
      <c r="L180" s="37">
        <f>($A180-INDEX(新属性投放!$B$42:$B$62,新属性汇总!$B180))*INDEX(新属性投放!F$42:F$62,新属性汇总!$B180)</f>
        <v>21833</v>
      </c>
      <c r="M180" s="37">
        <f t="shared" si="65"/>
        <v>37663.810999999994</v>
      </c>
      <c r="N180" s="37">
        <f t="shared" si="66"/>
        <v>18829.030499999997</v>
      </c>
      <c r="O180" s="37">
        <f t="shared" si="67"/>
        <v>197598.74999999997</v>
      </c>
      <c r="P180" s="37">
        <v>5</v>
      </c>
      <c r="Q180" s="37">
        <v>4</v>
      </c>
      <c r="R180">
        <v>177</v>
      </c>
      <c r="S180" s="37">
        <f>IF($P180&gt;0,INDEX(装备!L$11:L$16,新属性汇总!$P180),0)</f>
        <v>3112.5</v>
      </c>
      <c r="T180" s="37">
        <f>IF($P180&gt;0,INDEX(装备!M$11:M$16,新属性汇总!$P180),0)</f>
        <v>1556.25</v>
      </c>
      <c r="U180" s="37">
        <f>IF($P180&gt;0,INDEX(装备!N$11:N$16,新属性汇总!$P180),0)</f>
        <v>16612.5</v>
      </c>
      <c r="V180" s="37">
        <f>IF($P180&gt;0,INDEX(装备!H$11:H$16,新属性汇总!$P180),0)</f>
        <v>65</v>
      </c>
      <c r="W180" s="37">
        <f>IF($P180&gt;0,INDEX(装备!I$11:I$16,新属性汇总!$P180),0)</f>
        <v>32</v>
      </c>
      <c r="X180" s="37">
        <f>IF($P180&gt;0,INDEX(装备!J$11:J$16,新属性汇总!$P180),0)</f>
        <v>350</v>
      </c>
      <c r="Y180" s="37">
        <f t="shared" si="68"/>
        <v>14617.5</v>
      </c>
      <c r="Z180" s="37">
        <f t="shared" si="69"/>
        <v>7220.25</v>
      </c>
      <c r="AA180" s="37">
        <f t="shared" si="70"/>
        <v>78562.5</v>
      </c>
      <c r="AB180" s="37">
        <v>0.65</v>
      </c>
      <c r="AC180" s="37">
        <f>IF(P180&gt;0,INDEX(装备!$BP$5:$BP$16,新属性汇总!P180),0)</f>
        <v>5</v>
      </c>
      <c r="AD180" s="37">
        <f>IF($P180&gt;0,ROUND(INDEX(装备!AY$11:AY$16,新属性汇总!$P180)*$AC180/3,0)*8*AB180,0)</f>
        <v>5668</v>
      </c>
      <c r="AE180" s="37">
        <f>IF($P180&gt;0,ROUND(INDEX(装备!AZ$11:AZ$16,新属性汇总!$P180)*$AC180/3,0)*8*AB180,0)</f>
        <v>2355.6</v>
      </c>
      <c r="AF180" s="37">
        <f>IF($P180&gt;0,ROUND(INDEX(装备!BA$11:BA$16,新属性汇总!$P180)*$AC180/3,0)*8*AB180,0)</f>
        <v>25194</v>
      </c>
      <c r="AG180" s="37">
        <f>IF(新属性汇总!P180&gt;0,INDEX(装备!$AP$11:$AP$16,新属性汇总!$P180)*2,0)</f>
        <v>16262</v>
      </c>
      <c r="AH180" s="37">
        <v>0</v>
      </c>
      <c r="AI180" s="37">
        <f>IF(新属性汇总!P180&gt;0,INDEX(装备!$AP$11:$AP$16,新属性汇总!$P180)*2,0)</f>
        <v>16262</v>
      </c>
      <c r="AJ180" s="37">
        <v>41</v>
      </c>
      <c r="AK180" s="37">
        <f>IF($AJ180&gt;0,INDEX(专属武器!H$4:H$53,新属性汇总!$AJ180),0)</f>
        <v>18024</v>
      </c>
      <c r="AL180" s="37">
        <f>IF($AJ180&gt;0,INDEX(专属武器!I$4:I$53,新属性汇总!$AJ180),0)</f>
        <v>9002</v>
      </c>
      <c r="AM180" s="37">
        <f>IF($AJ180&gt;0,INDEX(专属武器!J$4:J$53,新属性汇总!$AJ180),0)</f>
        <v>81145</v>
      </c>
      <c r="AQ180" s="13">
        <v>176</v>
      </c>
      <c r="AR180" s="13">
        <f t="shared" si="71"/>
        <v>36866.492999999988</v>
      </c>
      <c r="AS180" s="13">
        <f t="shared" si="72"/>
        <v>18430.371499999994</v>
      </c>
      <c r="AT180" s="13">
        <f t="shared" si="73"/>
        <v>194011.9</v>
      </c>
      <c r="AU180" s="13">
        <f t="shared" si="74"/>
        <v>14552.5</v>
      </c>
      <c r="AV180" s="13">
        <f t="shared" si="75"/>
        <v>7188.25</v>
      </c>
      <c r="AW180" s="13">
        <f t="shared" si="76"/>
        <v>78212.5</v>
      </c>
      <c r="AX180" s="13">
        <f t="shared" si="77"/>
        <v>5668</v>
      </c>
      <c r="AY180" s="13">
        <f t="shared" si="78"/>
        <v>2355.6</v>
      </c>
      <c r="AZ180" s="13">
        <f t="shared" si="79"/>
        <v>25194</v>
      </c>
      <c r="BA180" s="13">
        <f t="shared" si="80"/>
        <v>16262</v>
      </c>
      <c r="BB180" s="13">
        <f t="shared" si="81"/>
        <v>0</v>
      </c>
      <c r="BC180" s="13">
        <f t="shared" si="82"/>
        <v>16262</v>
      </c>
      <c r="BD180" s="13">
        <f t="shared" si="83"/>
        <v>18024</v>
      </c>
      <c r="BE180" s="13">
        <f t="shared" si="84"/>
        <v>9002</v>
      </c>
      <c r="BF180" s="13">
        <f t="shared" si="85"/>
        <v>81145</v>
      </c>
      <c r="BG180" s="13">
        <f t="shared" si="86"/>
        <v>562648</v>
      </c>
      <c r="BH180" s="13">
        <f t="shared" si="87"/>
        <v>222857</v>
      </c>
      <c r="BI180" s="13">
        <f t="shared" si="88"/>
        <v>77090</v>
      </c>
      <c r="BJ180" s="13">
        <f t="shared" si="89"/>
        <v>97572</v>
      </c>
      <c r="BK180" s="13">
        <f t="shared" si="90"/>
        <v>261285</v>
      </c>
      <c r="BL180" s="13">
        <f t="shared" si="91"/>
        <v>1221452</v>
      </c>
      <c r="BM180" s="31">
        <f t="shared" si="92"/>
        <v>0.46060000000000001</v>
      </c>
      <c r="BN180" s="31">
        <f t="shared" si="93"/>
        <v>0.1825</v>
      </c>
      <c r="BO180" s="31">
        <f t="shared" si="94"/>
        <v>6.3100000000000003E-2</v>
      </c>
      <c r="BP180" s="31">
        <f t="shared" si="95"/>
        <v>7.9899999999999999E-2</v>
      </c>
      <c r="BQ180" s="31">
        <f t="shared" si="96"/>
        <v>0.21390000000000001</v>
      </c>
    </row>
    <row r="181" spans="1:69" ht="16.5" x14ac:dyDescent="0.2">
      <c r="A181" s="37">
        <v>178</v>
      </c>
      <c r="B181" s="37">
        <v>18</v>
      </c>
      <c r="C181" s="37">
        <v>1</v>
      </c>
      <c r="D181" s="37">
        <v>3</v>
      </c>
      <c r="E181" s="37">
        <v>178</v>
      </c>
      <c r="F181" s="37">
        <f>INDEX(新属性投放!$L$6:$L$10,新属性汇总!D181)</f>
        <v>1.1499999999999999</v>
      </c>
      <c r="G181" s="37">
        <f>INDEX(新属性投放!J$42:J$62,新属性汇总!$B181)</f>
        <v>27897.899999999994</v>
      </c>
      <c r="H181" s="37">
        <f>INDEX(新属性投放!K$42:K$62,新属性汇总!$B181)</f>
        <v>13946.449999999997</v>
      </c>
      <c r="I181" s="37">
        <f>INDEX(新属性投放!L$42:L$62,新属性汇总!$B181)</f>
        <v>149992</v>
      </c>
      <c r="J181" s="37">
        <f>($A181-INDEX(新属性投放!$B$42:$B$62,新属性汇总!$B181))*INDEX(新属性投放!D$42:D$62,新属性汇总!$B181)</f>
        <v>5546.56</v>
      </c>
      <c r="K181" s="37">
        <f>($A181-INDEX(新属性投放!$B$42:$B$62,新属性汇总!$B181))*INDEX(新属性投放!E$42:E$62,新属性汇总!$B181)</f>
        <v>2773.28</v>
      </c>
      <c r="L181" s="37">
        <f>($A181-INDEX(新属性投放!$B$42:$B$62,新属性汇总!$B181))*INDEX(新属性投放!F$42:F$62,新属性汇总!$B181)</f>
        <v>24952</v>
      </c>
      <c r="M181" s="37">
        <f t="shared" si="65"/>
        <v>38461.128999999986</v>
      </c>
      <c r="N181" s="37">
        <f t="shared" si="66"/>
        <v>19227.689499999993</v>
      </c>
      <c r="O181" s="37">
        <f t="shared" si="67"/>
        <v>201185.59999999998</v>
      </c>
      <c r="P181" s="37">
        <v>5</v>
      </c>
      <c r="Q181" s="37">
        <v>4</v>
      </c>
      <c r="R181">
        <v>178</v>
      </c>
      <c r="S181" s="37">
        <f>IF($P181&gt;0,INDEX(装备!L$11:L$16,新属性汇总!$P181),0)</f>
        <v>3112.5</v>
      </c>
      <c r="T181" s="37">
        <f>IF($P181&gt;0,INDEX(装备!M$11:M$16,新属性汇总!$P181),0)</f>
        <v>1556.25</v>
      </c>
      <c r="U181" s="37">
        <f>IF($P181&gt;0,INDEX(装备!N$11:N$16,新属性汇总!$P181),0)</f>
        <v>16612.5</v>
      </c>
      <c r="V181" s="37">
        <f>IF($P181&gt;0,INDEX(装备!H$11:H$16,新属性汇总!$P181),0)</f>
        <v>65</v>
      </c>
      <c r="W181" s="37">
        <f>IF($P181&gt;0,INDEX(装备!I$11:I$16,新属性汇总!$P181),0)</f>
        <v>32</v>
      </c>
      <c r="X181" s="37">
        <f>IF($P181&gt;0,INDEX(装备!J$11:J$16,新属性汇总!$P181),0)</f>
        <v>350</v>
      </c>
      <c r="Y181" s="37">
        <f t="shared" si="68"/>
        <v>14682.5</v>
      </c>
      <c r="Z181" s="37">
        <f t="shared" si="69"/>
        <v>7252.25</v>
      </c>
      <c r="AA181" s="37">
        <f t="shared" si="70"/>
        <v>78912.5</v>
      </c>
      <c r="AB181" s="37">
        <v>0.65</v>
      </c>
      <c r="AC181" s="37">
        <f>IF(P181&gt;0,INDEX(装备!$BP$5:$BP$16,新属性汇总!P181),0)</f>
        <v>5</v>
      </c>
      <c r="AD181" s="37">
        <f>IF($P181&gt;0,ROUND(INDEX(装备!AY$11:AY$16,新属性汇总!$P181)*$AC181/3,0)*8*AB181,0)</f>
        <v>5668</v>
      </c>
      <c r="AE181" s="37">
        <f>IF($P181&gt;0,ROUND(INDEX(装备!AZ$11:AZ$16,新属性汇总!$P181)*$AC181/3,0)*8*AB181,0)</f>
        <v>2355.6</v>
      </c>
      <c r="AF181" s="37">
        <f>IF($P181&gt;0,ROUND(INDEX(装备!BA$11:BA$16,新属性汇总!$P181)*$AC181/3,0)*8*AB181,0)</f>
        <v>25194</v>
      </c>
      <c r="AG181" s="37">
        <f>IF(新属性汇总!P181&gt;0,INDEX(装备!$AP$11:$AP$16,新属性汇总!$P181)*2,0)</f>
        <v>16262</v>
      </c>
      <c r="AH181" s="37">
        <v>0</v>
      </c>
      <c r="AI181" s="37">
        <f>IF(新属性汇总!P181&gt;0,INDEX(装备!$AP$11:$AP$16,新属性汇总!$P181)*2,0)</f>
        <v>16262</v>
      </c>
      <c r="AJ181" s="37">
        <v>42</v>
      </c>
      <c r="AK181" s="37">
        <f>IF($AJ181&gt;0,INDEX(专属武器!H$4:H$53,新属性汇总!$AJ181),0)</f>
        <v>19965</v>
      </c>
      <c r="AL181" s="37">
        <f>IF($AJ181&gt;0,INDEX(专属武器!I$4:I$53,新属性汇总!$AJ181),0)</f>
        <v>9972</v>
      </c>
      <c r="AM181" s="37">
        <f>IF($AJ181&gt;0,INDEX(专属武器!J$4:J$53,新属性汇总!$AJ181),0)</f>
        <v>89878</v>
      </c>
      <c r="AQ181" s="13">
        <v>177</v>
      </c>
      <c r="AR181" s="13">
        <f t="shared" si="71"/>
        <v>37663.810999999994</v>
      </c>
      <c r="AS181" s="13">
        <f t="shared" si="72"/>
        <v>18829.030499999997</v>
      </c>
      <c r="AT181" s="13">
        <f t="shared" si="73"/>
        <v>197598.74999999997</v>
      </c>
      <c r="AU181" s="13">
        <f t="shared" si="74"/>
        <v>14617.5</v>
      </c>
      <c r="AV181" s="13">
        <f t="shared" si="75"/>
        <v>7220.25</v>
      </c>
      <c r="AW181" s="13">
        <f t="shared" si="76"/>
        <v>78562.5</v>
      </c>
      <c r="AX181" s="13">
        <f t="shared" si="77"/>
        <v>5668</v>
      </c>
      <c r="AY181" s="13">
        <f t="shared" si="78"/>
        <v>2355.6</v>
      </c>
      <c r="AZ181" s="13">
        <f t="shared" si="79"/>
        <v>25194</v>
      </c>
      <c r="BA181" s="13">
        <f t="shared" si="80"/>
        <v>16262</v>
      </c>
      <c r="BB181" s="13">
        <f t="shared" si="81"/>
        <v>0</v>
      </c>
      <c r="BC181" s="13">
        <f t="shared" si="82"/>
        <v>16262</v>
      </c>
      <c r="BD181" s="13">
        <f t="shared" si="83"/>
        <v>18024</v>
      </c>
      <c r="BE181" s="13">
        <f t="shared" si="84"/>
        <v>9002</v>
      </c>
      <c r="BF181" s="13">
        <f t="shared" si="85"/>
        <v>81145</v>
      </c>
      <c r="BG181" s="13">
        <f t="shared" si="86"/>
        <v>574208</v>
      </c>
      <c r="BH181" s="13">
        <f t="shared" si="87"/>
        <v>223852</v>
      </c>
      <c r="BI181" s="13">
        <f t="shared" si="88"/>
        <v>77090</v>
      </c>
      <c r="BJ181" s="13">
        <f t="shared" si="89"/>
        <v>97572</v>
      </c>
      <c r="BK181" s="13">
        <f t="shared" si="90"/>
        <v>261285</v>
      </c>
      <c r="BL181" s="13">
        <f t="shared" si="91"/>
        <v>1234007</v>
      </c>
      <c r="BM181" s="31">
        <f t="shared" si="92"/>
        <v>0.46529999999999999</v>
      </c>
      <c r="BN181" s="31">
        <f t="shared" si="93"/>
        <v>0.18140000000000001</v>
      </c>
      <c r="BO181" s="31">
        <f t="shared" si="94"/>
        <v>6.25E-2</v>
      </c>
      <c r="BP181" s="31">
        <f t="shared" si="95"/>
        <v>7.9100000000000004E-2</v>
      </c>
      <c r="BQ181" s="31">
        <f t="shared" si="96"/>
        <v>0.2117</v>
      </c>
    </row>
    <row r="182" spans="1:69" ht="16.5" x14ac:dyDescent="0.2">
      <c r="A182" s="37">
        <v>179</v>
      </c>
      <c r="B182" s="37">
        <v>18</v>
      </c>
      <c r="C182" s="37">
        <v>1</v>
      </c>
      <c r="D182" s="37">
        <v>3</v>
      </c>
      <c r="E182" s="37">
        <v>179</v>
      </c>
      <c r="F182" s="37">
        <f>INDEX(新属性投放!$L$6:$L$10,新属性汇总!D182)</f>
        <v>1.1499999999999999</v>
      </c>
      <c r="G182" s="37">
        <f>INDEX(新属性投放!J$42:J$62,新属性汇总!$B182)</f>
        <v>27897.899999999994</v>
      </c>
      <c r="H182" s="37">
        <f>INDEX(新属性投放!K$42:K$62,新属性汇总!$B182)</f>
        <v>13946.449999999997</v>
      </c>
      <c r="I182" s="37">
        <f>INDEX(新属性投放!L$42:L$62,新属性汇总!$B182)</f>
        <v>149992</v>
      </c>
      <c r="J182" s="37">
        <f>($A182-INDEX(新属性投放!$B$42:$B$62,新属性汇总!$B182))*INDEX(新属性投放!D$42:D$62,新属性汇总!$B182)</f>
        <v>6239.88</v>
      </c>
      <c r="K182" s="37">
        <f>($A182-INDEX(新属性投放!$B$42:$B$62,新属性汇总!$B182))*INDEX(新属性投放!E$42:E$62,新属性汇总!$B182)</f>
        <v>3119.94</v>
      </c>
      <c r="L182" s="37">
        <f>($A182-INDEX(新属性投放!$B$42:$B$62,新属性汇总!$B182))*INDEX(新属性投放!F$42:F$62,新属性汇总!$B182)</f>
        <v>28071</v>
      </c>
      <c r="M182" s="37">
        <f t="shared" si="65"/>
        <v>39258.446999999986</v>
      </c>
      <c r="N182" s="37">
        <f t="shared" si="66"/>
        <v>19626.348499999993</v>
      </c>
      <c r="O182" s="37">
        <f t="shared" si="67"/>
        <v>204772.44999999998</v>
      </c>
      <c r="P182" s="37">
        <v>5</v>
      </c>
      <c r="Q182" s="37">
        <v>4</v>
      </c>
      <c r="R182">
        <v>179</v>
      </c>
      <c r="S182" s="37">
        <f>IF($P182&gt;0,INDEX(装备!L$11:L$16,新属性汇总!$P182),0)</f>
        <v>3112.5</v>
      </c>
      <c r="T182" s="37">
        <f>IF($P182&gt;0,INDEX(装备!M$11:M$16,新属性汇总!$P182),0)</f>
        <v>1556.25</v>
      </c>
      <c r="U182" s="37">
        <f>IF($P182&gt;0,INDEX(装备!N$11:N$16,新属性汇总!$P182),0)</f>
        <v>16612.5</v>
      </c>
      <c r="V182" s="37">
        <f>IF($P182&gt;0,INDEX(装备!H$11:H$16,新属性汇总!$P182),0)</f>
        <v>65</v>
      </c>
      <c r="W182" s="37">
        <f>IF($P182&gt;0,INDEX(装备!I$11:I$16,新属性汇总!$P182),0)</f>
        <v>32</v>
      </c>
      <c r="X182" s="37">
        <f>IF($P182&gt;0,INDEX(装备!J$11:J$16,新属性汇总!$P182),0)</f>
        <v>350</v>
      </c>
      <c r="Y182" s="37">
        <f t="shared" si="68"/>
        <v>14747.5</v>
      </c>
      <c r="Z182" s="37">
        <f t="shared" si="69"/>
        <v>7284.25</v>
      </c>
      <c r="AA182" s="37">
        <f t="shared" si="70"/>
        <v>79262.5</v>
      </c>
      <c r="AB182" s="37">
        <v>0.65</v>
      </c>
      <c r="AC182" s="37">
        <f>IF(P182&gt;0,INDEX(装备!$BP$5:$BP$16,新属性汇总!P182),0)</f>
        <v>5</v>
      </c>
      <c r="AD182" s="37">
        <f>IF($P182&gt;0,ROUND(INDEX(装备!AY$11:AY$16,新属性汇总!$P182)*$AC182/3,0)*8*AB182,0)</f>
        <v>5668</v>
      </c>
      <c r="AE182" s="37">
        <f>IF($P182&gt;0,ROUND(INDEX(装备!AZ$11:AZ$16,新属性汇总!$P182)*$AC182/3,0)*8*AB182,0)</f>
        <v>2355.6</v>
      </c>
      <c r="AF182" s="37">
        <f>IF($P182&gt;0,ROUND(INDEX(装备!BA$11:BA$16,新属性汇总!$P182)*$AC182/3,0)*8*AB182,0)</f>
        <v>25194</v>
      </c>
      <c r="AG182" s="37">
        <f>IF(新属性汇总!P182&gt;0,INDEX(装备!$AP$11:$AP$16,新属性汇总!$P182)*2,0)</f>
        <v>16262</v>
      </c>
      <c r="AH182" s="37">
        <v>0</v>
      </c>
      <c r="AI182" s="37">
        <f>IF(新属性汇总!P182&gt;0,INDEX(装备!$AP$11:$AP$16,新属性汇总!$P182)*2,0)</f>
        <v>16262</v>
      </c>
      <c r="AJ182" s="37">
        <v>42</v>
      </c>
      <c r="AK182" s="37">
        <f>IF($AJ182&gt;0,INDEX(专属武器!H$4:H$53,新属性汇总!$AJ182),0)</f>
        <v>19965</v>
      </c>
      <c r="AL182" s="37">
        <f>IF($AJ182&gt;0,INDEX(专属武器!I$4:I$53,新属性汇总!$AJ182),0)</f>
        <v>9972</v>
      </c>
      <c r="AM182" s="37">
        <f>IF($AJ182&gt;0,INDEX(专属武器!J$4:J$53,新属性汇总!$AJ182),0)</f>
        <v>89878</v>
      </c>
      <c r="AQ182" s="13">
        <v>178</v>
      </c>
      <c r="AR182" s="13">
        <f t="shared" si="71"/>
        <v>38461.128999999986</v>
      </c>
      <c r="AS182" s="13">
        <f t="shared" si="72"/>
        <v>19227.689499999993</v>
      </c>
      <c r="AT182" s="13">
        <f t="shared" si="73"/>
        <v>201185.59999999998</v>
      </c>
      <c r="AU182" s="13">
        <f t="shared" si="74"/>
        <v>14682.5</v>
      </c>
      <c r="AV182" s="13">
        <f t="shared" si="75"/>
        <v>7252.25</v>
      </c>
      <c r="AW182" s="13">
        <f t="shared" si="76"/>
        <v>78912.5</v>
      </c>
      <c r="AX182" s="13">
        <f t="shared" si="77"/>
        <v>5668</v>
      </c>
      <c r="AY182" s="13">
        <f t="shared" si="78"/>
        <v>2355.6</v>
      </c>
      <c r="AZ182" s="13">
        <f t="shared" si="79"/>
        <v>25194</v>
      </c>
      <c r="BA182" s="13">
        <f t="shared" si="80"/>
        <v>16262</v>
      </c>
      <c r="BB182" s="13">
        <f t="shared" si="81"/>
        <v>0</v>
      </c>
      <c r="BC182" s="13">
        <f t="shared" si="82"/>
        <v>16262</v>
      </c>
      <c r="BD182" s="13">
        <f t="shared" si="83"/>
        <v>19965</v>
      </c>
      <c r="BE182" s="13">
        <f t="shared" si="84"/>
        <v>9972</v>
      </c>
      <c r="BF182" s="13">
        <f t="shared" si="85"/>
        <v>89878</v>
      </c>
      <c r="BG182" s="13">
        <f t="shared" si="86"/>
        <v>585768</v>
      </c>
      <c r="BH182" s="13">
        <f t="shared" si="87"/>
        <v>224847</v>
      </c>
      <c r="BI182" s="13">
        <f t="shared" si="88"/>
        <v>77090</v>
      </c>
      <c r="BJ182" s="13">
        <f t="shared" si="89"/>
        <v>97572</v>
      </c>
      <c r="BK182" s="13">
        <f t="shared" si="90"/>
        <v>289423</v>
      </c>
      <c r="BL182" s="13">
        <f t="shared" si="91"/>
        <v>1274700</v>
      </c>
      <c r="BM182" s="31">
        <f t="shared" si="92"/>
        <v>0.45950000000000002</v>
      </c>
      <c r="BN182" s="31">
        <f t="shared" si="93"/>
        <v>0.1764</v>
      </c>
      <c r="BO182" s="31">
        <f t="shared" si="94"/>
        <v>6.0499999999999998E-2</v>
      </c>
      <c r="BP182" s="31">
        <f t="shared" si="95"/>
        <v>7.6499999999999999E-2</v>
      </c>
      <c r="BQ182" s="31">
        <f t="shared" si="96"/>
        <v>0.2271</v>
      </c>
    </row>
    <row r="183" spans="1:69" ht="16.5" x14ac:dyDescent="0.2">
      <c r="A183" s="37">
        <v>180</v>
      </c>
      <c r="B183" s="37">
        <v>19</v>
      </c>
      <c r="C183" s="37">
        <v>1</v>
      </c>
      <c r="D183" s="37">
        <v>3</v>
      </c>
      <c r="E183" s="37">
        <v>180</v>
      </c>
      <c r="F183" s="37">
        <f>INDEX(新属性投放!$L$6:$L$10,新属性汇总!D183)</f>
        <v>1.1499999999999999</v>
      </c>
      <c r="G183" s="37">
        <f>INDEX(新属性投放!J$42:J$62,新属性汇总!$B183)</f>
        <v>36564.099999999991</v>
      </c>
      <c r="H183" s="37">
        <f>INDEX(新属性投放!K$42:K$62,新属性汇总!$B183)</f>
        <v>18280.049999999996</v>
      </c>
      <c r="I183" s="37">
        <f>INDEX(新属性投放!L$42:L$62,新属性汇总!$B183)</f>
        <v>196779</v>
      </c>
      <c r="J183" s="37">
        <f>($A183-INDEX(新属性投放!$B$42:$B$62,新属性汇总!$B183))*INDEX(新属性投放!D$42:D$62,新属性汇总!$B183)</f>
        <v>0</v>
      </c>
      <c r="K183" s="37">
        <f>($A183-INDEX(新属性投放!$B$42:$B$62,新属性汇总!$B183))*INDEX(新属性投放!E$42:E$62,新属性汇总!$B183)</f>
        <v>0</v>
      </c>
      <c r="L183" s="37">
        <f>($A183-INDEX(新属性投放!$B$42:$B$62,新属性汇总!$B183))*INDEX(新属性投放!F$42:F$62,新属性汇总!$B183)</f>
        <v>0</v>
      </c>
      <c r="M183" s="37">
        <f t="shared" si="65"/>
        <v>42048.714999999989</v>
      </c>
      <c r="N183" s="37">
        <f t="shared" si="66"/>
        <v>21022.057499999992</v>
      </c>
      <c r="O183" s="37">
        <f t="shared" si="67"/>
        <v>226295.84999999998</v>
      </c>
      <c r="P183" s="37">
        <v>6</v>
      </c>
      <c r="Q183" s="37">
        <v>4</v>
      </c>
      <c r="R183">
        <v>180</v>
      </c>
      <c r="S183" s="37">
        <f>IF($P183&gt;0,INDEX(装备!L$11:L$16,新属性汇总!$P183),0)</f>
        <v>5580</v>
      </c>
      <c r="T183" s="37">
        <f>IF($P183&gt;0,INDEX(装备!M$11:M$16,新属性汇总!$P183),0)</f>
        <v>2790</v>
      </c>
      <c r="U183" s="37">
        <f>IF($P183&gt;0,INDEX(装备!N$11:N$16,新属性汇总!$P183),0)</f>
        <v>29988.000000000004</v>
      </c>
      <c r="V183" s="37">
        <f>IF($P183&gt;0,INDEX(装备!H$11:H$16,新属性汇总!$P183),0)</f>
        <v>120</v>
      </c>
      <c r="W183" s="37">
        <f>IF($P183&gt;0,INDEX(装备!I$11:I$16,新属性汇总!$P183),0)</f>
        <v>60</v>
      </c>
      <c r="X183" s="37">
        <f>IF($P183&gt;0,INDEX(装备!J$11:J$16,新属性汇总!$P183),0)</f>
        <v>650</v>
      </c>
      <c r="Y183" s="37">
        <f t="shared" si="68"/>
        <v>27180</v>
      </c>
      <c r="Z183" s="37">
        <f t="shared" si="69"/>
        <v>13590</v>
      </c>
      <c r="AA183" s="37">
        <f t="shared" si="70"/>
        <v>146988</v>
      </c>
      <c r="AB183" s="37">
        <v>0.65</v>
      </c>
      <c r="AC183" s="37">
        <f>IF(P183&gt;0,INDEX(装备!$BP$5:$BP$16,新属性汇总!P183),0)</f>
        <v>6</v>
      </c>
      <c r="AD183" s="37">
        <f>IF($P183&gt;0,ROUND(INDEX(装备!AY$11:AY$16,新属性汇总!$P183)*$AC183/3,0)*8*AB183,0)</f>
        <v>12698.4</v>
      </c>
      <c r="AE183" s="37">
        <f>IF($P183&gt;0,ROUND(INDEX(装备!AZ$11:AZ$16,新属性汇总!$P183)*$AC183/3,0)*8*AB183,0)</f>
        <v>6344</v>
      </c>
      <c r="AF183" s="37">
        <f>IF($P183&gt;0,ROUND(INDEX(装备!BA$11:BA$16,新属性汇总!$P183)*$AC183/3,0)*8*AB183,0)</f>
        <v>68224</v>
      </c>
      <c r="AG183" s="37">
        <f>IF(新属性汇总!P183&gt;0,INDEX(装备!$AP$11:$AP$16,新属性汇总!$P183)*2,0)</f>
        <v>36564</v>
      </c>
      <c r="AH183" s="37">
        <v>0</v>
      </c>
      <c r="AI183" s="37">
        <f>IF(新属性汇总!P183&gt;0,INDEX(装备!$AP$11:$AP$16,新属性汇总!$P183)*2,0)</f>
        <v>36564</v>
      </c>
      <c r="AJ183" s="37">
        <v>43</v>
      </c>
      <c r="AK183" s="37">
        <f>IF($AJ183&gt;0,INDEX(专属武器!H$4:H$53,新属性汇总!$AJ183),0)</f>
        <v>21875</v>
      </c>
      <c r="AL183" s="37">
        <f>IF($AJ183&gt;0,INDEX(专属武器!I$4:I$53,新属性汇总!$AJ183),0)</f>
        <v>10927</v>
      </c>
      <c r="AM183" s="37">
        <f>IF($AJ183&gt;0,INDEX(专属武器!J$4:J$53,新属性汇总!$AJ183),0)</f>
        <v>98475</v>
      </c>
      <c r="AQ183" s="13">
        <v>179</v>
      </c>
      <c r="AR183" s="13">
        <f t="shared" si="71"/>
        <v>39258.446999999986</v>
      </c>
      <c r="AS183" s="13">
        <f t="shared" si="72"/>
        <v>19626.348499999993</v>
      </c>
      <c r="AT183" s="13">
        <f t="shared" si="73"/>
        <v>204772.44999999998</v>
      </c>
      <c r="AU183" s="13">
        <f t="shared" si="74"/>
        <v>14747.5</v>
      </c>
      <c r="AV183" s="13">
        <f t="shared" si="75"/>
        <v>7284.25</v>
      </c>
      <c r="AW183" s="13">
        <f t="shared" si="76"/>
        <v>79262.5</v>
      </c>
      <c r="AX183" s="13">
        <f t="shared" si="77"/>
        <v>5668</v>
      </c>
      <c r="AY183" s="13">
        <f t="shared" si="78"/>
        <v>2355.6</v>
      </c>
      <c r="AZ183" s="13">
        <f t="shared" si="79"/>
        <v>25194</v>
      </c>
      <c r="BA183" s="13">
        <f t="shared" si="80"/>
        <v>16262</v>
      </c>
      <c r="BB183" s="13">
        <f t="shared" si="81"/>
        <v>0</v>
      </c>
      <c r="BC183" s="13">
        <f t="shared" si="82"/>
        <v>16262</v>
      </c>
      <c r="BD183" s="13">
        <f t="shared" si="83"/>
        <v>19965</v>
      </c>
      <c r="BE183" s="13">
        <f t="shared" si="84"/>
        <v>9972</v>
      </c>
      <c r="BF183" s="13">
        <f t="shared" si="85"/>
        <v>89878</v>
      </c>
      <c r="BG183" s="13">
        <f t="shared" si="86"/>
        <v>597328</v>
      </c>
      <c r="BH183" s="13">
        <f t="shared" si="87"/>
        <v>225842</v>
      </c>
      <c r="BI183" s="13">
        <f t="shared" si="88"/>
        <v>77090</v>
      </c>
      <c r="BJ183" s="13">
        <f t="shared" si="89"/>
        <v>97572</v>
      </c>
      <c r="BK183" s="13">
        <f t="shared" si="90"/>
        <v>289423</v>
      </c>
      <c r="BL183" s="13">
        <f t="shared" si="91"/>
        <v>1287255</v>
      </c>
      <c r="BM183" s="31">
        <f t="shared" si="92"/>
        <v>0.46400000000000002</v>
      </c>
      <c r="BN183" s="31">
        <f t="shared" si="93"/>
        <v>0.1754</v>
      </c>
      <c r="BO183" s="31">
        <f t="shared" si="94"/>
        <v>5.9900000000000002E-2</v>
      </c>
      <c r="BP183" s="31">
        <f t="shared" si="95"/>
        <v>7.5800000000000006E-2</v>
      </c>
      <c r="BQ183" s="31">
        <f t="shared" si="96"/>
        <v>0.2248</v>
      </c>
    </row>
    <row r="184" spans="1:69" ht="16.5" x14ac:dyDescent="0.2">
      <c r="A184" s="37">
        <v>181</v>
      </c>
      <c r="B184" s="37">
        <v>19</v>
      </c>
      <c r="C184" s="37">
        <v>1</v>
      </c>
      <c r="D184" s="37">
        <v>3</v>
      </c>
      <c r="E184" s="37">
        <v>181</v>
      </c>
      <c r="F184" s="37">
        <f>INDEX(新属性投放!$L$6:$L$10,新属性汇总!D184)</f>
        <v>1.1499999999999999</v>
      </c>
      <c r="G184" s="37">
        <f>INDEX(新属性投放!J$42:J$62,新属性汇总!$B184)</f>
        <v>36564.099999999991</v>
      </c>
      <c r="H184" s="37">
        <f>INDEX(新属性投放!K$42:K$62,新属性汇总!$B184)</f>
        <v>18280.049999999996</v>
      </c>
      <c r="I184" s="37">
        <f>INDEX(新属性投放!L$42:L$62,新属性汇总!$B184)</f>
        <v>196779</v>
      </c>
      <c r="J184" s="37">
        <f>($A184-INDEX(新属性投放!$B$42:$B$62,新属性汇总!$B184))*INDEX(新属性投放!D$42:D$62,新属性汇总!$B184)</f>
        <v>909.98</v>
      </c>
      <c r="K184" s="37">
        <f>($A184-INDEX(新属性投放!$B$42:$B$62,新属性汇总!$B184))*INDEX(新属性投放!E$42:E$62,新属性汇总!$B184)</f>
        <v>454.99</v>
      </c>
      <c r="L184" s="37">
        <f>($A184-INDEX(新属性投放!$B$42:$B$62,新属性汇总!$B184))*INDEX(新属性投放!F$42:F$62,新属性汇总!$B184)</f>
        <v>4094</v>
      </c>
      <c r="M184" s="37">
        <f t="shared" si="65"/>
        <v>43095.191999999988</v>
      </c>
      <c r="N184" s="37">
        <f t="shared" si="66"/>
        <v>21545.295999999995</v>
      </c>
      <c r="O184" s="37">
        <f t="shared" si="67"/>
        <v>231003.94999999998</v>
      </c>
      <c r="P184" s="37">
        <v>6</v>
      </c>
      <c r="Q184" s="37">
        <v>4</v>
      </c>
      <c r="R184">
        <v>181</v>
      </c>
      <c r="S184" s="37">
        <f>IF($P184&gt;0,INDEX(装备!L$11:L$16,新属性汇总!$P184),0)</f>
        <v>5580</v>
      </c>
      <c r="T184" s="37">
        <f>IF($P184&gt;0,INDEX(装备!M$11:M$16,新属性汇总!$P184),0)</f>
        <v>2790</v>
      </c>
      <c r="U184" s="37">
        <f>IF($P184&gt;0,INDEX(装备!N$11:N$16,新属性汇总!$P184),0)</f>
        <v>29988.000000000004</v>
      </c>
      <c r="V184" s="37">
        <f>IF($P184&gt;0,INDEX(装备!H$11:H$16,新属性汇总!$P184),0)</f>
        <v>120</v>
      </c>
      <c r="W184" s="37">
        <f>IF($P184&gt;0,INDEX(装备!I$11:I$16,新属性汇总!$P184),0)</f>
        <v>60</v>
      </c>
      <c r="X184" s="37">
        <f>IF($P184&gt;0,INDEX(装备!J$11:J$16,新属性汇总!$P184),0)</f>
        <v>650</v>
      </c>
      <c r="Y184" s="37">
        <f t="shared" si="68"/>
        <v>27300</v>
      </c>
      <c r="Z184" s="37">
        <f t="shared" si="69"/>
        <v>13650</v>
      </c>
      <c r="AA184" s="37">
        <f t="shared" si="70"/>
        <v>147638</v>
      </c>
      <c r="AB184" s="37">
        <v>0.65</v>
      </c>
      <c r="AC184" s="37">
        <f>IF(P184&gt;0,INDEX(装备!$BP$5:$BP$16,新属性汇总!P184),0)</f>
        <v>6</v>
      </c>
      <c r="AD184" s="37">
        <f>IF($P184&gt;0,ROUND(INDEX(装备!AY$11:AY$16,新属性汇总!$P184)*$AC184/3,0)*8*AB184,0)</f>
        <v>12698.4</v>
      </c>
      <c r="AE184" s="37">
        <f>IF($P184&gt;0,ROUND(INDEX(装备!AZ$11:AZ$16,新属性汇总!$P184)*$AC184/3,0)*8*AB184,0)</f>
        <v>6344</v>
      </c>
      <c r="AF184" s="37">
        <f>IF($P184&gt;0,ROUND(INDEX(装备!BA$11:BA$16,新属性汇总!$P184)*$AC184/3,0)*8*AB184,0)</f>
        <v>68224</v>
      </c>
      <c r="AG184" s="37">
        <f>IF(新属性汇总!P184&gt;0,INDEX(装备!$AP$11:$AP$16,新属性汇总!$P184)*2,0)</f>
        <v>36564</v>
      </c>
      <c r="AH184" s="37">
        <v>0</v>
      </c>
      <c r="AI184" s="37">
        <f>IF(新属性汇总!P184&gt;0,INDEX(装备!$AP$11:$AP$16,新属性汇总!$P184)*2,0)</f>
        <v>36564</v>
      </c>
      <c r="AJ184" s="37">
        <v>43</v>
      </c>
      <c r="AK184" s="37">
        <f>IF($AJ184&gt;0,INDEX(专属武器!H$4:H$53,新属性汇总!$AJ184),0)</f>
        <v>21875</v>
      </c>
      <c r="AL184" s="37">
        <f>IF($AJ184&gt;0,INDEX(专属武器!I$4:I$53,新属性汇总!$AJ184),0)</f>
        <v>10927</v>
      </c>
      <c r="AM184" s="37">
        <f>IF($AJ184&gt;0,INDEX(专属武器!J$4:J$53,新属性汇总!$AJ184),0)</f>
        <v>98475</v>
      </c>
      <c r="AQ184" s="13">
        <v>180</v>
      </c>
      <c r="AR184" s="13">
        <f t="shared" si="71"/>
        <v>42048.714999999989</v>
      </c>
      <c r="AS184" s="13">
        <f t="shared" si="72"/>
        <v>21022.057499999992</v>
      </c>
      <c r="AT184" s="13">
        <f t="shared" si="73"/>
        <v>226295.84999999998</v>
      </c>
      <c r="AU184" s="13">
        <f t="shared" si="74"/>
        <v>27180</v>
      </c>
      <c r="AV184" s="13">
        <f t="shared" si="75"/>
        <v>13590</v>
      </c>
      <c r="AW184" s="13">
        <f t="shared" si="76"/>
        <v>146988</v>
      </c>
      <c r="AX184" s="13">
        <f t="shared" si="77"/>
        <v>12698.4</v>
      </c>
      <c r="AY184" s="13">
        <f t="shared" si="78"/>
        <v>6344</v>
      </c>
      <c r="AZ184" s="13">
        <f t="shared" si="79"/>
        <v>68224</v>
      </c>
      <c r="BA184" s="13">
        <f t="shared" si="80"/>
        <v>36564</v>
      </c>
      <c r="BB184" s="13">
        <f t="shared" si="81"/>
        <v>0</v>
      </c>
      <c r="BC184" s="13">
        <f t="shared" si="82"/>
        <v>36564</v>
      </c>
      <c r="BD184" s="13">
        <f t="shared" si="83"/>
        <v>21875</v>
      </c>
      <c r="BE184" s="13">
        <f t="shared" si="84"/>
        <v>10927</v>
      </c>
      <c r="BF184" s="13">
        <f t="shared" si="85"/>
        <v>98475</v>
      </c>
      <c r="BG184" s="13">
        <f t="shared" si="86"/>
        <v>646760</v>
      </c>
      <c r="BH184" s="13">
        <f t="shared" si="87"/>
        <v>418788</v>
      </c>
      <c r="BI184" s="13">
        <f t="shared" si="88"/>
        <v>195156</v>
      </c>
      <c r="BJ184" s="13">
        <f t="shared" si="89"/>
        <v>219384</v>
      </c>
      <c r="BK184" s="13">
        <f t="shared" si="90"/>
        <v>317120</v>
      </c>
      <c r="BL184" s="13">
        <f t="shared" si="91"/>
        <v>1797208</v>
      </c>
      <c r="BM184" s="31">
        <f t="shared" si="92"/>
        <v>0.3599</v>
      </c>
      <c r="BN184" s="31">
        <f t="shared" si="93"/>
        <v>0.23300000000000001</v>
      </c>
      <c r="BO184" s="31">
        <f t="shared" si="94"/>
        <v>0.1086</v>
      </c>
      <c r="BP184" s="31">
        <f t="shared" si="95"/>
        <v>0.1221</v>
      </c>
      <c r="BQ184" s="31">
        <f t="shared" si="96"/>
        <v>0.17649999999999999</v>
      </c>
    </row>
    <row r="185" spans="1:69" ht="16.5" x14ac:dyDescent="0.2">
      <c r="A185" s="37">
        <v>182</v>
      </c>
      <c r="B185" s="37">
        <v>19</v>
      </c>
      <c r="C185" s="37">
        <v>1</v>
      </c>
      <c r="D185" s="37">
        <v>3</v>
      </c>
      <c r="E185" s="37">
        <v>182</v>
      </c>
      <c r="F185" s="37">
        <f>INDEX(新属性投放!$L$6:$L$10,新属性汇总!D185)</f>
        <v>1.1499999999999999</v>
      </c>
      <c r="G185" s="37">
        <f>INDEX(新属性投放!J$42:J$62,新属性汇总!$B185)</f>
        <v>36564.099999999991</v>
      </c>
      <c r="H185" s="37">
        <f>INDEX(新属性投放!K$42:K$62,新属性汇总!$B185)</f>
        <v>18280.049999999996</v>
      </c>
      <c r="I185" s="37">
        <f>INDEX(新属性投放!L$42:L$62,新属性汇总!$B185)</f>
        <v>196779</v>
      </c>
      <c r="J185" s="37">
        <f>($A185-INDEX(新属性投放!$B$42:$B$62,新属性汇总!$B185))*INDEX(新属性投放!D$42:D$62,新属性汇总!$B185)</f>
        <v>1819.96</v>
      </c>
      <c r="K185" s="37">
        <f>($A185-INDEX(新属性投放!$B$42:$B$62,新属性汇总!$B185))*INDEX(新属性投放!E$42:E$62,新属性汇总!$B185)</f>
        <v>909.98</v>
      </c>
      <c r="L185" s="37">
        <f>($A185-INDEX(新属性投放!$B$42:$B$62,新属性汇总!$B185))*INDEX(新属性投放!F$42:F$62,新属性汇总!$B185)</f>
        <v>8188</v>
      </c>
      <c r="M185" s="37">
        <f t="shared" si="65"/>
        <v>44141.668999999987</v>
      </c>
      <c r="N185" s="37">
        <f t="shared" si="66"/>
        <v>22068.534499999994</v>
      </c>
      <c r="O185" s="37">
        <f t="shared" si="67"/>
        <v>235712.05</v>
      </c>
      <c r="P185" s="37">
        <v>6</v>
      </c>
      <c r="Q185" s="37">
        <v>4</v>
      </c>
      <c r="R185">
        <v>182</v>
      </c>
      <c r="S185" s="37">
        <f>IF($P185&gt;0,INDEX(装备!L$11:L$16,新属性汇总!$P185),0)</f>
        <v>5580</v>
      </c>
      <c r="T185" s="37">
        <f>IF($P185&gt;0,INDEX(装备!M$11:M$16,新属性汇总!$P185),0)</f>
        <v>2790</v>
      </c>
      <c r="U185" s="37">
        <f>IF($P185&gt;0,INDEX(装备!N$11:N$16,新属性汇总!$P185),0)</f>
        <v>29988.000000000004</v>
      </c>
      <c r="V185" s="37">
        <f>IF($P185&gt;0,INDEX(装备!H$11:H$16,新属性汇总!$P185),0)</f>
        <v>120</v>
      </c>
      <c r="W185" s="37">
        <f>IF($P185&gt;0,INDEX(装备!I$11:I$16,新属性汇总!$P185),0)</f>
        <v>60</v>
      </c>
      <c r="X185" s="37">
        <f>IF($P185&gt;0,INDEX(装备!J$11:J$16,新属性汇总!$P185),0)</f>
        <v>650</v>
      </c>
      <c r="Y185" s="37">
        <f t="shared" si="68"/>
        <v>27420</v>
      </c>
      <c r="Z185" s="37">
        <f t="shared" si="69"/>
        <v>13710</v>
      </c>
      <c r="AA185" s="37">
        <f t="shared" si="70"/>
        <v>148288</v>
      </c>
      <c r="AB185" s="37">
        <v>0.65</v>
      </c>
      <c r="AC185" s="37">
        <f>IF(P185&gt;0,INDEX(装备!$BP$5:$BP$16,新属性汇总!P185),0)</f>
        <v>6</v>
      </c>
      <c r="AD185" s="37">
        <f>IF($P185&gt;0,ROUND(INDEX(装备!AY$11:AY$16,新属性汇总!$P185)*$AC185/3,0)*8*AB185,0)</f>
        <v>12698.4</v>
      </c>
      <c r="AE185" s="37">
        <f>IF($P185&gt;0,ROUND(INDEX(装备!AZ$11:AZ$16,新属性汇总!$P185)*$AC185/3,0)*8*AB185,0)</f>
        <v>6344</v>
      </c>
      <c r="AF185" s="37">
        <f>IF($P185&gt;0,ROUND(INDEX(装备!BA$11:BA$16,新属性汇总!$P185)*$AC185/3,0)*8*AB185,0)</f>
        <v>68224</v>
      </c>
      <c r="AG185" s="37">
        <f>IF(新属性汇总!P185&gt;0,INDEX(装备!$AP$11:$AP$16,新属性汇总!$P185)*2,0)</f>
        <v>36564</v>
      </c>
      <c r="AH185" s="37">
        <v>0</v>
      </c>
      <c r="AI185" s="37">
        <f>IF(新属性汇总!P185&gt;0,INDEX(装备!$AP$11:$AP$16,新属性汇总!$P185)*2,0)</f>
        <v>36564</v>
      </c>
      <c r="AJ185" s="37">
        <v>44</v>
      </c>
      <c r="AK185" s="37">
        <f>IF($AJ185&gt;0,INDEX(专属武器!H$4:H$53,新属性汇总!$AJ185),0)</f>
        <v>23785</v>
      </c>
      <c r="AL185" s="37">
        <f>IF($AJ185&gt;0,INDEX(专属武器!I$4:I$53,新属性汇总!$AJ185),0)</f>
        <v>11882</v>
      </c>
      <c r="AM185" s="37">
        <f>IF($AJ185&gt;0,INDEX(专属武器!J$4:J$53,新属性汇总!$AJ185),0)</f>
        <v>107072</v>
      </c>
      <c r="AQ185" s="13">
        <v>181</v>
      </c>
      <c r="AR185" s="13">
        <f t="shared" si="71"/>
        <v>43095.191999999988</v>
      </c>
      <c r="AS185" s="13">
        <f t="shared" si="72"/>
        <v>21545.295999999995</v>
      </c>
      <c r="AT185" s="13">
        <f t="shared" si="73"/>
        <v>231003.94999999998</v>
      </c>
      <c r="AU185" s="13">
        <f t="shared" si="74"/>
        <v>27300</v>
      </c>
      <c r="AV185" s="13">
        <f t="shared" si="75"/>
        <v>13650</v>
      </c>
      <c r="AW185" s="13">
        <f t="shared" si="76"/>
        <v>147638</v>
      </c>
      <c r="AX185" s="13">
        <f t="shared" si="77"/>
        <v>12698.4</v>
      </c>
      <c r="AY185" s="13">
        <f t="shared" si="78"/>
        <v>6344</v>
      </c>
      <c r="AZ185" s="13">
        <f t="shared" si="79"/>
        <v>68224</v>
      </c>
      <c r="BA185" s="13">
        <f t="shared" si="80"/>
        <v>36564</v>
      </c>
      <c r="BB185" s="13">
        <f t="shared" si="81"/>
        <v>0</v>
      </c>
      <c r="BC185" s="13">
        <f t="shared" si="82"/>
        <v>36564</v>
      </c>
      <c r="BD185" s="13">
        <f t="shared" si="83"/>
        <v>21875</v>
      </c>
      <c r="BE185" s="13">
        <f t="shared" si="84"/>
        <v>10927</v>
      </c>
      <c r="BF185" s="13">
        <f t="shared" si="85"/>
        <v>98475</v>
      </c>
      <c r="BG185" s="13">
        <f t="shared" si="86"/>
        <v>661932</v>
      </c>
      <c r="BH185" s="13">
        <f t="shared" si="87"/>
        <v>420638</v>
      </c>
      <c r="BI185" s="13">
        <f t="shared" si="88"/>
        <v>195156</v>
      </c>
      <c r="BJ185" s="13">
        <f t="shared" si="89"/>
        <v>219384</v>
      </c>
      <c r="BK185" s="13">
        <f t="shared" si="90"/>
        <v>317120</v>
      </c>
      <c r="BL185" s="13">
        <f t="shared" si="91"/>
        <v>1814230</v>
      </c>
      <c r="BM185" s="31">
        <f t="shared" si="92"/>
        <v>0.3649</v>
      </c>
      <c r="BN185" s="31">
        <f t="shared" si="93"/>
        <v>0.2319</v>
      </c>
      <c r="BO185" s="31">
        <f t="shared" si="94"/>
        <v>0.1076</v>
      </c>
      <c r="BP185" s="31">
        <f t="shared" si="95"/>
        <v>0.12089999999999999</v>
      </c>
      <c r="BQ185" s="31">
        <f t="shared" si="96"/>
        <v>0.17480000000000001</v>
      </c>
    </row>
    <row r="186" spans="1:69" ht="16.5" x14ac:dyDescent="0.2">
      <c r="A186" s="37">
        <v>183</v>
      </c>
      <c r="B186" s="37">
        <v>19</v>
      </c>
      <c r="C186" s="37">
        <v>1</v>
      </c>
      <c r="D186" s="37">
        <v>3</v>
      </c>
      <c r="E186" s="37">
        <v>183</v>
      </c>
      <c r="F186" s="37">
        <f>INDEX(新属性投放!$L$6:$L$10,新属性汇总!D186)</f>
        <v>1.1499999999999999</v>
      </c>
      <c r="G186" s="37">
        <f>INDEX(新属性投放!J$42:J$62,新属性汇总!$B186)</f>
        <v>36564.099999999991</v>
      </c>
      <c r="H186" s="37">
        <f>INDEX(新属性投放!K$42:K$62,新属性汇总!$B186)</f>
        <v>18280.049999999996</v>
      </c>
      <c r="I186" s="37">
        <f>INDEX(新属性投放!L$42:L$62,新属性汇总!$B186)</f>
        <v>196779</v>
      </c>
      <c r="J186" s="37">
        <f>($A186-INDEX(新属性投放!$B$42:$B$62,新属性汇总!$B186))*INDEX(新属性投放!D$42:D$62,新属性汇总!$B186)</f>
        <v>2729.94</v>
      </c>
      <c r="K186" s="37">
        <f>($A186-INDEX(新属性投放!$B$42:$B$62,新属性汇总!$B186))*INDEX(新属性投放!E$42:E$62,新属性汇总!$B186)</f>
        <v>1364.97</v>
      </c>
      <c r="L186" s="37">
        <f>($A186-INDEX(新属性投放!$B$42:$B$62,新属性汇总!$B186))*INDEX(新属性投放!F$42:F$62,新属性汇总!$B186)</f>
        <v>12282</v>
      </c>
      <c r="M186" s="37">
        <f t="shared" si="65"/>
        <v>45188.145999999986</v>
      </c>
      <c r="N186" s="37">
        <f t="shared" si="66"/>
        <v>22591.772999999994</v>
      </c>
      <c r="O186" s="37">
        <f t="shared" si="67"/>
        <v>240420.15</v>
      </c>
      <c r="P186" s="37">
        <v>6</v>
      </c>
      <c r="Q186" s="37">
        <v>4</v>
      </c>
      <c r="R186">
        <v>183</v>
      </c>
      <c r="S186" s="37">
        <f>IF($P186&gt;0,INDEX(装备!L$11:L$16,新属性汇总!$P186),0)</f>
        <v>5580</v>
      </c>
      <c r="T186" s="37">
        <f>IF($P186&gt;0,INDEX(装备!M$11:M$16,新属性汇总!$P186),0)</f>
        <v>2790</v>
      </c>
      <c r="U186" s="37">
        <f>IF($P186&gt;0,INDEX(装备!N$11:N$16,新属性汇总!$P186),0)</f>
        <v>29988.000000000004</v>
      </c>
      <c r="V186" s="37">
        <f>IF($P186&gt;0,INDEX(装备!H$11:H$16,新属性汇总!$P186),0)</f>
        <v>120</v>
      </c>
      <c r="W186" s="37">
        <f>IF($P186&gt;0,INDEX(装备!I$11:I$16,新属性汇总!$P186),0)</f>
        <v>60</v>
      </c>
      <c r="X186" s="37">
        <f>IF($P186&gt;0,INDEX(装备!J$11:J$16,新属性汇总!$P186),0)</f>
        <v>650</v>
      </c>
      <c r="Y186" s="37">
        <f t="shared" si="68"/>
        <v>27540</v>
      </c>
      <c r="Z186" s="37">
        <f t="shared" si="69"/>
        <v>13770</v>
      </c>
      <c r="AA186" s="37">
        <f t="shared" si="70"/>
        <v>148938</v>
      </c>
      <c r="AB186" s="37">
        <v>0.65</v>
      </c>
      <c r="AC186" s="37">
        <f>IF(P186&gt;0,INDEX(装备!$BP$5:$BP$16,新属性汇总!P186),0)</f>
        <v>6</v>
      </c>
      <c r="AD186" s="37">
        <f>IF($P186&gt;0,ROUND(INDEX(装备!AY$11:AY$16,新属性汇总!$P186)*$AC186/3,0)*8*AB186,0)</f>
        <v>12698.4</v>
      </c>
      <c r="AE186" s="37">
        <f>IF($P186&gt;0,ROUND(INDEX(装备!AZ$11:AZ$16,新属性汇总!$P186)*$AC186/3,0)*8*AB186,0)</f>
        <v>6344</v>
      </c>
      <c r="AF186" s="37">
        <f>IF($P186&gt;0,ROUND(INDEX(装备!BA$11:BA$16,新属性汇总!$P186)*$AC186/3,0)*8*AB186,0)</f>
        <v>68224</v>
      </c>
      <c r="AG186" s="37">
        <f>IF(新属性汇总!P186&gt;0,INDEX(装备!$AP$11:$AP$16,新属性汇总!$P186)*2,0)</f>
        <v>36564</v>
      </c>
      <c r="AH186" s="37">
        <v>0</v>
      </c>
      <c r="AI186" s="37">
        <f>IF(新属性汇总!P186&gt;0,INDEX(装备!$AP$11:$AP$16,新属性汇总!$P186)*2,0)</f>
        <v>36564</v>
      </c>
      <c r="AJ186" s="37">
        <v>44</v>
      </c>
      <c r="AK186" s="37">
        <f>IF($AJ186&gt;0,INDEX(专属武器!H$4:H$53,新属性汇总!$AJ186),0)</f>
        <v>23785</v>
      </c>
      <c r="AL186" s="37">
        <f>IF($AJ186&gt;0,INDEX(专属武器!I$4:I$53,新属性汇总!$AJ186),0)</f>
        <v>11882</v>
      </c>
      <c r="AM186" s="37">
        <f>IF($AJ186&gt;0,INDEX(专属武器!J$4:J$53,新属性汇总!$AJ186),0)</f>
        <v>107072</v>
      </c>
      <c r="AQ186" s="13">
        <v>182</v>
      </c>
      <c r="AR186" s="13">
        <f t="shared" si="71"/>
        <v>44141.668999999987</v>
      </c>
      <c r="AS186" s="13">
        <f t="shared" si="72"/>
        <v>22068.534499999994</v>
      </c>
      <c r="AT186" s="13">
        <f t="shared" si="73"/>
        <v>235712.05</v>
      </c>
      <c r="AU186" s="13">
        <f t="shared" si="74"/>
        <v>27420</v>
      </c>
      <c r="AV186" s="13">
        <f t="shared" si="75"/>
        <v>13710</v>
      </c>
      <c r="AW186" s="13">
        <f t="shared" si="76"/>
        <v>148288</v>
      </c>
      <c r="AX186" s="13">
        <f t="shared" si="77"/>
        <v>12698.4</v>
      </c>
      <c r="AY186" s="13">
        <f t="shared" si="78"/>
        <v>6344</v>
      </c>
      <c r="AZ186" s="13">
        <f t="shared" si="79"/>
        <v>68224</v>
      </c>
      <c r="BA186" s="13">
        <f t="shared" si="80"/>
        <v>36564</v>
      </c>
      <c r="BB186" s="13">
        <f t="shared" si="81"/>
        <v>0</v>
      </c>
      <c r="BC186" s="13">
        <f t="shared" si="82"/>
        <v>36564</v>
      </c>
      <c r="BD186" s="13">
        <f t="shared" si="83"/>
        <v>23785</v>
      </c>
      <c r="BE186" s="13">
        <f t="shared" si="84"/>
        <v>11882</v>
      </c>
      <c r="BF186" s="13">
        <f t="shared" si="85"/>
        <v>107072</v>
      </c>
      <c r="BG186" s="13">
        <f t="shared" si="86"/>
        <v>677105</v>
      </c>
      <c r="BH186" s="13">
        <f t="shared" si="87"/>
        <v>422488</v>
      </c>
      <c r="BI186" s="13">
        <f t="shared" si="88"/>
        <v>195156</v>
      </c>
      <c r="BJ186" s="13">
        <f t="shared" si="89"/>
        <v>219384</v>
      </c>
      <c r="BK186" s="13">
        <f t="shared" si="90"/>
        <v>344817</v>
      </c>
      <c r="BL186" s="13">
        <f t="shared" si="91"/>
        <v>1858950</v>
      </c>
      <c r="BM186" s="31">
        <f t="shared" si="92"/>
        <v>0.36420000000000002</v>
      </c>
      <c r="BN186" s="31">
        <f t="shared" si="93"/>
        <v>0.2273</v>
      </c>
      <c r="BO186" s="31">
        <f t="shared" si="94"/>
        <v>0.105</v>
      </c>
      <c r="BP186" s="31">
        <f t="shared" si="95"/>
        <v>0.11799999999999999</v>
      </c>
      <c r="BQ186" s="31">
        <f t="shared" si="96"/>
        <v>0.1855</v>
      </c>
    </row>
    <row r="187" spans="1:69" ht="16.5" x14ac:dyDescent="0.2">
      <c r="A187" s="37">
        <v>184</v>
      </c>
      <c r="B187" s="37">
        <v>19</v>
      </c>
      <c r="C187" s="37">
        <v>1</v>
      </c>
      <c r="D187" s="37">
        <v>3</v>
      </c>
      <c r="E187" s="37">
        <v>184</v>
      </c>
      <c r="F187" s="37">
        <f>INDEX(新属性投放!$L$6:$L$10,新属性汇总!D187)</f>
        <v>1.1499999999999999</v>
      </c>
      <c r="G187" s="37">
        <f>INDEX(新属性投放!J$42:J$62,新属性汇总!$B187)</f>
        <v>36564.099999999991</v>
      </c>
      <c r="H187" s="37">
        <f>INDEX(新属性投放!K$42:K$62,新属性汇总!$B187)</f>
        <v>18280.049999999996</v>
      </c>
      <c r="I187" s="37">
        <f>INDEX(新属性投放!L$42:L$62,新属性汇总!$B187)</f>
        <v>196779</v>
      </c>
      <c r="J187" s="37">
        <f>($A187-INDEX(新属性投放!$B$42:$B$62,新属性汇总!$B187))*INDEX(新属性投放!D$42:D$62,新属性汇总!$B187)</f>
        <v>3639.92</v>
      </c>
      <c r="K187" s="37">
        <f>($A187-INDEX(新属性投放!$B$42:$B$62,新属性汇总!$B187))*INDEX(新属性投放!E$42:E$62,新属性汇总!$B187)</f>
        <v>1819.96</v>
      </c>
      <c r="L187" s="37">
        <f>($A187-INDEX(新属性投放!$B$42:$B$62,新属性汇总!$B187))*INDEX(新属性投放!F$42:F$62,新属性汇总!$B187)</f>
        <v>16376</v>
      </c>
      <c r="M187" s="37">
        <f t="shared" si="65"/>
        <v>46234.622999999985</v>
      </c>
      <c r="N187" s="37">
        <f t="shared" si="66"/>
        <v>23115.011499999993</v>
      </c>
      <c r="O187" s="37">
        <f t="shared" si="67"/>
        <v>245128.24999999997</v>
      </c>
      <c r="P187" s="37">
        <v>6</v>
      </c>
      <c r="Q187" s="37">
        <v>4</v>
      </c>
      <c r="R187">
        <v>184</v>
      </c>
      <c r="S187" s="37">
        <f>IF($P187&gt;0,INDEX(装备!L$11:L$16,新属性汇总!$P187),0)</f>
        <v>5580</v>
      </c>
      <c r="T187" s="37">
        <f>IF($P187&gt;0,INDEX(装备!M$11:M$16,新属性汇总!$P187),0)</f>
        <v>2790</v>
      </c>
      <c r="U187" s="37">
        <f>IF($P187&gt;0,INDEX(装备!N$11:N$16,新属性汇总!$P187),0)</f>
        <v>29988.000000000004</v>
      </c>
      <c r="V187" s="37">
        <f>IF($P187&gt;0,INDEX(装备!H$11:H$16,新属性汇总!$P187),0)</f>
        <v>120</v>
      </c>
      <c r="W187" s="37">
        <f>IF($P187&gt;0,INDEX(装备!I$11:I$16,新属性汇总!$P187),0)</f>
        <v>60</v>
      </c>
      <c r="X187" s="37">
        <f>IF($P187&gt;0,INDEX(装备!J$11:J$16,新属性汇总!$P187),0)</f>
        <v>650</v>
      </c>
      <c r="Y187" s="37">
        <f t="shared" si="68"/>
        <v>27660</v>
      </c>
      <c r="Z187" s="37">
        <f t="shared" si="69"/>
        <v>13830</v>
      </c>
      <c r="AA187" s="37">
        <f t="shared" si="70"/>
        <v>149588</v>
      </c>
      <c r="AB187" s="37">
        <v>0.65</v>
      </c>
      <c r="AC187" s="37">
        <f>IF(P187&gt;0,INDEX(装备!$BP$5:$BP$16,新属性汇总!P187),0)</f>
        <v>6</v>
      </c>
      <c r="AD187" s="37">
        <f>IF($P187&gt;0,ROUND(INDEX(装备!AY$11:AY$16,新属性汇总!$P187)*$AC187/3,0)*8*AB187,0)</f>
        <v>12698.4</v>
      </c>
      <c r="AE187" s="37">
        <f>IF($P187&gt;0,ROUND(INDEX(装备!AZ$11:AZ$16,新属性汇总!$P187)*$AC187/3,0)*8*AB187,0)</f>
        <v>6344</v>
      </c>
      <c r="AF187" s="37">
        <f>IF($P187&gt;0,ROUND(INDEX(装备!BA$11:BA$16,新属性汇总!$P187)*$AC187/3,0)*8*AB187,0)</f>
        <v>68224</v>
      </c>
      <c r="AG187" s="37">
        <f>IF(新属性汇总!P187&gt;0,INDEX(装备!$AP$11:$AP$16,新属性汇总!$P187)*2,0)</f>
        <v>36564</v>
      </c>
      <c r="AH187" s="37">
        <v>0</v>
      </c>
      <c r="AI187" s="37">
        <f>IF(新属性汇总!P187&gt;0,INDEX(装备!$AP$11:$AP$16,新属性汇总!$P187)*2,0)</f>
        <v>36564</v>
      </c>
      <c r="AJ187" s="37">
        <v>44</v>
      </c>
      <c r="AK187" s="37">
        <f>IF($AJ187&gt;0,INDEX(专属武器!H$4:H$53,新属性汇总!$AJ187),0)</f>
        <v>23785</v>
      </c>
      <c r="AL187" s="37">
        <f>IF($AJ187&gt;0,INDEX(专属武器!I$4:I$53,新属性汇总!$AJ187),0)</f>
        <v>11882</v>
      </c>
      <c r="AM187" s="37">
        <f>IF($AJ187&gt;0,INDEX(专属武器!J$4:J$53,新属性汇总!$AJ187),0)</f>
        <v>107072</v>
      </c>
      <c r="AQ187" s="13">
        <v>183</v>
      </c>
      <c r="AR187" s="13">
        <f t="shared" si="71"/>
        <v>45188.145999999986</v>
      </c>
      <c r="AS187" s="13">
        <f t="shared" si="72"/>
        <v>22591.772999999994</v>
      </c>
      <c r="AT187" s="13">
        <f t="shared" si="73"/>
        <v>240420.15</v>
      </c>
      <c r="AU187" s="13">
        <f t="shared" si="74"/>
        <v>27540</v>
      </c>
      <c r="AV187" s="13">
        <f t="shared" si="75"/>
        <v>13770</v>
      </c>
      <c r="AW187" s="13">
        <f t="shared" si="76"/>
        <v>148938</v>
      </c>
      <c r="AX187" s="13">
        <f t="shared" si="77"/>
        <v>12698.4</v>
      </c>
      <c r="AY187" s="13">
        <f t="shared" si="78"/>
        <v>6344</v>
      </c>
      <c r="AZ187" s="13">
        <f t="shared" si="79"/>
        <v>68224</v>
      </c>
      <c r="BA187" s="13">
        <f t="shared" si="80"/>
        <v>36564</v>
      </c>
      <c r="BB187" s="13">
        <f t="shared" si="81"/>
        <v>0</v>
      </c>
      <c r="BC187" s="13">
        <f t="shared" si="82"/>
        <v>36564</v>
      </c>
      <c r="BD187" s="13">
        <f t="shared" si="83"/>
        <v>23785</v>
      </c>
      <c r="BE187" s="13">
        <f t="shared" si="84"/>
        <v>11882</v>
      </c>
      <c r="BF187" s="13">
        <f t="shared" si="85"/>
        <v>107072</v>
      </c>
      <c r="BG187" s="13">
        <f t="shared" si="86"/>
        <v>692278</v>
      </c>
      <c r="BH187" s="13">
        <f t="shared" si="87"/>
        <v>424338</v>
      </c>
      <c r="BI187" s="13">
        <f t="shared" si="88"/>
        <v>195156</v>
      </c>
      <c r="BJ187" s="13">
        <f t="shared" si="89"/>
        <v>219384</v>
      </c>
      <c r="BK187" s="13">
        <f t="shared" si="90"/>
        <v>344817</v>
      </c>
      <c r="BL187" s="13">
        <f t="shared" si="91"/>
        <v>1875973</v>
      </c>
      <c r="BM187" s="31">
        <f t="shared" si="92"/>
        <v>0.36899999999999999</v>
      </c>
      <c r="BN187" s="31">
        <f t="shared" si="93"/>
        <v>0.22620000000000001</v>
      </c>
      <c r="BO187" s="31">
        <f t="shared" si="94"/>
        <v>0.104</v>
      </c>
      <c r="BP187" s="31">
        <f t="shared" si="95"/>
        <v>0.1169</v>
      </c>
      <c r="BQ187" s="31">
        <f t="shared" si="96"/>
        <v>0.18379999999999999</v>
      </c>
    </row>
    <row r="188" spans="1:69" ht="16.5" x14ac:dyDescent="0.2">
      <c r="A188" s="37">
        <v>185</v>
      </c>
      <c r="B188" s="37">
        <v>19</v>
      </c>
      <c r="C188" s="37">
        <v>1</v>
      </c>
      <c r="D188" s="37">
        <v>3</v>
      </c>
      <c r="E188" s="37">
        <v>185</v>
      </c>
      <c r="F188" s="37">
        <f>INDEX(新属性投放!$L$6:$L$10,新属性汇总!D188)</f>
        <v>1.1499999999999999</v>
      </c>
      <c r="G188" s="37">
        <f>INDEX(新属性投放!J$42:J$62,新属性汇总!$B188)</f>
        <v>36564.099999999991</v>
      </c>
      <c r="H188" s="37">
        <f>INDEX(新属性投放!K$42:K$62,新属性汇总!$B188)</f>
        <v>18280.049999999996</v>
      </c>
      <c r="I188" s="37">
        <f>INDEX(新属性投放!L$42:L$62,新属性汇总!$B188)</f>
        <v>196779</v>
      </c>
      <c r="J188" s="37">
        <f>($A188-INDEX(新属性投放!$B$42:$B$62,新属性汇总!$B188))*INDEX(新属性投放!D$42:D$62,新属性汇总!$B188)</f>
        <v>4549.8999999999996</v>
      </c>
      <c r="K188" s="37">
        <f>($A188-INDEX(新属性投放!$B$42:$B$62,新属性汇总!$B188))*INDEX(新属性投放!E$42:E$62,新属性汇总!$B188)</f>
        <v>2274.9499999999998</v>
      </c>
      <c r="L188" s="37">
        <f>($A188-INDEX(新属性投放!$B$42:$B$62,新属性汇总!$B188))*INDEX(新属性投放!F$42:F$62,新属性汇总!$B188)</f>
        <v>20470</v>
      </c>
      <c r="M188" s="37">
        <f t="shared" si="65"/>
        <v>47281.099999999991</v>
      </c>
      <c r="N188" s="37">
        <f t="shared" si="66"/>
        <v>23638.249999999993</v>
      </c>
      <c r="O188" s="37">
        <f t="shared" si="67"/>
        <v>249836.34999999998</v>
      </c>
      <c r="P188" s="37">
        <v>6</v>
      </c>
      <c r="Q188" s="37">
        <v>4</v>
      </c>
      <c r="R188">
        <v>185</v>
      </c>
      <c r="S188" s="37">
        <f>IF($P188&gt;0,INDEX(装备!L$11:L$16,新属性汇总!$P188),0)</f>
        <v>5580</v>
      </c>
      <c r="T188" s="37">
        <f>IF($P188&gt;0,INDEX(装备!M$11:M$16,新属性汇总!$P188),0)</f>
        <v>2790</v>
      </c>
      <c r="U188" s="37">
        <f>IF($P188&gt;0,INDEX(装备!N$11:N$16,新属性汇总!$P188),0)</f>
        <v>29988.000000000004</v>
      </c>
      <c r="V188" s="37">
        <f>IF($P188&gt;0,INDEX(装备!H$11:H$16,新属性汇总!$P188),0)</f>
        <v>120</v>
      </c>
      <c r="W188" s="37">
        <f>IF($P188&gt;0,INDEX(装备!I$11:I$16,新属性汇总!$P188),0)</f>
        <v>60</v>
      </c>
      <c r="X188" s="37">
        <f>IF($P188&gt;0,INDEX(装备!J$11:J$16,新属性汇总!$P188),0)</f>
        <v>650</v>
      </c>
      <c r="Y188" s="37">
        <f t="shared" si="68"/>
        <v>27780</v>
      </c>
      <c r="Z188" s="37">
        <f t="shared" si="69"/>
        <v>13890</v>
      </c>
      <c r="AA188" s="37">
        <f t="shared" si="70"/>
        <v>150238</v>
      </c>
      <c r="AB188" s="37">
        <v>0.65</v>
      </c>
      <c r="AC188" s="37">
        <f>IF(P188&gt;0,INDEX(装备!$BP$5:$BP$16,新属性汇总!P188),0)</f>
        <v>6</v>
      </c>
      <c r="AD188" s="37">
        <f>IF($P188&gt;0,ROUND(INDEX(装备!AY$11:AY$16,新属性汇总!$P188)*$AC188/3,0)*8*AB188,0)</f>
        <v>12698.4</v>
      </c>
      <c r="AE188" s="37">
        <f>IF($P188&gt;0,ROUND(INDEX(装备!AZ$11:AZ$16,新属性汇总!$P188)*$AC188/3,0)*8*AB188,0)</f>
        <v>6344</v>
      </c>
      <c r="AF188" s="37">
        <f>IF($P188&gt;0,ROUND(INDEX(装备!BA$11:BA$16,新属性汇总!$P188)*$AC188/3,0)*8*AB188,0)</f>
        <v>68224</v>
      </c>
      <c r="AG188" s="37">
        <f>IF(新属性汇总!P188&gt;0,INDEX(装备!$AP$11:$AP$16,新属性汇总!$P188)*2,0)</f>
        <v>36564</v>
      </c>
      <c r="AH188" s="37">
        <v>0</v>
      </c>
      <c r="AI188" s="37">
        <f>IF(新属性汇总!P188&gt;0,INDEX(装备!$AP$11:$AP$16,新属性汇总!$P188)*2,0)</f>
        <v>36564</v>
      </c>
      <c r="AJ188" s="37">
        <v>44</v>
      </c>
      <c r="AK188" s="37">
        <f>IF($AJ188&gt;0,INDEX(专属武器!H$4:H$53,新属性汇总!$AJ188),0)</f>
        <v>23785</v>
      </c>
      <c r="AL188" s="37">
        <f>IF($AJ188&gt;0,INDEX(专属武器!I$4:I$53,新属性汇总!$AJ188),0)</f>
        <v>11882</v>
      </c>
      <c r="AM188" s="37">
        <f>IF($AJ188&gt;0,INDEX(专属武器!J$4:J$53,新属性汇总!$AJ188),0)</f>
        <v>107072</v>
      </c>
      <c r="AQ188" s="13">
        <v>184</v>
      </c>
      <c r="AR188" s="13">
        <f t="shared" si="71"/>
        <v>46234.622999999985</v>
      </c>
      <c r="AS188" s="13">
        <f t="shared" si="72"/>
        <v>23115.011499999993</v>
      </c>
      <c r="AT188" s="13">
        <f t="shared" si="73"/>
        <v>245128.24999999997</v>
      </c>
      <c r="AU188" s="13">
        <f t="shared" si="74"/>
        <v>27660</v>
      </c>
      <c r="AV188" s="13">
        <f t="shared" si="75"/>
        <v>13830</v>
      </c>
      <c r="AW188" s="13">
        <f t="shared" si="76"/>
        <v>149588</v>
      </c>
      <c r="AX188" s="13">
        <f t="shared" si="77"/>
        <v>12698.4</v>
      </c>
      <c r="AY188" s="13">
        <f t="shared" si="78"/>
        <v>6344</v>
      </c>
      <c r="AZ188" s="13">
        <f t="shared" si="79"/>
        <v>68224</v>
      </c>
      <c r="BA188" s="13">
        <f t="shared" si="80"/>
        <v>36564</v>
      </c>
      <c r="BB188" s="13">
        <f t="shared" si="81"/>
        <v>0</v>
      </c>
      <c r="BC188" s="13">
        <f t="shared" si="82"/>
        <v>36564</v>
      </c>
      <c r="BD188" s="13">
        <f t="shared" si="83"/>
        <v>23785</v>
      </c>
      <c r="BE188" s="13">
        <f t="shared" si="84"/>
        <v>11882</v>
      </c>
      <c r="BF188" s="13">
        <f t="shared" si="85"/>
        <v>107072</v>
      </c>
      <c r="BG188" s="13">
        <f t="shared" si="86"/>
        <v>707451</v>
      </c>
      <c r="BH188" s="13">
        <f t="shared" si="87"/>
        <v>426188</v>
      </c>
      <c r="BI188" s="13">
        <f t="shared" si="88"/>
        <v>195156</v>
      </c>
      <c r="BJ188" s="13">
        <f t="shared" si="89"/>
        <v>219384</v>
      </c>
      <c r="BK188" s="13">
        <f t="shared" si="90"/>
        <v>344817</v>
      </c>
      <c r="BL188" s="13">
        <f t="shared" si="91"/>
        <v>1892996</v>
      </c>
      <c r="BM188" s="31">
        <f t="shared" si="92"/>
        <v>0.37369999999999998</v>
      </c>
      <c r="BN188" s="31">
        <f t="shared" si="93"/>
        <v>0.22509999999999999</v>
      </c>
      <c r="BO188" s="31">
        <f t="shared" si="94"/>
        <v>0.1031</v>
      </c>
      <c r="BP188" s="31">
        <f t="shared" si="95"/>
        <v>0.1159</v>
      </c>
      <c r="BQ188" s="31">
        <f t="shared" si="96"/>
        <v>0.1822</v>
      </c>
    </row>
    <row r="189" spans="1:69" ht="16.5" x14ac:dyDescent="0.2">
      <c r="A189" s="37">
        <v>186</v>
      </c>
      <c r="B189" s="37">
        <v>19</v>
      </c>
      <c r="C189" s="37">
        <v>1</v>
      </c>
      <c r="D189" s="37">
        <v>3</v>
      </c>
      <c r="E189" s="37">
        <v>186</v>
      </c>
      <c r="F189" s="37">
        <f>INDEX(新属性投放!$L$6:$L$10,新属性汇总!D189)</f>
        <v>1.1499999999999999</v>
      </c>
      <c r="G189" s="37">
        <f>INDEX(新属性投放!J$42:J$62,新属性汇总!$B189)</f>
        <v>36564.099999999991</v>
      </c>
      <c r="H189" s="37">
        <f>INDEX(新属性投放!K$42:K$62,新属性汇总!$B189)</f>
        <v>18280.049999999996</v>
      </c>
      <c r="I189" s="37">
        <f>INDEX(新属性投放!L$42:L$62,新属性汇总!$B189)</f>
        <v>196779</v>
      </c>
      <c r="J189" s="37">
        <f>($A189-INDEX(新属性投放!$B$42:$B$62,新属性汇总!$B189))*INDEX(新属性投放!D$42:D$62,新属性汇总!$B189)</f>
        <v>5459.88</v>
      </c>
      <c r="K189" s="37">
        <f>($A189-INDEX(新属性投放!$B$42:$B$62,新属性汇总!$B189))*INDEX(新属性投放!E$42:E$62,新属性汇总!$B189)</f>
        <v>2729.94</v>
      </c>
      <c r="L189" s="37">
        <f>($A189-INDEX(新属性投放!$B$42:$B$62,新属性汇总!$B189))*INDEX(新属性投放!F$42:F$62,新属性汇总!$B189)</f>
        <v>24564</v>
      </c>
      <c r="M189" s="37">
        <f t="shared" si="65"/>
        <v>48327.576999999983</v>
      </c>
      <c r="N189" s="37">
        <f t="shared" si="66"/>
        <v>24161.488499999992</v>
      </c>
      <c r="O189" s="37">
        <f t="shared" si="67"/>
        <v>254544.44999999998</v>
      </c>
      <c r="P189" s="37">
        <v>6</v>
      </c>
      <c r="Q189" s="37">
        <v>4</v>
      </c>
      <c r="R189">
        <v>186</v>
      </c>
      <c r="S189" s="37">
        <f>IF($P189&gt;0,INDEX(装备!L$11:L$16,新属性汇总!$P189),0)</f>
        <v>5580</v>
      </c>
      <c r="T189" s="37">
        <f>IF($P189&gt;0,INDEX(装备!M$11:M$16,新属性汇总!$P189),0)</f>
        <v>2790</v>
      </c>
      <c r="U189" s="37">
        <f>IF($P189&gt;0,INDEX(装备!N$11:N$16,新属性汇总!$P189),0)</f>
        <v>29988.000000000004</v>
      </c>
      <c r="V189" s="37">
        <f>IF($P189&gt;0,INDEX(装备!H$11:H$16,新属性汇总!$P189),0)</f>
        <v>120</v>
      </c>
      <c r="W189" s="37">
        <f>IF($P189&gt;0,INDEX(装备!I$11:I$16,新属性汇总!$P189),0)</f>
        <v>60</v>
      </c>
      <c r="X189" s="37">
        <f>IF($P189&gt;0,INDEX(装备!J$11:J$16,新属性汇总!$P189),0)</f>
        <v>650</v>
      </c>
      <c r="Y189" s="37">
        <f t="shared" si="68"/>
        <v>27900</v>
      </c>
      <c r="Z189" s="37">
        <f t="shared" si="69"/>
        <v>13950</v>
      </c>
      <c r="AA189" s="37">
        <f t="shared" si="70"/>
        <v>150888</v>
      </c>
      <c r="AB189" s="37">
        <v>0.65</v>
      </c>
      <c r="AC189" s="37">
        <f>IF(P189&gt;0,INDEX(装备!$BP$5:$BP$16,新属性汇总!P189),0)</f>
        <v>6</v>
      </c>
      <c r="AD189" s="37">
        <f>IF($P189&gt;0,ROUND(INDEX(装备!AY$11:AY$16,新属性汇总!$P189)*$AC189/3,0)*8*AB189,0)</f>
        <v>12698.4</v>
      </c>
      <c r="AE189" s="37">
        <f>IF($P189&gt;0,ROUND(INDEX(装备!AZ$11:AZ$16,新属性汇总!$P189)*$AC189/3,0)*8*AB189,0)</f>
        <v>6344</v>
      </c>
      <c r="AF189" s="37">
        <f>IF($P189&gt;0,ROUND(INDEX(装备!BA$11:BA$16,新属性汇总!$P189)*$AC189/3,0)*8*AB189,0)</f>
        <v>68224</v>
      </c>
      <c r="AG189" s="37">
        <f>IF(新属性汇总!P189&gt;0,INDEX(装备!$AP$11:$AP$16,新属性汇总!$P189)*2,0)</f>
        <v>36564</v>
      </c>
      <c r="AH189" s="37">
        <v>0</v>
      </c>
      <c r="AI189" s="37">
        <f>IF(新属性汇总!P189&gt;0,INDEX(装备!$AP$11:$AP$16,新属性汇总!$P189)*2,0)</f>
        <v>36564</v>
      </c>
      <c r="AJ189" s="37">
        <v>45</v>
      </c>
      <c r="AK189" s="37">
        <f>IF($AJ189&gt;0,INDEX(专属武器!H$4:H$53,新属性汇总!$AJ189),0)</f>
        <v>26332</v>
      </c>
      <c r="AL189" s="37">
        <f>IF($AJ189&gt;0,INDEX(专属武器!I$4:I$53,新属性汇总!$AJ189),0)</f>
        <v>13155</v>
      </c>
      <c r="AM189" s="37">
        <f>IF($AJ189&gt;0,INDEX(专属武器!J$4:J$53,新属性汇总!$AJ189),0)</f>
        <v>118535</v>
      </c>
      <c r="AQ189" s="13">
        <v>185</v>
      </c>
      <c r="AR189" s="13">
        <f t="shared" si="71"/>
        <v>47281.099999999991</v>
      </c>
      <c r="AS189" s="13">
        <f t="shared" si="72"/>
        <v>23638.249999999993</v>
      </c>
      <c r="AT189" s="13">
        <f t="shared" si="73"/>
        <v>249836.34999999998</v>
      </c>
      <c r="AU189" s="13">
        <f t="shared" si="74"/>
        <v>27780</v>
      </c>
      <c r="AV189" s="13">
        <f t="shared" si="75"/>
        <v>13890</v>
      </c>
      <c r="AW189" s="13">
        <f t="shared" si="76"/>
        <v>150238</v>
      </c>
      <c r="AX189" s="13">
        <f t="shared" si="77"/>
        <v>12698.4</v>
      </c>
      <c r="AY189" s="13">
        <f t="shared" si="78"/>
        <v>6344</v>
      </c>
      <c r="AZ189" s="13">
        <f t="shared" si="79"/>
        <v>68224</v>
      </c>
      <c r="BA189" s="13">
        <f t="shared" si="80"/>
        <v>36564</v>
      </c>
      <c r="BB189" s="13">
        <f t="shared" si="81"/>
        <v>0</v>
      </c>
      <c r="BC189" s="13">
        <f t="shared" si="82"/>
        <v>36564</v>
      </c>
      <c r="BD189" s="13">
        <f t="shared" si="83"/>
        <v>23785</v>
      </c>
      <c r="BE189" s="13">
        <f t="shared" si="84"/>
        <v>11882</v>
      </c>
      <c r="BF189" s="13">
        <f t="shared" si="85"/>
        <v>107072</v>
      </c>
      <c r="BG189" s="13">
        <f t="shared" si="86"/>
        <v>722624</v>
      </c>
      <c r="BH189" s="13">
        <f t="shared" si="87"/>
        <v>428038</v>
      </c>
      <c r="BI189" s="13">
        <f t="shared" si="88"/>
        <v>195156</v>
      </c>
      <c r="BJ189" s="13">
        <f t="shared" si="89"/>
        <v>219384</v>
      </c>
      <c r="BK189" s="13">
        <f t="shared" si="90"/>
        <v>344817</v>
      </c>
      <c r="BL189" s="13">
        <f t="shared" si="91"/>
        <v>1910019</v>
      </c>
      <c r="BM189" s="31">
        <f t="shared" si="92"/>
        <v>0.37830000000000003</v>
      </c>
      <c r="BN189" s="31">
        <f t="shared" si="93"/>
        <v>0.22409999999999999</v>
      </c>
      <c r="BO189" s="31">
        <f t="shared" si="94"/>
        <v>0.1022</v>
      </c>
      <c r="BP189" s="31">
        <f t="shared" si="95"/>
        <v>0.1149</v>
      </c>
      <c r="BQ189" s="31">
        <f t="shared" si="96"/>
        <v>0.18049999999999999</v>
      </c>
    </row>
    <row r="190" spans="1:69" ht="16.5" x14ac:dyDescent="0.2">
      <c r="A190" s="37">
        <v>187</v>
      </c>
      <c r="B190" s="37">
        <v>19</v>
      </c>
      <c r="C190" s="37">
        <v>1</v>
      </c>
      <c r="D190" s="37">
        <v>3</v>
      </c>
      <c r="E190" s="37">
        <v>187</v>
      </c>
      <c r="F190" s="37">
        <f>INDEX(新属性投放!$L$6:$L$10,新属性汇总!D190)</f>
        <v>1.1499999999999999</v>
      </c>
      <c r="G190" s="37">
        <f>INDEX(新属性投放!J$42:J$62,新属性汇总!$B190)</f>
        <v>36564.099999999991</v>
      </c>
      <c r="H190" s="37">
        <f>INDEX(新属性投放!K$42:K$62,新属性汇总!$B190)</f>
        <v>18280.049999999996</v>
      </c>
      <c r="I190" s="37">
        <f>INDEX(新属性投放!L$42:L$62,新属性汇总!$B190)</f>
        <v>196779</v>
      </c>
      <c r="J190" s="37">
        <f>($A190-INDEX(新属性投放!$B$42:$B$62,新属性汇总!$B190))*INDEX(新属性投放!D$42:D$62,新属性汇总!$B190)</f>
        <v>6369.8600000000006</v>
      </c>
      <c r="K190" s="37">
        <f>($A190-INDEX(新属性投放!$B$42:$B$62,新属性汇总!$B190))*INDEX(新属性投放!E$42:E$62,新属性汇总!$B190)</f>
        <v>3184.9300000000003</v>
      </c>
      <c r="L190" s="37">
        <f>($A190-INDEX(新属性投放!$B$42:$B$62,新属性汇总!$B190))*INDEX(新属性投放!F$42:F$62,新属性汇总!$B190)</f>
        <v>28658</v>
      </c>
      <c r="M190" s="37">
        <f t="shared" si="65"/>
        <v>49374.053999999989</v>
      </c>
      <c r="N190" s="37">
        <f t="shared" si="66"/>
        <v>24684.726999999992</v>
      </c>
      <c r="O190" s="37">
        <f t="shared" si="67"/>
        <v>259252.55</v>
      </c>
      <c r="P190" s="37">
        <v>6</v>
      </c>
      <c r="Q190" s="37">
        <v>4</v>
      </c>
      <c r="R190">
        <v>187</v>
      </c>
      <c r="S190" s="37">
        <f>IF($P190&gt;0,INDEX(装备!L$11:L$16,新属性汇总!$P190),0)</f>
        <v>5580</v>
      </c>
      <c r="T190" s="37">
        <f>IF($P190&gt;0,INDEX(装备!M$11:M$16,新属性汇总!$P190),0)</f>
        <v>2790</v>
      </c>
      <c r="U190" s="37">
        <f>IF($P190&gt;0,INDEX(装备!N$11:N$16,新属性汇总!$P190),0)</f>
        <v>29988.000000000004</v>
      </c>
      <c r="V190" s="37">
        <f>IF($P190&gt;0,INDEX(装备!H$11:H$16,新属性汇总!$P190),0)</f>
        <v>120</v>
      </c>
      <c r="W190" s="37">
        <f>IF($P190&gt;0,INDEX(装备!I$11:I$16,新属性汇总!$P190),0)</f>
        <v>60</v>
      </c>
      <c r="X190" s="37">
        <f>IF($P190&gt;0,INDEX(装备!J$11:J$16,新属性汇总!$P190),0)</f>
        <v>650</v>
      </c>
      <c r="Y190" s="37">
        <f t="shared" si="68"/>
        <v>28020</v>
      </c>
      <c r="Z190" s="37">
        <f t="shared" si="69"/>
        <v>14010</v>
      </c>
      <c r="AA190" s="37">
        <f t="shared" si="70"/>
        <v>151538</v>
      </c>
      <c r="AB190" s="37">
        <v>0.65</v>
      </c>
      <c r="AC190" s="37">
        <f>IF(P190&gt;0,INDEX(装备!$BP$5:$BP$16,新属性汇总!P190),0)</f>
        <v>6</v>
      </c>
      <c r="AD190" s="37">
        <f>IF($P190&gt;0,ROUND(INDEX(装备!AY$11:AY$16,新属性汇总!$P190)*$AC190/3,0)*8*AB190,0)</f>
        <v>12698.4</v>
      </c>
      <c r="AE190" s="37">
        <f>IF($P190&gt;0,ROUND(INDEX(装备!AZ$11:AZ$16,新属性汇总!$P190)*$AC190/3,0)*8*AB190,0)</f>
        <v>6344</v>
      </c>
      <c r="AF190" s="37">
        <f>IF($P190&gt;0,ROUND(INDEX(装备!BA$11:BA$16,新属性汇总!$P190)*$AC190/3,0)*8*AB190,0)</f>
        <v>68224</v>
      </c>
      <c r="AG190" s="37">
        <f>IF(新属性汇总!P190&gt;0,INDEX(装备!$AP$11:$AP$16,新属性汇总!$P190)*2,0)</f>
        <v>36564</v>
      </c>
      <c r="AH190" s="37">
        <v>0</v>
      </c>
      <c r="AI190" s="37">
        <f>IF(新属性汇总!P190&gt;0,INDEX(装备!$AP$11:$AP$16,新属性汇总!$P190)*2,0)</f>
        <v>36564</v>
      </c>
      <c r="AJ190" s="37">
        <v>45</v>
      </c>
      <c r="AK190" s="37">
        <f>IF($AJ190&gt;0,INDEX(专属武器!H$4:H$53,新属性汇总!$AJ190),0)</f>
        <v>26332</v>
      </c>
      <c r="AL190" s="37">
        <f>IF($AJ190&gt;0,INDEX(专属武器!I$4:I$53,新属性汇总!$AJ190),0)</f>
        <v>13155</v>
      </c>
      <c r="AM190" s="37">
        <f>IF($AJ190&gt;0,INDEX(专属武器!J$4:J$53,新属性汇总!$AJ190),0)</f>
        <v>118535</v>
      </c>
      <c r="AQ190" s="13">
        <v>186</v>
      </c>
      <c r="AR190" s="13">
        <f t="shared" si="71"/>
        <v>48327.576999999983</v>
      </c>
      <c r="AS190" s="13">
        <f t="shared" si="72"/>
        <v>24161.488499999992</v>
      </c>
      <c r="AT190" s="13">
        <f t="shared" si="73"/>
        <v>254544.44999999998</v>
      </c>
      <c r="AU190" s="13">
        <f t="shared" si="74"/>
        <v>27900</v>
      </c>
      <c r="AV190" s="13">
        <f t="shared" si="75"/>
        <v>13950</v>
      </c>
      <c r="AW190" s="13">
        <f t="shared" si="76"/>
        <v>150888</v>
      </c>
      <c r="AX190" s="13">
        <f t="shared" si="77"/>
        <v>12698.4</v>
      </c>
      <c r="AY190" s="13">
        <f t="shared" si="78"/>
        <v>6344</v>
      </c>
      <c r="AZ190" s="13">
        <f t="shared" si="79"/>
        <v>68224</v>
      </c>
      <c r="BA190" s="13">
        <f t="shared" si="80"/>
        <v>36564</v>
      </c>
      <c r="BB190" s="13">
        <f t="shared" si="81"/>
        <v>0</v>
      </c>
      <c r="BC190" s="13">
        <f t="shared" si="82"/>
        <v>36564</v>
      </c>
      <c r="BD190" s="13">
        <f t="shared" si="83"/>
        <v>26332</v>
      </c>
      <c r="BE190" s="13">
        <f t="shared" si="84"/>
        <v>13155</v>
      </c>
      <c r="BF190" s="13">
        <f t="shared" si="85"/>
        <v>118535</v>
      </c>
      <c r="BG190" s="13">
        <f t="shared" si="86"/>
        <v>737797</v>
      </c>
      <c r="BH190" s="13">
        <f t="shared" si="87"/>
        <v>429888</v>
      </c>
      <c r="BI190" s="13">
        <f t="shared" si="88"/>
        <v>195156</v>
      </c>
      <c r="BJ190" s="13">
        <f t="shared" si="89"/>
        <v>219384</v>
      </c>
      <c r="BK190" s="13">
        <f t="shared" si="90"/>
        <v>381745</v>
      </c>
      <c r="BL190" s="13">
        <f t="shared" si="91"/>
        <v>1963970</v>
      </c>
      <c r="BM190" s="31">
        <f t="shared" si="92"/>
        <v>0.37569999999999998</v>
      </c>
      <c r="BN190" s="31">
        <f t="shared" si="93"/>
        <v>0.21890000000000001</v>
      </c>
      <c r="BO190" s="31">
        <f t="shared" si="94"/>
        <v>9.9400000000000002E-2</v>
      </c>
      <c r="BP190" s="31">
        <f t="shared" si="95"/>
        <v>0.11169999999999999</v>
      </c>
      <c r="BQ190" s="31">
        <f t="shared" si="96"/>
        <v>0.19439999999999999</v>
      </c>
    </row>
    <row r="191" spans="1:69" ht="16.5" x14ac:dyDescent="0.2">
      <c r="A191" s="37">
        <v>188</v>
      </c>
      <c r="B191" s="37">
        <v>19</v>
      </c>
      <c r="C191" s="37">
        <v>1</v>
      </c>
      <c r="D191" s="37">
        <v>3</v>
      </c>
      <c r="E191" s="37">
        <v>188</v>
      </c>
      <c r="F191" s="37">
        <f>INDEX(新属性投放!$L$6:$L$10,新属性汇总!D191)</f>
        <v>1.1499999999999999</v>
      </c>
      <c r="G191" s="37">
        <f>INDEX(新属性投放!J$42:J$62,新属性汇总!$B191)</f>
        <v>36564.099999999991</v>
      </c>
      <c r="H191" s="37">
        <f>INDEX(新属性投放!K$42:K$62,新属性汇总!$B191)</f>
        <v>18280.049999999996</v>
      </c>
      <c r="I191" s="37">
        <f>INDEX(新属性投放!L$42:L$62,新属性汇总!$B191)</f>
        <v>196779</v>
      </c>
      <c r="J191" s="37">
        <f>($A191-INDEX(新属性投放!$B$42:$B$62,新属性汇总!$B191))*INDEX(新属性投放!D$42:D$62,新属性汇总!$B191)</f>
        <v>7279.84</v>
      </c>
      <c r="K191" s="37">
        <f>($A191-INDEX(新属性投放!$B$42:$B$62,新属性汇总!$B191))*INDEX(新属性投放!E$42:E$62,新属性汇总!$B191)</f>
        <v>3639.92</v>
      </c>
      <c r="L191" s="37">
        <f>($A191-INDEX(新属性投放!$B$42:$B$62,新属性汇总!$B191))*INDEX(新属性投放!F$42:F$62,新属性汇总!$B191)</f>
        <v>32752</v>
      </c>
      <c r="M191" s="37">
        <f t="shared" si="65"/>
        <v>50420.530999999981</v>
      </c>
      <c r="N191" s="37">
        <f t="shared" si="66"/>
        <v>25207.965499999991</v>
      </c>
      <c r="O191" s="37">
        <f t="shared" si="67"/>
        <v>263960.64999999997</v>
      </c>
      <c r="P191" s="37">
        <v>6</v>
      </c>
      <c r="Q191" s="37">
        <v>4</v>
      </c>
      <c r="R191">
        <v>188</v>
      </c>
      <c r="S191" s="37">
        <f>IF($P191&gt;0,INDEX(装备!L$11:L$16,新属性汇总!$P191),0)</f>
        <v>5580</v>
      </c>
      <c r="T191" s="37">
        <f>IF($P191&gt;0,INDEX(装备!M$11:M$16,新属性汇总!$P191),0)</f>
        <v>2790</v>
      </c>
      <c r="U191" s="37">
        <f>IF($P191&gt;0,INDEX(装备!N$11:N$16,新属性汇总!$P191),0)</f>
        <v>29988.000000000004</v>
      </c>
      <c r="V191" s="37">
        <f>IF($P191&gt;0,INDEX(装备!H$11:H$16,新属性汇总!$P191),0)</f>
        <v>120</v>
      </c>
      <c r="W191" s="37">
        <f>IF($P191&gt;0,INDEX(装备!I$11:I$16,新属性汇总!$P191),0)</f>
        <v>60</v>
      </c>
      <c r="X191" s="37">
        <f>IF($P191&gt;0,INDEX(装备!J$11:J$16,新属性汇总!$P191),0)</f>
        <v>650</v>
      </c>
      <c r="Y191" s="37">
        <f t="shared" si="68"/>
        <v>28140</v>
      </c>
      <c r="Z191" s="37">
        <f t="shared" si="69"/>
        <v>14070</v>
      </c>
      <c r="AA191" s="37">
        <f t="shared" si="70"/>
        <v>152188</v>
      </c>
      <c r="AB191" s="37">
        <v>0.65</v>
      </c>
      <c r="AC191" s="37">
        <f>IF(P191&gt;0,INDEX(装备!$BP$5:$BP$16,新属性汇总!P191),0)</f>
        <v>6</v>
      </c>
      <c r="AD191" s="37">
        <f>IF($P191&gt;0,ROUND(INDEX(装备!AY$11:AY$16,新属性汇总!$P191)*$AC191/3,0)*8*AB191,0)</f>
        <v>12698.4</v>
      </c>
      <c r="AE191" s="37">
        <f>IF($P191&gt;0,ROUND(INDEX(装备!AZ$11:AZ$16,新属性汇总!$P191)*$AC191/3,0)*8*AB191,0)</f>
        <v>6344</v>
      </c>
      <c r="AF191" s="37">
        <f>IF($P191&gt;0,ROUND(INDEX(装备!BA$11:BA$16,新属性汇总!$P191)*$AC191/3,0)*8*AB191,0)</f>
        <v>68224</v>
      </c>
      <c r="AG191" s="37">
        <f>IF(新属性汇总!P191&gt;0,INDEX(装备!$AP$11:$AP$16,新属性汇总!$P191)*2,0)</f>
        <v>36564</v>
      </c>
      <c r="AH191" s="37">
        <v>0</v>
      </c>
      <c r="AI191" s="37">
        <f>IF(新属性汇总!P191&gt;0,INDEX(装备!$AP$11:$AP$16,新属性汇总!$P191)*2,0)</f>
        <v>36564</v>
      </c>
      <c r="AJ191" s="37">
        <v>45</v>
      </c>
      <c r="AK191" s="37">
        <f>IF($AJ191&gt;0,INDEX(专属武器!H$4:H$53,新属性汇总!$AJ191),0)</f>
        <v>26332</v>
      </c>
      <c r="AL191" s="37">
        <f>IF($AJ191&gt;0,INDEX(专属武器!I$4:I$53,新属性汇总!$AJ191),0)</f>
        <v>13155</v>
      </c>
      <c r="AM191" s="37">
        <f>IF($AJ191&gt;0,INDEX(专属武器!J$4:J$53,新属性汇总!$AJ191),0)</f>
        <v>118535</v>
      </c>
      <c r="AQ191" s="13">
        <v>187</v>
      </c>
      <c r="AR191" s="13">
        <f t="shared" si="71"/>
        <v>49374.053999999989</v>
      </c>
      <c r="AS191" s="13">
        <f t="shared" si="72"/>
        <v>24684.726999999992</v>
      </c>
      <c r="AT191" s="13">
        <f t="shared" si="73"/>
        <v>259252.55</v>
      </c>
      <c r="AU191" s="13">
        <f t="shared" si="74"/>
        <v>28020</v>
      </c>
      <c r="AV191" s="13">
        <f t="shared" si="75"/>
        <v>14010</v>
      </c>
      <c r="AW191" s="13">
        <f t="shared" si="76"/>
        <v>151538</v>
      </c>
      <c r="AX191" s="13">
        <f t="shared" si="77"/>
        <v>12698.4</v>
      </c>
      <c r="AY191" s="13">
        <f t="shared" si="78"/>
        <v>6344</v>
      </c>
      <c r="AZ191" s="13">
        <f t="shared" si="79"/>
        <v>68224</v>
      </c>
      <c r="BA191" s="13">
        <f t="shared" si="80"/>
        <v>36564</v>
      </c>
      <c r="BB191" s="13">
        <f t="shared" si="81"/>
        <v>0</v>
      </c>
      <c r="BC191" s="13">
        <f t="shared" si="82"/>
        <v>36564</v>
      </c>
      <c r="BD191" s="13">
        <f t="shared" si="83"/>
        <v>26332</v>
      </c>
      <c r="BE191" s="13">
        <f t="shared" si="84"/>
        <v>13155</v>
      </c>
      <c r="BF191" s="13">
        <f t="shared" si="85"/>
        <v>118535</v>
      </c>
      <c r="BG191" s="13">
        <f t="shared" si="86"/>
        <v>752970</v>
      </c>
      <c r="BH191" s="13">
        <f t="shared" si="87"/>
        <v>431738</v>
      </c>
      <c r="BI191" s="13">
        <f t="shared" si="88"/>
        <v>195156</v>
      </c>
      <c r="BJ191" s="13">
        <f t="shared" si="89"/>
        <v>219384</v>
      </c>
      <c r="BK191" s="13">
        <f t="shared" si="90"/>
        <v>381745</v>
      </c>
      <c r="BL191" s="13">
        <f t="shared" si="91"/>
        <v>1980993</v>
      </c>
      <c r="BM191" s="31">
        <f t="shared" si="92"/>
        <v>0.38009999999999999</v>
      </c>
      <c r="BN191" s="31">
        <f t="shared" si="93"/>
        <v>0.21790000000000001</v>
      </c>
      <c r="BO191" s="31">
        <f t="shared" si="94"/>
        <v>9.8500000000000004E-2</v>
      </c>
      <c r="BP191" s="31">
        <f t="shared" si="95"/>
        <v>0.11070000000000001</v>
      </c>
      <c r="BQ191" s="31">
        <f t="shared" si="96"/>
        <v>0.19270000000000001</v>
      </c>
    </row>
    <row r="192" spans="1:69" ht="16.5" x14ac:dyDescent="0.2">
      <c r="A192" s="37">
        <v>189</v>
      </c>
      <c r="B192" s="37">
        <v>19</v>
      </c>
      <c r="C192" s="37">
        <v>1</v>
      </c>
      <c r="D192" s="37">
        <v>3</v>
      </c>
      <c r="E192" s="37">
        <v>189</v>
      </c>
      <c r="F192" s="37">
        <f>INDEX(新属性投放!$L$6:$L$10,新属性汇总!D192)</f>
        <v>1.1499999999999999</v>
      </c>
      <c r="G192" s="37">
        <f>INDEX(新属性投放!J$42:J$62,新属性汇总!$B192)</f>
        <v>36564.099999999991</v>
      </c>
      <c r="H192" s="37">
        <f>INDEX(新属性投放!K$42:K$62,新属性汇总!$B192)</f>
        <v>18280.049999999996</v>
      </c>
      <c r="I192" s="37">
        <f>INDEX(新属性投放!L$42:L$62,新属性汇总!$B192)</f>
        <v>196779</v>
      </c>
      <c r="J192" s="37">
        <f>($A192-INDEX(新属性投放!$B$42:$B$62,新属性汇总!$B192))*INDEX(新属性投放!D$42:D$62,新属性汇总!$B192)</f>
        <v>8189.82</v>
      </c>
      <c r="K192" s="37">
        <f>($A192-INDEX(新属性投放!$B$42:$B$62,新属性汇总!$B192))*INDEX(新属性投放!E$42:E$62,新属性汇总!$B192)</f>
        <v>4094.91</v>
      </c>
      <c r="L192" s="37">
        <f>($A192-INDEX(新属性投放!$B$42:$B$62,新属性汇总!$B192))*INDEX(新属性投放!F$42:F$62,新属性汇总!$B192)</f>
        <v>36846</v>
      </c>
      <c r="M192" s="37">
        <f t="shared" si="65"/>
        <v>51467.007999999987</v>
      </c>
      <c r="N192" s="37">
        <f t="shared" si="66"/>
        <v>25731.203999999994</v>
      </c>
      <c r="O192" s="37">
        <f t="shared" si="67"/>
        <v>268668.75</v>
      </c>
      <c r="P192" s="37">
        <v>6</v>
      </c>
      <c r="Q192" s="37">
        <v>4</v>
      </c>
      <c r="R192">
        <v>189</v>
      </c>
      <c r="S192" s="37">
        <f>IF($P192&gt;0,INDEX(装备!L$11:L$16,新属性汇总!$P192),0)</f>
        <v>5580</v>
      </c>
      <c r="T192" s="37">
        <f>IF($P192&gt;0,INDEX(装备!M$11:M$16,新属性汇总!$P192),0)</f>
        <v>2790</v>
      </c>
      <c r="U192" s="37">
        <f>IF($P192&gt;0,INDEX(装备!N$11:N$16,新属性汇总!$P192),0)</f>
        <v>29988.000000000004</v>
      </c>
      <c r="V192" s="37">
        <f>IF($P192&gt;0,INDEX(装备!H$11:H$16,新属性汇总!$P192),0)</f>
        <v>120</v>
      </c>
      <c r="W192" s="37">
        <f>IF($P192&gt;0,INDEX(装备!I$11:I$16,新属性汇总!$P192),0)</f>
        <v>60</v>
      </c>
      <c r="X192" s="37">
        <f>IF($P192&gt;0,INDEX(装备!J$11:J$16,新属性汇总!$P192),0)</f>
        <v>650</v>
      </c>
      <c r="Y192" s="37">
        <f t="shared" si="68"/>
        <v>28260</v>
      </c>
      <c r="Z192" s="37">
        <f t="shared" si="69"/>
        <v>14130</v>
      </c>
      <c r="AA192" s="37">
        <f t="shared" si="70"/>
        <v>152838</v>
      </c>
      <c r="AB192" s="37">
        <v>0.65</v>
      </c>
      <c r="AC192" s="37">
        <f>IF(P192&gt;0,INDEX(装备!$BP$5:$BP$16,新属性汇总!P192),0)</f>
        <v>6</v>
      </c>
      <c r="AD192" s="37">
        <f>IF($P192&gt;0,ROUND(INDEX(装备!AY$11:AY$16,新属性汇总!$P192)*$AC192/3,0)*8*AB192,0)</f>
        <v>12698.4</v>
      </c>
      <c r="AE192" s="37">
        <f>IF($P192&gt;0,ROUND(INDEX(装备!AZ$11:AZ$16,新属性汇总!$P192)*$AC192/3,0)*8*AB192,0)</f>
        <v>6344</v>
      </c>
      <c r="AF192" s="37">
        <f>IF($P192&gt;0,ROUND(INDEX(装备!BA$11:BA$16,新属性汇总!$P192)*$AC192/3,0)*8*AB192,0)</f>
        <v>68224</v>
      </c>
      <c r="AG192" s="37">
        <f>IF(新属性汇总!P192&gt;0,INDEX(装备!$AP$11:$AP$16,新属性汇总!$P192)*2,0)</f>
        <v>36564</v>
      </c>
      <c r="AH192" s="37">
        <v>0</v>
      </c>
      <c r="AI192" s="37">
        <f>IF(新属性汇总!P192&gt;0,INDEX(装备!$AP$11:$AP$16,新属性汇总!$P192)*2,0)</f>
        <v>36564</v>
      </c>
      <c r="AJ192" s="37">
        <v>45</v>
      </c>
      <c r="AK192" s="37">
        <f>IF($AJ192&gt;0,INDEX(专属武器!H$4:H$53,新属性汇总!$AJ192),0)</f>
        <v>26332</v>
      </c>
      <c r="AL192" s="37">
        <f>IF($AJ192&gt;0,INDEX(专属武器!I$4:I$53,新属性汇总!$AJ192),0)</f>
        <v>13155</v>
      </c>
      <c r="AM192" s="37">
        <f>IF($AJ192&gt;0,INDEX(专属武器!J$4:J$53,新属性汇总!$AJ192),0)</f>
        <v>118535</v>
      </c>
      <c r="AQ192" s="13">
        <v>188</v>
      </c>
      <c r="AR192" s="13">
        <f t="shared" si="71"/>
        <v>50420.530999999981</v>
      </c>
      <c r="AS192" s="13">
        <f t="shared" si="72"/>
        <v>25207.965499999991</v>
      </c>
      <c r="AT192" s="13">
        <f t="shared" si="73"/>
        <v>263960.64999999997</v>
      </c>
      <c r="AU192" s="13">
        <f t="shared" si="74"/>
        <v>28140</v>
      </c>
      <c r="AV192" s="13">
        <f t="shared" si="75"/>
        <v>14070</v>
      </c>
      <c r="AW192" s="13">
        <f t="shared" si="76"/>
        <v>152188</v>
      </c>
      <c r="AX192" s="13">
        <f t="shared" si="77"/>
        <v>12698.4</v>
      </c>
      <c r="AY192" s="13">
        <f t="shared" si="78"/>
        <v>6344</v>
      </c>
      <c r="AZ192" s="13">
        <f t="shared" si="79"/>
        <v>68224</v>
      </c>
      <c r="BA192" s="13">
        <f t="shared" si="80"/>
        <v>36564</v>
      </c>
      <c r="BB192" s="13">
        <f t="shared" si="81"/>
        <v>0</v>
      </c>
      <c r="BC192" s="13">
        <f t="shared" si="82"/>
        <v>36564</v>
      </c>
      <c r="BD192" s="13">
        <f t="shared" si="83"/>
        <v>26332</v>
      </c>
      <c r="BE192" s="13">
        <f t="shared" si="84"/>
        <v>13155</v>
      </c>
      <c r="BF192" s="13">
        <f t="shared" si="85"/>
        <v>118535</v>
      </c>
      <c r="BG192" s="13">
        <f t="shared" si="86"/>
        <v>768142</v>
      </c>
      <c r="BH192" s="13">
        <f t="shared" si="87"/>
        <v>433588</v>
      </c>
      <c r="BI192" s="13">
        <f t="shared" si="88"/>
        <v>195156</v>
      </c>
      <c r="BJ192" s="13">
        <f t="shared" si="89"/>
        <v>219384</v>
      </c>
      <c r="BK192" s="13">
        <f t="shared" si="90"/>
        <v>381745</v>
      </c>
      <c r="BL192" s="13">
        <f t="shared" si="91"/>
        <v>1998015</v>
      </c>
      <c r="BM192" s="31">
        <f t="shared" si="92"/>
        <v>0.38450000000000001</v>
      </c>
      <c r="BN192" s="31">
        <f t="shared" si="93"/>
        <v>0.217</v>
      </c>
      <c r="BO192" s="31">
        <f t="shared" si="94"/>
        <v>9.7699999999999995E-2</v>
      </c>
      <c r="BP192" s="31">
        <f t="shared" si="95"/>
        <v>0.10979999999999999</v>
      </c>
      <c r="BQ192" s="31">
        <f t="shared" si="96"/>
        <v>0.19109999999999999</v>
      </c>
    </row>
    <row r="193" spans="1:69" ht="16.5" x14ac:dyDescent="0.2">
      <c r="A193" s="37">
        <v>190</v>
      </c>
      <c r="B193" s="37">
        <v>20</v>
      </c>
      <c r="C193" s="37">
        <v>1</v>
      </c>
      <c r="D193" s="37">
        <v>3</v>
      </c>
      <c r="E193" s="37">
        <v>190</v>
      </c>
      <c r="F193" s="37">
        <f>INDEX(新属性投放!$L$6:$L$10,新属性汇总!D193)</f>
        <v>1.1499999999999999</v>
      </c>
      <c r="G193" s="37">
        <f>INDEX(新属性投放!J$42:J$62,新属性汇总!$B193)</f>
        <v>47938.899999999994</v>
      </c>
      <c r="H193" s="37">
        <f>INDEX(新属性投放!K$42:K$62,新属性汇总!$B193)</f>
        <v>23966.949999999997</v>
      </c>
      <c r="I193" s="37">
        <f>INDEX(新属性投放!L$42:L$62,新属性汇总!$B193)</f>
        <v>258194</v>
      </c>
      <c r="J193" s="37">
        <f>($A193-INDEX(新属性投放!$B$42:$B$62,新属性汇总!$B193))*INDEX(新属性投放!D$42:D$62,新属性汇总!$B193)</f>
        <v>0</v>
      </c>
      <c r="K193" s="37">
        <f>($A193-INDEX(新属性投放!$B$42:$B$62,新属性汇总!$B193))*INDEX(新属性投放!E$42:E$62,新属性汇总!$B193)</f>
        <v>0</v>
      </c>
      <c r="L193" s="37">
        <f>($A193-INDEX(新属性投放!$B$42:$B$62,新属性汇总!$B193))*INDEX(新属性投放!F$42:F$62,新属性汇总!$B193)</f>
        <v>0</v>
      </c>
      <c r="M193" s="37">
        <f t="shared" si="65"/>
        <v>55129.734999999986</v>
      </c>
      <c r="N193" s="37">
        <f t="shared" si="66"/>
        <v>27561.992499999993</v>
      </c>
      <c r="O193" s="37">
        <f t="shared" si="67"/>
        <v>296923.09999999998</v>
      </c>
      <c r="P193" s="37">
        <v>6</v>
      </c>
      <c r="Q193" s="37">
        <v>4</v>
      </c>
      <c r="R193">
        <v>190</v>
      </c>
      <c r="S193" s="37">
        <f>IF($P193&gt;0,INDEX(装备!L$11:L$16,新属性汇总!$P193),0)</f>
        <v>5580</v>
      </c>
      <c r="T193" s="37">
        <f>IF($P193&gt;0,INDEX(装备!M$11:M$16,新属性汇总!$P193),0)</f>
        <v>2790</v>
      </c>
      <c r="U193" s="37">
        <f>IF($P193&gt;0,INDEX(装备!N$11:N$16,新属性汇总!$P193),0)</f>
        <v>29988.000000000004</v>
      </c>
      <c r="V193" s="37">
        <f>IF($P193&gt;0,INDEX(装备!H$11:H$16,新属性汇总!$P193),0)</f>
        <v>120</v>
      </c>
      <c r="W193" s="37">
        <f>IF($P193&gt;0,INDEX(装备!I$11:I$16,新属性汇总!$P193),0)</f>
        <v>60</v>
      </c>
      <c r="X193" s="37">
        <f>IF($P193&gt;0,INDEX(装备!J$11:J$16,新属性汇总!$P193),0)</f>
        <v>650</v>
      </c>
      <c r="Y193" s="37">
        <f t="shared" si="68"/>
        <v>28380</v>
      </c>
      <c r="Z193" s="37">
        <f t="shared" si="69"/>
        <v>14190</v>
      </c>
      <c r="AA193" s="37">
        <f t="shared" si="70"/>
        <v>153488</v>
      </c>
      <c r="AB193" s="37">
        <v>0.65</v>
      </c>
      <c r="AC193" s="37">
        <f>IF(P193&gt;0,INDEX(装备!$BP$5:$BP$16,新属性汇总!P193),0)</f>
        <v>6</v>
      </c>
      <c r="AD193" s="37">
        <f>IF($P193&gt;0,ROUND(INDEX(装备!AY$11:AY$16,新属性汇总!$P193)*$AC193/3,0)*8*AB193,0)</f>
        <v>12698.4</v>
      </c>
      <c r="AE193" s="37">
        <f>IF($P193&gt;0,ROUND(INDEX(装备!AZ$11:AZ$16,新属性汇总!$P193)*$AC193/3,0)*8*AB193,0)</f>
        <v>6344</v>
      </c>
      <c r="AF193" s="37">
        <f>IF($P193&gt;0,ROUND(INDEX(装备!BA$11:BA$16,新属性汇总!$P193)*$AC193/3,0)*8*AB193,0)</f>
        <v>68224</v>
      </c>
      <c r="AG193" s="37">
        <f>IF(新属性汇总!P193&gt;0,INDEX(装备!$AP$11:$AP$16,新属性汇总!$P193)*2,0)</f>
        <v>36564</v>
      </c>
      <c r="AH193" s="37">
        <v>0</v>
      </c>
      <c r="AI193" s="37">
        <f>IF(新属性汇总!P193&gt;0,INDEX(装备!$AP$11:$AP$16,新属性汇总!$P193)*2,0)</f>
        <v>36564</v>
      </c>
      <c r="AJ193" s="37">
        <v>46</v>
      </c>
      <c r="AK193" s="37">
        <f>IF($AJ193&gt;0,INDEX(专属武器!H$4:H$53,新属性汇总!$AJ193),0)</f>
        <v>28422</v>
      </c>
      <c r="AL193" s="37">
        <f>IF($AJ193&gt;0,INDEX(专属武器!I$4:I$53,新属性汇总!$AJ193),0)</f>
        <v>14200</v>
      </c>
      <c r="AM193" s="37">
        <f>IF($AJ193&gt;0,INDEX(专属武器!J$4:J$53,新属性汇总!$AJ193),0)</f>
        <v>127939</v>
      </c>
      <c r="AQ193" s="13">
        <v>189</v>
      </c>
      <c r="AR193" s="13">
        <f t="shared" si="71"/>
        <v>51467.007999999987</v>
      </c>
      <c r="AS193" s="13">
        <f t="shared" si="72"/>
        <v>25731.203999999994</v>
      </c>
      <c r="AT193" s="13">
        <f t="shared" si="73"/>
        <v>268668.75</v>
      </c>
      <c r="AU193" s="13">
        <f t="shared" si="74"/>
        <v>28260</v>
      </c>
      <c r="AV193" s="13">
        <f t="shared" si="75"/>
        <v>14130</v>
      </c>
      <c r="AW193" s="13">
        <f t="shared" si="76"/>
        <v>152838</v>
      </c>
      <c r="AX193" s="13">
        <f t="shared" si="77"/>
        <v>12698.4</v>
      </c>
      <c r="AY193" s="13">
        <f t="shared" si="78"/>
        <v>6344</v>
      </c>
      <c r="AZ193" s="13">
        <f t="shared" si="79"/>
        <v>68224</v>
      </c>
      <c r="BA193" s="13">
        <f t="shared" si="80"/>
        <v>36564</v>
      </c>
      <c r="BB193" s="13">
        <f t="shared" si="81"/>
        <v>0</v>
      </c>
      <c r="BC193" s="13">
        <f t="shared" si="82"/>
        <v>36564</v>
      </c>
      <c r="BD193" s="13">
        <f t="shared" si="83"/>
        <v>26332</v>
      </c>
      <c r="BE193" s="13">
        <f t="shared" si="84"/>
        <v>13155</v>
      </c>
      <c r="BF193" s="13">
        <f t="shared" si="85"/>
        <v>118535</v>
      </c>
      <c r="BG193" s="13">
        <f t="shared" si="86"/>
        <v>783315</v>
      </c>
      <c r="BH193" s="13">
        <f t="shared" si="87"/>
        <v>435438</v>
      </c>
      <c r="BI193" s="13">
        <f t="shared" si="88"/>
        <v>195156</v>
      </c>
      <c r="BJ193" s="13">
        <f t="shared" si="89"/>
        <v>219384</v>
      </c>
      <c r="BK193" s="13">
        <f t="shared" si="90"/>
        <v>381745</v>
      </c>
      <c r="BL193" s="13">
        <f t="shared" si="91"/>
        <v>2015038</v>
      </c>
      <c r="BM193" s="31">
        <f t="shared" si="92"/>
        <v>0.38869999999999999</v>
      </c>
      <c r="BN193" s="31">
        <f t="shared" si="93"/>
        <v>0.21609999999999999</v>
      </c>
      <c r="BO193" s="31">
        <f t="shared" si="94"/>
        <v>9.6799999999999997E-2</v>
      </c>
      <c r="BP193" s="31">
        <f t="shared" si="95"/>
        <v>0.1089</v>
      </c>
      <c r="BQ193" s="31">
        <f t="shared" si="96"/>
        <v>0.18940000000000001</v>
      </c>
    </row>
    <row r="194" spans="1:69" ht="16.5" x14ac:dyDescent="0.2">
      <c r="A194" s="37">
        <v>191</v>
      </c>
      <c r="B194" s="37">
        <v>20</v>
      </c>
      <c r="C194" s="37">
        <v>1</v>
      </c>
      <c r="D194" s="37">
        <v>3</v>
      </c>
      <c r="E194" s="37">
        <v>191</v>
      </c>
      <c r="F194" s="37">
        <f>INDEX(新属性投放!$L$6:$L$10,新属性汇总!D194)</f>
        <v>1.1499999999999999</v>
      </c>
      <c r="G194" s="37">
        <f>INDEX(新属性投放!J$42:J$62,新属性汇总!$B194)</f>
        <v>47938.899999999994</v>
      </c>
      <c r="H194" s="37">
        <f>INDEX(新属性投放!K$42:K$62,新属性汇总!$B194)</f>
        <v>23966.949999999997</v>
      </c>
      <c r="I194" s="37">
        <f>INDEX(新属性投放!L$42:L$62,新属性汇总!$B194)</f>
        <v>258194</v>
      </c>
      <c r="J194" s="37">
        <f>($A194-INDEX(新属性投放!$B$42:$B$62,新属性汇总!$B194))*INDEX(新属性投放!D$42:D$62,新属性汇总!$B194)</f>
        <v>1194.3499999999999</v>
      </c>
      <c r="K194" s="37">
        <f>($A194-INDEX(新属性投放!$B$42:$B$62,新属性汇总!$B194))*INDEX(新属性投放!E$42:E$62,新属性汇总!$B194)</f>
        <v>597.17499999999995</v>
      </c>
      <c r="L194" s="37">
        <f>($A194-INDEX(新属性投放!$B$42:$B$62,新属性汇总!$B194))*INDEX(新属性投放!F$42:F$62,新属性汇总!$B194)</f>
        <v>5374</v>
      </c>
      <c r="M194" s="37">
        <f t="shared" si="65"/>
        <v>56503.237499999988</v>
      </c>
      <c r="N194" s="37">
        <f t="shared" si="66"/>
        <v>28248.743749999994</v>
      </c>
      <c r="O194" s="37">
        <f t="shared" si="67"/>
        <v>303103.19999999995</v>
      </c>
      <c r="P194" s="37">
        <v>6</v>
      </c>
      <c r="Q194" s="37">
        <v>4</v>
      </c>
      <c r="R194">
        <v>191</v>
      </c>
      <c r="S194" s="37">
        <f>IF($P194&gt;0,INDEX(装备!L$11:L$16,新属性汇总!$P194),0)</f>
        <v>5580</v>
      </c>
      <c r="T194" s="37">
        <f>IF($P194&gt;0,INDEX(装备!M$11:M$16,新属性汇总!$P194),0)</f>
        <v>2790</v>
      </c>
      <c r="U194" s="37">
        <f>IF($P194&gt;0,INDEX(装备!N$11:N$16,新属性汇总!$P194),0)</f>
        <v>29988.000000000004</v>
      </c>
      <c r="V194" s="37">
        <f>IF($P194&gt;0,INDEX(装备!H$11:H$16,新属性汇总!$P194),0)</f>
        <v>120</v>
      </c>
      <c r="W194" s="37">
        <f>IF($P194&gt;0,INDEX(装备!I$11:I$16,新属性汇总!$P194),0)</f>
        <v>60</v>
      </c>
      <c r="X194" s="37">
        <f>IF($P194&gt;0,INDEX(装备!J$11:J$16,新属性汇总!$P194),0)</f>
        <v>650</v>
      </c>
      <c r="Y194" s="37">
        <f t="shared" si="68"/>
        <v>28500</v>
      </c>
      <c r="Z194" s="37">
        <f t="shared" si="69"/>
        <v>14250</v>
      </c>
      <c r="AA194" s="37">
        <f t="shared" si="70"/>
        <v>154138</v>
      </c>
      <c r="AB194" s="37">
        <v>0.65</v>
      </c>
      <c r="AC194" s="37">
        <f>IF(P194&gt;0,INDEX(装备!$BP$5:$BP$16,新属性汇总!P194),0)</f>
        <v>6</v>
      </c>
      <c r="AD194" s="37">
        <f>IF($P194&gt;0,ROUND(INDEX(装备!AY$11:AY$16,新属性汇总!$P194)*$AC194/3,0)*8*AB194,0)</f>
        <v>12698.4</v>
      </c>
      <c r="AE194" s="37">
        <f>IF($P194&gt;0,ROUND(INDEX(装备!AZ$11:AZ$16,新属性汇总!$P194)*$AC194/3,0)*8*AB194,0)</f>
        <v>6344</v>
      </c>
      <c r="AF194" s="37">
        <f>IF($P194&gt;0,ROUND(INDEX(装备!BA$11:BA$16,新属性汇总!$P194)*$AC194/3,0)*8*AB194,0)</f>
        <v>68224</v>
      </c>
      <c r="AG194" s="37">
        <f>IF(新属性汇总!P194&gt;0,INDEX(装备!$AP$11:$AP$16,新属性汇总!$P194)*2,0)</f>
        <v>36564</v>
      </c>
      <c r="AH194" s="37">
        <v>0</v>
      </c>
      <c r="AI194" s="37">
        <f>IF(新属性汇总!P194&gt;0,INDEX(装备!$AP$11:$AP$16,新属性汇总!$P194)*2,0)</f>
        <v>36564</v>
      </c>
      <c r="AJ194" s="37">
        <v>46</v>
      </c>
      <c r="AK194" s="37">
        <f>IF($AJ194&gt;0,INDEX(专属武器!H$4:H$53,新属性汇总!$AJ194),0)</f>
        <v>28422</v>
      </c>
      <c r="AL194" s="37">
        <f>IF($AJ194&gt;0,INDEX(专属武器!I$4:I$53,新属性汇总!$AJ194),0)</f>
        <v>14200</v>
      </c>
      <c r="AM194" s="37">
        <f>IF($AJ194&gt;0,INDEX(专属武器!J$4:J$53,新属性汇总!$AJ194),0)</f>
        <v>127939</v>
      </c>
      <c r="AQ194" s="13">
        <v>190</v>
      </c>
      <c r="AR194" s="13">
        <f t="shared" si="71"/>
        <v>55129.734999999986</v>
      </c>
      <c r="AS194" s="13">
        <f t="shared" si="72"/>
        <v>27561.992499999993</v>
      </c>
      <c r="AT194" s="13">
        <f t="shared" si="73"/>
        <v>296923.09999999998</v>
      </c>
      <c r="AU194" s="13">
        <f t="shared" si="74"/>
        <v>28380</v>
      </c>
      <c r="AV194" s="13">
        <f t="shared" si="75"/>
        <v>14190</v>
      </c>
      <c r="AW194" s="13">
        <f t="shared" si="76"/>
        <v>153488</v>
      </c>
      <c r="AX194" s="13">
        <f t="shared" si="77"/>
        <v>12698.4</v>
      </c>
      <c r="AY194" s="13">
        <f t="shared" si="78"/>
        <v>6344</v>
      </c>
      <c r="AZ194" s="13">
        <f t="shared" si="79"/>
        <v>68224</v>
      </c>
      <c r="BA194" s="13">
        <f t="shared" si="80"/>
        <v>36564</v>
      </c>
      <c r="BB194" s="13">
        <f t="shared" si="81"/>
        <v>0</v>
      </c>
      <c r="BC194" s="13">
        <f t="shared" si="82"/>
        <v>36564</v>
      </c>
      <c r="BD194" s="13">
        <f t="shared" si="83"/>
        <v>28422</v>
      </c>
      <c r="BE194" s="13">
        <f t="shared" si="84"/>
        <v>14200</v>
      </c>
      <c r="BF194" s="13">
        <f t="shared" si="85"/>
        <v>127939</v>
      </c>
      <c r="BG194" s="13">
        <f t="shared" si="86"/>
        <v>848191</v>
      </c>
      <c r="BH194" s="13">
        <f t="shared" si="87"/>
        <v>437288</v>
      </c>
      <c r="BI194" s="13">
        <f t="shared" si="88"/>
        <v>195156</v>
      </c>
      <c r="BJ194" s="13">
        <f t="shared" si="89"/>
        <v>219384</v>
      </c>
      <c r="BK194" s="13">
        <f t="shared" si="90"/>
        <v>412049</v>
      </c>
      <c r="BL194" s="13">
        <f t="shared" si="91"/>
        <v>2112068</v>
      </c>
      <c r="BM194" s="31">
        <f t="shared" si="92"/>
        <v>0.40160000000000001</v>
      </c>
      <c r="BN194" s="31">
        <f t="shared" si="93"/>
        <v>0.20699999999999999</v>
      </c>
      <c r="BO194" s="31">
        <f t="shared" si="94"/>
        <v>9.2399999999999996E-2</v>
      </c>
      <c r="BP194" s="31">
        <f t="shared" si="95"/>
        <v>0.10390000000000001</v>
      </c>
      <c r="BQ194" s="31">
        <f t="shared" si="96"/>
        <v>0.1951</v>
      </c>
    </row>
    <row r="195" spans="1:69" ht="16.5" x14ac:dyDescent="0.2">
      <c r="A195" s="37">
        <v>192</v>
      </c>
      <c r="B195" s="37">
        <v>20</v>
      </c>
      <c r="C195" s="37">
        <v>1</v>
      </c>
      <c r="D195" s="37">
        <v>3</v>
      </c>
      <c r="E195" s="37">
        <v>192</v>
      </c>
      <c r="F195" s="37">
        <f>INDEX(新属性投放!$L$6:$L$10,新属性汇总!D195)</f>
        <v>1.1499999999999999</v>
      </c>
      <c r="G195" s="37">
        <f>INDEX(新属性投放!J$42:J$62,新属性汇总!$B195)</f>
        <v>47938.899999999994</v>
      </c>
      <c r="H195" s="37">
        <f>INDEX(新属性投放!K$42:K$62,新属性汇总!$B195)</f>
        <v>23966.949999999997</v>
      </c>
      <c r="I195" s="37">
        <f>INDEX(新属性投放!L$42:L$62,新属性汇总!$B195)</f>
        <v>258194</v>
      </c>
      <c r="J195" s="37">
        <f>($A195-INDEX(新属性投放!$B$42:$B$62,新属性汇总!$B195))*INDEX(新属性投放!D$42:D$62,新属性汇总!$B195)</f>
        <v>2388.6999999999998</v>
      </c>
      <c r="K195" s="37">
        <f>($A195-INDEX(新属性投放!$B$42:$B$62,新属性汇总!$B195))*INDEX(新属性投放!E$42:E$62,新属性汇总!$B195)</f>
        <v>1194.3499999999999</v>
      </c>
      <c r="L195" s="37">
        <f>($A195-INDEX(新属性投放!$B$42:$B$62,新属性汇总!$B195))*INDEX(新属性投放!F$42:F$62,新属性汇总!$B195)</f>
        <v>10748</v>
      </c>
      <c r="M195" s="37">
        <f t="shared" si="65"/>
        <v>57876.739999999983</v>
      </c>
      <c r="N195" s="37">
        <f t="shared" si="66"/>
        <v>28935.494999999992</v>
      </c>
      <c r="O195" s="37">
        <f t="shared" si="67"/>
        <v>309283.3</v>
      </c>
      <c r="P195" s="37">
        <v>6</v>
      </c>
      <c r="Q195" s="37">
        <v>4</v>
      </c>
      <c r="R195">
        <v>192</v>
      </c>
      <c r="S195" s="37">
        <f>IF($P195&gt;0,INDEX(装备!L$11:L$16,新属性汇总!$P195),0)</f>
        <v>5580</v>
      </c>
      <c r="T195" s="37">
        <f>IF($P195&gt;0,INDEX(装备!M$11:M$16,新属性汇总!$P195),0)</f>
        <v>2790</v>
      </c>
      <c r="U195" s="37">
        <f>IF($P195&gt;0,INDEX(装备!N$11:N$16,新属性汇总!$P195),0)</f>
        <v>29988.000000000004</v>
      </c>
      <c r="V195" s="37">
        <f>IF($P195&gt;0,INDEX(装备!H$11:H$16,新属性汇总!$P195),0)</f>
        <v>120</v>
      </c>
      <c r="W195" s="37">
        <f>IF($P195&gt;0,INDEX(装备!I$11:I$16,新属性汇总!$P195),0)</f>
        <v>60</v>
      </c>
      <c r="X195" s="37">
        <f>IF($P195&gt;0,INDEX(装备!J$11:J$16,新属性汇总!$P195),0)</f>
        <v>650</v>
      </c>
      <c r="Y195" s="37">
        <f t="shared" si="68"/>
        <v>28620</v>
      </c>
      <c r="Z195" s="37">
        <f t="shared" si="69"/>
        <v>14310</v>
      </c>
      <c r="AA195" s="37">
        <f t="shared" si="70"/>
        <v>154788</v>
      </c>
      <c r="AB195" s="37">
        <v>0.65</v>
      </c>
      <c r="AC195" s="37">
        <f>IF(P195&gt;0,INDEX(装备!$BP$5:$BP$16,新属性汇总!P195),0)</f>
        <v>6</v>
      </c>
      <c r="AD195" s="37">
        <f>IF($P195&gt;0,ROUND(INDEX(装备!AY$11:AY$16,新属性汇总!$P195)*$AC195/3,0)*8*AB195,0)</f>
        <v>12698.4</v>
      </c>
      <c r="AE195" s="37">
        <f>IF($P195&gt;0,ROUND(INDEX(装备!AZ$11:AZ$16,新属性汇总!$P195)*$AC195/3,0)*8*AB195,0)</f>
        <v>6344</v>
      </c>
      <c r="AF195" s="37">
        <f>IF($P195&gt;0,ROUND(INDEX(装备!BA$11:BA$16,新属性汇总!$P195)*$AC195/3,0)*8*AB195,0)</f>
        <v>68224</v>
      </c>
      <c r="AG195" s="37">
        <f>IF(新属性汇总!P195&gt;0,INDEX(装备!$AP$11:$AP$16,新属性汇总!$P195)*2,0)</f>
        <v>36564</v>
      </c>
      <c r="AH195" s="37">
        <v>0</v>
      </c>
      <c r="AI195" s="37">
        <f>IF(新属性汇总!P195&gt;0,INDEX(装备!$AP$11:$AP$16,新属性汇总!$P195)*2,0)</f>
        <v>36564</v>
      </c>
      <c r="AJ195" s="37">
        <v>46</v>
      </c>
      <c r="AK195" s="37">
        <f>IF($AJ195&gt;0,INDEX(专属武器!H$4:H$53,新属性汇总!$AJ195),0)</f>
        <v>28422</v>
      </c>
      <c r="AL195" s="37">
        <f>IF($AJ195&gt;0,INDEX(专属武器!I$4:I$53,新属性汇总!$AJ195),0)</f>
        <v>14200</v>
      </c>
      <c r="AM195" s="37">
        <f>IF($AJ195&gt;0,INDEX(专属武器!J$4:J$53,新属性汇总!$AJ195),0)</f>
        <v>127939</v>
      </c>
      <c r="AQ195" s="13">
        <v>191</v>
      </c>
      <c r="AR195" s="13">
        <f t="shared" si="71"/>
        <v>56503.237499999988</v>
      </c>
      <c r="AS195" s="13">
        <f t="shared" si="72"/>
        <v>28248.743749999994</v>
      </c>
      <c r="AT195" s="13">
        <f t="shared" si="73"/>
        <v>303103.19999999995</v>
      </c>
      <c r="AU195" s="13">
        <f t="shared" si="74"/>
        <v>28500</v>
      </c>
      <c r="AV195" s="13">
        <f t="shared" si="75"/>
        <v>14250</v>
      </c>
      <c r="AW195" s="13">
        <f t="shared" si="76"/>
        <v>154138</v>
      </c>
      <c r="AX195" s="13">
        <f t="shared" si="77"/>
        <v>12698.4</v>
      </c>
      <c r="AY195" s="13">
        <f t="shared" si="78"/>
        <v>6344</v>
      </c>
      <c r="AZ195" s="13">
        <f t="shared" si="79"/>
        <v>68224</v>
      </c>
      <c r="BA195" s="13">
        <f t="shared" si="80"/>
        <v>36564</v>
      </c>
      <c r="BB195" s="13">
        <f t="shared" si="81"/>
        <v>0</v>
      </c>
      <c r="BC195" s="13">
        <f t="shared" si="82"/>
        <v>36564</v>
      </c>
      <c r="BD195" s="13">
        <f t="shared" si="83"/>
        <v>28422</v>
      </c>
      <c r="BE195" s="13">
        <f t="shared" si="84"/>
        <v>14200</v>
      </c>
      <c r="BF195" s="13">
        <f t="shared" si="85"/>
        <v>127939</v>
      </c>
      <c r="BG195" s="13">
        <f t="shared" si="86"/>
        <v>868106</v>
      </c>
      <c r="BH195" s="13">
        <f t="shared" si="87"/>
        <v>439138</v>
      </c>
      <c r="BI195" s="13">
        <f t="shared" si="88"/>
        <v>195156</v>
      </c>
      <c r="BJ195" s="13">
        <f t="shared" si="89"/>
        <v>219384</v>
      </c>
      <c r="BK195" s="13">
        <f t="shared" si="90"/>
        <v>412049</v>
      </c>
      <c r="BL195" s="13">
        <f t="shared" si="91"/>
        <v>2133833</v>
      </c>
      <c r="BM195" s="31">
        <f t="shared" si="92"/>
        <v>0.40679999999999999</v>
      </c>
      <c r="BN195" s="31">
        <f t="shared" si="93"/>
        <v>0.20580000000000001</v>
      </c>
      <c r="BO195" s="31">
        <f t="shared" si="94"/>
        <v>9.1499999999999998E-2</v>
      </c>
      <c r="BP195" s="31">
        <f t="shared" si="95"/>
        <v>0.1028</v>
      </c>
      <c r="BQ195" s="31">
        <f t="shared" si="96"/>
        <v>0.19309999999999999</v>
      </c>
    </row>
    <row r="196" spans="1:69" ht="16.5" x14ac:dyDescent="0.2">
      <c r="A196" s="37">
        <v>193</v>
      </c>
      <c r="B196" s="37">
        <v>20</v>
      </c>
      <c r="C196" s="37">
        <v>1</v>
      </c>
      <c r="D196" s="37">
        <v>3</v>
      </c>
      <c r="E196" s="37">
        <v>193</v>
      </c>
      <c r="F196" s="37">
        <f>INDEX(新属性投放!$L$6:$L$10,新属性汇总!D196)</f>
        <v>1.1499999999999999</v>
      </c>
      <c r="G196" s="37">
        <f>INDEX(新属性投放!J$42:J$62,新属性汇总!$B196)</f>
        <v>47938.899999999994</v>
      </c>
      <c r="H196" s="37">
        <f>INDEX(新属性投放!K$42:K$62,新属性汇总!$B196)</f>
        <v>23966.949999999997</v>
      </c>
      <c r="I196" s="37">
        <f>INDEX(新属性投放!L$42:L$62,新属性汇总!$B196)</f>
        <v>258194</v>
      </c>
      <c r="J196" s="37">
        <f>($A196-INDEX(新属性投放!$B$42:$B$62,新属性汇总!$B196))*INDEX(新属性投放!D$42:D$62,新属性汇总!$B196)</f>
        <v>3583.0499999999997</v>
      </c>
      <c r="K196" s="37">
        <f>($A196-INDEX(新属性投放!$B$42:$B$62,新属性汇总!$B196))*INDEX(新属性投放!E$42:E$62,新属性汇总!$B196)</f>
        <v>1791.5249999999999</v>
      </c>
      <c r="L196" s="37">
        <f>($A196-INDEX(新属性投放!$B$42:$B$62,新属性汇总!$B196))*INDEX(新属性投放!F$42:F$62,新属性汇总!$B196)</f>
        <v>16122</v>
      </c>
      <c r="M196" s="37">
        <f t="shared" si="65"/>
        <v>59250.242499999993</v>
      </c>
      <c r="N196" s="37">
        <f t="shared" si="66"/>
        <v>29622.246249999997</v>
      </c>
      <c r="O196" s="37">
        <f t="shared" si="67"/>
        <v>315463.39999999997</v>
      </c>
      <c r="P196" s="37">
        <v>6</v>
      </c>
      <c r="Q196" s="37">
        <v>4</v>
      </c>
      <c r="R196">
        <v>193</v>
      </c>
      <c r="S196" s="37">
        <f>IF($P196&gt;0,INDEX(装备!L$11:L$16,新属性汇总!$P196),0)</f>
        <v>5580</v>
      </c>
      <c r="T196" s="37">
        <f>IF($P196&gt;0,INDEX(装备!M$11:M$16,新属性汇总!$P196),0)</f>
        <v>2790</v>
      </c>
      <c r="U196" s="37">
        <f>IF($P196&gt;0,INDEX(装备!N$11:N$16,新属性汇总!$P196),0)</f>
        <v>29988.000000000004</v>
      </c>
      <c r="V196" s="37">
        <f>IF($P196&gt;0,INDEX(装备!H$11:H$16,新属性汇总!$P196),0)</f>
        <v>120</v>
      </c>
      <c r="W196" s="37">
        <f>IF($P196&gt;0,INDEX(装备!I$11:I$16,新属性汇总!$P196),0)</f>
        <v>60</v>
      </c>
      <c r="X196" s="37">
        <f>IF($P196&gt;0,INDEX(装备!J$11:J$16,新属性汇总!$P196),0)</f>
        <v>650</v>
      </c>
      <c r="Y196" s="37">
        <f t="shared" si="68"/>
        <v>28740</v>
      </c>
      <c r="Z196" s="37">
        <f t="shared" si="69"/>
        <v>14370</v>
      </c>
      <c r="AA196" s="37">
        <f t="shared" si="70"/>
        <v>155438</v>
      </c>
      <c r="AB196" s="37">
        <v>0.65</v>
      </c>
      <c r="AC196" s="37">
        <f>IF(P196&gt;0,INDEX(装备!$BP$5:$BP$16,新属性汇总!P196),0)</f>
        <v>6</v>
      </c>
      <c r="AD196" s="37">
        <f>IF($P196&gt;0,ROUND(INDEX(装备!AY$11:AY$16,新属性汇总!$P196)*$AC196/3,0)*8*AB196,0)</f>
        <v>12698.4</v>
      </c>
      <c r="AE196" s="37">
        <f>IF($P196&gt;0,ROUND(INDEX(装备!AZ$11:AZ$16,新属性汇总!$P196)*$AC196/3,0)*8*AB196,0)</f>
        <v>6344</v>
      </c>
      <c r="AF196" s="37">
        <f>IF($P196&gt;0,ROUND(INDEX(装备!BA$11:BA$16,新属性汇总!$P196)*$AC196/3,0)*8*AB196,0)</f>
        <v>68224</v>
      </c>
      <c r="AG196" s="37">
        <f>IF(新属性汇总!P196&gt;0,INDEX(装备!$AP$11:$AP$16,新属性汇总!$P196)*2,0)</f>
        <v>36564</v>
      </c>
      <c r="AH196" s="37">
        <v>0</v>
      </c>
      <c r="AI196" s="37">
        <f>IF(新属性汇总!P196&gt;0,INDEX(装备!$AP$11:$AP$16,新属性汇总!$P196)*2,0)</f>
        <v>36564</v>
      </c>
      <c r="AJ196" s="37">
        <v>46</v>
      </c>
      <c r="AK196" s="37">
        <f>IF($AJ196&gt;0,INDEX(专属武器!H$4:H$53,新属性汇总!$AJ196),0)</f>
        <v>28422</v>
      </c>
      <c r="AL196" s="37">
        <f>IF($AJ196&gt;0,INDEX(专属武器!I$4:I$53,新属性汇总!$AJ196),0)</f>
        <v>14200</v>
      </c>
      <c r="AM196" s="37">
        <f>IF($AJ196&gt;0,INDEX(专属武器!J$4:J$53,新属性汇总!$AJ196),0)</f>
        <v>127939</v>
      </c>
      <c r="AQ196" s="13">
        <v>192</v>
      </c>
      <c r="AR196" s="13">
        <f t="shared" si="71"/>
        <v>57876.739999999983</v>
      </c>
      <c r="AS196" s="13">
        <f t="shared" si="72"/>
        <v>28935.494999999992</v>
      </c>
      <c r="AT196" s="13">
        <f t="shared" si="73"/>
        <v>309283.3</v>
      </c>
      <c r="AU196" s="13">
        <f t="shared" si="74"/>
        <v>28620</v>
      </c>
      <c r="AV196" s="13">
        <f t="shared" si="75"/>
        <v>14310</v>
      </c>
      <c r="AW196" s="13">
        <f t="shared" si="76"/>
        <v>154788</v>
      </c>
      <c r="AX196" s="13">
        <f t="shared" si="77"/>
        <v>12698.4</v>
      </c>
      <c r="AY196" s="13">
        <f t="shared" si="78"/>
        <v>6344</v>
      </c>
      <c r="AZ196" s="13">
        <f t="shared" si="79"/>
        <v>68224</v>
      </c>
      <c r="BA196" s="13">
        <f t="shared" si="80"/>
        <v>36564</v>
      </c>
      <c r="BB196" s="13">
        <f t="shared" si="81"/>
        <v>0</v>
      </c>
      <c r="BC196" s="13">
        <f t="shared" si="82"/>
        <v>36564</v>
      </c>
      <c r="BD196" s="13">
        <f t="shared" si="83"/>
        <v>28422</v>
      </c>
      <c r="BE196" s="13">
        <f t="shared" si="84"/>
        <v>14200</v>
      </c>
      <c r="BF196" s="13">
        <f t="shared" si="85"/>
        <v>127939</v>
      </c>
      <c r="BG196" s="13">
        <f t="shared" si="86"/>
        <v>888021</v>
      </c>
      <c r="BH196" s="13">
        <f t="shared" si="87"/>
        <v>440988</v>
      </c>
      <c r="BI196" s="13">
        <f t="shared" si="88"/>
        <v>195156</v>
      </c>
      <c r="BJ196" s="13">
        <f t="shared" si="89"/>
        <v>219384</v>
      </c>
      <c r="BK196" s="13">
        <f t="shared" si="90"/>
        <v>412049</v>
      </c>
      <c r="BL196" s="13">
        <f t="shared" si="91"/>
        <v>2155598</v>
      </c>
      <c r="BM196" s="31">
        <f t="shared" si="92"/>
        <v>0.41199999999999998</v>
      </c>
      <c r="BN196" s="31">
        <f t="shared" si="93"/>
        <v>0.2046</v>
      </c>
      <c r="BO196" s="31">
        <f t="shared" si="94"/>
        <v>9.0499999999999997E-2</v>
      </c>
      <c r="BP196" s="31">
        <f t="shared" si="95"/>
        <v>0.1018</v>
      </c>
      <c r="BQ196" s="31">
        <f t="shared" si="96"/>
        <v>0.19120000000000001</v>
      </c>
    </row>
    <row r="197" spans="1:69" ht="16.5" x14ac:dyDescent="0.2">
      <c r="A197" s="37">
        <v>194</v>
      </c>
      <c r="B197" s="37">
        <v>20</v>
      </c>
      <c r="C197" s="37">
        <v>1</v>
      </c>
      <c r="D197" s="37">
        <v>3</v>
      </c>
      <c r="E197" s="37">
        <v>194</v>
      </c>
      <c r="F197" s="37">
        <f>INDEX(新属性投放!$L$6:$L$10,新属性汇总!D197)</f>
        <v>1.1499999999999999</v>
      </c>
      <c r="G197" s="37">
        <f>INDEX(新属性投放!J$42:J$62,新属性汇总!$B197)</f>
        <v>47938.899999999994</v>
      </c>
      <c r="H197" s="37">
        <f>INDEX(新属性投放!K$42:K$62,新属性汇总!$B197)</f>
        <v>23966.949999999997</v>
      </c>
      <c r="I197" s="37">
        <f>INDEX(新属性投放!L$42:L$62,新属性汇总!$B197)</f>
        <v>258194</v>
      </c>
      <c r="J197" s="37">
        <f>($A197-INDEX(新属性投放!$B$42:$B$62,新属性汇总!$B197))*INDEX(新属性投放!D$42:D$62,新属性汇总!$B197)</f>
        <v>4777.3999999999996</v>
      </c>
      <c r="K197" s="37">
        <f>($A197-INDEX(新属性投放!$B$42:$B$62,新属性汇总!$B197))*INDEX(新属性投放!E$42:E$62,新属性汇总!$B197)</f>
        <v>2388.6999999999998</v>
      </c>
      <c r="L197" s="37">
        <f>($A197-INDEX(新属性投放!$B$42:$B$62,新属性汇总!$B197))*INDEX(新属性投放!F$42:F$62,新属性汇总!$B197)</f>
        <v>21496</v>
      </c>
      <c r="M197" s="37">
        <f t="shared" ref="M197:M203" si="97">(G197+J197)*$F197</f>
        <v>60623.744999999988</v>
      </c>
      <c r="N197" s="37">
        <f t="shared" ref="N197:N203" si="98">(H197+K197)*$F197</f>
        <v>30308.997499999994</v>
      </c>
      <c r="O197" s="37">
        <f t="shared" ref="O197:O203" si="99">(I197+L197)*$F197</f>
        <v>321643.5</v>
      </c>
      <c r="P197" s="37">
        <v>6</v>
      </c>
      <c r="Q197" s="37">
        <v>4</v>
      </c>
      <c r="R197">
        <v>194</v>
      </c>
      <c r="S197" s="37">
        <f>IF($P197&gt;0,INDEX(装备!L$11:L$16,新属性汇总!$P197),0)</f>
        <v>5580</v>
      </c>
      <c r="T197" s="37">
        <f>IF($P197&gt;0,INDEX(装备!M$11:M$16,新属性汇总!$P197),0)</f>
        <v>2790</v>
      </c>
      <c r="U197" s="37">
        <f>IF($P197&gt;0,INDEX(装备!N$11:N$16,新属性汇总!$P197),0)</f>
        <v>29988.000000000004</v>
      </c>
      <c r="V197" s="37">
        <f>IF($P197&gt;0,INDEX(装备!H$11:H$16,新属性汇总!$P197),0)</f>
        <v>120</v>
      </c>
      <c r="W197" s="37">
        <f>IF($P197&gt;0,INDEX(装备!I$11:I$16,新属性汇总!$P197),0)</f>
        <v>60</v>
      </c>
      <c r="X197" s="37">
        <f>IF($P197&gt;0,INDEX(装备!J$11:J$16,新属性汇总!$P197),0)</f>
        <v>650</v>
      </c>
      <c r="Y197" s="37">
        <f t="shared" ref="Y197:Y203" si="100">S197+V197*$R197</f>
        <v>28860</v>
      </c>
      <c r="Z197" s="37">
        <f t="shared" ref="Z197:Z203" si="101">T197+W197*$R197</f>
        <v>14430</v>
      </c>
      <c r="AA197" s="37">
        <f t="shared" ref="AA197:AA203" si="102">U197+X197*$R197</f>
        <v>156088</v>
      </c>
      <c r="AB197" s="37">
        <v>0.65</v>
      </c>
      <c r="AC197" s="37">
        <f>IF(P197&gt;0,INDEX(装备!$BP$5:$BP$16,新属性汇总!P197),0)</f>
        <v>6</v>
      </c>
      <c r="AD197" s="37">
        <f>IF($P197&gt;0,ROUND(INDEX(装备!AY$11:AY$16,新属性汇总!$P197)*$AC197/3,0)*8*AB197,0)</f>
        <v>12698.4</v>
      </c>
      <c r="AE197" s="37">
        <f>IF($P197&gt;0,ROUND(INDEX(装备!AZ$11:AZ$16,新属性汇总!$P197)*$AC197/3,0)*8*AB197,0)</f>
        <v>6344</v>
      </c>
      <c r="AF197" s="37">
        <f>IF($P197&gt;0,ROUND(INDEX(装备!BA$11:BA$16,新属性汇总!$P197)*$AC197/3,0)*8*AB197,0)</f>
        <v>68224</v>
      </c>
      <c r="AG197" s="37">
        <f>IF(新属性汇总!P197&gt;0,INDEX(装备!$AP$11:$AP$16,新属性汇总!$P197)*2,0)</f>
        <v>36564</v>
      </c>
      <c r="AH197" s="37">
        <v>0</v>
      </c>
      <c r="AI197" s="37">
        <f>IF(新属性汇总!P197&gt;0,INDEX(装备!$AP$11:$AP$16,新属性汇总!$P197)*2,0)</f>
        <v>36564</v>
      </c>
      <c r="AJ197" s="37">
        <v>47</v>
      </c>
      <c r="AK197" s="37">
        <f>IF($AJ197&gt;0,INDEX(专属武器!H$4:H$53,新属性汇总!$AJ197),0)</f>
        <v>30512</v>
      </c>
      <c r="AL197" s="37">
        <f>IF($AJ197&gt;0,INDEX(专属武器!I$4:I$53,新属性汇总!$AJ197),0)</f>
        <v>15245</v>
      </c>
      <c r="AM197" s="37">
        <f>IF($AJ197&gt;0,INDEX(专属武器!J$4:J$53,新属性汇总!$AJ197),0)</f>
        <v>137343</v>
      </c>
      <c r="AQ197" s="13">
        <v>193</v>
      </c>
      <c r="AR197" s="13">
        <f t="shared" ref="AR197:AR204" si="103">INDEX(M$4:M$203,$AQ197)</f>
        <v>59250.242499999993</v>
      </c>
      <c r="AS197" s="13">
        <f t="shared" ref="AS197:AS204" si="104">INDEX(N$4:N$203,$AQ197)</f>
        <v>29622.246249999997</v>
      </c>
      <c r="AT197" s="13">
        <f t="shared" ref="AT197:AT204" si="105">INDEX(O$4:O$203,$AQ197)</f>
        <v>315463.39999999997</v>
      </c>
      <c r="AU197" s="13">
        <f t="shared" ref="AU197:AU204" si="106">INDEX(Y$4:Y$203,$AQ197)</f>
        <v>28740</v>
      </c>
      <c r="AV197" s="13">
        <f t="shared" ref="AV197:AV204" si="107">INDEX(Z$4:Z$203,$AQ197)</f>
        <v>14370</v>
      </c>
      <c r="AW197" s="13">
        <f t="shared" ref="AW197:AW204" si="108">INDEX(AA$4:AA$203,$AQ197)</f>
        <v>155438</v>
      </c>
      <c r="AX197" s="13">
        <f t="shared" ref="AX197:AX204" si="109">INDEX(AD$4:AD$203,$AQ197)</f>
        <v>12698.4</v>
      </c>
      <c r="AY197" s="13">
        <f t="shared" ref="AY197:AY204" si="110">INDEX(AE$4:AE$203,$AQ197)</f>
        <v>6344</v>
      </c>
      <c r="AZ197" s="13">
        <f t="shared" ref="AZ197:AZ204" si="111">INDEX(AF$4:AF$203,$AQ197)</f>
        <v>68224</v>
      </c>
      <c r="BA197" s="13">
        <f t="shared" ref="BA197:BA204" si="112">INDEX(AG$4:AG$203,$AQ197)</f>
        <v>36564</v>
      </c>
      <c r="BB197" s="13">
        <f t="shared" ref="BB197:BB204" si="113">INDEX(AH$4:AH$203,$AQ197)</f>
        <v>0</v>
      </c>
      <c r="BC197" s="13">
        <f t="shared" ref="BC197:BC204" si="114">INDEX(AI$4:AI$203,$AQ197)</f>
        <v>36564</v>
      </c>
      <c r="BD197" s="13">
        <f t="shared" ref="BD197:BD204" si="115">INDEX(AK$4:AK$203,$AQ197)</f>
        <v>28422</v>
      </c>
      <c r="BE197" s="13">
        <f t="shared" ref="BE197:BE204" si="116">INDEX(AL$4:AL$203,$AQ197)</f>
        <v>14200</v>
      </c>
      <c r="BF197" s="13">
        <f t="shared" ref="BF197:BF204" si="117">INDEX(AM$4:AM$203,$AQ197)</f>
        <v>127939</v>
      </c>
      <c r="BG197" s="13">
        <f t="shared" ref="BG197:BG204" si="118">INT(SUMPRODUCT(AR197:AT197,AR$2:AT$2))</f>
        <v>907937</v>
      </c>
      <c r="BH197" s="13">
        <f t="shared" ref="BH197:BH204" si="119">INT(SUMPRODUCT(AU197:AW197,AU$2:AW$2))</f>
        <v>442838</v>
      </c>
      <c r="BI197" s="13">
        <f t="shared" ref="BI197:BI204" si="120">INT(SUMPRODUCT(AX197:AZ197,AX$2:AZ$2))</f>
        <v>195156</v>
      </c>
      <c r="BJ197" s="13">
        <f t="shared" ref="BJ197:BJ204" si="121">INT(SUMPRODUCT(BA197:BC197,BA$2:BC$2))</f>
        <v>219384</v>
      </c>
      <c r="BK197" s="13">
        <f t="shared" ref="BK197:BK204" si="122">INT(SUMPRODUCT(BD197:BF197,BD$2:BF$2))</f>
        <v>412049</v>
      </c>
      <c r="BL197" s="13">
        <f t="shared" ref="BL197:BL204" si="123">SUM(BG197:BK197)</f>
        <v>2177364</v>
      </c>
      <c r="BM197" s="31">
        <f t="shared" ref="BM197:BM204" si="124">ROUND(BG197/$BL197,4)</f>
        <v>0.41699999999999998</v>
      </c>
      <c r="BN197" s="31">
        <f t="shared" ref="BN197:BN204" si="125">ROUND(BH197/$BL197,4)</f>
        <v>0.2034</v>
      </c>
      <c r="BO197" s="31">
        <f t="shared" ref="BO197:BO204" si="126">ROUND(BI197/$BL197,4)</f>
        <v>8.9599999999999999E-2</v>
      </c>
      <c r="BP197" s="31">
        <f t="shared" ref="BP197:BP204" si="127">ROUND(BJ197/$BL197,4)</f>
        <v>0.1008</v>
      </c>
      <c r="BQ197" s="31">
        <f t="shared" ref="BQ197:BQ204" si="128">ROUND(BK197/$BL197,4)</f>
        <v>0.18920000000000001</v>
      </c>
    </row>
    <row r="198" spans="1:69" ht="16.5" x14ac:dyDescent="0.2">
      <c r="A198" s="37">
        <v>195</v>
      </c>
      <c r="B198" s="37">
        <v>20</v>
      </c>
      <c r="C198" s="37">
        <v>1</v>
      </c>
      <c r="D198" s="37">
        <v>3</v>
      </c>
      <c r="E198" s="37">
        <v>195</v>
      </c>
      <c r="F198" s="37">
        <f>INDEX(新属性投放!$L$6:$L$10,新属性汇总!D198)</f>
        <v>1.1499999999999999</v>
      </c>
      <c r="G198" s="37">
        <f>INDEX(新属性投放!J$42:J$62,新属性汇总!$B198)</f>
        <v>47938.899999999994</v>
      </c>
      <c r="H198" s="37">
        <f>INDEX(新属性投放!K$42:K$62,新属性汇总!$B198)</f>
        <v>23966.949999999997</v>
      </c>
      <c r="I198" s="37">
        <f>INDEX(新属性投放!L$42:L$62,新属性汇总!$B198)</f>
        <v>258194</v>
      </c>
      <c r="J198" s="37">
        <f>($A198-INDEX(新属性投放!$B$42:$B$62,新属性汇总!$B198))*INDEX(新属性投放!D$42:D$62,新属性汇总!$B198)</f>
        <v>5971.75</v>
      </c>
      <c r="K198" s="37">
        <f>($A198-INDEX(新属性投放!$B$42:$B$62,新属性汇总!$B198))*INDEX(新属性投放!E$42:E$62,新属性汇总!$B198)</f>
        <v>2985.875</v>
      </c>
      <c r="L198" s="37">
        <f>($A198-INDEX(新属性投放!$B$42:$B$62,新属性汇总!$B198))*INDEX(新属性投放!F$42:F$62,新属性汇总!$B198)</f>
        <v>26870</v>
      </c>
      <c r="M198" s="37">
        <f t="shared" si="97"/>
        <v>61997.24749999999</v>
      </c>
      <c r="N198" s="37">
        <f t="shared" si="98"/>
        <v>30995.748749999995</v>
      </c>
      <c r="O198" s="37">
        <f t="shared" si="99"/>
        <v>327823.59999999998</v>
      </c>
      <c r="P198" s="37">
        <v>6</v>
      </c>
      <c r="Q198" s="37">
        <v>4</v>
      </c>
      <c r="R198">
        <v>195</v>
      </c>
      <c r="S198" s="37">
        <f>IF($P198&gt;0,INDEX(装备!L$11:L$16,新属性汇总!$P198),0)</f>
        <v>5580</v>
      </c>
      <c r="T198" s="37">
        <f>IF($P198&gt;0,INDEX(装备!M$11:M$16,新属性汇总!$P198),0)</f>
        <v>2790</v>
      </c>
      <c r="U198" s="37">
        <f>IF($P198&gt;0,INDEX(装备!N$11:N$16,新属性汇总!$P198),0)</f>
        <v>29988.000000000004</v>
      </c>
      <c r="V198" s="37">
        <f>IF($P198&gt;0,INDEX(装备!H$11:H$16,新属性汇总!$P198),0)</f>
        <v>120</v>
      </c>
      <c r="W198" s="37">
        <f>IF($P198&gt;0,INDEX(装备!I$11:I$16,新属性汇总!$P198),0)</f>
        <v>60</v>
      </c>
      <c r="X198" s="37">
        <f>IF($P198&gt;0,INDEX(装备!J$11:J$16,新属性汇总!$P198),0)</f>
        <v>650</v>
      </c>
      <c r="Y198" s="37">
        <f t="shared" si="100"/>
        <v>28980</v>
      </c>
      <c r="Z198" s="37">
        <f t="shared" si="101"/>
        <v>14490</v>
      </c>
      <c r="AA198" s="37">
        <f t="shared" si="102"/>
        <v>156738</v>
      </c>
      <c r="AB198" s="37">
        <v>0.65</v>
      </c>
      <c r="AC198" s="37">
        <f>IF(P198&gt;0,INDEX(装备!$BP$5:$BP$16,新属性汇总!P198),0)</f>
        <v>6</v>
      </c>
      <c r="AD198" s="37">
        <f>IF($P198&gt;0,ROUND(INDEX(装备!AY$11:AY$16,新属性汇总!$P198)*$AC198/3,0)*8*AB198,0)</f>
        <v>12698.4</v>
      </c>
      <c r="AE198" s="37">
        <f>IF($P198&gt;0,ROUND(INDEX(装备!AZ$11:AZ$16,新属性汇总!$P198)*$AC198/3,0)*8*AB198,0)</f>
        <v>6344</v>
      </c>
      <c r="AF198" s="37">
        <f>IF($P198&gt;0,ROUND(INDEX(装备!BA$11:BA$16,新属性汇总!$P198)*$AC198/3,0)*8*AB198,0)</f>
        <v>68224</v>
      </c>
      <c r="AG198" s="37">
        <f>IF(新属性汇总!P198&gt;0,INDEX(装备!$AP$11:$AP$16,新属性汇总!$P198)*2,0)</f>
        <v>36564</v>
      </c>
      <c r="AH198" s="37">
        <v>0</v>
      </c>
      <c r="AI198" s="37">
        <f>IF(新属性汇总!P198&gt;0,INDEX(装备!$AP$11:$AP$16,新属性汇总!$P198)*2,0)</f>
        <v>36564</v>
      </c>
      <c r="AJ198" s="37">
        <v>47</v>
      </c>
      <c r="AK198" s="37">
        <f>IF($AJ198&gt;0,INDEX(专属武器!H$4:H$53,新属性汇总!$AJ198),0)</f>
        <v>30512</v>
      </c>
      <c r="AL198" s="37">
        <f>IF($AJ198&gt;0,INDEX(专属武器!I$4:I$53,新属性汇总!$AJ198),0)</f>
        <v>15245</v>
      </c>
      <c r="AM198" s="37">
        <f>IF($AJ198&gt;0,INDEX(专属武器!J$4:J$53,新属性汇总!$AJ198),0)</f>
        <v>137343</v>
      </c>
      <c r="AQ198" s="13">
        <v>194</v>
      </c>
      <c r="AR198" s="13">
        <f t="shared" si="103"/>
        <v>60623.744999999988</v>
      </c>
      <c r="AS198" s="13">
        <f t="shared" si="104"/>
        <v>30308.997499999994</v>
      </c>
      <c r="AT198" s="13">
        <f t="shared" si="105"/>
        <v>321643.5</v>
      </c>
      <c r="AU198" s="13">
        <f t="shared" si="106"/>
        <v>28860</v>
      </c>
      <c r="AV198" s="13">
        <f t="shared" si="107"/>
        <v>14430</v>
      </c>
      <c r="AW198" s="13">
        <f t="shared" si="108"/>
        <v>156088</v>
      </c>
      <c r="AX198" s="13">
        <f t="shared" si="109"/>
        <v>12698.4</v>
      </c>
      <c r="AY198" s="13">
        <f t="shared" si="110"/>
        <v>6344</v>
      </c>
      <c r="AZ198" s="13">
        <f t="shared" si="111"/>
        <v>68224</v>
      </c>
      <c r="BA198" s="13">
        <f t="shared" si="112"/>
        <v>36564</v>
      </c>
      <c r="BB198" s="13">
        <f t="shared" si="113"/>
        <v>0</v>
      </c>
      <c r="BC198" s="13">
        <f t="shared" si="114"/>
        <v>36564</v>
      </c>
      <c r="BD198" s="13">
        <f t="shared" si="115"/>
        <v>30512</v>
      </c>
      <c r="BE198" s="13">
        <f t="shared" si="116"/>
        <v>15245</v>
      </c>
      <c r="BF198" s="13">
        <f t="shared" si="117"/>
        <v>137343</v>
      </c>
      <c r="BG198" s="13">
        <f t="shared" si="118"/>
        <v>927852</v>
      </c>
      <c r="BH198" s="13">
        <f t="shared" si="119"/>
        <v>444688</v>
      </c>
      <c r="BI198" s="13">
        <f t="shared" si="120"/>
        <v>195156</v>
      </c>
      <c r="BJ198" s="13">
        <f t="shared" si="121"/>
        <v>219384</v>
      </c>
      <c r="BK198" s="13">
        <f t="shared" si="122"/>
        <v>442353</v>
      </c>
      <c r="BL198" s="13">
        <f t="shared" si="123"/>
        <v>2229433</v>
      </c>
      <c r="BM198" s="31">
        <f t="shared" si="124"/>
        <v>0.41620000000000001</v>
      </c>
      <c r="BN198" s="31">
        <f t="shared" si="125"/>
        <v>0.19950000000000001</v>
      </c>
      <c r="BO198" s="31">
        <f t="shared" si="126"/>
        <v>8.7499999999999994E-2</v>
      </c>
      <c r="BP198" s="31">
        <f t="shared" si="127"/>
        <v>9.8400000000000001E-2</v>
      </c>
      <c r="BQ198" s="31">
        <f t="shared" si="128"/>
        <v>0.19839999999999999</v>
      </c>
    </row>
    <row r="199" spans="1:69" ht="16.5" x14ac:dyDescent="0.2">
      <c r="A199" s="37">
        <v>196</v>
      </c>
      <c r="B199" s="37">
        <v>20</v>
      </c>
      <c r="C199" s="37">
        <v>1</v>
      </c>
      <c r="D199" s="37">
        <v>3</v>
      </c>
      <c r="E199" s="37">
        <v>196</v>
      </c>
      <c r="F199" s="37">
        <f>INDEX(新属性投放!$L$6:$L$10,新属性汇总!D199)</f>
        <v>1.1499999999999999</v>
      </c>
      <c r="G199" s="37">
        <f>INDEX(新属性投放!J$42:J$62,新属性汇总!$B199)</f>
        <v>47938.899999999994</v>
      </c>
      <c r="H199" s="37">
        <f>INDEX(新属性投放!K$42:K$62,新属性汇总!$B199)</f>
        <v>23966.949999999997</v>
      </c>
      <c r="I199" s="37">
        <f>INDEX(新属性投放!L$42:L$62,新属性汇总!$B199)</f>
        <v>258194</v>
      </c>
      <c r="J199" s="37">
        <f>($A199-INDEX(新属性投放!$B$42:$B$62,新属性汇总!$B199))*INDEX(新属性投放!D$42:D$62,新属性汇总!$B199)</f>
        <v>7166.0999999999995</v>
      </c>
      <c r="K199" s="37">
        <f>($A199-INDEX(新属性投放!$B$42:$B$62,新属性汇总!$B199))*INDEX(新属性投放!E$42:E$62,新属性汇总!$B199)</f>
        <v>3583.0499999999997</v>
      </c>
      <c r="L199" s="37">
        <f>($A199-INDEX(新属性投放!$B$42:$B$62,新属性汇总!$B199))*INDEX(新属性投放!F$42:F$62,新属性汇总!$B199)</f>
        <v>32244</v>
      </c>
      <c r="M199" s="37">
        <f t="shared" si="97"/>
        <v>63370.749999999985</v>
      </c>
      <c r="N199" s="37">
        <f t="shared" si="98"/>
        <v>31682.499999999993</v>
      </c>
      <c r="O199" s="37">
        <f t="shared" si="99"/>
        <v>334003.69999999995</v>
      </c>
      <c r="P199" s="37">
        <v>6</v>
      </c>
      <c r="Q199" s="37">
        <v>4</v>
      </c>
      <c r="R199">
        <v>196</v>
      </c>
      <c r="S199" s="37">
        <f>IF($P199&gt;0,INDEX(装备!L$11:L$16,新属性汇总!$P199),0)</f>
        <v>5580</v>
      </c>
      <c r="T199" s="37">
        <f>IF($P199&gt;0,INDEX(装备!M$11:M$16,新属性汇总!$P199),0)</f>
        <v>2790</v>
      </c>
      <c r="U199" s="37">
        <f>IF($P199&gt;0,INDEX(装备!N$11:N$16,新属性汇总!$P199),0)</f>
        <v>29988.000000000004</v>
      </c>
      <c r="V199" s="37">
        <f>IF($P199&gt;0,INDEX(装备!H$11:H$16,新属性汇总!$P199),0)</f>
        <v>120</v>
      </c>
      <c r="W199" s="37">
        <f>IF($P199&gt;0,INDEX(装备!I$11:I$16,新属性汇总!$P199),0)</f>
        <v>60</v>
      </c>
      <c r="X199" s="37">
        <f>IF($P199&gt;0,INDEX(装备!J$11:J$16,新属性汇总!$P199),0)</f>
        <v>650</v>
      </c>
      <c r="Y199" s="37">
        <f t="shared" si="100"/>
        <v>29100</v>
      </c>
      <c r="Z199" s="37">
        <f t="shared" si="101"/>
        <v>14550</v>
      </c>
      <c r="AA199" s="37">
        <f t="shared" si="102"/>
        <v>157388</v>
      </c>
      <c r="AB199" s="37">
        <v>0.65</v>
      </c>
      <c r="AC199" s="37">
        <f>IF(P199&gt;0,INDEX(装备!$BP$5:$BP$16,新属性汇总!P199),0)</f>
        <v>6</v>
      </c>
      <c r="AD199" s="37">
        <f>IF($P199&gt;0,ROUND(INDEX(装备!AY$11:AY$16,新属性汇总!$P199)*$AC199/3,0)*8*AB199,0)</f>
        <v>12698.4</v>
      </c>
      <c r="AE199" s="37">
        <f>IF($P199&gt;0,ROUND(INDEX(装备!AZ$11:AZ$16,新属性汇总!$P199)*$AC199/3,0)*8*AB199,0)</f>
        <v>6344</v>
      </c>
      <c r="AF199" s="37">
        <f>IF($P199&gt;0,ROUND(INDEX(装备!BA$11:BA$16,新属性汇总!$P199)*$AC199/3,0)*8*AB199,0)</f>
        <v>68224</v>
      </c>
      <c r="AG199" s="37">
        <f>IF(新属性汇总!P199&gt;0,INDEX(装备!$AP$11:$AP$16,新属性汇总!$P199)*2,0)</f>
        <v>36564</v>
      </c>
      <c r="AH199" s="37">
        <v>0</v>
      </c>
      <c r="AI199" s="37">
        <f>IF(新属性汇总!P199&gt;0,INDEX(装备!$AP$11:$AP$16,新属性汇总!$P199)*2,0)</f>
        <v>36564</v>
      </c>
      <c r="AJ199" s="37">
        <v>47</v>
      </c>
      <c r="AK199" s="37">
        <f>IF($AJ199&gt;0,INDEX(专属武器!H$4:H$53,新属性汇总!$AJ199),0)</f>
        <v>30512</v>
      </c>
      <c r="AL199" s="37">
        <f>IF($AJ199&gt;0,INDEX(专属武器!I$4:I$53,新属性汇总!$AJ199),0)</f>
        <v>15245</v>
      </c>
      <c r="AM199" s="37">
        <f>IF($AJ199&gt;0,INDEX(专属武器!J$4:J$53,新属性汇总!$AJ199),0)</f>
        <v>137343</v>
      </c>
      <c r="AQ199" s="13">
        <v>195</v>
      </c>
      <c r="AR199" s="13">
        <f t="shared" si="103"/>
        <v>61997.24749999999</v>
      </c>
      <c r="AS199" s="13">
        <f t="shared" si="104"/>
        <v>30995.748749999995</v>
      </c>
      <c r="AT199" s="13">
        <f t="shared" si="105"/>
        <v>327823.59999999998</v>
      </c>
      <c r="AU199" s="13">
        <f t="shared" si="106"/>
        <v>28980</v>
      </c>
      <c r="AV199" s="13">
        <f t="shared" si="107"/>
        <v>14490</v>
      </c>
      <c r="AW199" s="13">
        <f t="shared" si="108"/>
        <v>156738</v>
      </c>
      <c r="AX199" s="13">
        <f t="shared" si="109"/>
        <v>12698.4</v>
      </c>
      <c r="AY199" s="13">
        <f t="shared" si="110"/>
        <v>6344</v>
      </c>
      <c r="AZ199" s="13">
        <f t="shared" si="111"/>
        <v>68224</v>
      </c>
      <c r="BA199" s="13">
        <f t="shared" si="112"/>
        <v>36564</v>
      </c>
      <c r="BB199" s="13">
        <f t="shared" si="113"/>
        <v>0</v>
      </c>
      <c r="BC199" s="13">
        <f t="shared" si="114"/>
        <v>36564</v>
      </c>
      <c r="BD199" s="13">
        <f t="shared" si="115"/>
        <v>30512</v>
      </c>
      <c r="BE199" s="13">
        <f t="shared" si="116"/>
        <v>15245</v>
      </c>
      <c r="BF199" s="13">
        <f t="shared" si="117"/>
        <v>137343</v>
      </c>
      <c r="BG199" s="13">
        <f t="shared" si="118"/>
        <v>947767</v>
      </c>
      <c r="BH199" s="13">
        <f t="shared" si="119"/>
        <v>446538</v>
      </c>
      <c r="BI199" s="13">
        <f t="shared" si="120"/>
        <v>195156</v>
      </c>
      <c r="BJ199" s="13">
        <f t="shared" si="121"/>
        <v>219384</v>
      </c>
      <c r="BK199" s="13">
        <f t="shared" si="122"/>
        <v>442353</v>
      </c>
      <c r="BL199" s="13">
        <f t="shared" si="123"/>
        <v>2251198</v>
      </c>
      <c r="BM199" s="31">
        <f t="shared" si="124"/>
        <v>0.42099999999999999</v>
      </c>
      <c r="BN199" s="31">
        <f t="shared" si="125"/>
        <v>0.19839999999999999</v>
      </c>
      <c r="BO199" s="31">
        <f t="shared" si="126"/>
        <v>8.6699999999999999E-2</v>
      </c>
      <c r="BP199" s="31">
        <f t="shared" si="127"/>
        <v>9.7500000000000003E-2</v>
      </c>
      <c r="BQ199" s="31">
        <f t="shared" si="128"/>
        <v>0.19650000000000001</v>
      </c>
    </row>
    <row r="200" spans="1:69" ht="16.5" x14ac:dyDescent="0.2">
      <c r="A200" s="37">
        <v>197</v>
      </c>
      <c r="B200" s="37">
        <v>20</v>
      </c>
      <c r="C200" s="37">
        <v>1</v>
      </c>
      <c r="D200" s="37">
        <v>3</v>
      </c>
      <c r="E200" s="37">
        <v>197</v>
      </c>
      <c r="F200" s="37">
        <f>INDEX(新属性投放!$L$6:$L$10,新属性汇总!D200)</f>
        <v>1.1499999999999999</v>
      </c>
      <c r="G200" s="37">
        <f>INDEX(新属性投放!J$42:J$62,新属性汇总!$B200)</f>
        <v>47938.899999999994</v>
      </c>
      <c r="H200" s="37">
        <f>INDEX(新属性投放!K$42:K$62,新属性汇总!$B200)</f>
        <v>23966.949999999997</v>
      </c>
      <c r="I200" s="37">
        <f>INDEX(新属性投放!L$42:L$62,新属性汇总!$B200)</f>
        <v>258194</v>
      </c>
      <c r="J200" s="37">
        <f>($A200-INDEX(新属性投放!$B$42:$B$62,新属性汇总!$B200))*INDEX(新属性投放!D$42:D$62,新属性汇总!$B200)</f>
        <v>8360.4499999999989</v>
      </c>
      <c r="K200" s="37">
        <f>($A200-INDEX(新属性投放!$B$42:$B$62,新属性汇总!$B200))*INDEX(新属性投放!E$42:E$62,新属性汇总!$B200)</f>
        <v>4180.2249999999995</v>
      </c>
      <c r="L200" s="37">
        <f>($A200-INDEX(新属性投放!$B$42:$B$62,新属性汇总!$B200))*INDEX(新属性投放!F$42:F$62,新属性汇总!$B200)</f>
        <v>37618</v>
      </c>
      <c r="M200" s="37">
        <f t="shared" si="97"/>
        <v>64744.252499999988</v>
      </c>
      <c r="N200" s="37">
        <f t="shared" si="98"/>
        <v>32369.251249999994</v>
      </c>
      <c r="O200" s="37">
        <f t="shared" si="99"/>
        <v>340183.8</v>
      </c>
      <c r="P200" s="37">
        <v>6</v>
      </c>
      <c r="Q200" s="37">
        <v>4</v>
      </c>
      <c r="R200">
        <v>197</v>
      </c>
      <c r="S200" s="37">
        <f>IF($P200&gt;0,INDEX(装备!L$11:L$16,新属性汇总!$P200),0)</f>
        <v>5580</v>
      </c>
      <c r="T200" s="37">
        <f>IF($P200&gt;0,INDEX(装备!M$11:M$16,新属性汇总!$P200),0)</f>
        <v>2790</v>
      </c>
      <c r="U200" s="37">
        <f>IF($P200&gt;0,INDEX(装备!N$11:N$16,新属性汇总!$P200),0)</f>
        <v>29988.000000000004</v>
      </c>
      <c r="V200" s="37">
        <f>IF($P200&gt;0,INDEX(装备!H$11:H$16,新属性汇总!$P200),0)</f>
        <v>120</v>
      </c>
      <c r="W200" s="37">
        <f>IF($P200&gt;0,INDEX(装备!I$11:I$16,新属性汇总!$P200),0)</f>
        <v>60</v>
      </c>
      <c r="X200" s="37">
        <f>IF($P200&gt;0,INDEX(装备!J$11:J$16,新属性汇总!$P200),0)</f>
        <v>650</v>
      </c>
      <c r="Y200" s="37">
        <f t="shared" si="100"/>
        <v>29220</v>
      </c>
      <c r="Z200" s="37">
        <f t="shared" si="101"/>
        <v>14610</v>
      </c>
      <c r="AA200" s="37">
        <f t="shared" si="102"/>
        <v>158038</v>
      </c>
      <c r="AB200" s="37">
        <v>0.65</v>
      </c>
      <c r="AC200" s="37">
        <f>IF(P200&gt;0,INDEX(装备!$BP$5:$BP$16,新属性汇总!P200),0)</f>
        <v>6</v>
      </c>
      <c r="AD200" s="37">
        <f>IF($P200&gt;0,ROUND(INDEX(装备!AY$11:AY$16,新属性汇总!$P200)*$AC200/3,0)*8*AB200,0)</f>
        <v>12698.4</v>
      </c>
      <c r="AE200" s="37">
        <f>IF($P200&gt;0,ROUND(INDEX(装备!AZ$11:AZ$16,新属性汇总!$P200)*$AC200/3,0)*8*AB200,0)</f>
        <v>6344</v>
      </c>
      <c r="AF200" s="37">
        <f>IF($P200&gt;0,ROUND(INDEX(装备!BA$11:BA$16,新属性汇总!$P200)*$AC200/3,0)*8*AB200,0)</f>
        <v>68224</v>
      </c>
      <c r="AG200" s="37">
        <f>IF(新属性汇总!P200&gt;0,INDEX(装备!$AP$11:$AP$16,新属性汇总!$P200)*2,0)</f>
        <v>36564</v>
      </c>
      <c r="AH200" s="37">
        <v>0</v>
      </c>
      <c r="AI200" s="37">
        <f>IF(新属性汇总!P200&gt;0,INDEX(装备!$AP$11:$AP$16,新属性汇总!$P200)*2,0)</f>
        <v>36564</v>
      </c>
      <c r="AJ200" s="37">
        <v>47</v>
      </c>
      <c r="AK200" s="37">
        <f>IF($AJ200&gt;0,INDEX(专属武器!H$4:H$53,新属性汇总!$AJ200),0)</f>
        <v>30512</v>
      </c>
      <c r="AL200" s="37">
        <f>IF($AJ200&gt;0,INDEX(专属武器!I$4:I$53,新属性汇总!$AJ200),0)</f>
        <v>15245</v>
      </c>
      <c r="AM200" s="37">
        <f>IF($AJ200&gt;0,INDEX(专属武器!J$4:J$53,新属性汇总!$AJ200),0)</f>
        <v>137343</v>
      </c>
      <c r="AQ200" s="13">
        <v>196</v>
      </c>
      <c r="AR200" s="13">
        <f t="shared" si="103"/>
        <v>63370.749999999985</v>
      </c>
      <c r="AS200" s="13">
        <f t="shared" si="104"/>
        <v>31682.499999999993</v>
      </c>
      <c r="AT200" s="13">
        <f t="shared" si="105"/>
        <v>334003.69999999995</v>
      </c>
      <c r="AU200" s="13">
        <f t="shared" si="106"/>
        <v>29100</v>
      </c>
      <c r="AV200" s="13">
        <f t="shared" si="107"/>
        <v>14550</v>
      </c>
      <c r="AW200" s="13">
        <f t="shared" si="108"/>
        <v>157388</v>
      </c>
      <c r="AX200" s="13">
        <f t="shared" si="109"/>
        <v>12698.4</v>
      </c>
      <c r="AY200" s="13">
        <f t="shared" si="110"/>
        <v>6344</v>
      </c>
      <c r="AZ200" s="13">
        <f t="shared" si="111"/>
        <v>68224</v>
      </c>
      <c r="BA200" s="13">
        <f t="shared" si="112"/>
        <v>36564</v>
      </c>
      <c r="BB200" s="13">
        <f t="shared" si="113"/>
        <v>0</v>
      </c>
      <c r="BC200" s="13">
        <f t="shared" si="114"/>
        <v>36564</v>
      </c>
      <c r="BD200" s="13">
        <f t="shared" si="115"/>
        <v>30512</v>
      </c>
      <c r="BE200" s="13">
        <f t="shared" si="116"/>
        <v>15245</v>
      </c>
      <c r="BF200" s="13">
        <f t="shared" si="117"/>
        <v>137343</v>
      </c>
      <c r="BG200" s="13">
        <f t="shared" si="118"/>
        <v>967682</v>
      </c>
      <c r="BH200" s="13">
        <f t="shared" si="119"/>
        <v>448388</v>
      </c>
      <c r="BI200" s="13">
        <f t="shared" si="120"/>
        <v>195156</v>
      </c>
      <c r="BJ200" s="13">
        <f t="shared" si="121"/>
        <v>219384</v>
      </c>
      <c r="BK200" s="13">
        <f t="shared" si="122"/>
        <v>442353</v>
      </c>
      <c r="BL200" s="13">
        <f t="shared" si="123"/>
        <v>2272963</v>
      </c>
      <c r="BM200" s="31">
        <f t="shared" si="124"/>
        <v>0.42570000000000002</v>
      </c>
      <c r="BN200" s="31">
        <f t="shared" si="125"/>
        <v>0.1973</v>
      </c>
      <c r="BO200" s="31">
        <f t="shared" si="126"/>
        <v>8.5900000000000004E-2</v>
      </c>
      <c r="BP200" s="31">
        <f t="shared" si="127"/>
        <v>9.6500000000000002E-2</v>
      </c>
      <c r="BQ200" s="31">
        <f t="shared" si="128"/>
        <v>0.1946</v>
      </c>
    </row>
    <row r="201" spans="1:69" ht="16.5" x14ac:dyDescent="0.2">
      <c r="A201" s="37">
        <v>198</v>
      </c>
      <c r="B201" s="37">
        <v>20</v>
      </c>
      <c r="C201" s="37">
        <v>1</v>
      </c>
      <c r="D201" s="37">
        <v>3</v>
      </c>
      <c r="E201" s="37">
        <v>198</v>
      </c>
      <c r="F201" s="37">
        <f>INDEX(新属性投放!$L$6:$L$10,新属性汇总!D201)</f>
        <v>1.1499999999999999</v>
      </c>
      <c r="G201" s="37">
        <f>INDEX(新属性投放!J$42:J$62,新属性汇总!$B201)</f>
        <v>47938.899999999994</v>
      </c>
      <c r="H201" s="37">
        <f>INDEX(新属性投放!K$42:K$62,新属性汇总!$B201)</f>
        <v>23966.949999999997</v>
      </c>
      <c r="I201" s="37">
        <f>INDEX(新属性投放!L$42:L$62,新属性汇总!$B201)</f>
        <v>258194</v>
      </c>
      <c r="J201" s="37">
        <f>($A201-INDEX(新属性投放!$B$42:$B$62,新属性汇总!$B201))*INDEX(新属性投放!D$42:D$62,新属性汇总!$B201)</f>
        <v>9554.7999999999993</v>
      </c>
      <c r="K201" s="37">
        <f>($A201-INDEX(新属性投放!$B$42:$B$62,新属性汇总!$B201))*INDEX(新属性投放!E$42:E$62,新属性汇总!$B201)</f>
        <v>4777.3999999999996</v>
      </c>
      <c r="L201" s="37">
        <f>($A201-INDEX(新属性投放!$B$42:$B$62,新属性汇总!$B201))*INDEX(新属性投放!F$42:F$62,新属性汇总!$B201)</f>
        <v>42992</v>
      </c>
      <c r="M201" s="37">
        <f t="shared" si="97"/>
        <v>66117.75499999999</v>
      </c>
      <c r="N201" s="37">
        <f t="shared" si="98"/>
        <v>33056.002499999995</v>
      </c>
      <c r="O201" s="37">
        <f t="shared" si="99"/>
        <v>346363.89999999997</v>
      </c>
      <c r="P201" s="37">
        <v>6</v>
      </c>
      <c r="Q201" s="37">
        <v>4</v>
      </c>
      <c r="R201">
        <v>198</v>
      </c>
      <c r="S201" s="37">
        <f>IF($P201&gt;0,INDEX(装备!L$11:L$16,新属性汇总!$P201),0)</f>
        <v>5580</v>
      </c>
      <c r="T201" s="37">
        <f>IF($P201&gt;0,INDEX(装备!M$11:M$16,新属性汇总!$P201),0)</f>
        <v>2790</v>
      </c>
      <c r="U201" s="37">
        <f>IF($P201&gt;0,INDEX(装备!N$11:N$16,新属性汇总!$P201),0)</f>
        <v>29988.000000000004</v>
      </c>
      <c r="V201" s="37">
        <f>IF($P201&gt;0,INDEX(装备!H$11:H$16,新属性汇总!$P201),0)</f>
        <v>120</v>
      </c>
      <c r="W201" s="37">
        <f>IF($P201&gt;0,INDEX(装备!I$11:I$16,新属性汇总!$P201),0)</f>
        <v>60</v>
      </c>
      <c r="X201" s="37">
        <f>IF($P201&gt;0,INDEX(装备!J$11:J$16,新属性汇总!$P201),0)</f>
        <v>650</v>
      </c>
      <c r="Y201" s="37">
        <f t="shared" si="100"/>
        <v>29340</v>
      </c>
      <c r="Z201" s="37">
        <f t="shared" si="101"/>
        <v>14670</v>
      </c>
      <c r="AA201" s="37">
        <f t="shared" si="102"/>
        <v>158688</v>
      </c>
      <c r="AB201" s="37">
        <v>0.65</v>
      </c>
      <c r="AC201" s="37">
        <f>IF(P201&gt;0,INDEX(装备!$BP$5:$BP$16,新属性汇总!P201),0)</f>
        <v>6</v>
      </c>
      <c r="AD201" s="37">
        <f>IF($P201&gt;0,ROUND(INDEX(装备!AY$11:AY$16,新属性汇总!$P201)*$AC201/3,0)*8*AB201,0)</f>
        <v>12698.4</v>
      </c>
      <c r="AE201" s="37">
        <f>IF($P201&gt;0,ROUND(INDEX(装备!AZ$11:AZ$16,新属性汇总!$P201)*$AC201/3,0)*8*AB201,0)</f>
        <v>6344</v>
      </c>
      <c r="AF201" s="37">
        <f>IF($P201&gt;0,ROUND(INDEX(装备!BA$11:BA$16,新属性汇总!$P201)*$AC201/3,0)*8*AB201,0)</f>
        <v>68224</v>
      </c>
      <c r="AG201" s="37">
        <f>IF(新属性汇总!P201&gt;0,INDEX(装备!$AP$11:$AP$16,新属性汇总!$P201)*2,0)</f>
        <v>36564</v>
      </c>
      <c r="AH201" s="37">
        <v>0</v>
      </c>
      <c r="AI201" s="37">
        <f>IF(新属性汇总!P201&gt;0,INDEX(装备!$AP$11:$AP$16,新属性汇总!$P201)*2,0)</f>
        <v>36564</v>
      </c>
      <c r="AJ201" s="37">
        <v>48</v>
      </c>
      <c r="AK201" s="37">
        <f>IF($AJ201&gt;0,INDEX(专属武器!H$4:H$53,新属性汇总!$AJ201),0)</f>
        <v>32602</v>
      </c>
      <c r="AL201" s="37">
        <f>IF($AJ201&gt;0,INDEX(专属武器!I$4:I$53,新属性汇总!$AJ201),0)</f>
        <v>16290</v>
      </c>
      <c r="AM201" s="37">
        <f>IF($AJ201&gt;0,INDEX(专属武器!J$4:J$53,新属性汇总!$AJ201),0)</f>
        <v>146747</v>
      </c>
      <c r="AQ201" s="13">
        <v>197</v>
      </c>
      <c r="AR201" s="13">
        <f t="shared" si="103"/>
        <v>64744.252499999988</v>
      </c>
      <c r="AS201" s="13">
        <f t="shared" si="104"/>
        <v>32369.251249999994</v>
      </c>
      <c r="AT201" s="13">
        <f t="shared" si="105"/>
        <v>340183.8</v>
      </c>
      <c r="AU201" s="13">
        <f t="shared" si="106"/>
        <v>29220</v>
      </c>
      <c r="AV201" s="13">
        <f t="shared" si="107"/>
        <v>14610</v>
      </c>
      <c r="AW201" s="13">
        <f t="shared" si="108"/>
        <v>158038</v>
      </c>
      <c r="AX201" s="13">
        <f t="shared" si="109"/>
        <v>12698.4</v>
      </c>
      <c r="AY201" s="13">
        <f t="shared" si="110"/>
        <v>6344</v>
      </c>
      <c r="AZ201" s="13">
        <f t="shared" si="111"/>
        <v>68224</v>
      </c>
      <c r="BA201" s="13">
        <f t="shared" si="112"/>
        <v>36564</v>
      </c>
      <c r="BB201" s="13">
        <f t="shared" si="113"/>
        <v>0</v>
      </c>
      <c r="BC201" s="13">
        <f t="shared" si="114"/>
        <v>36564</v>
      </c>
      <c r="BD201" s="13">
        <f t="shared" si="115"/>
        <v>30512</v>
      </c>
      <c r="BE201" s="13">
        <f t="shared" si="116"/>
        <v>15245</v>
      </c>
      <c r="BF201" s="13">
        <f t="shared" si="117"/>
        <v>137343</v>
      </c>
      <c r="BG201" s="13">
        <f t="shared" si="118"/>
        <v>987597</v>
      </c>
      <c r="BH201" s="13">
        <f t="shared" si="119"/>
        <v>450238</v>
      </c>
      <c r="BI201" s="13">
        <f t="shared" si="120"/>
        <v>195156</v>
      </c>
      <c r="BJ201" s="13">
        <f t="shared" si="121"/>
        <v>219384</v>
      </c>
      <c r="BK201" s="13">
        <f t="shared" si="122"/>
        <v>442353</v>
      </c>
      <c r="BL201" s="13">
        <f t="shared" si="123"/>
        <v>2294728</v>
      </c>
      <c r="BM201" s="31">
        <f t="shared" si="124"/>
        <v>0.4304</v>
      </c>
      <c r="BN201" s="31">
        <f t="shared" si="125"/>
        <v>0.19620000000000001</v>
      </c>
      <c r="BO201" s="31">
        <f t="shared" si="126"/>
        <v>8.5000000000000006E-2</v>
      </c>
      <c r="BP201" s="31">
        <f t="shared" si="127"/>
        <v>9.5600000000000004E-2</v>
      </c>
      <c r="BQ201" s="31">
        <f t="shared" si="128"/>
        <v>0.1928</v>
      </c>
    </row>
    <row r="202" spans="1:69" ht="16.5" x14ac:dyDescent="0.2">
      <c r="A202" s="37">
        <v>199</v>
      </c>
      <c r="B202" s="37">
        <v>20</v>
      </c>
      <c r="C202" s="37">
        <v>1</v>
      </c>
      <c r="D202" s="37">
        <v>3</v>
      </c>
      <c r="E202" s="37">
        <v>199</v>
      </c>
      <c r="F202" s="37">
        <f>INDEX(新属性投放!$L$6:$L$10,新属性汇总!D202)</f>
        <v>1.1499999999999999</v>
      </c>
      <c r="G202" s="37">
        <f>INDEX(新属性投放!J$42:J$62,新属性汇总!$B202)</f>
        <v>47938.899999999994</v>
      </c>
      <c r="H202" s="37">
        <f>INDEX(新属性投放!K$42:K$62,新属性汇总!$B202)</f>
        <v>23966.949999999997</v>
      </c>
      <c r="I202" s="37">
        <f>INDEX(新属性投放!L$42:L$62,新属性汇总!$B202)</f>
        <v>258194</v>
      </c>
      <c r="J202" s="37">
        <f>($A202-INDEX(新属性投放!$B$42:$B$62,新属性汇总!$B202))*INDEX(新属性投放!D$42:D$62,新属性汇总!$B202)</f>
        <v>10749.15</v>
      </c>
      <c r="K202" s="37">
        <f>($A202-INDEX(新属性投放!$B$42:$B$62,新属性汇总!$B202))*INDEX(新属性投放!E$42:E$62,新属性汇总!$B202)</f>
        <v>5374.5749999999998</v>
      </c>
      <c r="L202" s="37">
        <f>($A202-INDEX(新属性投放!$B$42:$B$62,新属性汇总!$B202))*INDEX(新属性投放!F$42:F$62,新属性汇总!$B202)</f>
        <v>48366</v>
      </c>
      <c r="M202" s="37">
        <f t="shared" si="97"/>
        <v>67491.257499999992</v>
      </c>
      <c r="N202" s="37">
        <f t="shared" si="98"/>
        <v>33742.753749999996</v>
      </c>
      <c r="O202" s="37">
        <f t="shared" si="99"/>
        <v>352544</v>
      </c>
      <c r="P202" s="37">
        <v>6</v>
      </c>
      <c r="Q202" s="37">
        <v>4</v>
      </c>
      <c r="R202">
        <v>199</v>
      </c>
      <c r="S202" s="37">
        <f>IF($P202&gt;0,INDEX(装备!L$11:L$16,新属性汇总!$P202),0)</f>
        <v>5580</v>
      </c>
      <c r="T202" s="37">
        <f>IF($P202&gt;0,INDEX(装备!M$11:M$16,新属性汇总!$P202),0)</f>
        <v>2790</v>
      </c>
      <c r="U202" s="37">
        <f>IF($P202&gt;0,INDEX(装备!N$11:N$16,新属性汇总!$P202),0)</f>
        <v>29988.000000000004</v>
      </c>
      <c r="V202" s="37">
        <f>IF($P202&gt;0,INDEX(装备!H$11:H$16,新属性汇总!$P202),0)</f>
        <v>120</v>
      </c>
      <c r="W202" s="37">
        <f>IF($P202&gt;0,INDEX(装备!I$11:I$16,新属性汇总!$P202),0)</f>
        <v>60</v>
      </c>
      <c r="X202" s="37">
        <f>IF($P202&gt;0,INDEX(装备!J$11:J$16,新属性汇总!$P202),0)</f>
        <v>650</v>
      </c>
      <c r="Y202" s="37">
        <f t="shared" si="100"/>
        <v>29460</v>
      </c>
      <c r="Z202" s="37">
        <f t="shared" si="101"/>
        <v>14730</v>
      </c>
      <c r="AA202" s="37">
        <f t="shared" si="102"/>
        <v>159338</v>
      </c>
      <c r="AB202" s="37">
        <v>0.65</v>
      </c>
      <c r="AC202" s="37">
        <f>IF(P202&gt;0,INDEX(装备!$BP$5:$BP$16,新属性汇总!P202),0)</f>
        <v>6</v>
      </c>
      <c r="AD202" s="37">
        <f>IF($P202&gt;0,ROUND(INDEX(装备!AY$11:AY$16,新属性汇总!$P202)*$AC202/3,0)*8*AB202,0)</f>
        <v>12698.4</v>
      </c>
      <c r="AE202" s="37">
        <f>IF($P202&gt;0,ROUND(INDEX(装备!AZ$11:AZ$16,新属性汇总!$P202)*$AC202/3,0)*8*AB202,0)</f>
        <v>6344</v>
      </c>
      <c r="AF202" s="37">
        <f>IF($P202&gt;0,ROUND(INDEX(装备!BA$11:BA$16,新属性汇总!$P202)*$AC202/3,0)*8*AB202,0)</f>
        <v>68224</v>
      </c>
      <c r="AG202" s="37">
        <f>IF(新属性汇总!P202&gt;0,INDEX(装备!$AP$11:$AP$16,新属性汇总!$P202)*2,0)</f>
        <v>36564</v>
      </c>
      <c r="AH202" s="37">
        <v>0</v>
      </c>
      <c r="AI202" s="37">
        <f>IF(新属性汇总!P202&gt;0,INDEX(装备!$AP$11:$AP$16,新属性汇总!$P202)*2,0)</f>
        <v>36564</v>
      </c>
      <c r="AJ202" s="37">
        <v>48</v>
      </c>
      <c r="AK202" s="37">
        <f>IF($AJ202&gt;0,INDEX(专属武器!H$4:H$53,新属性汇总!$AJ202),0)</f>
        <v>32602</v>
      </c>
      <c r="AL202" s="37">
        <f>IF($AJ202&gt;0,INDEX(专属武器!I$4:I$53,新属性汇总!$AJ202),0)</f>
        <v>16290</v>
      </c>
      <c r="AM202" s="37">
        <f>IF($AJ202&gt;0,INDEX(专属武器!J$4:J$53,新属性汇总!$AJ202),0)</f>
        <v>146747</v>
      </c>
      <c r="AQ202" s="13">
        <v>198</v>
      </c>
      <c r="AR202" s="13">
        <f t="shared" si="103"/>
        <v>66117.75499999999</v>
      </c>
      <c r="AS202" s="13">
        <f t="shared" si="104"/>
        <v>33056.002499999995</v>
      </c>
      <c r="AT202" s="13">
        <f t="shared" si="105"/>
        <v>346363.89999999997</v>
      </c>
      <c r="AU202" s="13">
        <f t="shared" si="106"/>
        <v>29340</v>
      </c>
      <c r="AV202" s="13">
        <f t="shared" si="107"/>
        <v>14670</v>
      </c>
      <c r="AW202" s="13">
        <f t="shared" si="108"/>
        <v>158688</v>
      </c>
      <c r="AX202" s="13">
        <f t="shared" si="109"/>
        <v>12698.4</v>
      </c>
      <c r="AY202" s="13">
        <f t="shared" si="110"/>
        <v>6344</v>
      </c>
      <c r="AZ202" s="13">
        <f t="shared" si="111"/>
        <v>68224</v>
      </c>
      <c r="BA202" s="13">
        <f t="shared" si="112"/>
        <v>36564</v>
      </c>
      <c r="BB202" s="13">
        <f t="shared" si="113"/>
        <v>0</v>
      </c>
      <c r="BC202" s="13">
        <f t="shared" si="114"/>
        <v>36564</v>
      </c>
      <c r="BD202" s="13">
        <f t="shared" si="115"/>
        <v>32602</v>
      </c>
      <c r="BE202" s="13">
        <f t="shared" si="116"/>
        <v>16290</v>
      </c>
      <c r="BF202" s="13">
        <f t="shared" si="117"/>
        <v>146747</v>
      </c>
      <c r="BG202" s="13">
        <f t="shared" si="118"/>
        <v>1007512</v>
      </c>
      <c r="BH202" s="13">
        <f t="shared" si="119"/>
        <v>452088</v>
      </c>
      <c r="BI202" s="13">
        <f t="shared" si="120"/>
        <v>195156</v>
      </c>
      <c r="BJ202" s="13">
        <f t="shared" si="121"/>
        <v>219384</v>
      </c>
      <c r="BK202" s="13">
        <f t="shared" si="122"/>
        <v>472657</v>
      </c>
      <c r="BL202" s="13">
        <f t="shared" si="123"/>
        <v>2346797</v>
      </c>
      <c r="BM202" s="31">
        <f t="shared" si="124"/>
        <v>0.42930000000000001</v>
      </c>
      <c r="BN202" s="31">
        <f t="shared" si="125"/>
        <v>0.19259999999999999</v>
      </c>
      <c r="BO202" s="31">
        <f t="shared" si="126"/>
        <v>8.3199999999999996E-2</v>
      </c>
      <c r="BP202" s="31">
        <f t="shared" si="127"/>
        <v>9.35E-2</v>
      </c>
      <c r="BQ202" s="31">
        <f t="shared" si="128"/>
        <v>0.2014</v>
      </c>
    </row>
    <row r="203" spans="1:69" ht="16.5" x14ac:dyDescent="0.2">
      <c r="A203" s="37">
        <v>200</v>
      </c>
      <c r="B203" s="37">
        <v>20</v>
      </c>
      <c r="C203" s="37">
        <v>1</v>
      </c>
      <c r="D203" s="37">
        <v>3</v>
      </c>
      <c r="E203" s="37">
        <v>200</v>
      </c>
      <c r="F203" s="37">
        <f>INDEX(新属性投放!$L$6:$L$10,新属性汇总!D203)</f>
        <v>1.1499999999999999</v>
      </c>
      <c r="G203" s="37">
        <f>INDEX(新属性投放!J$42:J$62,新属性汇总!$B203)</f>
        <v>47938.899999999994</v>
      </c>
      <c r="H203" s="37">
        <f>INDEX(新属性投放!K$42:K$62,新属性汇总!$B203)</f>
        <v>23966.949999999997</v>
      </c>
      <c r="I203" s="37">
        <f>INDEX(新属性投放!L$42:L$62,新属性汇总!$B203)</f>
        <v>258194</v>
      </c>
      <c r="J203" s="37">
        <f>($A203-INDEX(新属性投放!$B$42:$B$62,新属性汇总!$B203))*INDEX(新属性投放!D$42:D$62,新属性汇总!$B203)</f>
        <v>11943.5</v>
      </c>
      <c r="K203" s="37">
        <f>($A203-INDEX(新属性投放!$B$42:$B$62,新属性汇总!$B203))*INDEX(新属性投放!E$42:E$62,新属性汇总!$B203)</f>
        <v>5971.75</v>
      </c>
      <c r="L203" s="37">
        <f>($A203-INDEX(新属性投放!$B$42:$B$62,新属性汇总!$B203))*INDEX(新属性投放!F$42:F$62,新属性汇总!$B203)</f>
        <v>53740</v>
      </c>
      <c r="M203" s="37">
        <f t="shared" si="97"/>
        <v>68864.759999999995</v>
      </c>
      <c r="N203" s="37">
        <f t="shared" si="98"/>
        <v>34429.504999999997</v>
      </c>
      <c r="O203" s="37">
        <f t="shared" si="99"/>
        <v>358724.1</v>
      </c>
      <c r="P203" s="37">
        <v>6</v>
      </c>
      <c r="Q203" s="37">
        <v>4</v>
      </c>
      <c r="R203">
        <v>200</v>
      </c>
      <c r="S203" s="37">
        <f>IF($P203&gt;0,INDEX(装备!L$11:L$16,新属性汇总!$P203),0)</f>
        <v>5580</v>
      </c>
      <c r="T203" s="37">
        <f>IF($P203&gt;0,INDEX(装备!M$11:M$16,新属性汇总!$P203),0)</f>
        <v>2790</v>
      </c>
      <c r="U203" s="37">
        <f>IF($P203&gt;0,INDEX(装备!N$11:N$16,新属性汇总!$P203),0)</f>
        <v>29988.000000000004</v>
      </c>
      <c r="V203" s="37">
        <f>IF($P203&gt;0,INDEX(装备!H$11:H$16,新属性汇总!$P203),0)</f>
        <v>120</v>
      </c>
      <c r="W203" s="37">
        <f>IF($P203&gt;0,INDEX(装备!I$11:I$16,新属性汇总!$P203),0)</f>
        <v>60</v>
      </c>
      <c r="X203" s="37">
        <f>IF($P203&gt;0,INDEX(装备!J$11:J$16,新属性汇总!$P203),0)</f>
        <v>650</v>
      </c>
      <c r="Y203" s="37">
        <f t="shared" si="100"/>
        <v>29580</v>
      </c>
      <c r="Z203" s="37">
        <f t="shared" si="101"/>
        <v>14790</v>
      </c>
      <c r="AA203" s="37">
        <f t="shared" si="102"/>
        <v>159988</v>
      </c>
      <c r="AB203" s="37">
        <v>0.65</v>
      </c>
      <c r="AC203" s="37">
        <f>IF(P203&gt;0,INDEX(装备!$BP$5:$BP$16,新属性汇总!P203),0)</f>
        <v>6</v>
      </c>
      <c r="AD203" s="37">
        <f>IF($P203&gt;0,ROUND(INDEX(装备!AY$11:AY$16,新属性汇总!$P203)*$AC203/3,0)*8*AB203,0)</f>
        <v>12698.4</v>
      </c>
      <c r="AE203" s="37">
        <f>IF($P203&gt;0,ROUND(INDEX(装备!AZ$11:AZ$16,新属性汇总!$P203)*$AC203/3,0)*8*AB203,0)</f>
        <v>6344</v>
      </c>
      <c r="AF203" s="37">
        <f>IF($P203&gt;0,ROUND(INDEX(装备!BA$11:BA$16,新属性汇总!$P203)*$AC203/3,0)*8*AB203,0)</f>
        <v>68224</v>
      </c>
      <c r="AG203" s="37">
        <f>IF(新属性汇总!P203&gt;0,INDEX(装备!$AP$11:$AP$16,新属性汇总!$P203)*2,0)</f>
        <v>36564</v>
      </c>
      <c r="AH203" s="37">
        <v>0</v>
      </c>
      <c r="AI203" s="37">
        <f>IF(新属性汇总!P203&gt;0,INDEX(装备!$AP$11:$AP$16,新属性汇总!$P203)*2,0)</f>
        <v>36564</v>
      </c>
      <c r="AJ203" s="37">
        <v>48</v>
      </c>
      <c r="AK203" s="37">
        <f>IF($AJ203&gt;0,INDEX(专属武器!H$4:H$53,新属性汇总!$AJ203),0)</f>
        <v>32602</v>
      </c>
      <c r="AL203" s="37">
        <f>IF($AJ203&gt;0,INDEX(专属武器!I$4:I$53,新属性汇总!$AJ203),0)</f>
        <v>16290</v>
      </c>
      <c r="AM203" s="37">
        <f>IF($AJ203&gt;0,INDEX(专属武器!J$4:J$53,新属性汇总!$AJ203),0)</f>
        <v>146747</v>
      </c>
      <c r="AQ203" s="13">
        <v>199</v>
      </c>
      <c r="AR203" s="13">
        <f t="shared" si="103"/>
        <v>67491.257499999992</v>
      </c>
      <c r="AS203" s="13">
        <f t="shared" si="104"/>
        <v>33742.753749999996</v>
      </c>
      <c r="AT203" s="13">
        <f t="shared" si="105"/>
        <v>352544</v>
      </c>
      <c r="AU203" s="13">
        <f t="shared" si="106"/>
        <v>29460</v>
      </c>
      <c r="AV203" s="13">
        <f t="shared" si="107"/>
        <v>14730</v>
      </c>
      <c r="AW203" s="13">
        <f t="shared" si="108"/>
        <v>159338</v>
      </c>
      <c r="AX203" s="13">
        <f t="shared" si="109"/>
        <v>12698.4</v>
      </c>
      <c r="AY203" s="13">
        <f t="shared" si="110"/>
        <v>6344</v>
      </c>
      <c r="AZ203" s="13">
        <f t="shared" si="111"/>
        <v>68224</v>
      </c>
      <c r="BA203" s="13">
        <f t="shared" si="112"/>
        <v>36564</v>
      </c>
      <c r="BB203" s="13">
        <f t="shared" si="113"/>
        <v>0</v>
      </c>
      <c r="BC203" s="13">
        <f t="shared" si="114"/>
        <v>36564</v>
      </c>
      <c r="BD203" s="13">
        <f t="shared" si="115"/>
        <v>32602</v>
      </c>
      <c r="BE203" s="13">
        <f t="shared" si="116"/>
        <v>16290</v>
      </c>
      <c r="BF203" s="13">
        <f t="shared" si="117"/>
        <v>146747</v>
      </c>
      <c r="BG203" s="13">
        <f t="shared" si="118"/>
        <v>1027427</v>
      </c>
      <c r="BH203" s="13">
        <f t="shared" si="119"/>
        <v>453938</v>
      </c>
      <c r="BI203" s="13">
        <f t="shared" si="120"/>
        <v>195156</v>
      </c>
      <c r="BJ203" s="13">
        <f t="shared" si="121"/>
        <v>219384</v>
      </c>
      <c r="BK203" s="13">
        <f t="shared" si="122"/>
        <v>472657</v>
      </c>
      <c r="BL203" s="13">
        <f t="shared" si="123"/>
        <v>2368562</v>
      </c>
      <c r="BM203" s="31">
        <f t="shared" si="124"/>
        <v>0.43380000000000002</v>
      </c>
      <c r="BN203" s="31">
        <f t="shared" si="125"/>
        <v>0.19170000000000001</v>
      </c>
      <c r="BO203" s="31">
        <f t="shared" si="126"/>
        <v>8.2400000000000001E-2</v>
      </c>
      <c r="BP203" s="31">
        <f t="shared" si="127"/>
        <v>9.2600000000000002E-2</v>
      </c>
      <c r="BQ203" s="31">
        <f t="shared" si="128"/>
        <v>0.1996</v>
      </c>
    </row>
    <row r="204" spans="1:69" ht="16.5" x14ac:dyDescent="0.2">
      <c r="AQ204" s="13">
        <v>200</v>
      </c>
      <c r="AR204" s="13">
        <f t="shared" si="103"/>
        <v>68864.759999999995</v>
      </c>
      <c r="AS204" s="13">
        <f t="shared" si="104"/>
        <v>34429.504999999997</v>
      </c>
      <c r="AT204" s="13">
        <f t="shared" si="105"/>
        <v>358724.1</v>
      </c>
      <c r="AU204" s="13">
        <f t="shared" si="106"/>
        <v>29580</v>
      </c>
      <c r="AV204" s="13">
        <f t="shared" si="107"/>
        <v>14790</v>
      </c>
      <c r="AW204" s="13">
        <f t="shared" si="108"/>
        <v>159988</v>
      </c>
      <c r="AX204" s="13">
        <f t="shared" si="109"/>
        <v>12698.4</v>
      </c>
      <c r="AY204" s="13">
        <f t="shared" si="110"/>
        <v>6344</v>
      </c>
      <c r="AZ204" s="13">
        <f t="shared" si="111"/>
        <v>68224</v>
      </c>
      <c r="BA204" s="13">
        <f t="shared" si="112"/>
        <v>36564</v>
      </c>
      <c r="BB204" s="13">
        <f t="shared" si="113"/>
        <v>0</v>
      </c>
      <c r="BC204" s="13">
        <f t="shared" si="114"/>
        <v>36564</v>
      </c>
      <c r="BD204" s="13">
        <f t="shared" si="115"/>
        <v>32602</v>
      </c>
      <c r="BE204" s="13">
        <f t="shared" si="116"/>
        <v>16290</v>
      </c>
      <c r="BF204" s="13">
        <f t="shared" si="117"/>
        <v>146747</v>
      </c>
      <c r="BG204" s="13">
        <f t="shared" si="118"/>
        <v>1047342</v>
      </c>
      <c r="BH204" s="13">
        <f t="shared" si="119"/>
        <v>455788</v>
      </c>
      <c r="BI204" s="13">
        <f t="shared" si="120"/>
        <v>195156</v>
      </c>
      <c r="BJ204" s="13">
        <f t="shared" si="121"/>
        <v>219384</v>
      </c>
      <c r="BK204" s="13">
        <f t="shared" si="122"/>
        <v>472657</v>
      </c>
      <c r="BL204" s="13">
        <f t="shared" si="123"/>
        <v>2390327</v>
      </c>
      <c r="BM204" s="31">
        <f t="shared" si="124"/>
        <v>0.43819999999999998</v>
      </c>
      <c r="BN204" s="31">
        <f t="shared" si="125"/>
        <v>0.19070000000000001</v>
      </c>
      <c r="BO204" s="31">
        <f t="shared" si="126"/>
        <v>8.1600000000000006E-2</v>
      </c>
      <c r="BP204" s="31">
        <f t="shared" si="127"/>
        <v>9.1800000000000007E-2</v>
      </c>
      <c r="BQ204" s="31">
        <f t="shared" si="128"/>
        <v>0.19769999999999999</v>
      </c>
    </row>
  </sheetData>
  <mergeCells count="5">
    <mergeCell ref="B2:O2"/>
    <mergeCell ref="AJ2:AM2"/>
    <mergeCell ref="AG2:AI2"/>
    <mergeCell ref="P2:AA2"/>
    <mergeCell ref="AB2:AF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属性投放</vt:lpstr>
      <vt:lpstr>职业属性倾向</vt:lpstr>
      <vt:lpstr>卡牌属性</vt:lpstr>
      <vt:lpstr>新神器</vt:lpstr>
      <vt:lpstr>专属武器</vt:lpstr>
      <vt:lpstr>洗练技能</vt:lpstr>
      <vt:lpstr>属性汇总</vt:lpstr>
      <vt:lpstr>装备</vt:lpstr>
      <vt:lpstr>新属性汇总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2019-08-30T10:27:01Z</dcterms:modified>
</cp:coreProperties>
</file>